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lr264_st-andrews_ac_uk/Documents/key_bank_data/"/>
    </mc:Choice>
  </mc:AlternateContent>
  <xr:revisionPtr revIDLastSave="0" documentId="8_{3EE5D983-BC41-4484-B1D8-0478F51F5B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IData" sheetId="2" r:id="rId1"/>
    <sheet name="ReferenceData" sheetId="3" r:id="rId2"/>
    <sheet name="Help-Referenc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1" i="3" l="1"/>
  <c r="C823" i="3"/>
  <c r="C825" i="3"/>
  <c r="BS837" i="3" l="1"/>
  <c r="BR837" i="3"/>
  <c r="BQ837" i="3"/>
  <c r="BP837" i="3"/>
  <c r="BO837" i="3"/>
  <c r="BN837" i="3"/>
  <c r="BM837" i="3"/>
  <c r="BL837" i="3"/>
  <c r="BK837" i="3"/>
  <c r="BJ837" i="3"/>
  <c r="BI837" i="3"/>
  <c r="BH837" i="3"/>
  <c r="BG837" i="3"/>
  <c r="BF837" i="3"/>
  <c r="BE837" i="3"/>
  <c r="BD837" i="3"/>
  <c r="BC837" i="3"/>
  <c r="BB837" i="3"/>
  <c r="BA837" i="3"/>
  <c r="AZ837" i="3"/>
  <c r="AY837" i="3"/>
  <c r="AX837" i="3"/>
  <c r="AW837" i="3"/>
  <c r="AV837" i="3"/>
  <c r="AU837" i="3"/>
  <c r="AT837" i="3"/>
  <c r="AS837" i="3"/>
  <c r="AR837" i="3"/>
  <c r="AQ837" i="3"/>
  <c r="AP837" i="3"/>
  <c r="AO837" i="3"/>
  <c r="AN837" i="3"/>
  <c r="AM837" i="3"/>
  <c r="E837" i="3"/>
  <c r="D837" i="3"/>
  <c r="C837" i="3"/>
  <c r="B837" i="3"/>
  <c r="A837" i="3"/>
  <c r="BS836" i="3"/>
  <c r="BR836" i="3"/>
  <c r="BQ836" i="3"/>
  <c r="BP836" i="3"/>
  <c r="BO836" i="3"/>
  <c r="BN836" i="3"/>
  <c r="BM836" i="3"/>
  <c r="BL836" i="3"/>
  <c r="BK836" i="3"/>
  <c r="BJ836" i="3"/>
  <c r="BI836" i="3"/>
  <c r="BH836" i="3"/>
  <c r="BG836" i="3"/>
  <c r="BF836" i="3"/>
  <c r="BE836" i="3"/>
  <c r="BD836" i="3"/>
  <c r="BC836" i="3"/>
  <c r="BB836" i="3"/>
  <c r="BA836" i="3"/>
  <c r="AZ836" i="3"/>
  <c r="AY836" i="3"/>
  <c r="AX836" i="3"/>
  <c r="AW836" i="3"/>
  <c r="AV836" i="3"/>
  <c r="AU836" i="3"/>
  <c r="AT836" i="3"/>
  <c r="AS836" i="3"/>
  <c r="AR836" i="3"/>
  <c r="AQ836" i="3"/>
  <c r="AP836" i="3"/>
  <c r="AO836" i="3"/>
  <c r="AN836" i="3"/>
  <c r="AM836" i="3"/>
  <c r="A836" i="3"/>
  <c r="BS835" i="3"/>
  <c r="BR835" i="3"/>
  <c r="BQ835" i="3"/>
  <c r="BP835" i="3"/>
  <c r="BO835" i="3"/>
  <c r="BN835" i="3"/>
  <c r="BM835" i="3"/>
  <c r="BL835" i="3"/>
  <c r="BK835" i="3"/>
  <c r="BJ835" i="3"/>
  <c r="BI835" i="3"/>
  <c r="BH835" i="3"/>
  <c r="BG835" i="3"/>
  <c r="BF835" i="3"/>
  <c r="BE835" i="3"/>
  <c r="BD835" i="3"/>
  <c r="BC835" i="3"/>
  <c r="BB835" i="3"/>
  <c r="BA835" i="3"/>
  <c r="AZ835" i="3"/>
  <c r="AY835" i="3"/>
  <c r="AX835" i="3"/>
  <c r="AW835" i="3"/>
  <c r="AV835" i="3"/>
  <c r="AU835" i="3"/>
  <c r="AT835" i="3"/>
  <c r="AS835" i="3"/>
  <c r="AR835" i="3"/>
  <c r="AQ835" i="3"/>
  <c r="AP835" i="3"/>
  <c r="AO835" i="3"/>
  <c r="AN835" i="3"/>
  <c r="AM835" i="3"/>
  <c r="A835" i="3"/>
  <c r="BS834" i="3"/>
  <c r="BR834" i="3"/>
  <c r="BQ834" i="3"/>
  <c r="BP834" i="3"/>
  <c r="BO834" i="3"/>
  <c r="BN834" i="3"/>
  <c r="BM834" i="3"/>
  <c r="BL834" i="3"/>
  <c r="BK834" i="3"/>
  <c r="BJ834" i="3"/>
  <c r="BI834" i="3"/>
  <c r="BH834" i="3"/>
  <c r="BG834" i="3"/>
  <c r="BF834" i="3"/>
  <c r="BE834" i="3"/>
  <c r="BD834" i="3"/>
  <c r="BC834" i="3"/>
  <c r="BB834" i="3"/>
  <c r="BA834" i="3"/>
  <c r="AZ834" i="3"/>
  <c r="AY834" i="3"/>
  <c r="AX834" i="3"/>
  <c r="AW834" i="3"/>
  <c r="AV834" i="3"/>
  <c r="AU834" i="3"/>
  <c r="AT834" i="3"/>
  <c r="AS834" i="3"/>
  <c r="AR834" i="3"/>
  <c r="AQ834" i="3"/>
  <c r="AP834" i="3"/>
  <c r="AO834" i="3"/>
  <c r="AN834" i="3"/>
  <c r="AM834" i="3"/>
  <c r="A834" i="3"/>
  <c r="BS833" i="3"/>
  <c r="BR833" i="3"/>
  <c r="BQ833" i="3"/>
  <c r="BP833" i="3"/>
  <c r="BO833" i="3"/>
  <c r="BN833" i="3"/>
  <c r="BM833" i="3"/>
  <c r="BL833" i="3"/>
  <c r="BK833" i="3"/>
  <c r="BJ833" i="3"/>
  <c r="BI833" i="3"/>
  <c r="BH833" i="3"/>
  <c r="BG833" i="3"/>
  <c r="BF833" i="3"/>
  <c r="BE833" i="3"/>
  <c r="BD833" i="3"/>
  <c r="BC833" i="3"/>
  <c r="BB833" i="3"/>
  <c r="BA833" i="3"/>
  <c r="AZ833" i="3"/>
  <c r="AY833" i="3"/>
  <c r="AX833" i="3"/>
  <c r="AW833" i="3"/>
  <c r="AV833" i="3"/>
  <c r="AU833" i="3"/>
  <c r="AT833" i="3"/>
  <c r="AS833" i="3"/>
  <c r="AR833" i="3"/>
  <c r="AQ833" i="3"/>
  <c r="AP833" i="3"/>
  <c r="AO833" i="3"/>
  <c r="AN833" i="3"/>
  <c r="AM833" i="3"/>
  <c r="A833" i="3"/>
  <c r="BS832" i="3"/>
  <c r="BR832" i="3"/>
  <c r="BQ832" i="3"/>
  <c r="BP832" i="3"/>
  <c r="BO832" i="3"/>
  <c r="BN832" i="3"/>
  <c r="BM832" i="3"/>
  <c r="BL832" i="3"/>
  <c r="BK832" i="3"/>
  <c r="BJ832" i="3"/>
  <c r="BI832" i="3"/>
  <c r="BH832" i="3"/>
  <c r="BG832" i="3"/>
  <c r="BF832" i="3"/>
  <c r="BE832" i="3"/>
  <c r="BD832" i="3"/>
  <c r="BC832" i="3"/>
  <c r="BB832" i="3"/>
  <c r="BA832" i="3"/>
  <c r="AZ832" i="3"/>
  <c r="AY832" i="3"/>
  <c r="AX832" i="3"/>
  <c r="AW832" i="3"/>
  <c r="AV832" i="3"/>
  <c r="AU832" i="3"/>
  <c r="AT832" i="3"/>
  <c r="AS832" i="3"/>
  <c r="AR832" i="3"/>
  <c r="AQ832" i="3"/>
  <c r="AP832" i="3"/>
  <c r="AO832" i="3"/>
  <c r="AN832" i="3"/>
  <c r="AM832" i="3"/>
  <c r="A832" i="3"/>
  <c r="BS831" i="3"/>
  <c r="BR831" i="3"/>
  <c r="BQ831" i="3"/>
  <c r="BP831" i="3"/>
  <c r="BO831" i="3"/>
  <c r="BN831" i="3"/>
  <c r="BM831" i="3"/>
  <c r="BL831" i="3"/>
  <c r="BK831" i="3"/>
  <c r="BJ831" i="3"/>
  <c r="BI831" i="3"/>
  <c r="BH831" i="3"/>
  <c r="BG831" i="3"/>
  <c r="BF831" i="3"/>
  <c r="BE831" i="3"/>
  <c r="BD831" i="3"/>
  <c r="BC831" i="3"/>
  <c r="BB831" i="3"/>
  <c r="BA831" i="3"/>
  <c r="AZ831" i="3"/>
  <c r="AY831" i="3"/>
  <c r="AX831" i="3"/>
  <c r="AW831" i="3"/>
  <c r="AV831" i="3"/>
  <c r="AU831" i="3"/>
  <c r="AT831" i="3"/>
  <c r="AS831" i="3"/>
  <c r="AR831" i="3"/>
  <c r="AQ831" i="3"/>
  <c r="AP831" i="3"/>
  <c r="AO831" i="3"/>
  <c r="AN831" i="3"/>
  <c r="AM831" i="3"/>
  <c r="A831" i="3"/>
  <c r="BS830" i="3"/>
  <c r="BR830" i="3"/>
  <c r="BQ830" i="3"/>
  <c r="BP830" i="3"/>
  <c r="BO830" i="3"/>
  <c r="BN830" i="3"/>
  <c r="BM830" i="3"/>
  <c r="BL830" i="3"/>
  <c r="BK830" i="3"/>
  <c r="BJ830" i="3"/>
  <c r="BI830" i="3"/>
  <c r="BH830" i="3"/>
  <c r="BG830" i="3"/>
  <c r="BF830" i="3"/>
  <c r="BE830" i="3"/>
  <c r="BD830" i="3"/>
  <c r="BC830" i="3"/>
  <c r="BB830" i="3"/>
  <c r="BA830" i="3"/>
  <c r="AZ830" i="3"/>
  <c r="AY830" i="3"/>
  <c r="AX830" i="3"/>
  <c r="AW830" i="3"/>
  <c r="AV830" i="3"/>
  <c r="AU830" i="3"/>
  <c r="AT830" i="3"/>
  <c r="AS830" i="3"/>
  <c r="AR830" i="3"/>
  <c r="AQ830" i="3"/>
  <c r="AP830" i="3"/>
  <c r="AO830" i="3"/>
  <c r="AN830" i="3"/>
  <c r="AM830" i="3"/>
  <c r="A830" i="3"/>
  <c r="BS829" i="3"/>
  <c r="BR829" i="3"/>
  <c r="BQ829" i="3"/>
  <c r="BP829" i="3"/>
  <c r="BO829" i="3"/>
  <c r="BN829" i="3"/>
  <c r="BM829" i="3"/>
  <c r="BL829" i="3"/>
  <c r="BK829" i="3"/>
  <c r="BJ829" i="3"/>
  <c r="BI829" i="3"/>
  <c r="BH829" i="3"/>
  <c r="BG829" i="3"/>
  <c r="BF829" i="3"/>
  <c r="BE829" i="3"/>
  <c r="BD829" i="3"/>
  <c r="BC829" i="3"/>
  <c r="BB829" i="3"/>
  <c r="BA829" i="3"/>
  <c r="AZ829" i="3"/>
  <c r="AY829" i="3"/>
  <c r="AX829" i="3"/>
  <c r="AW829" i="3"/>
  <c r="AV829" i="3"/>
  <c r="AU829" i="3"/>
  <c r="AT829" i="3"/>
  <c r="AS829" i="3"/>
  <c r="AR829" i="3"/>
  <c r="AQ829" i="3"/>
  <c r="AP829" i="3"/>
  <c r="AO829" i="3"/>
  <c r="AN829" i="3"/>
  <c r="AM829" i="3"/>
  <c r="A829" i="3"/>
  <c r="BS828" i="3"/>
  <c r="BR828" i="3"/>
  <c r="BQ828" i="3"/>
  <c r="BP828" i="3"/>
  <c r="BO828" i="3"/>
  <c r="BN828" i="3"/>
  <c r="BM828" i="3"/>
  <c r="BL828" i="3"/>
  <c r="BK828" i="3"/>
  <c r="BJ828" i="3"/>
  <c r="BI828" i="3"/>
  <c r="BH828" i="3"/>
  <c r="BG828" i="3"/>
  <c r="BF828" i="3"/>
  <c r="BE828" i="3"/>
  <c r="BD828" i="3"/>
  <c r="BC828" i="3"/>
  <c r="BB828" i="3"/>
  <c r="BA828" i="3"/>
  <c r="AZ828" i="3"/>
  <c r="AY828" i="3"/>
  <c r="AX828" i="3"/>
  <c r="AW828" i="3"/>
  <c r="AV828" i="3"/>
  <c r="AU828" i="3"/>
  <c r="AT828" i="3"/>
  <c r="AS828" i="3"/>
  <c r="AR828" i="3"/>
  <c r="AQ828" i="3"/>
  <c r="AP828" i="3"/>
  <c r="AO828" i="3"/>
  <c r="AN828" i="3"/>
  <c r="AM828" i="3"/>
  <c r="A828" i="3"/>
  <c r="BS827" i="3"/>
  <c r="BR827" i="3"/>
  <c r="BQ827" i="3"/>
  <c r="BP827" i="3"/>
  <c r="BO827" i="3"/>
  <c r="BN827" i="3"/>
  <c r="BM827" i="3"/>
  <c r="BL827" i="3"/>
  <c r="BK827" i="3"/>
  <c r="BJ827" i="3"/>
  <c r="BI827" i="3"/>
  <c r="BH827" i="3"/>
  <c r="BG827" i="3"/>
  <c r="BF827" i="3"/>
  <c r="BE827" i="3"/>
  <c r="BD827" i="3"/>
  <c r="BC827" i="3"/>
  <c r="BB827" i="3"/>
  <c r="BA827" i="3"/>
  <c r="AZ827" i="3"/>
  <c r="AY827" i="3"/>
  <c r="AX827" i="3"/>
  <c r="AW827" i="3"/>
  <c r="AV827" i="3"/>
  <c r="AU827" i="3"/>
  <c r="AT827" i="3"/>
  <c r="AS827" i="3"/>
  <c r="AR827" i="3"/>
  <c r="AQ827" i="3"/>
  <c r="AP827" i="3"/>
  <c r="AO827" i="3"/>
  <c r="AN827" i="3"/>
  <c r="AM827" i="3"/>
  <c r="A827" i="3"/>
  <c r="BS826" i="3"/>
  <c r="BR826" i="3"/>
  <c r="BQ826" i="3"/>
  <c r="BP826" i="3"/>
  <c r="BO826" i="3"/>
  <c r="BN826" i="3"/>
  <c r="BM826" i="3"/>
  <c r="BL826" i="3"/>
  <c r="BK826" i="3"/>
  <c r="BJ826" i="3"/>
  <c r="BI826" i="3"/>
  <c r="BH826" i="3"/>
  <c r="BG826" i="3"/>
  <c r="BF826" i="3"/>
  <c r="BE826" i="3"/>
  <c r="BD826" i="3"/>
  <c r="BC826" i="3"/>
  <c r="BB826" i="3"/>
  <c r="BA826" i="3"/>
  <c r="AZ826" i="3"/>
  <c r="AY826" i="3"/>
  <c r="AX826" i="3"/>
  <c r="AW826" i="3"/>
  <c r="AV826" i="3"/>
  <c r="AU826" i="3"/>
  <c r="AT826" i="3"/>
  <c r="AS826" i="3"/>
  <c r="AR826" i="3"/>
  <c r="AQ826" i="3"/>
  <c r="AP826" i="3"/>
  <c r="AO826" i="3"/>
  <c r="AN826" i="3"/>
  <c r="AM826" i="3"/>
  <c r="A826" i="3"/>
  <c r="BS825" i="3"/>
  <c r="BR825" i="3"/>
  <c r="BQ825" i="3"/>
  <c r="BP825" i="3"/>
  <c r="BO825" i="3"/>
  <c r="BN825" i="3"/>
  <c r="BM825" i="3"/>
  <c r="BL825" i="3"/>
  <c r="BK825" i="3"/>
  <c r="BJ825" i="3"/>
  <c r="BI825" i="3"/>
  <c r="BH825" i="3"/>
  <c r="BG825" i="3"/>
  <c r="BF825" i="3"/>
  <c r="BE825" i="3"/>
  <c r="BD825" i="3"/>
  <c r="BC825" i="3"/>
  <c r="BB825" i="3"/>
  <c r="BA825" i="3"/>
  <c r="AZ825" i="3"/>
  <c r="AY825" i="3"/>
  <c r="AX825" i="3"/>
  <c r="AW825" i="3"/>
  <c r="AV825" i="3"/>
  <c r="AU825" i="3"/>
  <c r="AT825" i="3"/>
  <c r="AS825" i="3"/>
  <c r="AR825" i="3"/>
  <c r="AQ825" i="3"/>
  <c r="AP825" i="3"/>
  <c r="AO825" i="3"/>
  <c r="AN825" i="3"/>
  <c r="AM825" i="3"/>
  <c r="A825" i="3"/>
  <c r="BS824" i="3"/>
  <c r="BR824" i="3"/>
  <c r="BQ824" i="3"/>
  <c r="BP824" i="3"/>
  <c r="BO824" i="3"/>
  <c r="BN824" i="3"/>
  <c r="BM824" i="3"/>
  <c r="BL824" i="3"/>
  <c r="BK824" i="3"/>
  <c r="BJ824" i="3"/>
  <c r="BI824" i="3"/>
  <c r="BH824" i="3"/>
  <c r="BG824" i="3"/>
  <c r="BF824" i="3"/>
  <c r="BE824" i="3"/>
  <c r="BD824" i="3"/>
  <c r="BC824" i="3"/>
  <c r="BB824" i="3"/>
  <c r="BA824" i="3"/>
  <c r="AZ824" i="3"/>
  <c r="AY824" i="3"/>
  <c r="AX824" i="3"/>
  <c r="AW824" i="3"/>
  <c r="AV824" i="3"/>
  <c r="AU824" i="3"/>
  <c r="AT824" i="3"/>
  <c r="AS824" i="3"/>
  <c r="AR824" i="3"/>
  <c r="AQ824" i="3"/>
  <c r="AP824" i="3"/>
  <c r="AO824" i="3"/>
  <c r="AN824" i="3"/>
  <c r="AM824" i="3"/>
  <c r="A824" i="3"/>
  <c r="BS823" i="3"/>
  <c r="BR823" i="3"/>
  <c r="BQ823" i="3"/>
  <c r="BP823" i="3"/>
  <c r="BO823" i="3"/>
  <c r="BN823" i="3"/>
  <c r="BM823" i="3"/>
  <c r="BL823" i="3"/>
  <c r="BK823" i="3"/>
  <c r="BJ823" i="3"/>
  <c r="BI823" i="3"/>
  <c r="BH823" i="3"/>
  <c r="BG823" i="3"/>
  <c r="BF823" i="3"/>
  <c r="BE823" i="3"/>
  <c r="BD823" i="3"/>
  <c r="BC823" i="3"/>
  <c r="BB823" i="3"/>
  <c r="BA823" i="3"/>
  <c r="AZ823" i="3"/>
  <c r="AY823" i="3"/>
  <c r="AX823" i="3"/>
  <c r="AW823" i="3"/>
  <c r="AV823" i="3"/>
  <c r="AU823" i="3"/>
  <c r="AT823" i="3"/>
  <c r="AS823" i="3"/>
  <c r="AR823" i="3"/>
  <c r="AQ823" i="3"/>
  <c r="AP823" i="3"/>
  <c r="AO823" i="3"/>
  <c r="AN823" i="3"/>
  <c r="AM823" i="3"/>
  <c r="A823" i="3"/>
  <c r="BS822" i="3"/>
  <c r="BR822" i="3"/>
  <c r="BQ822" i="3"/>
  <c r="BP822" i="3"/>
  <c r="BO822" i="3"/>
  <c r="BN822" i="3"/>
  <c r="BM822" i="3"/>
  <c r="BL822" i="3"/>
  <c r="BK822" i="3"/>
  <c r="BJ822" i="3"/>
  <c r="BI822" i="3"/>
  <c r="BH822" i="3"/>
  <c r="BG822" i="3"/>
  <c r="BF822" i="3"/>
  <c r="BE822" i="3"/>
  <c r="BD822" i="3"/>
  <c r="BC822" i="3"/>
  <c r="BB822" i="3"/>
  <c r="BA822" i="3"/>
  <c r="AZ822" i="3"/>
  <c r="AY822" i="3"/>
  <c r="AX822" i="3"/>
  <c r="AW822" i="3"/>
  <c r="AV822" i="3"/>
  <c r="AU822" i="3"/>
  <c r="AT822" i="3"/>
  <c r="AS822" i="3"/>
  <c r="AR822" i="3"/>
  <c r="AQ822" i="3"/>
  <c r="AP822" i="3"/>
  <c r="AO822" i="3"/>
  <c r="AN822" i="3"/>
  <c r="AM822" i="3"/>
  <c r="A822" i="3"/>
  <c r="BS821" i="3"/>
  <c r="BR821" i="3"/>
  <c r="BQ821" i="3"/>
  <c r="BP821" i="3"/>
  <c r="BO821" i="3"/>
  <c r="BN821" i="3"/>
  <c r="BM821" i="3"/>
  <c r="BL821" i="3"/>
  <c r="BK821" i="3"/>
  <c r="BJ821" i="3"/>
  <c r="BI821" i="3"/>
  <c r="BH821" i="3"/>
  <c r="BG821" i="3"/>
  <c r="BF821" i="3"/>
  <c r="BE821" i="3"/>
  <c r="BD821" i="3"/>
  <c r="BC821" i="3"/>
  <c r="BB821" i="3"/>
  <c r="BA821" i="3"/>
  <c r="AZ821" i="3"/>
  <c r="AY821" i="3"/>
  <c r="AX821" i="3"/>
  <c r="AW821" i="3"/>
  <c r="AV821" i="3"/>
  <c r="AU821" i="3"/>
  <c r="AT821" i="3"/>
  <c r="AS821" i="3"/>
  <c r="AR821" i="3"/>
  <c r="AQ821" i="3"/>
  <c r="AP821" i="3"/>
  <c r="AO821" i="3"/>
  <c r="AN821" i="3"/>
  <c r="AM821" i="3"/>
  <c r="A821" i="3"/>
  <c r="BS820" i="3"/>
  <c r="BR820" i="3"/>
  <c r="BQ820" i="3"/>
  <c r="BP820" i="3"/>
  <c r="BO820" i="3"/>
  <c r="BN820" i="3"/>
  <c r="BM820" i="3"/>
  <c r="BL820" i="3"/>
  <c r="BK820" i="3"/>
  <c r="BJ820" i="3"/>
  <c r="BI820" i="3"/>
  <c r="BH820" i="3"/>
  <c r="BG820" i="3"/>
  <c r="BF820" i="3"/>
  <c r="BE820" i="3"/>
  <c r="BD820" i="3"/>
  <c r="BC820" i="3"/>
  <c r="BB820" i="3"/>
  <c r="BA820" i="3"/>
  <c r="AZ820" i="3"/>
  <c r="AY820" i="3"/>
  <c r="AX820" i="3"/>
  <c r="AW820" i="3"/>
  <c r="AV820" i="3"/>
  <c r="AU820" i="3"/>
  <c r="AT820" i="3"/>
  <c r="AS820" i="3"/>
  <c r="AR820" i="3"/>
  <c r="AQ820" i="3"/>
  <c r="AP820" i="3"/>
  <c r="AO820" i="3"/>
  <c r="AN820" i="3"/>
  <c r="AM820" i="3"/>
  <c r="AI820" i="3"/>
  <c r="AH820" i="3"/>
  <c r="AG820" i="3"/>
  <c r="AF820" i="3"/>
  <c r="AE820" i="3"/>
  <c r="AD820" i="3"/>
  <c r="AC820" i="3"/>
  <c r="AB820" i="3"/>
  <c r="AA820" i="3"/>
  <c r="Z820" i="3"/>
  <c r="Y820" i="3"/>
  <c r="X820" i="3"/>
  <c r="W820" i="3"/>
  <c r="V820" i="3"/>
  <c r="U820" i="3"/>
  <c r="T820" i="3"/>
  <c r="S820" i="3"/>
  <c r="R820" i="3"/>
  <c r="Q820" i="3"/>
  <c r="P820" i="3"/>
  <c r="O820" i="3"/>
  <c r="N820" i="3"/>
  <c r="M820" i="3"/>
  <c r="L820" i="3"/>
  <c r="K820" i="3"/>
  <c r="J820" i="3"/>
  <c r="I820" i="3"/>
  <c r="H820" i="3"/>
  <c r="G820" i="3"/>
  <c r="F820" i="3"/>
  <c r="E820" i="3"/>
  <c r="D820" i="3"/>
  <c r="C820" i="3"/>
  <c r="B820" i="3"/>
  <c r="A820" i="3"/>
  <c r="BS819" i="3"/>
  <c r="BR819" i="3"/>
  <c r="BQ819" i="3"/>
  <c r="BP819" i="3"/>
  <c r="BO819" i="3"/>
  <c r="BN819" i="3"/>
  <c r="BM819" i="3"/>
  <c r="BL819" i="3"/>
  <c r="BK819" i="3"/>
  <c r="BJ819" i="3"/>
  <c r="BI819" i="3"/>
  <c r="BH819" i="3"/>
  <c r="BG819" i="3"/>
  <c r="BF819" i="3"/>
  <c r="BE819" i="3"/>
  <c r="BD819" i="3"/>
  <c r="BC819" i="3"/>
  <c r="BB819" i="3"/>
  <c r="BA819" i="3"/>
  <c r="AZ819" i="3"/>
  <c r="AY819" i="3"/>
  <c r="AX819" i="3"/>
  <c r="AW819" i="3"/>
  <c r="AV819" i="3"/>
  <c r="AU819" i="3"/>
  <c r="AT819" i="3"/>
  <c r="AS819" i="3"/>
  <c r="AR819" i="3"/>
  <c r="AQ819" i="3"/>
  <c r="AP819" i="3"/>
  <c r="AO819" i="3"/>
  <c r="AN819" i="3"/>
  <c r="AM819" i="3"/>
  <c r="E819" i="3"/>
  <c r="D819" i="3"/>
  <c r="C819" i="3"/>
  <c r="B819" i="3"/>
  <c r="A819" i="3"/>
  <c r="BS818" i="3"/>
  <c r="BR818" i="3"/>
  <c r="BQ818" i="3"/>
  <c r="BP818" i="3"/>
  <c r="BO818" i="3"/>
  <c r="BN818" i="3"/>
  <c r="BM818" i="3"/>
  <c r="BL818" i="3"/>
  <c r="BK818" i="3"/>
  <c r="BJ818" i="3"/>
  <c r="BI818" i="3"/>
  <c r="BH818" i="3"/>
  <c r="BG818" i="3"/>
  <c r="BF818" i="3"/>
  <c r="BE818" i="3"/>
  <c r="BD818" i="3"/>
  <c r="BC818" i="3"/>
  <c r="BB818" i="3"/>
  <c r="BA818" i="3"/>
  <c r="AZ818" i="3"/>
  <c r="AY818" i="3"/>
  <c r="AX818" i="3"/>
  <c r="AW818" i="3"/>
  <c r="AV818" i="3"/>
  <c r="AU818" i="3"/>
  <c r="AT818" i="3"/>
  <c r="AS818" i="3"/>
  <c r="AR818" i="3"/>
  <c r="AQ818" i="3"/>
  <c r="AP818" i="3"/>
  <c r="AO818" i="3"/>
  <c r="AN818" i="3"/>
  <c r="AM818" i="3"/>
  <c r="E818" i="3"/>
  <c r="D818" i="3"/>
  <c r="C818" i="3"/>
  <c r="B818" i="3"/>
  <c r="A818" i="3"/>
  <c r="BS817" i="3"/>
  <c r="BR817" i="3"/>
  <c r="BQ817" i="3"/>
  <c r="BP817" i="3"/>
  <c r="BO817" i="3"/>
  <c r="BN817" i="3"/>
  <c r="BM817" i="3"/>
  <c r="BL817" i="3"/>
  <c r="BK817" i="3"/>
  <c r="BJ817" i="3"/>
  <c r="BI817" i="3"/>
  <c r="BH817" i="3"/>
  <c r="BG817" i="3"/>
  <c r="BF817" i="3"/>
  <c r="BE817" i="3"/>
  <c r="BD817" i="3"/>
  <c r="BC817" i="3"/>
  <c r="BB817" i="3"/>
  <c r="BA817" i="3"/>
  <c r="AZ817" i="3"/>
  <c r="AY817" i="3"/>
  <c r="AX817" i="3"/>
  <c r="AW817" i="3"/>
  <c r="AV817" i="3"/>
  <c r="AU817" i="3"/>
  <c r="AT817" i="3"/>
  <c r="AS817" i="3"/>
  <c r="AR817" i="3"/>
  <c r="AQ817" i="3"/>
  <c r="AP817" i="3"/>
  <c r="AO817" i="3"/>
  <c r="AN817" i="3"/>
  <c r="AM817" i="3"/>
  <c r="E817" i="3"/>
  <c r="D817" i="3"/>
  <c r="C817" i="3"/>
  <c r="A817" i="3"/>
  <c r="BS816" i="3"/>
  <c r="BR816" i="3"/>
  <c r="BQ816" i="3"/>
  <c r="BP816" i="3"/>
  <c r="BO816" i="3"/>
  <c r="BN816" i="3"/>
  <c r="BM816" i="3"/>
  <c r="BL816" i="3"/>
  <c r="BK816" i="3"/>
  <c r="BJ816" i="3"/>
  <c r="BI816" i="3"/>
  <c r="BH816" i="3"/>
  <c r="BG816" i="3"/>
  <c r="BF816" i="3"/>
  <c r="BE816" i="3"/>
  <c r="BD816" i="3"/>
  <c r="BC816" i="3"/>
  <c r="BB816" i="3"/>
  <c r="BA816" i="3"/>
  <c r="AZ816" i="3"/>
  <c r="AY816" i="3"/>
  <c r="AX816" i="3"/>
  <c r="AW816" i="3"/>
  <c r="AV816" i="3"/>
  <c r="AU816" i="3"/>
  <c r="AT816" i="3"/>
  <c r="AS816" i="3"/>
  <c r="AR816" i="3"/>
  <c r="AQ816" i="3"/>
  <c r="AP816" i="3"/>
  <c r="AO816" i="3"/>
  <c r="AN816" i="3"/>
  <c r="AM816" i="3"/>
  <c r="E816" i="3"/>
  <c r="D816" i="3"/>
  <c r="C816" i="3"/>
  <c r="B816" i="3"/>
  <c r="A816" i="3"/>
  <c r="BS815" i="3"/>
  <c r="BR815" i="3"/>
  <c r="BQ815" i="3"/>
  <c r="BP815" i="3"/>
  <c r="BO815" i="3"/>
  <c r="BN815" i="3"/>
  <c r="BM815" i="3"/>
  <c r="BL815" i="3"/>
  <c r="BK815" i="3"/>
  <c r="BJ815" i="3"/>
  <c r="BI815" i="3"/>
  <c r="BH815" i="3"/>
  <c r="BG815" i="3"/>
  <c r="BF815" i="3"/>
  <c r="BE815" i="3"/>
  <c r="BD815" i="3"/>
  <c r="BC815" i="3"/>
  <c r="BB815" i="3"/>
  <c r="BA815" i="3"/>
  <c r="AZ815" i="3"/>
  <c r="AY815" i="3"/>
  <c r="AX815" i="3"/>
  <c r="AW815" i="3"/>
  <c r="AV815" i="3"/>
  <c r="AU815" i="3"/>
  <c r="AT815" i="3"/>
  <c r="AS815" i="3"/>
  <c r="AR815" i="3"/>
  <c r="AQ815" i="3"/>
  <c r="AP815" i="3"/>
  <c r="AO815" i="3"/>
  <c r="AN815" i="3"/>
  <c r="AM815" i="3"/>
  <c r="A815" i="3"/>
  <c r="BS814" i="3"/>
  <c r="BR814" i="3"/>
  <c r="BQ814" i="3"/>
  <c r="BP814" i="3"/>
  <c r="BO814" i="3"/>
  <c r="BN814" i="3"/>
  <c r="BM814" i="3"/>
  <c r="BL814" i="3"/>
  <c r="BK814" i="3"/>
  <c r="BJ814" i="3"/>
  <c r="BI814" i="3"/>
  <c r="BH814" i="3"/>
  <c r="BG814" i="3"/>
  <c r="BF814" i="3"/>
  <c r="BE814" i="3"/>
  <c r="BD814" i="3"/>
  <c r="BC814" i="3"/>
  <c r="BB814" i="3"/>
  <c r="BA814" i="3"/>
  <c r="AZ814" i="3"/>
  <c r="AY814" i="3"/>
  <c r="AX814" i="3"/>
  <c r="AW814" i="3"/>
  <c r="AV814" i="3"/>
  <c r="AU814" i="3"/>
  <c r="AT814" i="3"/>
  <c r="AS814" i="3"/>
  <c r="AR814" i="3"/>
  <c r="AQ814" i="3"/>
  <c r="AP814" i="3"/>
  <c r="AO814" i="3"/>
  <c r="AN814" i="3"/>
  <c r="AM814" i="3"/>
  <c r="E814" i="3"/>
  <c r="D814" i="3"/>
  <c r="C814" i="3"/>
  <c r="B814" i="3"/>
  <c r="A814" i="3"/>
  <c r="BS813" i="3"/>
  <c r="BR813" i="3"/>
  <c r="BQ813" i="3"/>
  <c r="BP813" i="3"/>
  <c r="BO813" i="3"/>
  <c r="BN813" i="3"/>
  <c r="BM813" i="3"/>
  <c r="BL813" i="3"/>
  <c r="BK813" i="3"/>
  <c r="BJ813" i="3"/>
  <c r="BI813" i="3"/>
  <c r="BH813" i="3"/>
  <c r="BG813" i="3"/>
  <c r="BF813" i="3"/>
  <c r="BE813" i="3"/>
  <c r="BD813" i="3"/>
  <c r="BC813" i="3"/>
  <c r="BB813" i="3"/>
  <c r="BA813" i="3"/>
  <c r="AZ813" i="3"/>
  <c r="AY813" i="3"/>
  <c r="AX813" i="3"/>
  <c r="AW813" i="3"/>
  <c r="AV813" i="3"/>
  <c r="AU813" i="3"/>
  <c r="AT813" i="3"/>
  <c r="AS813" i="3"/>
  <c r="AR813" i="3"/>
  <c r="AQ813" i="3"/>
  <c r="AP813" i="3"/>
  <c r="AO813" i="3"/>
  <c r="AN813" i="3"/>
  <c r="AM813" i="3"/>
  <c r="E813" i="3"/>
  <c r="D813" i="3"/>
  <c r="C813" i="3"/>
  <c r="B813" i="3"/>
  <c r="A813" i="3"/>
  <c r="BS812" i="3"/>
  <c r="BR812" i="3"/>
  <c r="BQ812" i="3"/>
  <c r="BP812" i="3"/>
  <c r="BO812" i="3"/>
  <c r="BN812" i="3"/>
  <c r="BM812" i="3"/>
  <c r="BL812" i="3"/>
  <c r="BK812" i="3"/>
  <c r="BJ812" i="3"/>
  <c r="BI812" i="3"/>
  <c r="BH812" i="3"/>
  <c r="BG812" i="3"/>
  <c r="BF812" i="3"/>
  <c r="BE812" i="3"/>
  <c r="BD812" i="3"/>
  <c r="BC812" i="3"/>
  <c r="BB812" i="3"/>
  <c r="BA812" i="3"/>
  <c r="AZ812" i="3"/>
  <c r="AY812" i="3"/>
  <c r="AX812" i="3"/>
  <c r="AW812" i="3"/>
  <c r="AV812" i="3"/>
  <c r="AU812" i="3"/>
  <c r="AT812" i="3"/>
  <c r="AS812" i="3"/>
  <c r="AR812" i="3"/>
  <c r="AQ812" i="3"/>
  <c r="AP812" i="3"/>
  <c r="AO812" i="3"/>
  <c r="AN812" i="3"/>
  <c r="AM812" i="3"/>
  <c r="E812" i="3"/>
  <c r="D812" i="3"/>
  <c r="C812" i="3"/>
  <c r="B812" i="3"/>
  <c r="A812" i="3"/>
  <c r="BS811" i="3"/>
  <c r="BR811" i="3"/>
  <c r="BQ811" i="3"/>
  <c r="BP811" i="3"/>
  <c r="BO811" i="3"/>
  <c r="BN811" i="3"/>
  <c r="BM811" i="3"/>
  <c r="BL811" i="3"/>
  <c r="BK811" i="3"/>
  <c r="BJ811" i="3"/>
  <c r="BI811" i="3"/>
  <c r="BH811" i="3"/>
  <c r="BG811" i="3"/>
  <c r="BF811" i="3"/>
  <c r="BE811" i="3"/>
  <c r="BD811" i="3"/>
  <c r="BC811" i="3"/>
  <c r="BB811" i="3"/>
  <c r="BA811" i="3"/>
  <c r="AZ811" i="3"/>
  <c r="AY811" i="3"/>
  <c r="AX811" i="3"/>
  <c r="AW811" i="3"/>
  <c r="AV811" i="3"/>
  <c r="AU811" i="3"/>
  <c r="AT811" i="3"/>
  <c r="AS811" i="3"/>
  <c r="AR811" i="3"/>
  <c r="AQ811" i="3"/>
  <c r="AP811" i="3"/>
  <c r="AO811" i="3"/>
  <c r="AN811" i="3"/>
  <c r="AM811" i="3"/>
  <c r="E811" i="3"/>
  <c r="D811" i="3"/>
  <c r="C811" i="3"/>
  <c r="B811" i="3"/>
  <c r="A811" i="3"/>
  <c r="BS810" i="3"/>
  <c r="BR810" i="3"/>
  <c r="BQ810" i="3"/>
  <c r="BP810" i="3"/>
  <c r="BO810" i="3"/>
  <c r="BN810" i="3"/>
  <c r="BM810" i="3"/>
  <c r="BL810" i="3"/>
  <c r="BK810" i="3"/>
  <c r="BJ810" i="3"/>
  <c r="BI810" i="3"/>
  <c r="BH810" i="3"/>
  <c r="BG810" i="3"/>
  <c r="BF810" i="3"/>
  <c r="BE810" i="3"/>
  <c r="BD810" i="3"/>
  <c r="BC810" i="3"/>
  <c r="BB810" i="3"/>
  <c r="BA810" i="3"/>
  <c r="AZ810" i="3"/>
  <c r="AY810" i="3"/>
  <c r="AX810" i="3"/>
  <c r="AW810" i="3"/>
  <c r="AV810" i="3"/>
  <c r="AU810" i="3"/>
  <c r="AT810" i="3"/>
  <c r="AS810" i="3"/>
  <c r="AR810" i="3"/>
  <c r="AQ810" i="3"/>
  <c r="AP810" i="3"/>
  <c r="AO810" i="3"/>
  <c r="AN810" i="3"/>
  <c r="AM810" i="3"/>
  <c r="E810" i="3"/>
  <c r="D810" i="3"/>
  <c r="C810" i="3"/>
  <c r="B810" i="3"/>
  <c r="A810" i="3"/>
  <c r="BS809" i="3"/>
  <c r="BR809" i="3"/>
  <c r="BQ809" i="3"/>
  <c r="BP809" i="3"/>
  <c r="BO809" i="3"/>
  <c r="BN809" i="3"/>
  <c r="BM809" i="3"/>
  <c r="BL809" i="3"/>
  <c r="BK809" i="3"/>
  <c r="BJ809" i="3"/>
  <c r="BI809" i="3"/>
  <c r="BH809" i="3"/>
  <c r="BG809" i="3"/>
  <c r="BF809" i="3"/>
  <c r="BE809" i="3"/>
  <c r="BD809" i="3"/>
  <c r="BC809" i="3"/>
  <c r="BB809" i="3"/>
  <c r="BA809" i="3"/>
  <c r="AZ809" i="3"/>
  <c r="AY809" i="3"/>
  <c r="AX809" i="3"/>
  <c r="AW809" i="3"/>
  <c r="AV809" i="3"/>
  <c r="AU809" i="3"/>
  <c r="AT809" i="3"/>
  <c r="AS809" i="3"/>
  <c r="AR809" i="3"/>
  <c r="AQ809" i="3"/>
  <c r="AP809" i="3"/>
  <c r="AO809" i="3"/>
  <c r="AN809" i="3"/>
  <c r="AM809" i="3"/>
  <c r="E809" i="3"/>
  <c r="D809" i="3"/>
  <c r="C809" i="3"/>
  <c r="B809" i="3"/>
  <c r="A809" i="3"/>
  <c r="BS808" i="3"/>
  <c r="BR808" i="3"/>
  <c r="BQ808" i="3"/>
  <c r="BP808" i="3"/>
  <c r="BO808" i="3"/>
  <c r="BN808" i="3"/>
  <c r="BM808" i="3"/>
  <c r="BL808" i="3"/>
  <c r="BK808" i="3"/>
  <c r="BJ808" i="3"/>
  <c r="BI808" i="3"/>
  <c r="BH808" i="3"/>
  <c r="BG808" i="3"/>
  <c r="BF808" i="3"/>
  <c r="BE808" i="3"/>
  <c r="BD808" i="3"/>
  <c r="BC808" i="3"/>
  <c r="BB808" i="3"/>
  <c r="BA808" i="3"/>
  <c r="AZ808" i="3"/>
  <c r="AY808" i="3"/>
  <c r="AX808" i="3"/>
  <c r="AW808" i="3"/>
  <c r="AV808" i="3"/>
  <c r="AU808" i="3"/>
  <c r="AT808" i="3"/>
  <c r="AS808" i="3"/>
  <c r="AR808" i="3"/>
  <c r="AQ808" i="3"/>
  <c r="AP808" i="3"/>
  <c r="AO808" i="3"/>
  <c r="AN808" i="3"/>
  <c r="AM808" i="3"/>
  <c r="BS807" i="3"/>
  <c r="BR807" i="3"/>
  <c r="BQ807" i="3"/>
  <c r="BP807" i="3"/>
  <c r="BO807" i="3"/>
  <c r="BN807" i="3"/>
  <c r="BM807" i="3"/>
  <c r="BL807" i="3"/>
  <c r="BK807" i="3"/>
  <c r="BJ807" i="3"/>
  <c r="BI807" i="3"/>
  <c r="BH807" i="3"/>
  <c r="BG807" i="3"/>
  <c r="BF807" i="3"/>
  <c r="BE807" i="3"/>
  <c r="BD807" i="3"/>
  <c r="BC807" i="3"/>
  <c r="BB807" i="3"/>
  <c r="BA807" i="3"/>
  <c r="AZ807" i="3"/>
  <c r="AY807" i="3"/>
  <c r="AX807" i="3"/>
  <c r="AW807" i="3"/>
  <c r="AV807" i="3"/>
  <c r="AU807" i="3"/>
  <c r="AT807" i="3"/>
  <c r="AS807" i="3"/>
  <c r="AR807" i="3"/>
  <c r="AQ807" i="3"/>
  <c r="AP807" i="3"/>
  <c r="AO807" i="3"/>
  <c r="AN807" i="3"/>
  <c r="AM807" i="3"/>
  <c r="B807" i="3"/>
  <c r="A807" i="3"/>
  <c r="BS806" i="3"/>
  <c r="BR806" i="3"/>
  <c r="BQ806" i="3"/>
  <c r="BP806" i="3"/>
  <c r="BO806" i="3"/>
  <c r="BN806" i="3"/>
  <c r="BM806" i="3"/>
  <c r="BL806" i="3"/>
  <c r="BK806" i="3"/>
  <c r="BJ806" i="3"/>
  <c r="BI806" i="3"/>
  <c r="BH806" i="3"/>
  <c r="BG806" i="3"/>
  <c r="BF806" i="3"/>
  <c r="BE806" i="3"/>
  <c r="BD806" i="3"/>
  <c r="BC806" i="3"/>
  <c r="BB806" i="3"/>
  <c r="BA806" i="3"/>
  <c r="AZ806" i="3"/>
  <c r="AY806" i="3"/>
  <c r="AX806" i="3"/>
  <c r="AW806" i="3"/>
  <c r="AV806" i="3"/>
  <c r="AU806" i="3"/>
  <c r="AT806" i="3"/>
  <c r="AS806" i="3"/>
  <c r="AR806" i="3"/>
  <c r="AQ806" i="3"/>
  <c r="AP806" i="3"/>
  <c r="AO806" i="3"/>
  <c r="AN806" i="3"/>
  <c r="AM806" i="3"/>
  <c r="BS805" i="3"/>
  <c r="BR805" i="3"/>
  <c r="BQ805" i="3"/>
  <c r="BP805" i="3"/>
  <c r="BO805" i="3"/>
  <c r="BN805" i="3"/>
  <c r="BM805" i="3"/>
  <c r="BL805" i="3"/>
  <c r="BK805" i="3"/>
  <c r="BJ805" i="3"/>
  <c r="BI805" i="3"/>
  <c r="BH805" i="3"/>
  <c r="BG805" i="3"/>
  <c r="BF805" i="3"/>
  <c r="BE805" i="3"/>
  <c r="BD805" i="3"/>
  <c r="BC805" i="3"/>
  <c r="BB805" i="3"/>
  <c r="BA805" i="3"/>
  <c r="AZ805" i="3"/>
  <c r="AY805" i="3"/>
  <c r="AX805" i="3"/>
  <c r="AW805" i="3"/>
  <c r="AV805" i="3"/>
  <c r="AU805" i="3"/>
  <c r="AT805" i="3"/>
  <c r="AS805" i="3"/>
  <c r="AR805" i="3"/>
  <c r="AQ805" i="3"/>
  <c r="AP805" i="3"/>
  <c r="AO805" i="3"/>
  <c r="AN805" i="3"/>
  <c r="AM805" i="3"/>
  <c r="E805" i="3"/>
  <c r="BS804" i="3"/>
  <c r="BR804" i="3"/>
  <c r="BQ804" i="3"/>
  <c r="BP804" i="3"/>
  <c r="BO804" i="3"/>
  <c r="BN804" i="3"/>
  <c r="BM804" i="3"/>
  <c r="BL804" i="3"/>
  <c r="BK804" i="3"/>
  <c r="BJ804" i="3"/>
  <c r="BI804" i="3"/>
  <c r="BH804" i="3"/>
  <c r="BG804" i="3"/>
  <c r="BF804" i="3"/>
  <c r="BE804" i="3"/>
  <c r="BD804" i="3"/>
  <c r="BC804" i="3"/>
  <c r="BB804" i="3"/>
  <c r="BA804" i="3"/>
  <c r="AZ804" i="3"/>
  <c r="AY804" i="3"/>
  <c r="AX804" i="3"/>
  <c r="AW804" i="3"/>
  <c r="AV804" i="3"/>
  <c r="AU804" i="3"/>
  <c r="AT804" i="3"/>
  <c r="AS804" i="3"/>
  <c r="AR804" i="3"/>
  <c r="AQ804" i="3"/>
  <c r="AP804" i="3"/>
  <c r="AO804" i="3"/>
  <c r="AN804" i="3"/>
  <c r="AM804" i="3"/>
  <c r="BS803" i="3"/>
  <c r="BR803" i="3"/>
  <c r="BQ803" i="3"/>
  <c r="BP803" i="3"/>
  <c r="BO803" i="3"/>
  <c r="BN803" i="3"/>
  <c r="BM803" i="3"/>
  <c r="BL803" i="3"/>
  <c r="BK803" i="3"/>
  <c r="BJ803" i="3"/>
  <c r="BI803" i="3"/>
  <c r="BH803" i="3"/>
  <c r="BG803" i="3"/>
  <c r="BF803" i="3"/>
  <c r="BE803" i="3"/>
  <c r="BD803" i="3"/>
  <c r="BC803" i="3"/>
  <c r="BB803" i="3"/>
  <c r="BA803" i="3"/>
  <c r="AZ803" i="3"/>
  <c r="AY803" i="3"/>
  <c r="AX803" i="3"/>
  <c r="AW803" i="3"/>
  <c r="AV803" i="3"/>
  <c r="AU803" i="3"/>
  <c r="AT803" i="3"/>
  <c r="AS803" i="3"/>
  <c r="AR803" i="3"/>
  <c r="AQ803" i="3"/>
  <c r="AP803" i="3"/>
  <c r="AO803" i="3"/>
  <c r="AN803" i="3"/>
  <c r="AM803" i="3"/>
  <c r="BS802" i="3"/>
  <c r="BR802" i="3"/>
  <c r="BQ802" i="3"/>
  <c r="BP802" i="3"/>
  <c r="BO802" i="3"/>
  <c r="BN802" i="3"/>
  <c r="BM802" i="3"/>
  <c r="BL802" i="3"/>
  <c r="BK802" i="3"/>
  <c r="BJ802" i="3"/>
  <c r="BI802" i="3"/>
  <c r="BH802" i="3"/>
  <c r="BG802" i="3"/>
  <c r="BF802" i="3"/>
  <c r="BE802" i="3"/>
  <c r="BD802" i="3"/>
  <c r="BC802" i="3"/>
  <c r="BB802" i="3"/>
  <c r="BA802" i="3"/>
  <c r="AZ802" i="3"/>
  <c r="AY802" i="3"/>
  <c r="AX802" i="3"/>
  <c r="AW802" i="3"/>
  <c r="AV802" i="3"/>
  <c r="AU802" i="3"/>
  <c r="AT802" i="3"/>
  <c r="AS802" i="3"/>
  <c r="AR802" i="3"/>
  <c r="AQ802" i="3"/>
  <c r="AP802" i="3"/>
  <c r="AO802" i="3"/>
  <c r="AN802" i="3"/>
  <c r="AM802" i="3"/>
  <c r="BS801" i="3"/>
  <c r="BR801" i="3"/>
  <c r="BQ801" i="3"/>
  <c r="BP801" i="3"/>
  <c r="BO801" i="3"/>
  <c r="BN801" i="3"/>
  <c r="BM801" i="3"/>
  <c r="BL801" i="3"/>
  <c r="BK801" i="3"/>
  <c r="BJ801" i="3"/>
  <c r="BI801" i="3"/>
  <c r="BH801" i="3"/>
  <c r="BG801" i="3"/>
  <c r="BF801" i="3"/>
  <c r="BE801" i="3"/>
  <c r="BD801" i="3"/>
  <c r="BC801" i="3"/>
  <c r="BB801" i="3"/>
  <c r="BA801" i="3"/>
  <c r="AZ801" i="3"/>
  <c r="AY801" i="3"/>
  <c r="AX801" i="3"/>
  <c r="AW801" i="3"/>
  <c r="AV801" i="3"/>
  <c r="AU801" i="3"/>
  <c r="AT801" i="3"/>
  <c r="AS801" i="3"/>
  <c r="AR801" i="3"/>
  <c r="AQ801" i="3"/>
  <c r="AP801" i="3"/>
  <c r="AO801" i="3"/>
  <c r="AN801" i="3"/>
  <c r="AM801" i="3"/>
  <c r="A801" i="3"/>
  <c r="BS800" i="3"/>
  <c r="BR800" i="3"/>
  <c r="BQ800" i="3"/>
  <c r="BP800" i="3"/>
  <c r="BO800" i="3"/>
  <c r="BN800" i="3"/>
  <c r="BM800" i="3"/>
  <c r="BL800" i="3"/>
  <c r="BK800" i="3"/>
  <c r="BJ800" i="3"/>
  <c r="BI800" i="3"/>
  <c r="BH800" i="3"/>
  <c r="BG800" i="3"/>
  <c r="BF800" i="3"/>
  <c r="BE800" i="3"/>
  <c r="BD800" i="3"/>
  <c r="BC800" i="3"/>
  <c r="BB800" i="3"/>
  <c r="BA800" i="3"/>
  <c r="AZ800" i="3"/>
  <c r="AY800" i="3"/>
  <c r="AX800" i="3"/>
  <c r="AW800" i="3"/>
  <c r="AV800" i="3"/>
  <c r="AU800" i="3"/>
  <c r="AT800" i="3"/>
  <c r="AS800" i="3"/>
  <c r="AR800" i="3"/>
  <c r="AQ800" i="3"/>
  <c r="AP800" i="3"/>
  <c r="AO800" i="3"/>
  <c r="AN800" i="3"/>
  <c r="AM800" i="3"/>
  <c r="BS799" i="3"/>
  <c r="BR799" i="3"/>
  <c r="BQ799" i="3"/>
  <c r="BP799" i="3"/>
  <c r="BO799" i="3"/>
  <c r="BN799" i="3"/>
  <c r="BM799" i="3"/>
  <c r="BL799" i="3"/>
  <c r="BK799" i="3"/>
  <c r="BJ799" i="3"/>
  <c r="BI799" i="3"/>
  <c r="BH799" i="3"/>
  <c r="BG799" i="3"/>
  <c r="BF799" i="3"/>
  <c r="BE799" i="3"/>
  <c r="BD799" i="3"/>
  <c r="BC799" i="3"/>
  <c r="BB799" i="3"/>
  <c r="BA799" i="3"/>
  <c r="AZ799" i="3"/>
  <c r="AY799" i="3"/>
  <c r="AX799" i="3"/>
  <c r="AW799" i="3"/>
  <c r="AV799" i="3"/>
  <c r="AU799" i="3"/>
  <c r="AT799" i="3"/>
  <c r="AS799" i="3"/>
  <c r="AR799" i="3"/>
  <c r="AQ799" i="3"/>
  <c r="AP799" i="3"/>
  <c r="AO799" i="3"/>
  <c r="AN799" i="3"/>
  <c r="AM799" i="3"/>
  <c r="D799" i="3"/>
  <c r="C799" i="3"/>
  <c r="BS798" i="3"/>
  <c r="BR798" i="3"/>
  <c r="BQ798" i="3"/>
  <c r="BP798" i="3"/>
  <c r="BO798" i="3"/>
  <c r="BN798" i="3"/>
  <c r="BM798" i="3"/>
  <c r="BL798" i="3"/>
  <c r="BK798" i="3"/>
  <c r="BJ798" i="3"/>
  <c r="BI798" i="3"/>
  <c r="BH798" i="3"/>
  <c r="BG798" i="3"/>
  <c r="BF798" i="3"/>
  <c r="BE798" i="3"/>
  <c r="BD798" i="3"/>
  <c r="BC798" i="3"/>
  <c r="BB798" i="3"/>
  <c r="BA798" i="3"/>
  <c r="AZ798" i="3"/>
  <c r="AY798" i="3"/>
  <c r="AX798" i="3"/>
  <c r="AW798" i="3"/>
  <c r="AV798" i="3"/>
  <c r="AU798" i="3"/>
  <c r="AT798" i="3"/>
  <c r="AS798" i="3"/>
  <c r="AR798" i="3"/>
  <c r="AQ798" i="3"/>
  <c r="AP798" i="3"/>
  <c r="AO798" i="3"/>
  <c r="AN798" i="3"/>
  <c r="AM798" i="3"/>
  <c r="E798" i="3"/>
  <c r="D798" i="3"/>
  <c r="BS797" i="3"/>
  <c r="BR797" i="3"/>
  <c r="BQ797" i="3"/>
  <c r="BP797" i="3"/>
  <c r="BO797" i="3"/>
  <c r="BN797" i="3"/>
  <c r="BM797" i="3"/>
  <c r="BL797" i="3"/>
  <c r="BK797" i="3"/>
  <c r="BJ797" i="3"/>
  <c r="BI797" i="3"/>
  <c r="BH797" i="3"/>
  <c r="BG797" i="3"/>
  <c r="BF797" i="3"/>
  <c r="BE797" i="3"/>
  <c r="BD797" i="3"/>
  <c r="BC797" i="3"/>
  <c r="BB797" i="3"/>
  <c r="BA797" i="3"/>
  <c r="AZ797" i="3"/>
  <c r="AY797" i="3"/>
  <c r="AX797" i="3"/>
  <c r="AW797" i="3"/>
  <c r="AV797" i="3"/>
  <c r="AU797" i="3"/>
  <c r="AT797" i="3"/>
  <c r="AS797" i="3"/>
  <c r="AR797" i="3"/>
  <c r="AQ797" i="3"/>
  <c r="AP797" i="3"/>
  <c r="AO797" i="3"/>
  <c r="AN797" i="3"/>
  <c r="AM797" i="3"/>
  <c r="BS796" i="3"/>
  <c r="BR796" i="3"/>
  <c r="BQ796" i="3"/>
  <c r="BP796" i="3"/>
  <c r="BO796" i="3"/>
  <c r="BN796" i="3"/>
  <c r="BM796" i="3"/>
  <c r="BL796" i="3"/>
  <c r="BK796" i="3"/>
  <c r="BJ796" i="3"/>
  <c r="BI796" i="3"/>
  <c r="BH796" i="3"/>
  <c r="BG796" i="3"/>
  <c r="BF796" i="3"/>
  <c r="BE796" i="3"/>
  <c r="BD796" i="3"/>
  <c r="BC796" i="3"/>
  <c r="BB796" i="3"/>
  <c r="BA796" i="3"/>
  <c r="AZ796" i="3"/>
  <c r="AY796" i="3"/>
  <c r="AX796" i="3"/>
  <c r="AW796" i="3"/>
  <c r="AV796" i="3"/>
  <c r="AU796" i="3"/>
  <c r="AT796" i="3"/>
  <c r="AS796" i="3"/>
  <c r="AR796" i="3"/>
  <c r="AQ796" i="3"/>
  <c r="AP796" i="3"/>
  <c r="AO796" i="3"/>
  <c r="AN796" i="3"/>
  <c r="AM796" i="3"/>
  <c r="BS795" i="3"/>
  <c r="BR795" i="3"/>
  <c r="BQ795" i="3"/>
  <c r="BP795" i="3"/>
  <c r="BO795" i="3"/>
  <c r="BN795" i="3"/>
  <c r="BM795" i="3"/>
  <c r="BL795" i="3"/>
  <c r="BK795" i="3"/>
  <c r="BJ795" i="3"/>
  <c r="BI795" i="3"/>
  <c r="BH795" i="3"/>
  <c r="BG795" i="3"/>
  <c r="BF795" i="3"/>
  <c r="BE795" i="3"/>
  <c r="BD795" i="3"/>
  <c r="BC795" i="3"/>
  <c r="BB795" i="3"/>
  <c r="BA795" i="3"/>
  <c r="AZ795" i="3"/>
  <c r="AY795" i="3"/>
  <c r="AX795" i="3"/>
  <c r="AW795" i="3"/>
  <c r="AV795" i="3"/>
  <c r="AU795" i="3"/>
  <c r="AT795" i="3"/>
  <c r="AS795" i="3"/>
  <c r="AR795" i="3"/>
  <c r="AQ795" i="3"/>
  <c r="AP795" i="3"/>
  <c r="AO795" i="3"/>
  <c r="AN795" i="3"/>
  <c r="AM795" i="3"/>
  <c r="E795" i="3"/>
  <c r="BS794" i="3"/>
  <c r="BR794" i="3"/>
  <c r="BQ794" i="3"/>
  <c r="BP794" i="3"/>
  <c r="BO794" i="3"/>
  <c r="BN794" i="3"/>
  <c r="BM794" i="3"/>
  <c r="BL794" i="3"/>
  <c r="BK794" i="3"/>
  <c r="BJ794" i="3"/>
  <c r="BI794" i="3"/>
  <c r="BH794" i="3"/>
  <c r="BG794" i="3"/>
  <c r="BF794" i="3"/>
  <c r="BE794" i="3"/>
  <c r="BD794" i="3"/>
  <c r="BC794" i="3"/>
  <c r="BB794" i="3"/>
  <c r="BA794" i="3"/>
  <c r="AZ794" i="3"/>
  <c r="AY794" i="3"/>
  <c r="AX794" i="3"/>
  <c r="AW794" i="3"/>
  <c r="AV794" i="3"/>
  <c r="AU794" i="3"/>
  <c r="AT794" i="3"/>
  <c r="AS794" i="3"/>
  <c r="AR794" i="3"/>
  <c r="AQ794" i="3"/>
  <c r="AP794" i="3"/>
  <c r="AO794" i="3"/>
  <c r="AN794" i="3"/>
  <c r="AM794" i="3"/>
  <c r="BS793" i="3"/>
  <c r="BR793" i="3"/>
  <c r="BQ793" i="3"/>
  <c r="BP793" i="3"/>
  <c r="BO793" i="3"/>
  <c r="BN793" i="3"/>
  <c r="BM793" i="3"/>
  <c r="BL793" i="3"/>
  <c r="BK793" i="3"/>
  <c r="BJ793" i="3"/>
  <c r="BI793" i="3"/>
  <c r="BH793" i="3"/>
  <c r="BG793" i="3"/>
  <c r="BF793" i="3"/>
  <c r="BE793" i="3"/>
  <c r="BD793" i="3"/>
  <c r="BC793" i="3"/>
  <c r="BB793" i="3"/>
  <c r="BA793" i="3"/>
  <c r="AZ793" i="3"/>
  <c r="AY793" i="3"/>
  <c r="AX793" i="3"/>
  <c r="AW793" i="3"/>
  <c r="AV793" i="3"/>
  <c r="AU793" i="3"/>
  <c r="AT793" i="3"/>
  <c r="AS793" i="3"/>
  <c r="AR793" i="3"/>
  <c r="AQ793" i="3"/>
  <c r="AP793" i="3"/>
  <c r="AO793" i="3"/>
  <c r="AN793" i="3"/>
  <c r="AM793" i="3"/>
  <c r="BS792" i="3"/>
  <c r="BR792" i="3"/>
  <c r="BQ792" i="3"/>
  <c r="BP792" i="3"/>
  <c r="BO792" i="3"/>
  <c r="BN792" i="3"/>
  <c r="BM792" i="3"/>
  <c r="BL792" i="3"/>
  <c r="BK792" i="3"/>
  <c r="BJ792" i="3"/>
  <c r="BI792" i="3"/>
  <c r="BH792" i="3"/>
  <c r="BG792" i="3"/>
  <c r="BF792" i="3"/>
  <c r="BE792" i="3"/>
  <c r="BD792" i="3"/>
  <c r="BC792" i="3"/>
  <c r="BB792" i="3"/>
  <c r="BA792" i="3"/>
  <c r="AZ792" i="3"/>
  <c r="AY792" i="3"/>
  <c r="AX792" i="3"/>
  <c r="AW792" i="3"/>
  <c r="AV792" i="3"/>
  <c r="AU792" i="3"/>
  <c r="AT792" i="3"/>
  <c r="AS792" i="3"/>
  <c r="AR792" i="3"/>
  <c r="AQ792" i="3"/>
  <c r="AP792" i="3"/>
  <c r="AO792" i="3"/>
  <c r="AN792" i="3"/>
  <c r="AM792" i="3"/>
  <c r="D792" i="3"/>
  <c r="BS791" i="3"/>
  <c r="BR791" i="3"/>
  <c r="BQ791" i="3"/>
  <c r="BP791" i="3"/>
  <c r="BO791" i="3"/>
  <c r="BN791" i="3"/>
  <c r="BM791" i="3"/>
  <c r="BL791" i="3"/>
  <c r="BK791" i="3"/>
  <c r="BJ791" i="3"/>
  <c r="BI791" i="3"/>
  <c r="BH791" i="3"/>
  <c r="BG791" i="3"/>
  <c r="BF791" i="3"/>
  <c r="BE791" i="3"/>
  <c r="BD791" i="3"/>
  <c r="BC791" i="3"/>
  <c r="BB791" i="3"/>
  <c r="BA791" i="3"/>
  <c r="AZ791" i="3"/>
  <c r="AY791" i="3"/>
  <c r="AX791" i="3"/>
  <c r="AW791" i="3"/>
  <c r="AV791" i="3"/>
  <c r="AU791" i="3"/>
  <c r="AT791" i="3"/>
  <c r="AS791" i="3"/>
  <c r="AR791" i="3"/>
  <c r="AQ791" i="3"/>
  <c r="AP791" i="3"/>
  <c r="AO791" i="3"/>
  <c r="AN791" i="3"/>
  <c r="AM791" i="3"/>
  <c r="D791" i="3"/>
  <c r="C791" i="3"/>
  <c r="BS790" i="3"/>
  <c r="BR790" i="3"/>
  <c r="BQ790" i="3"/>
  <c r="BP790" i="3"/>
  <c r="BO790" i="3"/>
  <c r="BN790" i="3"/>
  <c r="BM790" i="3"/>
  <c r="BL790" i="3"/>
  <c r="BK790" i="3"/>
  <c r="BJ790" i="3"/>
  <c r="BI790" i="3"/>
  <c r="BH790" i="3"/>
  <c r="BG790" i="3"/>
  <c r="BF790" i="3"/>
  <c r="BE790" i="3"/>
  <c r="BD790" i="3"/>
  <c r="BC790" i="3"/>
  <c r="BB790" i="3"/>
  <c r="BA790" i="3"/>
  <c r="AZ790" i="3"/>
  <c r="AY790" i="3"/>
  <c r="AX790" i="3"/>
  <c r="AW790" i="3"/>
  <c r="AV790" i="3"/>
  <c r="AU790" i="3"/>
  <c r="AT790" i="3"/>
  <c r="AS790" i="3"/>
  <c r="AR790" i="3"/>
  <c r="AQ790" i="3"/>
  <c r="AP790" i="3"/>
  <c r="AO790" i="3"/>
  <c r="AN790" i="3"/>
  <c r="AM790" i="3"/>
  <c r="BS789" i="3"/>
  <c r="BR789" i="3"/>
  <c r="BQ789" i="3"/>
  <c r="BP789" i="3"/>
  <c r="BO789" i="3"/>
  <c r="BN789" i="3"/>
  <c r="BM789" i="3"/>
  <c r="BL789" i="3"/>
  <c r="BK789" i="3"/>
  <c r="BJ789" i="3"/>
  <c r="BI789" i="3"/>
  <c r="BH789" i="3"/>
  <c r="BG789" i="3"/>
  <c r="BF789" i="3"/>
  <c r="BE789" i="3"/>
  <c r="BD789" i="3"/>
  <c r="BC789" i="3"/>
  <c r="BB789" i="3"/>
  <c r="BA789" i="3"/>
  <c r="AZ789" i="3"/>
  <c r="AY789" i="3"/>
  <c r="AX789" i="3"/>
  <c r="AW789" i="3"/>
  <c r="AV789" i="3"/>
  <c r="AU789" i="3"/>
  <c r="AT789" i="3"/>
  <c r="AS789" i="3"/>
  <c r="AR789" i="3"/>
  <c r="AQ789" i="3"/>
  <c r="AP789" i="3"/>
  <c r="AO789" i="3"/>
  <c r="AN789" i="3"/>
  <c r="AM789" i="3"/>
  <c r="BS788" i="3"/>
  <c r="BR788" i="3"/>
  <c r="BQ788" i="3"/>
  <c r="BP788" i="3"/>
  <c r="BO788" i="3"/>
  <c r="BN788" i="3"/>
  <c r="BM788" i="3"/>
  <c r="BL788" i="3"/>
  <c r="BK788" i="3"/>
  <c r="BJ788" i="3"/>
  <c r="BI788" i="3"/>
  <c r="BH788" i="3"/>
  <c r="BG788" i="3"/>
  <c r="BF788" i="3"/>
  <c r="BE788" i="3"/>
  <c r="BD788" i="3"/>
  <c r="BC788" i="3"/>
  <c r="BB788" i="3"/>
  <c r="BA788" i="3"/>
  <c r="AZ788" i="3"/>
  <c r="AY788" i="3"/>
  <c r="AX788" i="3"/>
  <c r="AW788" i="3"/>
  <c r="AV788" i="3"/>
  <c r="AU788" i="3"/>
  <c r="AT788" i="3"/>
  <c r="AS788" i="3"/>
  <c r="AR788" i="3"/>
  <c r="AQ788" i="3"/>
  <c r="AP788" i="3"/>
  <c r="AO788" i="3"/>
  <c r="AN788" i="3"/>
  <c r="AM788" i="3"/>
  <c r="B788" i="3"/>
  <c r="A788" i="3"/>
  <c r="BS787" i="3"/>
  <c r="BR787" i="3"/>
  <c r="BQ787" i="3"/>
  <c r="BP787" i="3"/>
  <c r="BO787" i="3"/>
  <c r="BN787" i="3"/>
  <c r="BM787" i="3"/>
  <c r="BL787" i="3"/>
  <c r="BK787" i="3"/>
  <c r="BJ787" i="3"/>
  <c r="BI787" i="3"/>
  <c r="BH787" i="3"/>
  <c r="BG787" i="3"/>
  <c r="BF787" i="3"/>
  <c r="BE787" i="3"/>
  <c r="BD787" i="3"/>
  <c r="BC787" i="3"/>
  <c r="BB787" i="3"/>
  <c r="BA787" i="3"/>
  <c r="AZ787" i="3"/>
  <c r="AY787" i="3"/>
  <c r="AX787" i="3"/>
  <c r="AW787" i="3"/>
  <c r="AV787" i="3"/>
  <c r="AU787" i="3"/>
  <c r="AT787" i="3"/>
  <c r="AS787" i="3"/>
  <c r="AR787" i="3"/>
  <c r="AQ787" i="3"/>
  <c r="AP787" i="3"/>
  <c r="AO787" i="3"/>
  <c r="AN787" i="3"/>
  <c r="AM787" i="3"/>
  <c r="B787" i="3"/>
  <c r="BS786" i="3"/>
  <c r="BR786" i="3"/>
  <c r="BQ786" i="3"/>
  <c r="BP786" i="3"/>
  <c r="BO786" i="3"/>
  <c r="BN786" i="3"/>
  <c r="BM786" i="3"/>
  <c r="BL786" i="3"/>
  <c r="BK786" i="3"/>
  <c r="BJ786" i="3"/>
  <c r="BI786" i="3"/>
  <c r="BH786" i="3"/>
  <c r="BG786" i="3"/>
  <c r="BF786" i="3"/>
  <c r="BE786" i="3"/>
  <c r="BD786" i="3"/>
  <c r="BC786" i="3"/>
  <c r="BB786" i="3"/>
  <c r="BA786" i="3"/>
  <c r="AZ786" i="3"/>
  <c r="AY786" i="3"/>
  <c r="AX786" i="3"/>
  <c r="AW786" i="3"/>
  <c r="AV786" i="3"/>
  <c r="AU786" i="3"/>
  <c r="AT786" i="3"/>
  <c r="AS786" i="3"/>
  <c r="AR786" i="3"/>
  <c r="AQ786" i="3"/>
  <c r="AP786" i="3"/>
  <c r="AO786" i="3"/>
  <c r="AN786" i="3"/>
  <c r="AM786" i="3"/>
  <c r="BS785" i="3"/>
  <c r="BR785" i="3"/>
  <c r="BQ785" i="3"/>
  <c r="BP785" i="3"/>
  <c r="BO785" i="3"/>
  <c r="BN785" i="3"/>
  <c r="BM785" i="3"/>
  <c r="BL785" i="3"/>
  <c r="BK785" i="3"/>
  <c r="BJ785" i="3"/>
  <c r="BI785" i="3"/>
  <c r="BH785" i="3"/>
  <c r="BG785" i="3"/>
  <c r="BF785" i="3"/>
  <c r="BE785" i="3"/>
  <c r="BD785" i="3"/>
  <c r="BC785" i="3"/>
  <c r="BB785" i="3"/>
  <c r="BA785" i="3"/>
  <c r="AZ785" i="3"/>
  <c r="AY785" i="3"/>
  <c r="AX785" i="3"/>
  <c r="AW785" i="3"/>
  <c r="AV785" i="3"/>
  <c r="AU785" i="3"/>
  <c r="AT785" i="3"/>
  <c r="AS785" i="3"/>
  <c r="AR785" i="3"/>
  <c r="AQ785" i="3"/>
  <c r="AP785" i="3"/>
  <c r="AO785" i="3"/>
  <c r="AN785" i="3"/>
  <c r="AM785" i="3"/>
  <c r="BS784" i="3"/>
  <c r="BR784" i="3"/>
  <c r="BQ784" i="3"/>
  <c r="BP784" i="3"/>
  <c r="BO784" i="3"/>
  <c r="BN784" i="3"/>
  <c r="BM784" i="3"/>
  <c r="BL784" i="3"/>
  <c r="BK784" i="3"/>
  <c r="BJ784" i="3"/>
  <c r="BI784" i="3"/>
  <c r="BH784" i="3"/>
  <c r="BG784" i="3"/>
  <c r="BF784" i="3"/>
  <c r="BE784" i="3"/>
  <c r="BD784" i="3"/>
  <c r="BC784" i="3"/>
  <c r="BB784" i="3"/>
  <c r="BA784" i="3"/>
  <c r="AZ784" i="3"/>
  <c r="AY784" i="3"/>
  <c r="AX784" i="3"/>
  <c r="AW784" i="3"/>
  <c r="AV784" i="3"/>
  <c r="AU784" i="3"/>
  <c r="AT784" i="3"/>
  <c r="AS784" i="3"/>
  <c r="AR784" i="3"/>
  <c r="AQ784" i="3"/>
  <c r="AP784" i="3"/>
  <c r="AO784" i="3"/>
  <c r="AN784" i="3"/>
  <c r="AM784" i="3"/>
  <c r="E784" i="3"/>
  <c r="BS783" i="3"/>
  <c r="BR783" i="3"/>
  <c r="BQ783" i="3"/>
  <c r="BP783" i="3"/>
  <c r="BO783" i="3"/>
  <c r="BN783" i="3"/>
  <c r="BM783" i="3"/>
  <c r="BL783" i="3"/>
  <c r="BK783" i="3"/>
  <c r="BJ783" i="3"/>
  <c r="BI783" i="3"/>
  <c r="BH783" i="3"/>
  <c r="BG783" i="3"/>
  <c r="BF783" i="3"/>
  <c r="BE783" i="3"/>
  <c r="BD783" i="3"/>
  <c r="BC783" i="3"/>
  <c r="BB783" i="3"/>
  <c r="BA783" i="3"/>
  <c r="AZ783" i="3"/>
  <c r="AY783" i="3"/>
  <c r="AX783" i="3"/>
  <c r="AW783" i="3"/>
  <c r="AV783" i="3"/>
  <c r="AU783" i="3"/>
  <c r="AT783" i="3"/>
  <c r="AS783" i="3"/>
  <c r="AR783" i="3"/>
  <c r="AQ783" i="3"/>
  <c r="AP783" i="3"/>
  <c r="AO783" i="3"/>
  <c r="AN783" i="3"/>
  <c r="AM783" i="3"/>
  <c r="BS782" i="3"/>
  <c r="BR782" i="3"/>
  <c r="BQ782" i="3"/>
  <c r="BP782" i="3"/>
  <c r="BO782" i="3"/>
  <c r="BN782" i="3"/>
  <c r="BM782" i="3"/>
  <c r="BL782" i="3"/>
  <c r="BK782" i="3"/>
  <c r="BJ782" i="3"/>
  <c r="BI782" i="3"/>
  <c r="BH782" i="3"/>
  <c r="BG782" i="3"/>
  <c r="BF782" i="3"/>
  <c r="BE782" i="3"/>
  <c r="BD782" i="3"/>
  <c r="BC782" i="3"/>
  <c r="BB782" i="3"/>
  <c r="BA782" i="3"/>
  <c r="AZ782" i="3"/>
  <c r="AY782" i="3"/>
  <c r="AX782" i="3"/>
  <c r="AW782" i="3"/>
  <c r="AV782" i="3"/>
  <c r="AU782" i="3"/>
  <c r="AT782" i="3"/>
  <c r="AS782" i="3"/>
  <c r="AR782" i="3"/>
  <c r="AQ782" i="3"/>
  <c r="AP782" i="3"/>
  <c r="AO782" i="3"/>
  <c r="AN782" i="3"/>
  <c r="AM782" i="3"/>
  <c r="C782" i="3"/>
  <c r="BS781" i="3"/>
  <c r="BR781" i="3"/>
  <c r="BQ781" i="3"/>
  <c r="BP781" i="3"/>
  <c r="BO781" i="3"/>
  <c r="BN781" i="3"/>
  <c r="BM781" i="3"/>
  <c r="BL781" i="3"/>
  <c r="BK781" i="3"/>
  <c r="BJ781" i="3"/>
  <c r="BI781" i="3"/>
  <c r="BH781" i="3"/>
  <c r="BG781" i="3"/>
  <c r="BF781" i="3"/>
  <c r="BE781" i="3"/>
  <c r="BD781" i="3"/>
  <c r="BC781" i="3"/>
  <c r="BB781" i="3"/>
  <c r="BA781" i="3"/>
  <c r="AZ781" i="3"/>
  <c r="AY781" i="3"/>
  <c r="AX781" i="3"/>
  <c r="AW781" i="3"/>
  <c r="AV781" i="3"/>
  <c r="AU781" i="3"/>
  <c r="AT781" i="3"/>
  <c r="AS781" i="3"/>
  <c r="AR781" i="3"/>
  <c r="AQ781" i="3"/>
  <c r="AP781" i="3"/>
  <c r="AO781" i="3"/>
  <c r="AN781" i="3"/>
  <c r="AM781" i="3"/>
  <c r="BS780" i="3"/>
  <c r="BR780" i="3"/>
  <c r="BQ780" i="3"/>
  <c r="BP780" i="3"/>
  <c r="BO780" i="3"/>
  <c r="BN780" i="3"/>
  <c r="BM780" i="3"/>
  <c r="BL780" i="3"/>
  <c r="BK780" i="3"/>
  <c r="BJ780" i="3"/>
  <c r="BI780" i="3"/>
  <c r="BH780" i="3"/>
  <c r="BG780" i="3"/>
  <c r="BF780" i="3"/>
  <c r="BE780" i="3"/>
  <c r="BD780" i="3"/>
  <c r="BC780" i="3"/>
  <c r="BB780" i="3"/>
  <c r="BA780" i="3"/>
  <c r="AZ780" i="3"/>
  <c r="AY780" i="3"/>
  <c r="AX780" i="3"/>
  <c r="AW780" i="3"/>
  <c r="AV780" i="3"/>
  <c r="AU780" i="3"/>
  <c r="AT780" i="3"/>
  <c r="AS780" i="3"/>
  <c r="AR780" i="3"/>
  <c r="AQ780" i="3"/>
  <c r="AP780" i="3"/>
  <c r="AO780" i="3"/>
  <c r="AN780" i="3"/>
  <c r="AM780" i="3"/>
  <c r="E780" i="3"/>
  <c r="BS779" i="3"/>
  <c r="BR779" i="3"/>
  <c r="BQ779" i="3"/>
  <c r="BP779" i="3"/>
  <c r="BO779" i="3"/>
  <c r="BN779" i="3"/>
  <c r="BM779" i="3"/>
  <c r="BL779" i="3"/>
  <c r="BK779" i="3"/>
  <c r="BJ779" i="3"/>
  <c r="BI779" i="3"/>
  <c r="BH779" i="3"/>
  <c r="BG779" i="3"/>
  <c r="BF779" i="3"/>
  <c r="BE779" i="3"/>
  <c r="BD779" i="3"/>
  <c r="BC779" i="3"/>
  <c r="BB779" i="3"/>
  <c r="BA779" i="3"/>
  <c r="AZ779" i="3"/>
  <c r="AY779" i="3"/>
  <c r="AX779" i="3"/>
  <c r="AW779" i="3"/>
  <c r="AV779" i="3"/>
  <c r="AU779" i="3"/>
  <c r="AT779" i="3"/>
  <c r="AS779" i="3"/>
  <c r="AR779" i="3"/>
  <c r="AQ779" i="3"/>
  <c r="AP779" i="3"/>
  <c r="AO779" i="3"/>
  <c r="AN779" i="3"/>
  <c r="AM779" i="3"/>
  <c r="BS778" i="3"/>
  <c r="BR778" i="3"/>
  <c r="BQ778" i="3"/>
  <c r="BP778" i="3"/>
  <c r="BO778" i="3"/>
  <c r="BN778" i="3"/>
  <c r="BM778" i="3"/>
  <c r="BL778" i="3"/>
  <c r="BK778" i="3"/>
  <c r="BJ778" i="3"/>
  <c r="BI778" i="3"/>
  <c r="BH778" i="3"/>
  <c r="BG778" i="3"/>
  <c r="BF778" i="3"/>
  <c r="BE778" i="3"/>
  <c r="BD778" i="3"/>
  <c r="BC778" i="3"/>
  <c r="BB778" i="3"/>
  <c r="BA778" i="3"/>
  <c r="AZ778" i="3"/>
  <c r="AY778" i="3"/>
  <c r="AX778" i="3"/>
  <c r="AW778" i="3"/>
  <c r="AV778" i="3"/>
  <c r="AU778" i="3"/>
  <c r="AT778" i="3"/>
  <c r="AS778" i="3"/>
  <c r="AR778" i="3"/>
  <c r="AQ778" i="3"/>
  <c r="AP778" i="3"/>
  <c r="AO778" i="3"/>
  <c r="AN778" i="3"/>
  <c r="AM778" i="3"/>
  <c r="E778" i="3"/>
  <c r="D778" i="3"/>
  <c r="BS777" i="3"/>
  <c r="BR777" i="3"/>
  <c r="BQ777" i="3"/>
  <c r="BP777" i="3"/>
  <c r="BO777" i="3"/>
  <c r="BN777" i="3"/>
  <c r="BM777" i="3"/>
  <c r="BL777" i="3"/>
  <c r="BK777" i="3"/>
  <c r="BJ777" i="3"/>
  <c r="BI777" i="3"/>
  <c r="BH777" i="3"/>
  <c r="BG777" i="3"/>
  <c r="BF777" i="3"/>
  <c r="BE777" i="3"/>
  <c r="BD777" i="3"/>
  <c r="BC777" i="3"/>
  <c r="BB777" i="3"/>
  <c r="BA777" i="3"/>
  <c r="AZ777" i="3"/>
  <c r="AY777" i="3"/>
  <c r="AX777" i="3"/>
  <c r="AW777" i="3"/>
  <c r="AV777" i="3"/>
  <c r="AU777" i="3"/>
  <c r="AT777" i="3"/>
  <c r="AS777" i="3"/>
  <c r="AR777" i="3"/>
  <c r="AQ777" i="3"/>
  <c r="AP777" i="3"/>
  <c r="AO777" i="3"/>
  <c r="AN777" i="3"/>
  <c r="AM777" i="3"/>
  <c r="BS776" i="3"/>
  <c r="BR776" i="3"/>
  <c r="BQ776" i="3"/>
  <c r="BP776" i="3"/>
  <c r="BO776" i="3"/>
  <c r="BN776" i="3"/>
  <c r="BM776" i="3"/>
  <c r="BL776" i="3"/>
  <c r="BK776" i="3"/>
  <c r="BJ776" i="3"/>
  <c r="BI776" i="3"/>
  <c r="BH776" i="3"/>
  <c r="BG776" i="3"/>
  <c r="BF776" i="3"/>
  <c r="BE776" i="3"/>
  <c r="BD776" i="3"/>
  <c r="BC776" i="3"/>
  <c r="BB776" i="3"/>
  <c r="BA776" i="3"/>
  <c r="AZ776" i="3"/>
  <c r="AY776" i="3"/>
  <c r="AX776" i="3"/>
  <c r="AW776" i="3"/>
  <c r="AV776" i="3"/>
  <c r="AU776" i="3"/>
  <c r="AT776" i="3"/>
  <c r="AS776" i="3"/>
  <c r="AR776" i="3"/>
  <c r="AQ776" i="3"/>
  <c r="AP776" i="3"/>
  <c r="AO776" i="3"/>
  <c r="AN776" i="3"/>
  <c r="AM776" i="3"/>
  <c r="E776" i="3"/>
  <c r="BS775" i="3"/>
  <c r="BR775" i="3"/>
  <c r="BQ775" i="3"/>
  <c r="BP775" i="3"/>
  <c r="BO775" i="3"/>
  <c r="BN775" i="3"/>
  <c r="BM775" i="3"/>
  <c r="BL775" i="3"/>
  <c r="BK775" i="3"/>
  <c r="BJ775" i="3"/>
  <c r="BI775" i="3"/>
  <c r="BH775" i="3"/>
  <c r="BG775" i="3"/>
  <c r="BF775" i="3"/>
  <c r="BE775" i="3"/>
  <c r="BD775" i="3"/>
  <c r="BC775" i="3"/>
  <c r="BB775" i="3"/>
  <c r="BA775" i="3"/>
  <c r="AZ775" i="3"/>
  <c r="AY775" i="3"/>
  <c r="AX775" i="3"/>
  <c r="AW775" i="3"/>
  <c r="AV775" i="3"/>
  <c r="AU775" i="3"/>
  <c r="AT775" i="3"/>
  <c r="AS775" i="3"/>
  <c r="AR775" i="3"/>
  <c r="AQ775" i="3"/>
  <c r="AP775" i="3"/>
  <c r="AO775" i="3"/>
  <c r="AN775" i="3"/>
  <c r="AM775" i="3"/>
  <c r="BS774" i="3"/>
  <c r="BR774" i="3"/>
  <c r="BQ774" i="3"/>
  <c r="BP774" i="3"/>
  <c r="BO774" i="3"/>
  <c r="BN774" i="3"/>
  <c r="BM774" i="3"/>
  <c r="BL774" i="3"/>
  <c r="BK774" i="3"/>
  <c r="BJ774" i="3"/>
  <c r="BI774" i="3"/>
  <c r="BH774" i="3"/>
  <c r="BG774" i="3"/>
  <c r="BF774" i="3"/>
  <c r="BE774" i="3"/>
  <c r="BD774" i="3"/>
  <c r="BC774" i="3"/>
  <c r="BB774" i="3"/>
  <c r="BA774" i="3"/>
  <c r="AZ774" i="3"/>
  <c r="AY774" i="3"/>
  <c r="AX774" i="3"/>
  <c r="AW774" i="3"/>
  <c r="AV774" i="3"/>
  <c r="AU774" i="3"/>
  <c r="AT774" i="3"/>
  <c r="AS774" i="3"/>
  <c r="AR774" i="3"/>
  <c r="AQ774" i="3"/>
  <c r="AP774" i="3"/>
  <c r="AO774" i="3"/>
  <c r="AN774" i="3"/>
  <c r="AM774" i="3"/>
  <c r="E774" i="3"/>
  <c r="BS773" i="3"/>
  <c r="BR773" i="3"/>
  <c r="BQ773" i="3"/>
  <c r="BP773" i="3"/>
  <c r="BO773" i="3"/>
  <c r="BN773" i="3"/>
  <c r="BM773" i="3"/>
  <c r="BL773" i="3"/>
  <c r="BK773" i="3"/>
  <c r="BJ773" i="3"/>
  <c r="BI773" i="3"/>
  <c r="BH773" i="3"/>
  <c r="BG773" i="3"/>
  <c r="BF773" i="3"/>
  <c r="BE773" i="3"/>
  <c r="BD773" i="3"/>
  <c r="BC773" i="3"/>
  <c r="BB773" i="3"/>
  <c r="BA773" i="3"/>
  <c r="AZ773" i="3"/>
  <c r="AY773" i="3"/>
  <c r="AX773" i="3"/>
  <c r="AW773" i="3"/>
  <c r="AV773" i="3"/>
  <c r="AU773" i="3"/>
  <c r="AT773" i="3"/>
  <c r="AS773" i="3"/>
  <c r="AR773" i="3"/>
  <c r="AQ773" i="3"/>
  <c r="AP773" i="3"/>
  <c r="AO773" i="3"/>
  <c r="AN773" i="3"/>
  <c r="AM773" i="3"/>
  <c r="B773" i="3"/>
  <c r="BS772" i="3"/>
  <c r="BR772" i="3"/>
  <c r="BQ772" i="3"/>
  <c r="BP772" i="3"/>
  <c r="BO772" i="3"/>
  <c r="BN772" i="3"/>
  <c r="BM772" i="3"/>
  <c r="BL772" i="3"/>
  <c r="BK772" i="3"/>
  <c r="BJ772" i="3"/>
  <c r="BI772" i="3"/>
  <c r="BH772" i="3"/>
  <c r="BG772" i="3"/>
  <c r="BF772" i="3"/>
  <c r="BE772" i="3"/>
  <c r="BD772" i="3"/>
  <c r="BC772" i="3"/>
  <c r="BB772" i="3"/>
  <c r="BA772" i="3"/>
  <c r="AZ772" i="3"/>
  <c r="AY772" i="3"/>
  <c r="AX772" i="3"/>
  <c r="AW772" i="3"/>
  <c r="AV772" i="3"/>
  <c r="AU772" i="3"/>
  <c r="AT772" i="3"/>
  <c r="AS772" i="3"/>
  <c r="AR772" i="3"/>
  <c r="AQ772" i="3"/>
  <c r="AP772" i="3"/>
  <c r="AO772" i="3"/>
  <c r="AN772" i="3"/>
  <c r="AM772" i="3"/>
  <c r="D772" i="3"/>
  <c r="A772" i="3"/>
  <c r="BS771" i="3"/>
  <c r="BR771" i="3"/>
  <c r="BQ771" i="3"/>
  <c r="BP771" i="3"/>
  <c r="BO771" i="3"/>
  <c r="BN771" i="3"/>
  <c r="BM771" i="3"/>
  <c r="BL771" i="3"/>
  <c r="BK771" i="3"/>
  <c r="BJ771" i="3"/>
  <c r="BI771" i="3"/>
  <c r="BH771" i="3"/>
  <c r="BG771" i="3"/>
  <c r="BF771" i="3"/>
  <c r="BE771" i="3"/>
  <c r="BD771" i="3"/>
  <c r="BC771" i="3"/>
  <c r="BB771" i="3"/>
  <c r="BA771" i="3"/>
  <c r="AZ771" i="3"/>
  <c r="AY771" i="3"/>
  <c r="AX771" i="3"/>
  <c r="AW771" i="3"/>
  <c r="AV771" i="3"/>
  <c r="AU771" i="3"/>
  <c r="AT771" i="3"/>
  <c r="AS771" i="3"/>
  <c r="AR771" i="3"/>
  <c r="AQ771" i="3"/>
  <c r="AP771" i="3"/>
  <c r="AO771" i="3"/>
  <c r="AN771" i="3"/>
  <c r="AM771" i="3"/>
  <c r="E771" i="3"/>
  <c r="C771" i="3"/>
  <c r="BS770" i="3"/>
  <c r="BR770" i="3"/>
  <c r="BQ770" i="3"/>
  <c r="BP770" i="3"/>
  <c r="BO770" i="3"/>
  <c r="BN770" i="3"/>
  <c r="BM770" i="3"/>
  <c r="BL770" i="3"/>
  <c r="BK770" i="3"/>
  <c r="BJ770" i="3"/>
  <c r="BI770" i="3"/>
  <c r="BH770" i="3"/>
  <c r="BG770" i="3"/>
  <c r="BF770" i="3"/>
  <c r="BE770" i="3"/>
  <c r="BD770" i="3"/>
  <c r="BC770" i="3"/>
  <c r="BB770" i="3"/>
  <c r="BA770" i="3"/>
  <c r="AZ770" i="3"/>
  <c r="AY770" i="3"/>
  <c r="AX770" i="3"/>
  <c r="AW770" i="3"/>
  <c r="AV770" i="3"/>
  <c r="AU770" i="3"/>
  <c r="AT770" i="3"/>
  <c r="AS770" i="3"/>
  <c r="AR770" i="3"/>
  <c r="AQ770" i="3"/>
  <c r="AP770" i="3"/>
  <c r="AO770" i="3"/>
  <c r="AN770" i="3"/>
  <c r="AM770" i="3"/>
  <c r="E770" i="3"/>
  <c r="D770" i="3"/>
  <c r="C770" i="3"/>
  <c r="A770" i="3"/>
  <c r="BS769" i="3"/>
  <c r="BR769" i="3"/>
  <c r="BQ769" i="3"/>
  <c r="BP769" i="3"/>
  <c r="BO769" i="3"/>
  <c r="BN769" i="3"/>
  <c r="BM769" i="3"/>
  <c r="BL769" i="3"/>
  <c r="BK769" i="3"/>
  <c r="BJ769" i="3"/>
  <c r="BI769" i="3"/>
  <c r="BH769" i="3"/>
  <c r="BG769" i="3"/>
  <c r="BF769" i="3"/>
  <c r="BE769" i="3"/>
  <c r="BD769" i="3"/>
  <c r="BC769" i="3"/>
  <c r="BB769" i="3"/>
  <c r="BA769" i="3"/>
  <c r="AZ769" i="3"/>
  <c r="AY769" i="3"/>
  <c r="AX769" i="3"/>
  <c r="AW769" i="3"/>
  <c r="AV769" i="3"/>
  <c r="AU769" i="3"/>
  <c r="AT769" i="3"/>
  <c r="AS769" i="3"/>
  <c r="AR769" i="3"/>
  <c r="AQ769" i="3"/>
  <c r="AP769" i="3"/>
  <c r="AO769" i="3"/>
  <c r="AN769" i="3"/>
  <c r="AM769" i="3"/>
  <c r="B769" i="3"/>
  <c r="A769" i="3"/>
  <c r="BS768" i="3"/>
  <c r="BR768" i="3"/>
  <c r="BQ768" i="3"/>
  <c r="BP768" i="3"/>
  <c r="BO768" i="3"/>
  <c r="BN768" i="3"/>
  <c r="BM768" i="3"/>
  <c r="BL768" i="3"/>
  <c r="BK768" i="3"/>
  <c r="BJ768" i="3"/>
  <c r="BI768" i="3"/>
  <c r="BH768" i="3"/>
  <c r="BG768" i="3"/>
  <c r="BF768" i="3"/>
  <c r="BE768" i="3"/>
  <c r="BD768" i="3"/>
  <c r="BC768" i="3"/>
  <c r="BB768" i="3"/>
  <c r="BA768" i="3"/>
  <c r="AZ768" i="3"/>
  <c r="AY768" i="3"/>
  <c r="AX768" i="3"/>
  <c r="AW768" i="3"/>
  <c r="AV768" i="3"/>
  <c r="AU768" i="3"/>
  <c r="AT768" i="3"/>
  <c r="AS768" i="3"/>
  <c r="AR768" i="3"/>
  <c r="AQ768" i="3"/>
  <c r="AP768" i="3"/>
  <c r="AO768" i="3"/>
  <c r="AN768" i="3"/>
  <c r="AM768" i="3"/>
  <c r="BS767" i="3"/>
  <c r="BR767" i="3"/>
  <c r="BQ767" i="3"/>
  <c r="BP767" i="3"/>
  <c r="BO767" i="3"/>
  <c r="BN767" i="3"/>
  <c r="BM767" i="3"/>
  <c r="BL767" i="3"/>
  <c r="BK767" i="3"/>
  <c r="BJ767" i="3"/>
  <c r="BI767" i="3"/>
  <c r="BH767" i="3"/>
  <c r="BG767" i="3"/>
  <c r="BF767" i="3"/>
  <c r="BE767" i="3"/>
  <c r="BD767" i="3"/>
  <c r="BC767" i="3"/>
  <c r="BB767" i="3"/>
  <c r="BA767" i="3"/>
  <c r="AZ767" i="3"/>
  <c r="AY767" i="3"/>
  <c r="AX767" i="3"/>
  <c r="AW767" i="3"/>
  <c r="AV767" i="3"/>
  <c r="AU767" i="3"/>
  <c r="AT767" i="3"/>
  <c r="AS767" i="3"/>
  <c r="AR767" i="3"/>
  <c r="AQ767" i="3"/>
  <c r="AP767" i="3"/>
  <c r="AO767" i="3"/>
  <c r="AN767" i="3"/>
  <c r="AM767" i="3"/>
  <c r="BS766" i="3"/>
  <c r="BR766" i="3"/>
  <c r="BQ766" i="3"/>
  <c r="BP766" i="3"/>
  <c r="BO766" i="3"/>
  <c r="BN766" i="3"/>
  <c r="BM766" i="3"/>
  <c r="BL766" i="3"/>
  <c r="BK766" i="3"/>
  <c r="BJ766" i="3"/>
  <c r="BI766" i="3"/>
  <c r="BH766" i="3"/>
  <c r="BG766" i="3"/>
  <c r="BF766" i="3"/>
  <c r="BE766" i="3"/>
  <c r="BD766" i="3"/>
  <c r="BC766" i="3"/>
  <c r="BB766" i="3"/>
  <c r="BA766" i="3"/>
  <c r="AZ766" i="3"/>
  <c r="AY766" i="3"/>
  <c r="AX766" i="3"/>
  <c r="AW766" i="3"/>
  <c r="AV766" i="3"/>
  <c r="AU766" i="3"/>
  <c r="AT766" i="3"/>
  <c r="AS766" i="3"/>
  <c r="AR766" i="3"/>
  <c r="AQ766" i="3"/>
  <c r="AP766" i="3"/>
  <c r="AO766" i="3"/>
  <c r="AN766" i="3"/>
  <c r="AM766" i="3"/>
  <c r="A766" i="3"/>
  <c r="BS765" i="3"/>
  <c r="BR765" i="3"/>
  <c r="BQ765" i="3"/>
  <c r="BP765" i="3"/>
  <c r="BO765" i="3"/>
  <c r="BN765" i="3"/>
  <c r="BM765" i="3"/>
  <c r="BL765" i="3"/>
  <c r="BK765" i="3"/>
  <c r="BJ765" i="3"/>
  <c r="BI765" i="3"/>
  <c r="BH765" i="3"/>
  <c r="BG765" i="3"/>
  <c r="BF765" i="3"/>
  <c r="BE765" i="3"/>
  <c r="BD765" i="3"/>
  <c r="BC765" i="3"/>
  <c r="BB765" i="3"/>
  <c r="BA765" i="3"/>
  <c r="AZ765" i="3"/>
  <c r="AY765" i="3"/>
  <c r="AX765" i="3"/>
  <c r="AW765" i="3"/>
  <c r="AV765" i="3"/>
  <c r="AU765" i="3"/>
  <c r="AT765" i="3"/>
  <c r="AS765" i="3"/>
  <c r="AR765" i="3"/>
  <c r="AQ765" i="3"/>
  <c r="AP765" i="3"/>
  <c r="AO765" i="3"/>
  <c r="AN765" i="3"/>
  <c r="AM765" i="3"/>
  <c r="BS764" i="3"/>
  <c r="BR764" i="3"/>
  <c r="BQ764" i="3"/>
  <c r="BP764" i="3"/>
  <c r="BO764" i="3"/>
  <c r="BN764" i="3"/>
  <c r="BM764" i="3"/>
  <c r="BL764" i="3"/>
  <c r="BK764" i="3"/>
  <c r="BJ764" i="3"/>
  <c r="BI764" i="3"/>
  <c r="BH764" i="3"/>
  <c r="BG764" i="3"/>
  <c r="BF764" i="3"/>
  <c r="BE764" i="3"/>
  <c r="BD764" i="3"/>
  <c r="BC764" i="3"/>
  <c r="BB764" i="3"/>
  <c r="BA764" i="3"/>
  <c r="AZ764" i="3"/>
  <c r="AY764" i="3"/>
  <c r="AX764" i="3"/>
  <c r="AW764" i="3"/>
  <c r="AV764" i="3"/>
  <c r="AU764" i="3"/>
  <c r="AT764" i="3"/>
  <c r="AS764" i="3"/>
  <c r="AR764" i="3"/>
  <c r="AQ764" i="3"/>
  <c r="AP764" i="3"/>
  <c r="AO764" i="3"/>
  <c r="AN764" i="3"/>
  <c r="AM764" i="3"/>
  <c r="BS763" i="3"/>
  <c r="BR763" i="3"/>
  <c r="BQ763" i="3"/>
  <c r="BP763" i="3"/>
  <c r="BO763" i="3"/>
  <c r="BN763" i="3"/>
  <c r="BM763" i="3"/>
  <c r="BL763" i="3"/>
  <c r="BK763" i="3"/>
  <c r="BJ763" i="3"/>
  <c r="BI763" i="3"/>
  <c r="BH763" i="3"/>
  <c r="BG763" i="3"/>
  <c r="BF763" i="3"/>
  <c r="BE763" i="3"/>
  <c r="BD763" i="3"/>
  <c r="BC763" i="3"/>
  <c r="BB763" i="3"/>
  <c r="BA763" i="3"/>
  <c r="AZ763" i="3"/>
  <c r="AY763" i="3"/>
  <c r="AX763" i="3"/>
  <c r="AW763" i="3"/>
  <c r="AV763" i="3"/>
  <c r="AU763" i="3"/>
  <c r="AT763" i="3"/>
  <c r="AS763" i="3"/>
  <c r="AR763" i="3"/>
  <c r="AQ763" i="3"/>
  <c r="AP763" i="3"/>
  <c r="AO763" i="3"/>
  <c r="AN763" i="3"/>
  <c r="AM763" i="3"/>
  <c r="D763" i="3"/>
  <c r="C763" i="3"/>
  <c r="BS762" i="3"/>
  <c r="BR762" i="3"/>
  <c r="BQ762" i="3"/>
  <c r="BP762" i="3"/>
  <c r="BO762" i="3"/>
  <c r="BN762" i="3"/>
  <c r="BM762" i="3"/>
  <c r="BL762" i="3"/>
  <c r="BK762" i="3"/>
  <c r="BJ762" i="3"/>
  <c r="BI762" i="3"/>
  <c r="BH762" i="3"/>
  <c r="BG762" i="3"/>
  <c r="BF762" i="3"/>
  <c r="BE762" i="3"/>
  <c r="BD762" i="3"/>
  <c r="BC762" i="3"/>
  <c r="BB762" i="3"/>
  <c r="BA762" i="3"/>
  <c r="AZ762" i="3"/>
  <c r="AY762" i="3"/>
  <c r="AX762" i="3"/>
  <c r="AW762" i="3"/>
  <c r="AV762" i="3"/>
  <c r="AU762" i="3"/>
  <c r="AT762" i="3"/>
  <c r="AS762" i="3"/>
  <c r="AR762" i="3"/>
  <c r="AQ762" i="3"/>
  <c r="AP762" i="3"/>
  <c r="AO762" i="3"/>
  <c r="AN762" i="3"/>
  <c r="AM762" i="3"/>
  <c r="BS761" i="3"/>
  <c r="BR761" i="3"/>
  <c r="BQ761" i="3"/>
  <c r="BP761" i="3"/>
  <c r="BO761" i="3"/>
  <c r="BN761" i="3"/>
  <c r="BM761" i="3"/>
  <c r="BL761" i="3"/>
  <c r="BK761" i="3"/>
  <c r="BJ761" i="3"/>
  <c r="BI761" i="3"/>
  <c r="BH761" i="3"/>
  <c r="BG761" i="3"/>
  <c r="BF761" i="3"/>
  <c r="BE761" i="3"/>
  <c r="BD761" i="3"/>
  <c r="BC761" i="3"/>
  <c r="BB761" i="3"/>
  <c r="BA761" i="3"/>
  <c r="AZ761" i="3"/>
  <c r="AY761" i="3"/>
  <c r="AX761" i="3"/>
  <c r="AW761" i="3"/>
  <c r="AV761" i="3"/>
  <c r="AU761" i="3"/>
  <c r="AT761" i="3"/>
  <c r="AS761" i="3"/>
  <c r="AR761" i="3"/>
  <c r="AQ761" i="3"/>
  <c r="AP761" i="3"/>
  <c r="AO761" i="3"/>
  <c r="AN761" i="3"/>
  <c r="AM761" i="3"/>
  <c r="BS760" i="3"/>
  <c r="BR760" i="3"/>
  <c r="BQ760" i="3"/>
  <c r="BP760" i="3"/>
  <c r="BO760" i="3"/>
  <c r="BN760" i="3"/>
  <c r="BM760" i="3"/>
  <c r="BL760" i="3"/>
  <c r="BK760" i="3"/>
  <c r="BJ760" i="3"/>
  <c r="BI760" i="3"/>
  <c r="BH760" i="3"/>
  <c r="BG760" i="3"/>
  <c r="BF760" i="3"/>
  <c r="BE760" i="3"/>
  <c r="BD760" i="3"/>
  <c r="BC760" i="3"/>
  <c r="BB760" i="3"/>
  <c r="BA760" i="3"/>
  <c r="AZ760" i="3"/>
  <c r="AY760" i="3"/>
  <c r="AX760" i="3"/>
  <c r="AW760" i="3"/>
  <c r="AV760" i="3"/>
  <c r="AU760" i="3"/>
  <c r="AT760" i="3"/>
  <c r="AS760" i="3"/>
  <c r="AR760" i="3"/>
  <c r="AQ760" i="3"/>
  <c r="AP760" i="3"/>
  <c r="AO760" i="3"/>
  <c r="AN760" i="3"/>
  <c r="AM760" i="3"/>
  <c r="BS759" i="3"/>
  <c r="BR759" i="3"/>
  <c r="BQ759" i="3"/>
  <c r="BP759" i="3"/>
  <c r="BO759" i="3"/>
  <c r="BN759" i="3"/>
  <c r="BM759" i="3"/>
  <c r="BL759" i="3"/>
  <c r="BK759" i="3"/>
  <c r="BJ759" i="3"/>
  <c r="BI759" i="3"/>
  <c r="BH759" i="3"/>
  <c r="BG759" i="3"/>
  <c r="BF759" i="3"/>
  <c r="BE759" i="3"/>
  <c r="BD759" i="3"/>
  <c r="BC759" i="3"/>
  <c r="BB759" i="3"/>
  <c r="BA759" i="3"/>
  <c r="AZ759" i="3"/>
  <c r="AY759" i="3"/>
  <c r="AX759" i="3"/>
  <c r="AW759" i="3"/>
  <c r="AV759" i="3"/>
  <c r="AU759" i="3"/>
  <c r="AT759" i="3"/>
  <c r="AS759" i="3"/>
  <c r="AR759" i="3"/>
  <c r="AQ759" i="3"/>
  <c r="AP759" i="3"/>
  <c r="AO759" i="3"/>
  <c r="AN759" i="3"/>
  <c r="AM759" i="3"/>
  <c r="BS758" i="3"/>
  <c r="BR758" i="3"/>
  <c r="BQ758" i="3"/>
  <c r="BP758" i="3"/>
  <c r="BO758" i="3"/>
  <c r="BN758" i="3"/>
  <c r="BM758" i="3"/>
  <c r="BL758" i="3"/>
  <c r="BK758" i="3"/>
  <c r="BJ758" i="3"/>
  <c r="BI758" i="3"/>
  <c r="BH758" i="3"/>
  <c r="BG758" i="3"/>
  <c r="BF758" i="3"/>
  <c r="BE758" i="3"/>
  <c r="BD758" i="3"/>
  <c r="BC758" i="3"/>
  <c r="BB758" i="3"/>
  <c r="BA758" i="3"/>
  <c r="AZ758" i="3"/>
  <c r="AY758" i="3"/>
  <c r="AX758" i="3"/>
  <c r="AW758" i="3"/>
  <c r="AV758" i="3"/>
  <c r="AU758" i="3"/>
  <c r="AT758" i="3"/>
  <c r="AS758" i="3"/>
  <c r="AR758" i="3"/>
  <c r="AQ758" i="3"/>
  <c r="AP758" i="3"/>
  <c r="AO758" i="3"/>
  <c r="AN758" i="3"/>
  <c r="AM758" i="3"/>
  <c r="BS757" i="3"/>
  <c r="BR757" i="3"/>
  <c r="BQ757" i="3"/>
  <c r="BP757" i="3"/>
  <c r="BO757" i="3"/>
  <c r="BN757" i="3"/>
  <c r="BM757" i="3"/>
  <c r="BL757" i="3"/>
  <c r="BK757" i="3"/>
  <c r="BJ757" i="3"/>
  <c r="BI757" i="3"/>
  <c r="BH757" i="3"/>
  <c r="BG757" i="3"/>
  <c r="BF757" i="3"/>
  <c r="BE757" i="3"/>
  <c r="BD757" i="3"/>
  <c r="BC757" i="3"/>
  <c r="BB757" i="3"/>
  <c r="BA757" i="3"/>
  <c r="AZ757" i="3"/>
  <c r="AY757" i="3"/>
  <c r="AX757" i="3"/>
  <c r="AW757" i="3"/>
  <c r="AV757" i="3"/>
  <c r="AU757" i="3"/>
  <c r="AT757" i="3"/>
  <c r="AS757" i="3"/>
  <c r="AR757" i="3"/>
  <c r="AQ757" i="3"/>
  <c r="AP757" i="3"/>
  <c r="AO757" i="3"/>
  <c r="AN757" i="3"/>
  <c r="AM757" i="3"/>
  <c r="BS756" i="3"/>
  <c r="BR756" i="3"/>
  <c r="BQ756" i="3"/>
  <c r="BP756" i="3"/>
  <c r="BO756" i="3"/>
  <c r="BN756" i="3"/>
  <c r="BM756" i="3"/>
  <c r="BL756" i="3"/>
  <c r="BK756" i="3"/>
  <c r="BJ756" i="3"/>
  <c r="BI756" i="3"/>
  <c r="BH756" i="3"/>
  <c r="BG756" i="3"/>
  <c r="BF756" i="3"/>
  <c r="BE756" i="3"/>
  <c r="BD756" i="3"/>
  <c r="BC756" i="3"/>
  <c r="BB756" i="3"/>
  <c r="BA756" i="3"/>
  <c r="AZ756" i="3"/>
  <c r="AY756" i="3"/>
  <c r="AX756" i="3"/>
  <c r="AW756" i="3"/>
  <c r="AV756" i="3"/>
  <c r="AU756" i="3"/>
  <c r="AT756" i="3"/>
  <c r="AS756" i="3"/>
  <c r="AR756" i="3"/>
  <c r="AQ756" i="3"/>
  <c r="AP756" i="3"/>
  <c r="AO756" i="3"/>
  <c r="AN756" i="3"/>
  <c r="AM756" i="3"/>
  <c r="BS755" i="3"/>
  <c r="BR755" i="3"/>
  <c r="BQ755" i="3"/>
  <c r="BP755" i="3"/>
  <c r="BO755" i="3"/>
  <c r="BN755" i="3"/>
  <c r="BM755" i="3"/>
  <c r="BL755" i="3"/>
  <c r="BK755" i="3"/>
  <c r="BJ755" i="3"/>
  <c r="BI755" i="3"/>
  <c r="BH755" i="3"/>
  <c r="BG755" i="3"/>
  <c r="BF755" i="3"/>
  <c r="BE755" i="3"/>
  <c r="BD755" i="3"/>
  <c r="BC755" i="3"/>
  <c r="BB755" i="3"/>
  <c r="BA755" i="3"/>
  <c r="AZ755" i="3"/>
  <c r="AY755" i="3"/>
  <c r="AX755" i="3"/>
  <c r="AW755" i="3"/>
  <c r="AV755" i="3"/>
  <c r="AU755" i="3"/>
  <c r="AT755" i="3"/>
  <c r="AS755" i="3"/>
  <c r="AR755" i="3"/>
  <c r="AQ755" i="3"/>
  <c r="AP755" i="3"/>
  <c r="AO755" i="3"/>
  <c r="AN755" i="3"/>
  <c r="AM755" i="3"/>
  <c r="BS754" i="3"/>
  <c r="BR754" i="3"/>
  <c r="BQ754" i="3"/>
  <c r="BP754" i="3"/>
  <c r="BO754" i="3"/>
  <c r="BN754" i="3"/>
  <c r="BM754" i="3"/>
  <c r="BL754" i="3"/>
  <c r="BK754" i="3"/>
  <c r="BJ754" i="3"/>
  <c r="BI754" i="3"/>
  <c r="BH754" i="3"/>
  <c r="BG754" i="3"/>
  <c r="BF754" i="3"/>
  <c r="BE754" i="3"/>
  <c r="BD754" i="3"/>
  <c r="BC754" i="3"/>
  <c r="BB754" i="3"/>
  <c r="BA754" i="3"/>
  <c r="AZ754" i="3"/>
  <c r="AY754" i="3"/>
  <c r="AX754" i="3"/>
  <c r="AW754" i="3"/>
  <c r="AV754" i="3"/>
  <c r="AU754" i="3"/>
  <c r="AT754" i="3"/>
  <c r="AS754" i="3"/>
  <c r="AR754" i="3"/>
  <c r="AQ754" i="3"/>
  <c r="AP754" i="3"/>
  <c r="AO754" i="3"/>
  <c r="AN754" i="3"/>
  <c r="AM754" i="3"/>
  <c r="BS753" i="3"/>
  <c r="BR753" i="3"/>
  <c r="BQ753" i="3"/>
  <c r="BP753" i="3"/>
  <c r="BO753" i="3"/>
  <c r="BN753" i="3"/>
  <c r="BM753" i="3"/>
  <c r="BL753" i="3"/>
  <c r="BK753" i="3"/>
  <c r="BJ753" i="3"/>
  <c r="BI753" i="3"/>
  <c r="BH753" i="3"/>
  <c r="BG753" i="3"/>
  <c r="BF753" i="3"/>
  <c r="BE753" i="3"/>
  <c r="BD753" i="3"/>
  <c r="BC753" i="3"/>
  <c r="BB753" i="3"/>
  <c r="BA753" i="3"/>
  <c r="AZ753" i="3"/>
  <c r="AY753" i="3"/>
  <c r="AX753" i="3"/>
  <c r="AW753" i="3"/>
  <c r="AV753" i="3"/>
  <c r="AU753" i="3"/>
  <c r="AT753" i="3"/>
  <c r="AS753" i="3"/>
  <c r="AR753" i="3"/>
  <c r="AQ753" i="3"/>
  <c r="AP753" i="3"/>
  <c r="AO753" i="3"/>
  <c r="AN753" i="3"/>
  <c r="AM753" i="3"/>
  <c r="C753" i="3"/>
  <c r="BS752" i="3"/>
  <c r="BR752" i="3"/>
  <c r="BQ752" i="3"/>
  <c r="BP752" i="3"/>
  <c r="BO752" i="3"/>
  <c r="BN752" i="3"/>
  <c r="BM752" i="3"/>
  <c r="BL752" i="3"/>
  <c r="BK752" i="3"/>
  <c r="BJ752" i="3"/>
  <c r="BI752" i="3"/>
  <c r="BH752" i="3"/>
  <c r="BG752" i="3"/>
  <c r="BF752" i="3"/>
  <c r="BE752" i="3"/>
  <c r="BD752" i="3"/>
  <c r="BC752" i="3"/>
  <c r="BB752" i="3"/>
  <c r="BA752" i="3"/>
  <c r="AZ752" i="3"/>
  <c r="AY752" i="3"/>
  <c r="AX752" i="3"/>
  <c r="AW752" i="3"/>
  <c r="AV752" i="3"/>
  <c r="AU752" i="3"/>
  <c r="AT752" i="3"/>
  <c r="AS752" i="3"/>
  <c r="AR752" i="3"/>
  <c r="AQ752" i="3"/>
  <c r="AP752" i="3"/>
  <c r="AO752" i="3"/>
  <c r="AN752" i="3"/>
  <c r="AM752" i="3"/>
  <c r="B752" i="3"/>
  <c r="BS751" i="3"/>
  <c r="BR751" i="3"/>
  <c r="BQ751" i="3"/>
  <c r="BP751" i="3"/>
  <c r="BO751" i="3"/>
  <c r="BN751" i="3"/>
  <c r="BM751" i="3"/>
  <c r="BL751" i="3"/>
  <c r="BK751" i="3"/>
  <c r="BJ751" i="3"/>
  <c r="BI751" i="3"/>
  <c r="BH751" i="3"/>
  <c r="BG751" i="3"/>
  <c r="BF751" i="3"/>
  <c r="BE751" i="3"/>
  <c r="BD751" i="3"/>
  <c r="BC751" i="3"/>
  <c r="BB751" i="3"/>
  <c r="BA751" i="3"/>
  <c r="AZ751" i="3"/>
  <c r="AY751" i="3"/>
  <c r="AX751" i="3"/>
  <c r="AW751" i="3"/>
  <c r="AV751" i="3"/>
  <c r="AU751" i="3"/>
  <c r="AT751" i="3"/>
  <c r="AS751" i="3"/>
  <c r="AR751" i="3"/>
  <c r="AQ751" i="3"/>
  <c r="AP751" i="3"/>
  <c r="AO751" i="3"/>
  <c r="AN751" i="3"/>
  <c r="AM751" i="3"/>
  <c r="BS750" i="3"/>
  <c r="BR750" i="3"/>
  <c r="BQ750" i="3"/>
  <c r="BP750" i="3"/>
  <c r="BO750" i="3"/>
  <c r="BN750" i="3"/>
  <c r="BM750" i="3"/>
  <c r="BL750" i="3"/>
  <c r="BK750" i="3"/>
  <c r="BJ750" i="3"/>
  <c r="BI750" i="3"/>
  <c r="BH750" i="3"/>
  <c r="BG750" i="3"/>
  <c r="BF750" i="3"/>
  <c r="BE750" i="3"/>
  <c r="BD750" i="3"/>
  <c r="BC750" i="3"/>
  <c r="BB750" i="3"/>
  <c r="BA750" i="3"/>
  <c r="AZ750" i="3"/>
  <c r="AY750" i="3"/>
  <c r="AX750" i="3"/>
  <c r="AW750" i="3"/>
  <c r="AV750" i="3"/>
  <c r="AU750" i="3"/>
  <c r="AT750" i="3"/>
  <c r="AS750" i="3"/>
  <c r="AR750" i="3"/>
  <c r="AQ750" i="3"/>
  <c r="AP750" i="3"/>
  <c r="AO750" i="3"/>
  <c r="AN750" i="3"/>
  <c r="AM750" i="3"/>
  <c r="BS749" i="3"/>
  <c r="BR749" i="3"/>
  <c r="BQ749" i="3"/>
  <c r="BP749" i="3"/>
  <c r="BO749" i="3"/>
  <c r="BN749" i="3"/>
  <c r="BM749" i="3"/>
  <c r="BL749" i="3"/>
  <c r="BK749" i="3"/>
  <c r="BJ749" i="3"/>
  <c r="BI749" i="3"/>
  <c r="BH749" i="3"/>
  <c r="BG749" i="3"/>
  <c r="BF749" i="3"/>
  <c r="BE749" i="3"/>
  <c r="BD749" i="3"/>
  <c r="BC749" i="3"/>
  <c r="BB749" i="3"/>
  <c r="BA749" i="3"/>
  <c r="AZ749" i="3"/>
  <c r="AY749" i="3"/>
  <c r="AX749" i="3"/>
  <c r="AW749" i="3"/>
  <c r="AV749" i="3"/>
  <c r="AU749" i="3"/>
  <c r="AT749" i="3"/>
  <c r="AS749" i="3"/>
  <c r="AR749" i="3"/>
  <c r="AQ749" i="3"/>
  <c r="AP749" i="3"/>
  <c r="AO749" i="3"/>
  <c r="AN749" i="3"/>
  <c r="AM749" i="3"/>
  <c r="BS748" i="3"/>
  <c r="BR748" i="3"/>
  <c r="BQ748" i="3"/>
  <c r="BP748" i="3"/>
  <c r="BO748" i="3"/>
  <c r="BN748" i="3"/>
  <c r="BM748" i="3"/>
  <c r="BL748" i="3"/>
  <c r="BK748" i="3"/>
  <c r="BJ748" i="3"/>
  <c r="BI748" i="3"/>
  <c r="BH748" i="3"/>
  <c r="BG748" i="3"/>
  <c r="BF748" i="3"/>
  <c r="BE748" i="3"/>
  <c r="BD748" i="3"/>
  <c r="BC748" i="3"/>
  <c r="BB748" i="3"/>
  <c r="BA748" i="3"/>
  <c r="AZ748" i="3"/>
  <c r="AY748" i="3"/>
  <c r="AX748" i="3"/>
  <c r="AW748" i="3"/>
  <c r="AV748" i="3"/>
  <c r="AU748" i="3"/>
  <c r="AT748" i="3"/>
  <c r="AS748" i="3"/>
  <c r="AR748" i="3"/>
  <c r="AQ748" i="3"/>
  <c r="AP748" i="3"/>
  <c r="AO748" i="3"/>
  <c r="AN748" i="3"/>
  <c r="AM748" i="3"/>
  <c r="BS747" i="3"/>
  <c r="BR747" i="3"/>
  <c r="BQ747" i="3"/>
  <c r="BP747" i="3"/>
  <c r="BO747" i="3"/>
  <c r="BN747" i="3"/>
  <c r="BM747" i="3"/>
  <c r="BL747" i="3"/>
  <c r="BK747" i="3"/>
  <c r="BJ747" i="3"/>
  <c r="BI747" i="3"/>
  <c r="BH747" i="3"/>
  <c r="BG747" i="3"/>
  <c r="BF747" i="3"/>
  <c r="BE747" i="3"/>
  <c r="BD747" i="3"/>
  <c r="BC747" i="3"/>
  <c r="BB747" i="3"/>
  <c r="BA747" i="3"/>
  <c r="AZ747" i="3"/>
  <c r="AY747" i="3"/>
  <c r="AX747" i="3"/>
  <c r="AW747" i="3"/>
  <c r="AV747" i="3"/>
  <c r="AU747" i="3"/>
  <c r="AT747" i="3"/>
  <c r="AS747" i="3"/>
  <c r="AR747" i="3"/>
  <c r="AQ747" i="3"/>
  <c r="AP747" i="3"/>
  <c r="AO747" i="3"/>
  <c r="AN747" i="3"/>
  <c r="AM747" i="3"/>
  <c r="BS746" i="3"/>
  <c r="BR746" i="3"/>
  <c r="BQ746" i="3"/>
  <c r="BP746" i="3"/>
  <c r="BO746" i="3"/>
  <c r="BN746" i="3"/>
  <c r="BM746" i="3"/>
  <c r="BL746" i="3"/>
  <c r="BK746" i="3"/>
  <c r="BJ746" i="3"/>
  <c r="BI746" i="3"/>
  <c r="BH746" i="3"/>
  <c r="BG746" i="3"/>
  <c r="BF746" i="3"/>
  <c r="BE746" i="3"/>
  <c r="BD746" i="3"/>
  <c r="BC746" i="3"/>
  <c r="BB746" i="3"/>
  <c r="BA746" i="3"/>
  <c r="AZ746" i="3"/>
  <c r="AY746" i="3"/>
  <c r="AX746" i="3"/>
  <c r="AW746" i="3"/>
  <c r="AV746" i="3"/>
  <c r="AU746" i="3"/>
  <c r="AT746" i="3"/>
  <c r="AS746" i="3"/>
  <c r="AR746" i="3"/>
  <c r="AQ746" i="3"/>
  <c r="AP746" i="3"/>
  <c r="AO746" i="3"/>
  <c r="AN746" i="3"/>
  <c r="AM746" i="3"/>
  <c r="BS745" i="3"/>
  <c r="BR745" i="3"/>
  <c r="BQ745" i="3"/>
  <c r="BP745" i="3"/>
  <c r="BO745" i="3"/>
  <c r="BN745" i="3"/>
  <c r="BM745" i="3"/>
  <c r="BL745" i="3"/>
  <c r="BK745" i="3"/>
  <c r="BJ745" i="3"/>
  <c r="BI745" i="3"/>
  <c r="BH745" i="3"/>
  <c r="BG745" i="3"/>
  <c r="BF745" i="3"/>
  <c r="BE745" i="3"/>
  <c r="BD745" i="3"/>
  <c r="BC745" i="3"/>
  <c r="BB745" i="3"/>
  <c r="BA745" i="3"/>
  <c r="AZ745" i="3"/>
  <c r="AY745" i="3"/>
  <c r="AX745" i="3"/>
  <c r="AW745" i="3"/>
  <c r="AV745" i="3"/>
  <c r="AU745" i="3"/>
  <c r="AT745" i="3"/>
  <c r="AS745" i="3"/>
  <c r="AR745" i="3"/>
  <c r="AQ745" i="3"/>
  <c r="AP745" i="3"/>
  <c r="AO745" i="3"/>
  <c r="AN745" i="3"/>
  <c r="AM745" i="3"/>
  <c r="B745" i="3"/>
  <c r="A745" i="3"/>
  <c r="BS744" i="3"/>
  <c r="BR744" i="3"/>
  <c r="BQ744" i="3"/>
  <c r="BP744" i="3"/>
  <c r="BO744" i="3"/>
  <c r="BN744" i="3"/>
  <c r="BM744" i="3"/>
  <c r="BL744" i="3"/>
  <c r="BK744" i="3"/>
  <c r="BJ744" i="3"/>
  <c r="BI744" i="3"/>
  <c r="BH744" i="3"/>
  <c r="BG744" i="3"/>
  <c r="BF744" i="3"/>
  <c r="BE744" i="3"/>
  <c r="BD744" i="3"/>
  <c r="BC744" i="3"/>
  <c r="BB744" i="3"/>
  <c r="BA744" i="3"/>
  <c r="AZ744" i="3"/>
  <c r="AY744" i="3"/>
  <c r="AX744" i="3"/>
  <c r="AW744" i="3"/>
  <c r="AV744" i="3"/>
  <c r="AU744" i="3"/>
  <c r="AT744" i="3"/>
  <c r="AS744" i="3"/>
  <c r="AR744" i="3"/>
  <c r="AQ744" i="3"/>
  <c r="AP744" i="3"/>
  <c r="AO744" i="3"/>
  <c r="AN744" i="3"/>
  <c r="AM744" i="3"/>
  <c r="A744" i="3"/>
  <c r="BS743" i="3"/>
  <c r="BR743" i="3"/>
  <c r="BQ743" i="3"/>
  <c r="BP743" i="3"/>
  <c r="BO743" i="3"/>
  <c r="BN743" i="3"/>
  <c r="BM743" i="3"/>
  <c r="BL743" i="3"/>
  <c r="BK743" i="3"/>
  <c r="BJ743" i="3"/>
  <c r="BI743" i="3"/>
  <c r="BH743" i="3"/>
  <c r="BG743" i="3"/>
  <c r="BF743" i="3"/>
  <c r="BE743" i="3"/>
  <c r="BD743" i="3"/>
  <c r="BC743" i="3"/>
  <c r="BB743" i="3"/>
  <c r="BA743" i="3"/>
  <c r="AZ743" i="3"/>
  <c r="AY743" i="3"/>
  <c r="AX743" i="3"/>
  <c r="AW743" i="3"/>
  <c r="AV743" i="3"/>
  <c r="AU743" i="3"/>
  <c r="AT743" i="3"/>
  <c r="AS743" i="3"/>
  <c r="AR743" i="3"/>
  <c r="AQ743" i="3"/>
  <c r="AP743" i="3"/>
  <c r="AO743" i="3"/>
  <c r="AN743" i="3"/>
  <c r="AM743" i="3"/>
  <c r="BS742" i="3"/>
  <c r="BR742" i="3"/>
  <c r="BQ742" i="3"/>
  <c r="BP742" i="3"/>
  <c r="BO742" i="3"/>
  <c r="BN742" i="3"/>
  <c r="BM742" i="3"/>
  <c r="BL742" i="3"/>
  <c r="BK742" i="3"/>
  <c r="BJ742" i="3"/>
  <c r="BI742" i="3"/>
  <c r="BH742" i="3"/>
  <c r="BG742" i="3"/>
  <c r="BF742" i="3"/>
  <c r="BE742" i="3"/>
  <c r="BD742" i="3"/>
  <c r="BC742" i="3"/>
  <c r="BB742" i="3"/>
  <c r="BA742" i="3"/>
  <c r="AZ742" i="3"/>
  <c r="AY742" i="3"/>
  <c r="AX742" i="3"/>
  <c r="AW742" i="3"/>
  <c r="AV742" i="3"/>
  <c r="AU742" i="3"/>
  <c r="AT742" i="3"/>
  <c r="AS742" i="3"/>
  <c r="AR742" i="3"/>
  <c r="AQ742" i="3"/>
  <c r="AP742" i="3"/>
  <c r="AO742" i="3"/>
  <c r="AN742" i="3"/>
  <c r="AM742" i="3"/>
  <c r="BS741" i="3"/>
  <c r="BR741" i="3"/>
  <c r="BQ741" i="3"/>
  <c r="BP741" i="3"/>
  <c r="BO741" i="3"/>
  <c r="BN741" i="3"/>
  <c r="BM741" i="3"/>
  <c r="BL741" i="3"/>
  <c r="BK741" i="3"/>
  <c r="BJ741" i="3"/>
  <c r="BI741" i="3"/>
  <c r="BH741" i="3"/>
  <c r="BG741" i="3"/>
  <c r="BF741" i="3"/>
  <c r="BE741" i="3"/>
  <c r="BD741" i="3"/>
  <c r="BC741" i="3"/>
  <c r="BB741" i="3"/>
  <c r="BA741" i="3"/>
  <c r="AZ741" i="3"/>
  <c r="AY741" i="3"/>
  <c r="AX741" i="3"/>
  <c r="AW741" i="3"/>
  <c r="AV741" i="3"/>
  <c r="AU741" i="3"/>
  <c r="AT741" i="3"/>
  <c r="AS741" i="3"/>
  <c r="AR741" i="3"/>
  <c r="AQ741" i="3"/>
  <c r="AP741" i="3"/>
  <c r="AO741" i="3"/>
  <c r="AN741" i="3"/>
  <c r="AM741" i="3"/>
  <c r="E741" i="3"/>
  <c r="BS740" i="3"/>
  <c r="BR740" i="3"/>
  <c r="BQ740" i="3"/>
  <c r="BP740" i="3"/>
  <c r="BO740" i="3"/>
  <c r="BN740" i="3"/>
  <c r="BM740" i="3"/>
  <c r="BL740" i="3"/>
  <c r="BK740" i="3"/>
  <c r="BJ740" i="3"/>
  <c r="BI740" i="3"/>
  <c r="BH740" i="3"/>
  <c r="BG740" i="3"/>
  <c r="BF740" i="3"/>
  <c r="BE740" i="3"/>
  <c r="BD740" i="3"/>
  <c r="BC740" i="3"/>
  <c r="BB740" i="3"/>
  <c r="BA740" i="3"/>
  <c r="AZ740" i="3"/>
  <c r="AY740" i="3"/>
  <c r="AX740" i="3"/>
  <c r="AW740" i="3"/>
  <c r="AV740" i="3"/>
  <c r="AU740" i="3"/>
  <c r="AT740" i="3"/>
  <c r="AS740" i="3"/>
  <c r="AR740" i="3"/>
  <c r="AQ740" i="3"/>
  <c r="AP740" i="3"/>
  <c r="AO740" i="3"/>
  <c r="AN740" i="3"/>
  <c r="AM740" i="3"/>
  <c r="E740" i="3"/>
  <c r="D740" i="3"/>
  <c r="A740" i="3"/>
  <c r="BS739" i="3"/>
  <c r="BR739" i="3"/>
  <c r="BQ739" i="3"/>
  <c r="BP739" i="3"/>
  <c r="BO739" i="3"/>
  <c r="BN739" i="3"/>
  <c r="BM739" i="3"/>
  <c r="BL739" i="3"/>
  <c r="BK739" i="3"/>
  <c r="BJ739" i="3"/>
  <c r="BI739" i="3"/>
  <c r="BH739" i="3"/>
  <c r="BG739" i="3"/>
  <c r="BF739" i="3"/>
  <c r="BE739" i="3"/>
  <c r="BD739" i="3"/>
  <c r="BC739" i="3"/>
  <c r="BB739" i="3"/>
  <c r="BA739" i="3"/>
  <c r="AZ739" i="3"/>
  <c r="AY739" i="3"/>
  <c r="AX739" i="3"/>
  <c r="AW739" i="3"/>
  <c r="AV739" i="3"/>
  <c r="AU739" i="3"/>
  <c r="AT739" i="3"/>
  <c r="AS739" i="3"/>
  <c r="AR739" i="3"/>
  <c r="AQ739" i="3"/>
  <c r="AP739" i="3"/>
  <c r="AO739" i="3"/>
  <c r="AN739" i="3"/>
  <c r="AM739" i="3"/>
  <c r="BS738" i="3"/>
  <c r="BR738" i="3"/>
  <c r="BQ738" i="3"/>
  <c r="BP738" i="3"/>
  <c r="BO738" i="3"/>
  <c r="BN738" i="3"/>
  <c r="BM738" i="3"/>
  <c r="BL738" i="3"/>
  <c r="BK738" i="3"/>
  <c r="BJ738" i="3"/>
  <c r="BI738" i="3"/>
  <c r="BH738" i="3"/>
  <c r="BG738" i="3"/>
  <c r="BF738" i="3"/>
  <c r="BE738" i="3"/>
  <c r="BD738" i="3"/>
  <c r="BC738" i="3"/>
  <c r="BB738" i="3"/>
  <c r="BA738" i="3"/>
  <c r="AZ738" i="3"/>
  <c r="AY738" i="3"/>
  <c r="AX738" i="3"/>
  <c r="AW738" i="3"/>
  <c r="AV738" i="3"/>
  <c r="AU738" i="3"/>
  <c r="AT738" i="3"/>
  <c r="AS738" i="3"/>
  <c r="AR738" i="3"/>
  <c r="AQ738" i="3"/>
  <c r="AP738" i="3"/>
  <c r="AO738" i="3"/>
  <c r="AN738" i="3"/>
  <c r="AM738" i="3"/>
  <c r="BS737" i="3"/>
  <c r="BR737" i="3"/>
  <c r="BQ737" i="3"/>
  <c r="BP737" i="3"/>
  <c r="BO737" i="3"/>
  <c r="BN737" i="3"/>
  <c r="BM737" i="3"/>
  <c r="BL737" i="3"/>
  <c r="BK737" i="3"/>
  <c r="BJ737" i="3"/>
  <c r="BI737" i="3"/>
  <c r="BH737" i="3"/>
  <c r="BG737" i="3"/>
  <c r="BF737" i="3"/>
  <c r="BE737" i="3"/>
  <c r="BD737" i="3"/>
  <c r="BC737" i="3"/>
  <c r="BB737" i="3"/>
  <c r="BA737" i="3"/>
  <c r="AZ737" i="3"/>
  <c r="AY737" i="3"/>
  <c r="AX737" i="3"/>
  <c r="AW737" i="3"/>
  <c r="AV737" i="3"/>
  <c r="AU737" i="3"/>
  <c r="AT737" i="3"/>
  <c r="AS737" i="3"/>
  <c r="AR737" i="3"/>
  <c r="AQ737" i="3"/>
  <c r="AP737" i="3"/>
  <c r="AO737" i="3"/>
  <c r="AN737" i="3"/>
  <c r="AM737" i="3"/>
  <c r="BS736" i="3"/>
  <c r="BR736" i="3"/>
  <c r="BQ736" i="3"/>
  <c r="BP736" i="3"/>
  <c r="BO736" i="3"/>
  <c r="BN736" i="3"/>
  <c r="BM736" i="3"/>
  <c r="BL736" i="3"/>
  <c r="BK736" i="3"/>
  <c r="BJ736" i="3"/>
  <c r="BI736" i="3"/>
  <c r="BH736" i="3"/>
  <c r="BG736" i="3"/>
  <c r="BF736" i="3"/>
  <c r="BE736" i="3"/>
  <c r="BD736" i="3"/>
  <c r="BC736" i="3"/>
  <c r="BB736" i="3"/>
  <c r="BA736" i="3"/>
  <c r="AZ736" i="3"/>
  <c r="AY736" i="3"/>
  <c r="AX736" i="3"/>
  <c r="AW736" i="3"/>
  <c r="AV736" i="3"/>
  <c r="AU736" i="3"/>
  <c r="AT736" i="3"/>
  <c r="AS736" i="3"/>
  <c r="AR736" i="3"/>
  <c r="AQ736" i="3"/>
  <c r="AP736" i="3"/>
  <c r="AO736" i="3"/>
  <c r="AN736" i="3"/>
  <c r="AM736" i="3"/>
  <c r="B736" i="3"/>
  <c r="A736" i="3"/>
  <c r="BS735" i="3"/>
  <c r="BR735" i="3"/>
  <c r="BQ735" i="3"/>
  <c r="BP735" i="3"/>
  <c r="BO735" i="3"/>
  <c r="BN735" i="3"/>
  <c r="BM735" i="3"/>
  <c r="BL735" i="3"/>
  <c r="BK735" i="3"/>
  <c r="BJ735" i="3"/>
  <c r="BI735" i="3"/>
  <c r="BH735" i="3"/>
  <c r="BG735" i="3"/>
  <c r="BF735" i="3"/>
  <c r="BE735" i="3"/>
  <c r="BD735" i="3"/>
  <c r="BC735" i="3"/>
  <c r="BB735" i="3"/>
  <c r="BA735" i="3"/>
  <c r="AZ735" i="3"/>
  <c r="AY735" i="3"/>
  <c r="AX735" i="3"/>
  <c r="AW735" i="3"/>
  <c r="AV735" i="3"/>
  <c r="AU735" i="3"/>
  <c r="AT735" i="3"/>
  <c r="AS735" i="3"/>
  <c r="AR735" i="3"/>
  <c r="AQ735" i="3"/>
  <c r="AP735" i="3"/>
  <c r="AO735" i="3"/>
  <c r="AN735" i="3"/>
  <c r="AM735" i="3"/>
  <c r="BS734" i="3"/>
  <c r="BR734" i="3"/>
  <c r="BQ734" i="3"/>
  <c r="BP734" i="3"/>
  <c r="BO734" i="3"/>
  <c r="BN734" i="3"/>
  <c r="BM734" i="3"/>
  <c r="BL734" i="3"/>
  <c r="BK734" i="3"/>
  <c r="BJ734" i="3"/>
  <c r="BI734" i="3"/>
  <c r="BH734" i="3"/>
  <c r="BG734" i="3"/>
  <c r="BF734" i="3"/>
  <c r="BE734" i="3"/>
  <c r="BD734" i="3"/>
  <c r="BC734" i="3"/>
  <c r="BB734" i="3"/>
  <c r="BA734" i="3"/>
  <c r="AZ734" i="3"/>
  <c r="AY734" i="3"/>
  <c r="AX734" i="3"/>
  <c r="AW734" i="3"/>
  <c r="AV734" i="3"/>
  <c r="AU734" i="3"/>
  <c r="AT734" i="3"/>
  <c r="AS734" i="3"/>
  <c r="AR734" i="3"/>
  <c r="AQ734" i="3"/>
  <c r="AP734" i="3"/>
  <c r="AO734" i="3"/>
  <c r="AN734" i="3"/>
  <c r="AM734" i="3"/>
  <c r="E734" i="3"/>
  <c r="D734" i="3"/>
  <c r="BS733" i="3"/>
  <c r="BR733" i="3"/>
  <c r="BQ733" i="3"/>
  <c r="BP733" i="3"/>
  <c r="BO733" i="3"/>
  <c r="BN733" i="3"/>
  <c r="BM733" i="3"/>
  <c r="BL733" i="3"/>
  <c r="BK733" i="3"/>
  <c r="BJ733" i="3"/>
  <c r="BI733" i="3"/>
  <c r="BH733" i="3"/>
  <c r="BG733" i="3"/>
  <c r="BF733" i="3"/>
  <c r="BE733" i="3"/>
  <c r="BD733" i="3"/>
  <c r="BC733" i="3"/>
  <c r="BB733" i="3"/>
  <c r="BA733" i="3"/>
  <c r="AZ733" i="3"/>
  <c r="AY733" i="3"/>
  <c r="AX733" i="3"/>
  <c r="AW733" i="3"/>
  <c r="AV733" i="3"/>
  <c r="AU733" i="3"/>
  <c r="AT733" i="3"/>
  <c r="AS733" i="3"/>
  <c r="AR733" i="3"/>
  <c r="AQ733" i="3"/>
  <c r="AP733" i="3"/>
  <c r="AO733" i="3"/>
  <c r="AN733" i="3"/>
  <c r="AM733" i="3"/>
  <c r="C733" i="3"/>
  <c r="B733" i="3"/>
  <c r="BS732" i="3"/>
  <c r="BR732" i="3"/>
  <c r="BQ732" i="3"/>
  <c r="BP732" i="3"/>
  <c r="BO732" i="3"/>
  <c r="BN732" i="3"/>
  <c r="BM732" i="3"/>
  <c r="BL732" i="3"/>
  <c r="BK732" i="3"/>
  <c r="BJ732" i="3"/>
  <c r="BI732" i="3"/>
  <c r="BH732" i="3"/>
  <c r="BG732" i="3"/>
  <c r="BF732" i="3"/>
  <c r="BE732" i="3"/>
  <c r="BD732" i="3"/>
  <c r="BC732" i="3"/>
  <c r="BB732" i="3"/>
  <c r="BA732" i="3"/>
  <c r="AZ732" i="3"/>
  <c r="AY732" i="3"/>
  <c r="AX732" i="3"/>
  <c r="AW732" i="3"/>
  <c r="AV732" i="3"/>
  <c r="AU732" i="3"/>
  <c r="AT732" i="3"/>
  <c r="AS732" i="3"/>
  <c r="AR732" i="3"/>
  <c r="AQ732" i="3"/>
  <c r="AP732" i="3"/>
  <c r="AO732" i="3"/>
  <c r="AN732" i="3"/>
  <c r="AM732" i="3"/>
  <c r="BS731" i="3"/>
  <c r="BR731" i="3"/>
  <c r="BQ731" i="3"/>
  <c r="BP731" i="3"/>
  <c r="BO731" i="3"/>
  <c r="BN731" i="3"/>
  <c r="BM731" i="3"/>
  <c r="BL731" i="3"/>
  <c r="BK731" i="3"/>
  <c r="BJ731" i="3"/>
  <c r="BI731" i="3"/>
  <c r="BH731" i="3"/>
  <c r="BG731" i="3"/>
  <c r="BF731" i="3"/>
  <c r="BE731" i="3"/>
  <c r="BD731" i="3"/>
  <c r="BC731" i="3"/>
  <c r="BB731" i="3"/>
  <c r="BA731" i="3"/>
  <c r="AZ731" i="3"/>
  <c r="AY731" i="3"/>
  <c r="AX731" i="3"/>
  <c r="AW731" i="3"/>
  <c r="AV731" i="3"/>
  <c r="AU731" i="3"/>
  <c r="AT731" i="3"/>
  <c r="AS731" i="3"/>
  <c r="AR731" i="3"/>
  <c r="AQ731" i="3"/>
  <c r="AP731" i="3"/>
  <c r="AO731" i="3"/>
  <c r="AN731" i="3"/>
  <c r="AM731" i="3"/>
  <c r="BS730" i="3"/>
  <c r="BR730" i="3"/>
  <c r="BQ730" i="3"/>
  <c r="BP730" i="3"/>
  <c r="BO730" i="3"/>
  <c r="BN730" i="3"/>
  <c r="BM730" i="3"/>
  <c r="BL730" i="3"/>
  <c r="BK730" i="3"/>
  <c r="BJ730" i="3"/>
  <c r="BI730" i="3"/>
  <c r="BH730" i="3"/>
  <c r="BG730" i="3"/>
  <c r="BF730" i="3"/>
  <c r="BE730" i="3"/>
  <c r="BD730" i="3"/>
  <c r="BC730" i="3"/>
  <c r="BB730" i="3"/>
  <c r="BA730" i="3"/>
  <c r="AZ730" i="3"/>
  <c r="AY730" i="3"/>
  <c r="AX730" i="3"/>
  <c r="AW730" i="3"/>
  <c r="AV730" i="3"/>
  <c r="AU730" i="3"/>
  <c r="AT730" i="3"/>
  <c r="AS730" i="3"/>
  <c r="AR730" i="3"/>
  <c r="AQ730" i="3"/>
  <c r="AP730" i="3"/>
  <c r="AO730" i="3"/>
  <c r="AN730" i="3"/>
  <c r="AM730" i="3"/>
  <c r="E730" i="3"/>
  <c r="D730" i="3"/>
  <c r="BS729" i="3"/>
  <c r="BR729" i="3"/>
  <c r="BQ729" i="3"/>
  <c r="BP729" i="3"/>
  <c r="BO729" i="3"/>
  <c r="BN729" i="3"/>
  <c r="BM729" i="3"/>
  <c r="BL729" i="3"/>
  <c r="BK729" i="3"/>
  <c r="BJ729" i="3"/>
  <c r="BI729" i="3"/>
  <c r="BH729" i="3"/>
  <c r="BG729" i="3"/>
  <c r="BF729" i="3"/>
  <c r="BE729" i="3"/>
  <c r="BD729" i="3"/>
  <c r="BC729" i="3"/>
  <c r="BB729" i="3"/>
  <c r="BA729" i="3"/>
  <c r="AZ729" i="3"/>
  <c r="AY729" i="3"/>
  <c r="AX729" i="3"/>
  <c r="AW729" i="3"/>
  <c r="AV729" i="3"/>
  <c r="AU729" i="3"/>
  <c r="AT729" i="3"/>
  <c r="AS729" i="3"/>
  <c r="AR729" i="3"/>
  <c r="AQ729" i="3"/>
  <c r="AP729" i="3"/>
  <c r="AO729" i="3"/>
  <c r="AN729" i="3"/>
  <c r="AM729" i="3"/>
  <c r="A729" i="3"/>
  <c r="BS728" i="3"/>
  <c r="BR728" i="3"/>
  <c r="BQ728" i="3"/>
  <c r="BP728" i="3"/>
  <c r="BO728" i="3"/>
  <c r="BN728" i="3"/>
  <c r="BM728" i="3"/>
  <c r="BL728" i="3"/>
  <c r="BK728" i="3"/>
  <c r="BJ728" i="3"/>
  <c r="BI728" i="3"/>
  <c r="BH728" i="3"/>
  <c r="BG728" i="3"/>
  <c r="BF728" i="3"/>
  <c r="BE728" i="3"/>
  <c r="BD728" i="3"/>
  <c r="BC728" i="3"/>
  <c r="BB728" i="3"/>
  <c r="BA728" i="3"/>
  <c r="AZ728" i="3"/>
  <c r="AY728" i="3"/>
  <c r="AX728" i="3"/>
  <c r="AW728" i="3"/>
  <c r="AV728" i="3"/>
  <c r="AU728" i="3"/>
  <c r="AT728" i="3"/>
  <c r="AS728" i="3"/>
  <c r="AR728" i="3"/>
  <c r="AQ728" i="3"/>
  <c r="AP728" i="3"/>
  <c r="AO728" i="3"/>
  <c r="AN728" i="3"/>
  <c r="AM728" i="3"/>
  <c r="B728" i="3"/>
  <c r="BS727" i="3"/>
  <c r="BR727" i="3"/>
  <c r="BQ727" i="3"/>
  <c r="BP727" i="3"/>
  <c r="BO727" i="3"/>
  <c r="BN727" i="3"/>
  <c r="BM727" i="3"/>
  <c r="BL727" i="3"/>
  <c r="BK727" i="3"/>
  <c r="BJ727" i="3"/>
  <c r="BI727" i="3"/>
  <c r="BH727" i="3"/>
  <c r="BG727" i="3"/>
  <c r="BF727" i="3"/>
  <c r="BE727" i="3"/>
  <c r="BD727" i="3"/>
  <c r="BC727" i="3"/>
  <c r="BB727" i="3"/>
  <c r="BA727" i="3"/>
  <c r="AZ727" i="3"/>
  <c r="AY727" i="3"/>
  <c r="AX727" i="3"/>
  <c r="AW727" i="3"/>
  <c r="AV727" i="3"/>
  <c r="AU727" i="3"/>
  <c r="AT727" i="3"/>
  <c r="AS727" i="3"/>
  <c r="AR727" i="3"/>
  <c r="AQ727" i="3"/>
  <c r="AP727" i="3"/>
  <c r="AO727" i="3"/>
  <c r="AN727" i="3"/>
  <c r="AM727" i="3"/>
  <c r="BS726" i="3"/>
  <c r="BR726" i="3"/>
  <c r="BQ726" i="3"/>
  <c r="BP726" i="3"/>
  <c r="BO726" i="3"/>
  <c r="BN726" i="3"/>
  <c r="BM726" i="3"/>
  <c r="BL726" i="3"/>
  <c r="BK726" i="3"/>
  <c r="BJ726" i="3"/>
  <c r="BI726" i="3"/>
  <c r="BH726" i="3"/>
  <c r="BG726" i="3"/>
  <c r="BF726" i="3"/>
  <c r="BE726" i="3"/>
  <c r="BD726" i="3"/>
  <c r="BC726" i="3"/>
  <c r="BB726" i="3"/>
  <c r="BA726" i="3"/>
  <c r="AZ726" i="3"/>
  <c r="AY726" i="3"/>
  <c r="AX726" i="3"/>
  <c r="AW726" i="3"/>
  <c r="AV726" i="3"/>
  <c r="AU726" i="3"/>
  <c r="AT726" i="3"/>
  <c r="AS726" i="3"/>
  <c r="AR726" i="3"/>
  <c r="AQ726" i="3"/>
  <c r="AP726" i="3"/>
  <c r="AO726" i="3"/>
  <c r="AN726" i="3"/>
  <c r="AM726" i="3"/>
  <c r="A726" i="3"/>
  <c r="BS725" i="3"/>
  <c r="BR725" i="3"/>
  <c r="BQ725" i="3"/>
  <c r="BP725" i="3"/>
  <c r="BO725" i="3"/>
  <c r="BN725" i="3"/>
  <c r="BM725" i="3"/>
  <c r="BL725" i="3"/>
  <c r="BK725" i="3"/>
  <c r="BJ725" i="3"/>
  <c r="BI725" i="3"/>
  <c r="BH725" i="3"/>
  <c r="BG725" i="3"/>
  <c r="BF725" i="3"/>
  <c r="BE725" i="3"/>
  <c r="BD725" i="3"/>
  <c r="BC725" i="3"/>
  <c r="BB725" i="3"/>
  <c r="BA725" i="3"/>
  <c r="AZ725" i="3"/>
  <c r="AY725" i="3"/>
  <c r="AX725" i="3"/>
  <c r="AW725" i="3"/>
  <c r="AV725" i="3"/>
  <c r="AU725" i="3"/>
  <c r="AT725" i="3"/>
  <c r="AS725" i="3"/>
  <c r="AR725" i="3"/>
  <c r="AQ725" i="3"/>
  <c r="AP725" i="3"/>
  <c r="AO725" i="3"/>
  <c r="AN725" i="3"/>
  <c r="AM725" i="3"/>
  <c r="BS724" i="3"/>
  <c r="BR724" i="3"/>
  <c r="BQ724" i="3"/>
  <c r="BP724" i="3"/>
  <c r="BO724" i="3"/>
  <c r="BN724" i="3"/>
  <c r="BM724" i="3"/>
  <c r="BL724" i="3"/>
  <c r="BK724" i="3"/>
  <c r="BJ724" i="3"/>
  <c r="BI724" i="3"/>
  <c r="BH724" i="3"/>
  <c r="BG724" i="3"/>
  <c r="BF724" i="3"/>
  <c r="BE724" i="3"/>
  <c r="BD724" i="3"/>
  <c r="BC724" i="3"/>
  <c r="BB724" i="3"/>
  <c r="BA724" i="3"/>
  <c r="AZ724" i="3"/>
  <c r="AY724" i="3"/>
  <c r="AX724" i="3"/>
  <c r="AW724" i="3"/>
  <c r="AV724" i="3"/>
  <c r="AU724" i="3"/>
  <c r="AT724" i="3"/>
  <c r="AS724" i="3"/>
  <c r="AR724" i="3"/>
  <c r="AQ724" i="3"/>
  <c r="AP724" i="3"/>
  <c r="AO724" i="3"/>
  <c r="AN724" i="3"/>
  <c r="AM724" i="3"/>
  <c r="C724" i="3"/>
  <c r="BS723" i="3"/>
  <c r="BR723" i="3"/>
  <c r="BQ723" i="3"/>
  <c r="BP723" i="3"/>
  <c r="BO723" i="3"/>
  <c r="BN723" i="3"/>
  <c r="BM723" i="3"/>
  <c r="BL723" i="3"/>
  <c r="BK723" i="3"/>
  <c r="BJ723" i="3"/>
  <c r="BI723" i="3"/>
  <c r="BH723" i="3"/>
  <c r="BG723" i="3"/>
  <c r="BF723" i="3"/>
  <c r="BE723" i="3"/>
  <c r="BD723" i="3"/>
  <c r="BC723" i="3"/>
  <c r="BB723" i="3"/>
  <c r="BA723" i="3"/>
  <c r="AZ723" i="3"/>
  <c r="AY723" i="3"/>
  <c r="AX723" i="3"/>
  <c r="AW723" i="3"/>
  <c r="AV723" i="3"/>
  <c r="AU723" i="3"/>
  <c r="AT723" i="3"/>
  <c r="AS723" i="3"/>
  <c r="AR723" i="3"/>
  <c r="AQ723" i="3"/>
  <c r="AP723" i="3"/>
  <c r="AO723" i="3"/>
  <c r="AN723" i="3"/>
  <c r="AM723" i="3"/>
  <c r="BS722" i="3"/>
  <c r="BR722" i="3"/>
  <c r="BQ722" i="3"/>
  <c r="BP722" i="3"/>
  <c r="BO722" i="3"/>
  <c r="BN722" i="3"/>
  <c r="BM722" i="3"/>
  <c r="BL722" i="3"/>
  <c r="BK722" i="3"/>
  <c r="BJ722" i="3"/>
  <c r="BI722" i="3"/>
  <c r="BH722" i="3"/>
  <c r="BG722" i="3"/>
  <c r="BF722" i="3"/>
  <c r="BE722" i="3"/>
  <c r="BD722" i="3"/>
  <c r="BC722" i="3"/>
  <c r="BB722" i="3"/>
  <c r="BA722" i="3"/>
  <c r="AZ722" i="3"/>
  <c r="AY722" i="3"/>
  <c r="AX722" i="3"/>
  <c r="AW722" i="3"/>
  <c r="AV722" i="3"/>
  <c r="AU722" i="3"/>
  <c r="AT722" i="3"/>
  <c r="AS722" i="3"/>
  <c r="AR722" i="3"/>
  <c r="AQ722" i="3"/>
  <c r="AP722" i="3"/>
  <c r="AO722" i="3"/>
  <c r="AN722" i="3"/>
  <c r="AM722" i="3"/>
  <c r="BS721" i="3"/>
  <c r="BR721" i="3"/>
  <c r="BQ721" i="3"/>
  <c r="BP721" i="3"/>
  <c r="BO721" i="3"/>
  <c r="BN721" i="3"/>
  <c r="BM721" i="3"/>
  <c r="BL721" i="3"/>
  <c r="BK721" i="3"/>
  <c r="BJ721" i="3"/>
  <c r="BI721" i="3"/>
  <c r="BH721" i="3"/>
  <c r="BG721" i="3"/>
  <c r="BF721" i="3"/>
  <c r="BE721" i="3"/>
  <c r="BD721" i="3"/>
  <c r="BC721" i="3"/>
  <c r="BB721" i="3"/>
  <c r="BA721" i="3"/>
  <c r="AZ721" i="3"/>
  <c r="AY721" i="3"/>
  <c r="AX721" i="3"/>
  <c r="AW721" i="3"/>
  <c r="AV721" i="3"/>
  <c r="AU721" i="3"/>
  <c r="AT721" i="3"/>
  <c r="AS721" i="3"/>
  <c r="AR721" i="3"/>
  <c r="AQ721" i="3"/>
  <c r="AP721" i="3"/>
  <c r="AO721" i="3"/>
  <c r="AN721" i="3"/>
  <c r="AM721" i="3"/>
  <c r="BS720" i="3"/>
  <c r="BR720" i="3"/>
  <c r="BQ720" i="3"/>
  <c r="BP720" i="3"/>
  <c r="BO720" i="3"/>
  <c r="BN720" i="3"/>
  <c r="BM720" i="3"/>
  <c r="BL720" i="3"/>
  <c r="BK720" i="3"/>
  <c r="BJ720" i="3"/>
  <c r="BI720" i="3"/>
  <c r="BH720" i="3"/>
  <c r="BG720" i="3"/>
  <c r="BF720" i="3"/>
  <c r="BE720" i="3"/>
  <c r="BD720" i="3"/>
  <c r="BC720" i="3"/>
  <c r="BB720" i="3"/>
  <c r="BA720" i="3"/>
  <c r="AZ720" i="3"/>
  <c r="AY720" i="3"/>
  <c r="AX720" i="3"/>
  <c r="AW720" i="3"/>
  <c r="AV720" i="3"/>
  <c r="AU720" i="3"/>
  <c r="AT720" i="3"/>
  <c r="AS720" i="3"/>
  <c r="AR720" i="3"/>
  <c r="AQ720" i="3"/>
  <c r="AP720" i="3"/>
  <c r="AO720" i="3"/>
  <c r="AN720" i="3"/>
  <c r="AM720" i="3"/>
  <c r="BS719" i="3"/>
  <c r="BR719" i="3"/>
  <c r="BQ719" i="3"/>
  <c r="BP719" i="3"/>
  <c r="BO719" i="3"/>
  <c r="BN719" i="3"/>
  <c r="BM719" i="3"/>
  <c r="BL719" i="3"/>
  <c r="BK719" i="3"/>
  <c r="BJ719" i="3"/>
  <c r="BI719" i="3"/>
  <c r="BH719" i="3"/>
  <c r="BG719" i="3"/>
  <c r="BF719" i="3"/>
  <c r="BE719" i="3"/>
  <c r="BD719" i="3"/>
  <c r="BC719" i="3"/>
  <c r="BB719" i="3"/>
  <c r="BA719" i="3"/>
  <c r="AZ719" i="3"/>
  <c r="AY719" i="3"/>
  <c r="AX719" i="3"/>
  <c r="AW719" i="3"/>
  <c r="AV719" i="3"/>
  <c r="AU719" i="3"/>
  <c r="AT719" i="3"/>
  <c r="AS719" i="3"/>
  <c r="AR719" i="3"/>
  <c r="AQ719" i="3"/>
  <c r="AP719" i="3"/>
  <c r="AO719" i="3"/>
  <c r="AN719" i="3"/>
  <c r="AM719" i="3"/>
  <c r="BS718" i="3"/>
  <c r="BR718" i="3"/>
  <c r="BQ718" i="3"/>
  <c r="BP718" i="3"/>
  <c r="BO718" i="3"/>
  <c r="BN718" i="3"/>
  <c r="BM718" i="3"/>
  <c r="BL718" i="3"/>
  <c r="BK718" i="3"/>
  <c r="BJ718" i="3"/>
  <c r="BI718" i="3"/>
  <c r="BH718" i="3"/>
  <c r="BG718" i="3"/>
  <c r="BF718" i="3"/>
  <c r="BE718" i="3"/>
  <c r="BD718" i="3"/>
  <c r="BC718" i="3"/>
  <c r="BB718" i="3"/>
  <c r="BA718" i="3"/>
  <c r="AZ718" i="3"/>
  <c r="AY718" i="3"/>
  <c r="AX718" i="3"/>
  <c r="AW718" i="3"/>
  <c r="AV718" i="3"/>
  <c r="AU718" i="3"/>
  <c r="AT718" i="3"/>
  <c r="AS718" i="3"/>
  <c r="AR718" i="3"/>
  <c r="AQ718" i="3"/>
  <c r="AP718" i="3"/>
  <c r="AO718" i="3"/>
  <c r="AN718" i="3"/>
  <c r="AM718" i="3"/>
  <c r="BS717" i="3"/>
  <c r="BR717" i="3"/>
  <c r="BQ717" i="3"/>
  <c r="BP717" i="3"/>
  <c r="BO717" i="3"/>
  <c r="BN717" i="3"/>
  <c r="BM717" i="3"/>
  <c r="BL717" i="3"/>
  <c r="BK717" i="3"/>
  <c r="BJ717" i="3"/>
  <c r="BI717" i="3"/>
  <c r="BH717" i="3"/>
  <c r="BG717" i="3"/>
  <c r="BF717" i="3"/>
  <c r="BE717" i="3"/>
  <c r="BD717" i="3"/>
  <c r="BC717" i="3"/>
  <c r="BB717" i="3"/>
  <c r="BA717" i="3"/>
  <c r="AZ717" i="3"/>
  <c r="AY717" i="3"/>
  <c r="AX717" i="3"/>
  <c r="AW717" i="3"/>
  <c r="AV717" i="3"/>
  <c r="AU717" i="3"/>
  <c r="AT717" i="3"/>
  <c r="AS717" i="3"/>
  <c r="AR717" i="3"/>
  <c r="AQ717" i="3"/>
  <c r="AP717" i="3"/>
  <c r="AO717" i="3"/>
  <c r="AN717" i="3"/>
  <c r="AM717" i="3"/>
  <c r="BS716" i="3"/>
  <c r="BR716" i="3"/>
  <c r="BQ716" i="3"/>
  <c r="BP716" i="3"/>
  <c r="BO716" i="3"/>
  <c r="BN716" i="3"/>
  <c r="BM716" i="3"/>
  <c r="BL716" i="3"/>
  <c r="BK716" i="3"/>
  <c r="BJ716" i="3"/>
  <c r="BI716" i="3"/>
  <c r="BH716" i="3"/>
  <c r="BG716" i="3"/>
  <c r="BF716" i="3"/>
  <c r="BE716" i="3"/>
  <c r="BD716" i="3"/>
  <c r="BC716" i="3"/>
  <c r="BB716" i="3"/>
  <c r="BA716" i="3"/>
  <c r="AZ716" i="3"/>
  <c r="AY716" i="3"/>
  <c r="AX716" i="3"/>
  <c r="AW716" i="3"/>
  <c r="AV716" i="3"/>
  <c r="AU716" i="3"/>
  <c r="AT716" i="3"/>
  <c r="AS716" i="3"/>
  <c r="AR716" i="3"/>
  <c r="AQ716" i="3"/>
  <c r="AP716" i="3"/>
  <c r="AO716" i="3"/>
  <c r="AN716" i="3"/>
  <c r="AM716" i="3"/>
  <c r="C716" i="3"/>
  <c r="BS715" i="3"/>
  <c r="BR715" i="3"/>
  <c r="BQ715" i="3"/>
  <c r="BP715" i="3"/>
  <c r="BO715" i="3"/>
  <c r="BN715" i="3"/>
  <c r="BM715" i="3"/>
  <c r="BL715" i="3"/>
  <c r="BK715" i="3"/>
  <c r="BJ715" i="3"/>
  <c r="BI715" i="3"/>
  <c r="BH715" i="3"/>
  <c r="BG715" i="3"/>
  <c r="BF715" i="3"/>
  <c r="BE715" i="3"/>
  <c r="BD715" i="3"/>
  <c r="BC715" i="3"/>
  <c r="BB715" i="3"/>
  <c r="BA715" i="3"/>
  <c r="AZ715" i="3"/>
  <c r="AY715" i="3"/>
  <c r="AX715" i="3"/>
  <c r="AW715" i="3"/>
  <c r="AV715" i="3"/>
  <c r="AU715" i="3"/>
  <c r="AT715" i="3"/>
  <c r="AS715" i="3"/>
  <c r="AR715" i="3"/>
  <c r="AQ715" i="3"/>
  <c r="AP715" i="3"/>
  <c r="AO715" i="3"/>
  <c r="AN715" i="3"/>
  <c r="AM715" i="3"/>
  <c r="A715" i="3"/>
  <c r="BS714" i="3"/>
  <c r="BR714" i="3"/>
  <c r="BQ714" i="3"/>
  <c r="BP714" i="3"/>
  <c r="BO714" i="3"/>
  <c r="BN714" i="3"/>
  <c r="BM714" i="3"/>
  <c r="BL714" i="3"/>
  <c r="BK714" i="3"/>
  <c r="BJ714" i="3"/>
  <c r="BI714" i="3"/>
  <c r="BH714" i="3"/>
  <c r="BG714" i="3"/>
  <c r="BF714" i="3"/>
  <c r="BE714" i="3"/>
  <c r="BD714" i="3"/>
  <c r="BC714" i="3"/>
  <c r="BB714" i="3"/>
  <c r="BA714" i="3"/>
  <c r="AZ714" i="3"/>
  <c r="AY714" i="3"/>
  <c r="AX714" i="3"/>
  <c r="AW714" i="3"/>
  <c r="AV714" i="3"/>
  <c r="AU714" i="3"/>
  <c r="AT714" i="3"/>
  <c r="AS714" i="3"/>
  <c r="AR714" i="3"/>
  <c r="AQ714" i="3"/>
  <c r="AP714" i="3"/>
  <c r="AO714" i="3"/>
  <c r="AN714" i="3"/>
  <c r="AM714" i="3"/>
  <c r="A714" i="3"/>
  <c r="BS713" i="3"/>
  <c r="BR713" i="3"/>
  <c r="BQ713" i="3"/>
  <c r="BP713" i="3"/>
  <c r="BO713" i="3"/>
  <c r="BN713" i="3"/>
  <c r="BM713" i="3"/>
  <c r="BL713" i="3"/>
  <c r="BK713" i="3"/>
  <c r="BJ713" i="3"/>
  <c r="BI713" i="3"/>
  <c r="BH713" i="3"/>
  <c r="BG713" i="3"/>
  <c r="BF713" i="3"/>
  <c r="BE713" i="3"/>
  <c r="BD713" i="3"/>
  <c r="BC713" i="3"/>
  <c r="BB713" i="3"/>
  <c r="BA713" i="3"/>
  <c r="AZ713" i="3"/>
  <c r="AY713" i="3"/>
  <c r="AX713" i="3"/>
  <c r="AW713" i="3"/>
  <c r="AV713" i="3"/>
  <c r="AU713" i="3"/>
  <c r="AT713" i="3"/>
  <c r="AS713" i="3"/>
  <c r="AR713" i="3"/>
  <c r="AQ713" i="3"/>
  <c r="AP713" i="3"/>
  <c r="AO713" i="3"/>
  <c r="AN713" i="3"/>
  <c r="AM713" i="3"/>
  <c r="BS712" i="3"/>
  <c r="BR712" i="3"/>
  <c r="BQ712" i="3"/>
  <c r="BP712" i="3"/>
  <c r="BO712" i="3"/>
  <c r="BN712" i="3"/>
  <c r="BM712" i="3"/>
  <c r="BL712" i="3"/>
  <c r="BK712" i="3"/>
  <c r="BJ712" i="3"/>
  <c r="BI712" i="3"/>
  <c r="BH712" i="3"/>
  <c r="BG712" i="3"/>
  <c r="BF712" i="3"/>
  <c r="BE712" i="3"/>
  <c r="BD712" i="3"/>
  <c r="BC712" i="3"/>
  <c r="BB712" i="3"/>
  <c r="BA712" i="3"/>
  <c r="AZ712" i="3"/>
  <c r="AY712" i="3"/>
  <c r="AX712" i="3"/>
  <c r="AW712" i="3"/>
  <c r="AV712" i="3"/>
  <c r="AU712" i="3"/>
  <c r="AT712" i="3"/>
  <c r="AS712" i="3"/>
  <c r="AR712" i="3"/>
  <c r="AQ712" i="3"/>
  <c r="AP712" i="3"/>
  <c r="AO712" i="3"/>
  <c r="AN712" i="3"/>
  <c r="AM712" i="3"/>
  <c r="BS711" i="3"/>
  <c r="BR711" i="3"/>
  <c r="BQ711" i="3"/>
  <c r="BP711" i="3"/>
  <c r="BO711" i="3"/>
  <c r="BN711" i="3"/>
  <c r="BM711" i="3"/>
  <c r="BL711" i="3"/>
  <c r="BK711" i="3"/>
  <c r="BJ711" i="3"/>
  <c r="BI711" i="3"/>
  <c r="BH711" i="3"/>
  <c r="BG711" i="3"/>
  <c r="BF711" i="3"/>
  <c r="BE711" i="3"/>
  <c r="BD711" i="3"/>
  <c r="BC711" i="3"/>
  <c r="BB711" i="3"/>
  <c r="BA711" i="3"/>
  <c r="AZ711" i="3"/>
  <c r="AY711" i="3"/>
  <c r="AX711" i="3"/>
  <c r="AW711" i="3"/>
  <c r="AV711" i="3"/>
  <c r="AU711" i="3"/>
  <c r="AT711" i="3"/>
  <c r="AS711" i="3"/>
  <c r="AR711" i="3"/>
  <c r="AQ711" i="3"/>
  <c r="AP711" i="3"/>
  <c r="AO711" i="3"/>
  <c r="AN711" i="3"/>
  <c r="AM711" i="3"/>
  <c r="BS710" i="3"/>
  <c r="BR710" i="3"/>
  <c r="BQ710" i="3"/>
  <c r="BP710" i="3"/>
  <c r="BO710" i="3"/>
  <c r="BN710" i="3"/>
  <c r="BM710" i="3"/>
  <c r="BL710" i="3"/>
  <c r="BK710" i="3"/>
  <c r="BJ710" i="3"/>
  <c r="BI710" i="3"/>
  <c r="BH710" i="3"/>
  <c r="BG710" i="3"/>
  <c r="BF710" i="3"/>
  <c r="BE710" i="3"/>
  <c r="BD710" i="3"/>
  <c r="BC710" i="3"/>
  <c r="BB710" i="3"/>
  <c r="BA710" i="3"/>
  <c r="AZ710" i="3"/>
  <c r="AY710" i="3"/>
  <c r="AX710" i="3"/>
  <c r="AW710" i="3"/>
  <c r="AV710" i="3"/>
  <c r="AU710" i="3"/>
  <c r="AT710" i="3"/>
  <c r="AS710" i="3"/>
  <c r="AR710" i="3"/>
  <c r="AQ710" i="3"/>
  <c r="AP710" i="3"/>
  <c r="AO710" i="3"/>
  <c r="AN710" i="3"/>
  <c r="AM710" i="3"/>
  <c r="BS709" i="3"/>
  <c r="BR709" i="3"/>
  <c r="BQ709" i="3"/>
  <c r="BP709" i="3"/>
  <c r="BO709" i="3"/>
  <c r="BN709" i="3"/>
  <c r="BM709" i="3"/>
  <c r="BL709" i="3"/>
  <c r="BK709" i="3"/>
  <c r="BJ709" i="3"/>
  <c r="BI709" i="3"/>
  <c r="BH709" i="3"/>
  <c r="BG709" i="3"/>
  <c r="BF709" i="3"/>
  <c r="BE709" i="3"/>
  <c r="BD709" i="3"/>
  <c r="BC709" i="3"/>
  <c r="BB709" i="3"/>
  <c r="BA709" i="3"/>
  <c r="AZ709" i="3"/>
  <c r="AY709" i="3"/>
  <c r="AX709" i="3"/>
  <c r="AW709" i="3"/>
  <c r="AV709" i="3"/>
  <c r="AU709" i="3"/>
  <c r="AT709" i="3"/>
  <c r="AS709" i="3"/>
  <c r="AR709" i="3"/>
  <c r="AQ709" i="3"/>
  <c r="AP709" i="3"/>
  <c r="AO709" i="3"/>
  <c r="AN709" i="3"/>
  <c r="AM709" i="3"/>
  <c r="BS708" i="3"/>
  <c r="BR708" i="3"/>
  <c r="BQ708" i="3"/>
  <c r="BP708" i="3"/>
  <c r="BO708" i="3"/>
  <c r="BN708" i="3"/>
  <c r="BM708" i="3"/>
  <c r="BL708" i="3"/>
  <c r="BK708" i="3"/>
  <c r="BJ708" i="3"/>
  <c r="BI708" i="3"/>
  <c r="BH708" i="3"/>
  <c r="BG708" i="3"/>
  <c r="BF708" i="3"/>
  <c r="BE708" i="3"/>
  <c r="BD708" i="3"/>
  <c r="BC708" i="3"/>
  <c r="BB708" i="3"/>
  <c r="BA708" i="3"/>
  <c r="AZ708" i="3"/>
  <c r="AY708" i="3"/>
  <c r="AX708" i="3"/>
  <c r="AW708" i="3"/>
  <c r="AV708" i="3"/>
  <c r="AU708" i="3"/>
  <c r="AT708" i="3"/>
  <c r="AS708" i="3"/>
  <c r="AR708" i="3"/>
  <c r="AQ708" i="3"/>
  <c r="AP708" i="3"/>
  <c r="AO708" i="3"/>
  <c r="AN708" i="3"/>
  <c r="AM708" i="3"/>
  <c r="BS707" i="3"/>
  <c r="BR707" i="3"/>
  <c r="BQ707" i="3"/>
  <c r="BP707" i="3"/>
  <c r="BO707" i="3"/>
  <c r="BN707" i="3"/>
  <c r="BM707" i="3"/>
  <c r="BL707" i="3"/>
  <c r="BK707" i="3"/>
  <c r="BJ707" i="3"/>
  <c r="BI707" i="3"/>
  <c r="BH707" i="3"/>
  <c r="BG707" i="3"/>
  <c r="BF707" i="3"/>
  <c r="BE707" i="3"/>
  <c r="BD707" i="3"/>
  <c r="BC707" i="3"/>
  <c r="BB707" i="3"/>
  <c r="BA707" i="3"/>
  <c r="AZ707" i="3"/>
  <c r="AY707" i="3"/>
  <c r="AX707" i="3"/>
  <c r="AW707" i="3"/>
  <c r="AV707" i="3"/>
  <c r="AU707" i="3"/>
  <c r="AT707" i="3"/>
  <c r="AS707" i="3"/>
  <c r="AR707" i="3"/>
  <c r="AQ707" i="3"/>
  <c r="AP707" i="3"/>
  <c r="AO707" i="3"/>
  <c r="AN707" i="3"/>
  <c r="AM707" i="3"/>
  <c r="BS706" i="3"/>
  <c r="BR706" i="3"/>
  <c r="BQ706" i="3"/>
  <c r="BP706" i="3"/>
  <c r="BO706" i="3"/>
  <c r="BN706" i="3"/>
  <c r="BM706" i="3"/>
  <c r="BL706" i="3"/>
  <c r="BK706" i="3"/>
  <c r="BJ706" i="3"/>
  <c r="BI706" i="3"/>
  <c r="BH706" i="3"/>
  <c r="BG706" i="3"/>
  <c r="BF706" i="3"/>
  <c r="BE706" i="3"/>
  <c r="BD706" i="3"/>
  <c r="BC706" i="3"/>
  <c r="BB706" i="3"/>
  <c r="BA706" i="3"/>
  <c r="AZ706" i="3"/>
  <c r="AY706" i="3"/>
  <c r="AX706" i="3"/>
  <c r="AW706" i="3"/>
  <c r="AV706" i="3"/>
  <c r="AU706" i="3"/>
  <c r="AT706" i="3"/>
  <c r="AS706" i="3"/>
  <c r="AR706" i="3"/>
  <c r="AQ706" i="3"/>
  <c r="AP706" i="3"/>
  <c r="AO706" i="3"/>
  <c r="AN706" i="3"/>
  <c r="AM706" i="3"/>
  <c r="BS705" i="3"/>
  <c r="BR705" i="3"/>
  <c r="BQ705" i="3"/>
  <c r="BP705" i="3"/>
  <c r="BO705" i="3"/>
  <c r="BN705" i="3"/>
  <c r="BM705" i="3"/>
  <c r="BL705" i="3"/>
  <c r="BK705" i="3"/>
  <c r="BJ705" i="3"/>
  <c r="BI705" i="3"/>
  <c r="BH705" i="3"/>
  <c r="BG705" i="3"/>
  <c r="BF705" i="3"/>
  <c r="BE705" i="3"/>
  <c r="BD705" i="3"/>
  <c r="BC705" i="3"/>
  <c r="BB705" i="3"/>
  <c r="BA705" i="3"/>
  <c r="AZ705" i="3"/>
  <c r="AY705" i="3"/>
  <c r="AX705" i="3"/>
  <c r="AW705" i="3"/>
  <c r="AV705" i="3"/>
  <c r="AU705" i="3"/>
  <c r="AT705" i="3"/>
  <c r="AS705" i="3"/>
  <c r="AR705" i="3"/>
  <c r="AQ705" i="3"/>
  <c r="AP705" i="3"/>
  <c r="AO705" i="3"/>
  <c r="AN705" i="3"/>
  <c r="AM705" i="3"/>
  <c r="BS704" i="3"/>
  <c r="BR704" i="3"/>
  <c r="BQ704" i="3"/>
  <c r="BP704" i="3"/>
  <c r="BO704" i="3"/>
  <c r="BN704" i="3"/>
  <c r="BM704" i="3"/>
  <c r="BL704" i="3"/>
  <c r="BK704" i="3"/>
  <c r="BJ704" i="3"/>
  <c r="BI704" i="3"/>
  <c r="BH704" i="3"/>
  <c r="BG704" i="3"/>
  <c r="BF704" i="3"/>
  <c r="BE704" i="3"/>
  <c r="BD704" i="3"/>
  <c r="BC704" i="3"/>
  <c r="BB704" i="3"/>
  <c r="BA704" i="3"/>
  <c r="AZ704" i="3"/>
  <c r="AY704" i="3"/>
  <c r="AX704" i="3"/>
  <c r="AW704" i="3"/>
  <c r="AV704" i="3"/>
  <c r="AU704" i="3"/>
  <c r="AT704" i="3"/>
  <c r="AS704" i="3"/>
  <c r="AR704" i="3"/>
  <c r="AQ704" i="3"/>
  <c r="AP704" i="3"/>
  <c r="AO704" i="3"/>
  <c r="AN704" i="3"/>
  <c r="AM704" i="3"/>
  <c r="E704" i="3"/>
  <c r="BS703" i="3"/>
  <c r="BR703" i="3"/>
  <c r="BQ703" i="3"/>
  <c r="BP703" i="3"/>
  <c r="BO703" i="3"/>
  <c r="BN703" i="3"/>
  <c r="BM703" i="3"/>
  <c r="BL703" i="3"/>
  <c r="BK703" i="3"/>
  <c r="BJ703" i="3"/>
  <c r="BI703" i="3"/>
  <c r="BH703" i="3"/>
  <c r="BG703" i="3"/>
  <c r="BF703" i="3"/>
  <c r="BE703" i="3"/>
  <c r="BD703" i="3"/>
  <c r="BC703" i="3"/>
  <c r="BB703" i="3"/>
  <c r="BA703" i="3"/>
  <c r="AZ703" i="3"/>
  <c r="AY703" i="3"/>
  <c r="AX703" i="3"/>
  <c r="AW703" i="3"/>
  <c r="AV703" i="3"/>
  <c r="AU703" i="3"/>
  <c r="AT703" i="3"/>
  <c r="AS703" i="3"/>
  <c r="AR703" i="3"/>
  <c r="AQ703" i="3"/>
  <c r="AP703" i="3"/>
  <c r="AO703" i="3"/>
  <c r="AN703" i="3"/>
  <c r="AM703" i="3"/>
  <c r="D703" i="3"/>
  <c r="C703" i="3"/>
  <c r="B703" i="3"/>
  <c r="BS702" i="3"/>
  <c r="BR702" i="3"/>
  <c r="BQ702" i="3"/>
  <c r="BP702" i="3"/>
  <c r="BO702" i="3"/>
  <c r="BN702" i="3"/>
  <c r="BM702" i="3"/>
  <c r="BL702" i="3"/>
  <c r="BK702" i="3"/>
  <c r="BJ702" i="3"/>
  <c r="BI702" i="3"/>
  <c r="BH702" i="3"/>
  <c r="BG702" i="3"/>
  <c r="BF702" i="3"/>
  <c r="BE702" i="3"/>
  <c r="BD702" i="3"/>
  <c r="BC702" i="3"/>
  <c r="BB702" i="3"/>
  <c r="BA702" i="3"/>
  <c r="AZ702" i="3"/>
  <c r="AY702" i="3"/>
  <c r="AX702" i="3"/>
  <c r="AW702" i="3"/>
  <c r="AV702" i="3"/>
  <c r="AU702" i="3"/>
  <c r="AT702" i="3"/>
  <c r="AS702" i="3"/>
  <c r="AR702" i="3"/>
  <c r="AQ702" i="3"/>
  <c r="AP702" i="3"/>
  <c r="AO702" i="3"/>
  <c r="AN702" i="3"/>
  <c r="AM702" i="3"/>
  <c r="A702" i="3"/>
  <c r="BS701" i="3"/>
  <c r="BR701" i="3"/>
  <c r="BQ701" i="3"/>
  <c r="BP701" i="3"/>
  <c r="BO701" i="3"/>
  <c r="BN701" i="3"/>
  <c r="BM701" i="3"/>
  <c r="BL701" i="3"/>
  <c r="BK701" i="3"/>
  <c r="BJ701" i="3"/>
  <c r="BI701" i="3"/>
  <c r="BH701" i="3"/>
  <c r="BG701" i="3"/>
  <c r="BF701" i="3"/>
  <c r="BE701" i="3"/>
  <c r="BD701" i="3"/>
  <c r="BC701" i="3"/>
  <c r="BB701" i="3"/>
  <c r="BA701" i="3"/>
  <c r="AZ701" i="3"/>
  <c r="AY701" i="3"/>
  <c r="AX701" i="3"/>
  <c r="AW701" i="3"/>
  <c r="AV701" i="3"/>
  <c r="AU701" i="3"/>
  <c r="AT701" i="3"/>
  <c r="AS701" i="3"/>
  <c r="AR701" i="3"/>
  <c r="AQ701" i="3"/>
  <c r="AP701" i="3"/>
  <c r="AO701" i="3"/>
  <c r="AN701" i="3"/>
  <c r="AM701" i="3"/>
  <c r="A701" i="3"/>
  <c r="BS700" i="3"/>
  <c r="BR700" i="3"/>
  <c r="BQ700" i="3"/>
  <c r="BP700" i="3"/>
  <c r="BO700" i="3"/>
  <c r="BN700" i="3"/>
  <c r="BM700" i="3"/>
  <c r="BL700" i="3"/>
  <c r="BK700" i="3"/>
  <c r="BJ700" i="3"/>
  <c r="BI700" i="3"/>
  <c r="BH700" i="3"/>
  <c r="BG700" i="3"/>
  <c r="BF700" i="3"/>
  <c r="BE700" i="3"/>
  <c r="BD700" i="3"/>
  <c r="BC700" i="3"/>
  <c r="BB700" i="3"/>
  <c r="BA700" i="3"/>
  <c r="AZ700" i="3"/>
  <c r="AY700" i="3"/>
  <c r="AX700" i="3"/>
  <c r="AW700" i="3"/>
  <c r="AV700" i="3"/>
  <c r="AU700" i="3"/>
  <c r="AT700" i="3"/>
  <c r="AS700" i="3"/>
  <c r="AR700" i="3"/>
  <c r="AQ700" i="3"/>
  <c r="AP700" i="3"/>
  <c r="AO700" i="3"/>
  <c r="AN700" i="3"/>
  <c r="AM700" i="3"/>
  <c r="BS699" i="3"/>
  <c r="BR699" i="3"/>
  <c r="BQ699" i="3"/>
  <c r="BP699" i="3"/>
  <c r="BO699" i="3"/>
  <c r="BN699" i="3"/>
  <c r="BM699" i="3"/>
  <c r="BL699" i="3"/>
  <c r="BK699" i="3"/>
  <c r="BJ699" i="3"/>
  <c r="BI699" i="3"/>
  <c r="BH699" i="3"/>
  <c r="BG699" i="3"/>
  <c r="BF699" i="3"/>
  <c r="BE699" i="3"/>
  <c r="BD699" i="3"/>
  <c r="BC699" i="3"/>
  <c r="BB699" i="3"/>
  <c r="BA699" i="3"/>
  <c r="AZ699" i="3"/>
  <c r="AY699" i="3"/>
  <c r="AX699" i="3"/>
  <c r="AW699" i="3"/>
  <c r="AV699" i="3"/>
  <c r="AU699" i="3"/>
  <c r="AT699" i="3"/>
  <c r="AS699" i="3"/>
  <c r="AR699" i="3"/>
  <c r="AQ699" i="3"/>
  <c r="AP699" i="3"/>
  <c r="AO699" i="3"/>
  <c r="AN699" i="3"/>
  <c r="AM699" i="3"/>
  <c r="D699" i="3"/>
  <c r="C699" i="3"/>
  <c r="BS698" i="3"/>
  <c r="BR698" i="3"/>
  <c r="BQ698" i="3"/>
  <c r="BP698" i="3"/>
  <c r="BO698" i="3"/>
  <c r="BN698" i="3"/>
  <c r="BM698" i="3"/>
  <c r="BL698" i="3"/>
  <c r="BK698" i="3"/>
  <c r="BJ698" i="3"/>
  <c r="BI698" i="3"/>
  <c r="BH698" i="3"/>
  <c r="BG698" i="3"/>
  <c r="BF698" i="3"/>
  <c r="BE698" i="3"/>
  <c r="BD698" i="3"/>
  <c r="BC698" i="3"/>
  <c r="BB698" i="3"/>
  <c r="BA698" i="3"/>
  <c r="AZ698" i="3"/>
  <c r="AY698" i="3"/>
  <c r="AX698" i="3"/>
  <c r="AW698" i="3"/>
  <c r="AV698" i="3"/>
  <c r="AU698" i="3"/>
  <c r="AT698" i="3"/>
  <c r="AS698" i="3"/>
  <c r="AR698" i="3"/>
  <c r="AQ698" i="3"/>
  <c r="AP698" i="3"/>
  <c r="AO698" i="3"/>
  <c r="AN698" i="3"/>
  <c r="AM698" i="3"/>
  <c r="BS697" i="3"/>
  <c r="BR697" i="3"/>
  <c r="BQ697" i="3"/>
  <c r="BP697" i="3"/>
  <c r="BO697" i="3"/>
  <c r="BN697" i="3"/>
  <c r="BM697" i="3"/>
  <c r="BL697" i="3"/>
  <c r="BK697" i="3"/>
  <c r="BJ697" i="3"/>
  <c r="BI697" i="3"/>
  <c r="BH697" i="3"/>
  <c r="BG697" i="3"/>
  <c r="BF697" i="3"/>
  <c r="BE697" i="3"/>
  <c r="BD697" i="3"/>
  <c r="BC697" i="3"/>
  <c r="BB697" i="3"/>
  <c r="BA697" i="3"/>
  <c r="AZ697" i="3"/>
  <c r="AY697" i="3"/>
  <c r="AX697" i="3"/>
  <c r="AW697" i="3"/>
  <c r="AV697" i="3"/>
  <c r="AU697" i="3"/>
  <c r="AT697" i="3"/>
  <c r="AS697" i="3"/>
  <c r="AR697" i="3"/>
  <c r="AQ697" i="3"/>
  <c r="AP697" i="3"/>
  <c r="AO697" i="3"/>
  <c r="AN697" i="3"/>
  <c r="AM697" i="3"/>
  <c r="B697" i="3"/>
  <c r="BS696" i="3"/>
  <c r="BR696" i="3"/>
  <c r="BQ696" i="3"/>
  <c r="BP696" i="3"/>
  <c r="BO696" i="3"/>
  <c r="BN696" i="3"/>
  <c r="BM696" i="3"/>
  <c r="BL696" i="3"/>
  <c r="BK696" i="3"/>
  <c r="BJ696" i="3"/>
  <c r="BI696" i="3"/>
  <c r="BH696" i="3"/>
  <c r="BG696" i="3"/>
  <c r="BF696" i="3"/>
  <c r="BE696" i="3"/>
  <c r="BD696" i="3"/>
  <c r="BC696" i="3"/>
  <c r="BB696" i="3"/>
  <c r="BA696" i="3"/>
  <c r="AZ696" i="3"/>
  <c r="AY696" i="3"/>
  <c r="AX696" i="3"/>
  <c r="AW696" i="3"/>
  <c r="AV696" i="3"/>
  <c r="AU696" i="3"/>
  <c r="AT696" i="3"/>
  <c r="AS696" i="3"/>
  <c r="AR696" i="3"/>
  <c r="AQ696" i="3"/>
  <c r="AP696" i="3"/>
  <c r="AO696" i="3"/>
  <c r="AN696" i="3"/>
  <c r="AM696" i="3"/>
  <c r="BS695" i="3"/>
  <c r="BR695" i="3"/>
  <c r="BQ695" i="3"/>
  <c r="BP695" i="3"/>
  <c r="BO695" i="3"/>
  <c r="BN695" i="3"/>
  <c r="BM695" i="3"/>
  <c r="BL695" i="3"/>
  <c r="BK695" i="3"/>
  <c r="BJ695" i="3"/>
  <c r="BI695" i="3"/>
  <c r="BH695" i="3"/>
  <c r="BG695" i="3"/>
  <c r="BF695" i="3"/>
  <c r="BE695" i="3"/>
  <c r="BD695" i="3"/>
  <c r="BC695" i="3"/>
  <c r="BB695" i="3"/>
  <c r="BA695" i="3"/>
  <c r="AZ695" i="3"/>
  <c r="AY695" i="3"/>
  <c r="AX695" i="3"/>
  <c r="AW695" i="3"/>
  <c r="AV695" i="3"/>
  <c r="AU695" i="3"/>
  <c r="AT695" i="3"/>
  <c r="AS695" i="3"/>
  <c r="AR695" i="3"/>
  <c r="AQ695" i="3"/>
  <c r="AP695" i="3"/>
  <c r="AO695" i="3"/>
  <c r="AN695" i="3"/>
  <c r="AM695" i="3"/>
  <c r="BS694" i="3"/>
  <c r="BR694" i="3"/>
  <c r="BQ694" i="3"/>
  <c r="BP694" i="3"/>
  <c r="BO694" i="3"/>
  <c r="BN694" i="3"/>
  <c r="BM694" i="3"/>
  <c r="BL694" i="3"/>
  <c r="BK694" i="3"/>
  <c r="BJ694" i="3"/>
  <c r="BI694" i="3"/>
  <c r="BH694" i="3"/>
  <c r="BG694" i="3"/>
  <c r="BF694" i="3"/>
  <c r="BE694" i="3"/>
  <c r="BD694" i="3"/>
  <c r="BC694" i="3"/>
  <c r="BB694" i="3"/>
  <c r="BA694" i="3"/>
  <c r="AZ694" i="3"/>
  <c r="AY694" i="3"/>
  <c r="AX694" i="3"/>
  <c r="AW694" i="3"/>
  <c r="AV694" i="3"/>
  <c r="AU694" i="3"/>
  <c r="AT694" i="3"/>
  <c r="AS694" i="3"/>
  <c r="AR694" i="3"/>
  <c r="AQ694" i="3"/>
  <c r="AP694" i="3"/>
  <c r="AO694" i="3"/>
  <c r="AN694" i="3"/>
  <c r="AM694" i="3"/>
  <c r="A694" i="3"/>
  <c r="BS693" i="3"/>
  <c r="BR693" i="3"/>
  <c r="BQ693" i="3"/>
  <c r="BP693" i="3"/>
  <c r="BO693" i="3"/>
  <c r="BN693" i="3"/>
  <c r="BM693" i="3"/>
  <c r="BL693" i="3"/>
  <c r="BK693" i="3"/>
  <c r="BJ693" i="3"/>
  <c r="BI693" i="3"/>
  <c r="BH693" i="3"/>
  <c r="BG693" i="3"/>
  <c r="BF693" i="3"/>
  <c r="BE693" i="3"/>
  <c r="BD693" i="3"/>
  <c r="BC693" i="3"/>
  <c r="BB693" i="3"/>
  <c r="BA693" i="3"/>
  <c r="AZ693" i="3"/>
  <c r="AY693" i="3"/>
  <c r="AX693" i="3"/>
  <c r="AW693" i="3"/>
  <c r="AV693" i="3"/>
  <c r="AU693" i="3"/>
  <c r="AT693" i="3"/>
  <c r="AS693" i="3"/>
  <c r="AR693" i="3"/>
  <c r="AQ693" i="3"/>
  <c r="AP693" i="3"/>
  <c r="AO693" i="3"/>
  <c r="AN693" i="3"/>
  <c r="AM693" i="3"/>
  <c r="BS692" i="3"/>
  <c r="BR692" i="3"/>
  <c r="BQ692" i="3"/>
  <c r="BP692" i="3"/>
  <c r="BO692" i="3"/>
  <c r="BN692" i="3"/>
  <c r="BM692" i="3"/>
  <c r="BL692" i="3"/>
  <c r="BK692" i="3"/>
  <c r="BJ692" i="3"/>
  <c r="BI692" i="3"/>
  <c r="BH692" i="3"/>
  <c r="BG692" i="3"/>
  <c r="BF692" i="3"/>
  <c r="BE692" i="3"/>
  <c r="BD692" i="3"/>
  <c r="BC692" i="3"/>
  <c r="BB692" i="3"/>
  <c r="BA692" i="3"/>
  <c r="AZ692" i="3"/>
  <c r="AY692" i="3"/>
  <c r="AX692" i="3"/>
  <c r="AW692" i="3"/>
  <c r="AV692" i="3"/>
  <c r="AU692" i="3"/>
  <c r="AT692" i="3"/>
  <c r="AS692" i="3"/>
  <c r="AR692" i="3"/>
  <c r="AQ692" i="3"/>
  <c r="AP692" i="3"/>
  <c r="AO692" i="3"/>
  <c r="AN692" i="3"/>
  <c r="AM692" i="3"/>
  <c r="C692" i="3"/>
  <c r="BS691" i="3"/>
  <c r="BR691" i="3"/>
  <c r="BQ691" i="3"/>
  <c r="BP691" i="3"/>
  <c r="BO691" i="3"/>
  <c r="BN691" i="3"/>
  <c r="BM691" i="3"/>
  <c r="BL691" i="3"/>
  <c r="BK691" i="3"/>
  <c r="BJ691" i="3"/>
  <c r="BI691" i="3"/>
  <c r="BH691" i="3"/>
  <c r="BG691" i="3"/>
  <c r="BF691" i="3"/>
  <c r="BE691" i="3"/>
  <c r="BD691" i="3"/>
  <c r="BC691" i="3"/>
  <c r="BB691" i="3"/>
  <c r="BA691" i="3"/>
  <c r="AZ691" i="3"/>
  <c r="AY691" i="3"/>
  <c r="AX691" i="3"/>
  <c r="AW691" i="3"/>
  <c r="AV691" i="3"/>
  <c r="AU691" i="3"/>
  <c r="AT691" i="3"/>
  <c r="AS691" i="3"/>
  <c r="AR691" i="3"/>
  <c r="AQ691" i="3"/>
  <c r="AP691" i="3"/>
  <c r="AO691" i="3"/>
  <c r="AN691" i="3"/>
  <c r="AM691" i="3"/>
  <c r="BS690" i="3"/>
  <c r="BR690" i="3"/>
  <c r="BQ690" i="3"/>
  <c r="BP690" i="3"/>
  <c r="BO690" i="3"/>
  <c r="BN690" i="3"/>
  <c r="BM690" i="3"/>
  <c r="BL690" i="3"/>
  <c r="BK690" i="3"/>
  <c r="BJ690" i="3"/>
  <c r="BI690" i="3"/>
  <c r="BH690" i="3"/>
  <c r="BG690" i="3"/>
  <c r="BF690" i="3"/>
  <c r="BE690" i="3"/>
  <c r="BD690" i="3"/>
  <c r="BC690" i="3"/>
  <c r="BB690" i="3"/>
  <c r="BA690" i="3"/>
  <c r="AZ690" i="3"/>
  <c r="AY690" i="3"/>
  <c r="AX690" i="3"/>
  <c r="AW690" i="3"/>
  <c r="AV690" i="3"/>
  <c r="AU690" i="3"/>
  <c r="AT690" i="3"/>
  <c r="AS690" i="3"/>
  <c r="AR690" i="3"/>
  <c r="AQ690" i="3"/>
  <c r="AP690" i="3"/>
  <c r="AO690" i="3"/>
  <c r="AN690" i="3"/>
  <c r="AM690" i="3"/>
  <c r="BS689" i="3"/>
  <c r="BR689" i="3"/>
  <c r="BQ689" i="3"/>
  <c r="BP689" i="3"/>
  <c r="BO689" i="3"/>
  <c r="BN689" i="3"/>
  <c r="BM689" i="3"/>
  <c r="BL689" i="3"/>
  <c r="BK689" i="3"/>
  <c r="BJ689" i="3"/>
  <c r="BI689" i="3"/>
  <c r="BH689" i="3"/>
  <c r="BG689" i="3"/>
  <c r="BF689" i="3"/>
  <c r="BE689" i="3"/>
  <c r="BD689" i="3"/>
  <c r="BC689" i="3"/>
  <c r="BB689" i="3"/>
  <c r="BA689" i="3"/>
  <c r="AZ689" i="3"/>
  <c r="AY689" i="3"/>
  <c r="AX689" i="3"/>
  <c r="AW689" i="3"/>
  <c r="AV689" i="3"/>
  <c r="AU689" i="3"/>
  <c r="AT689" i="3"/>
  <c r="AS689" i="3"/>
  <c r="AR689" i="3"/>
  <c r="AQ689" i="3"/>
  <c r="AP689" i="3"/>
  <c r="AO689" i="3"/>
  <c r="AN689" i="3"/>
  <c r="AM689" i="3"/>
  <c r="BS688" i="3"/>
  <c r="BR688" i="3"/>
  <c r="BQ688" i="3"/>
  <c r="BP688" i="3"/>
  <c r="BO688" i="3"/>
  <c r="BN688" i="3"/>
  <c r="BM688" i="3"/>
  <c r="BL688" i="3"/>
  <c r="BK688" i="3"/>
  <c r="BJ688" i="3"/>
  <c r="BI688" i="3"/>
  <c r="BH688" i="3"/>
  <c r="BG688" i="3"/>
  <c r="BF688" i="3"/>
  <c r="BE688" i="3"/>
  <c r="BD688" i="3"/>
  <c r="BC688" i="3"/>
  <c r="BB688" i="3"/>
  <c r="BA688" i="3"/>
  <c r="AZ688" i="3"/>
  <c r="AY688" i="3"/>
  <c r="AX688" i="3"/>
  <c r="AW688" i="3"/>
  <c r="AV688" i="3"/>
  <c r="AU688" i="3"/>
  <c r="AT688" i="3"/>
  <c r="AS688" i="3"/>
  <c r="AR688" i="3"/>
  <c r="AQ688" i="3"/>
  <c r="AP688" i="3"/>
  <c r="AO688" i="3"/>
  <c r="AN688" i="3"/>
  <c r="AM688" i="3"/>
  <c r="D688" i="3"/>
  <c r="BS687" i="3"/>
  <c r="BR687" i="3"/>
  <c r="BQ687" i="3"/>
  <c r="BP687" i="3"/>
  <c r="BO687" i="3"/>
  <c r="BN687" i="3"/>
  <c r="BM687" i="3"/>
  <c r="BL687" i="3"/>
  <c r="BK687" i="3"/>
  <c r="BJ687" i="3"/>
  <c r="BI687" i="3"/>
  <c r="BH687" i="3"/>
  <c r="BG687" i="3"/>
  <c r="BF687" i="3"/>
  <c r="BE687" i="3"/>
  <c r="BD687" i="3"/>
  <c r="BC687" i="3"/>
  <c r="BB687" i="3"/>
  <c r="BA687" i="3"/>
  <c r="AZ687" i="3"/>
  <c r="AY687" i="3"/>
  <c r="AX687" i="3"/>
  <c r="AW687" i="3"/>
  <c r="AV687" i="3"/>
  <c r="AU687" i="3"/>
  <c r="AT687" i="3"/>
  <c r="AS687" i="3"/>
  <c r="AR687" i="3"/>
  <c r="AQ687" i="3"/>
  <c r="AP687" i="3"/>
  <c r="AO687" i="3"/>
  <c r="AN687" i="3"/>
  <c r="AM687" i="3"/>
  <c r="BS686" i="3"/>
  <c r="BR686" i="3"/>
  <c r="BQ686" i="3"/>
  <c r="BP686" i="3"/>
  <c r="BO686" i="3"/>
  <c r="BN686" i="3"/>
  <c r="BM686" i="3"/>
  <c r="BL686" i="3"/>
  <c r="BK686" i="3"/>
  <c r="BJ686" i="3"/>
  <c r="BI686" i="3"/>
  <c r="BH686" i="3"/>
  <c r="BG686" i="3"/>
  <c r="BF686" i="3"/>
  <c r="BE686" i="3"/>
  <c r="BD686" i="3"/>
  <c r="BC686" i="3"/>
  <c r="BB686" i="3"/>
  <c r="BA686" i="3"/>
  <c r="AZ686" i="3"/>
  <c r="AY686" i="3"/>
  <c r="AX686" i="3"/>
  <c r="AW686" i="3"/>
  <c r="AV686" i="3"/>
  <c r="AU686" i="3"/>
  <c r="AT686" i="3"/>
  <c r="AS686" i="3"/>
  <c r="AR686" i="3"/>
  <c r="AQ686" i="3"/>
  <c r="AP686" i="3"/>
  <c r="AO686" i="3"/>
  <c r="AN686" i="3"/>
  <c r="AM686" i="3"/>
  <c r="BS685" i="3"/>
  <c r="BR685" i="3"/>
  <c r="BQ685" i="3"/>
  <c r="BP685" i="3"/>
  <c r="BO685" i="3"/>
  <c r="BN685" i="3"/>
  <c r="BM685" i="3"/>
  <c r="BL685" i="3"/>
  <c r="BK685" i="3"/>
  <c r="BJ685" i="3"/>
  <c r="BI685" i="3"/>
  <c r="BH685" i="3"/>
  <c r="BG685" i="3"/>
  <c r="BF685" i="3"/>
  <c r="BE685" i="3"/>
  <c r="BD685" i="3"/>
  <c r="BC685" i="3"/>
  <c r="BB685" i="3"/>
  <c r="BA685" i="3"/>
  <c r="AZ685" i="3"/>
  <c r="AY685" i="3"/>
  <c r="AX685" i="3"/>
  <c r="AW685" i="3"/>
  <c r="AV685" i="3"/>
  <c r="AU685" i="3"/>
  <c r="AT685" i="3"/>
  <c r="AS685" i="3"/>
  <c r="AR685" i="3"/>
  <c r="AQ685" i="3"/>
  <c r="AP685" i="3"/>
  <c r="AO685" i="3"/>
  <c r="AN685" i="3"/>
  <c r="AM685" i="3"/>
  <c r="E685" i="3"/>
  <c r="BS684" i="3"/>
  <c r="BR684" i="3"/>
  <c r="BQ684" i="3"/>
  <c r="BP684" i="3"/>
  <c r="BO684" i="3"/>
  <c r="BN684" i="3"/>
  <c r="BM684" i="3"/>
  <c r="BL684" i="3"/>
  <c r="BK684" i="3"/>
  <c r="BJ684" i="3"/>
  <c r="BI684" i="3"/>
  <c r="BH684" i="3"/>
  <c r="BG684" i="3"/>
  <c r="BF684" i="3"/>
  <c r="BE684" i="3"/>
  <c r="BD684" i="3"/>
  <c r="BC684" i="3"/>
  <c r="BB684" i="3"/>
  <c r="BA684" i="3"/>
  <c r="AZ684" i="3"/>
  <c r="AY684" i="3"/>
  <c r="AX684" i="3"/>
  <c r="AW684" i="3"/>
  <c r="AV684" i="3"/>
  <c r="AU684" i="3"/>
  <c r="AT684" i="3"/>
  <c r="AS684" i="3"/>
  <c r="AR684" i="3"/>
  <c r="AQ684" i="3"/>
  <c r="AP684" i="3"/>
  <c r="AO684" i="3"/>
  <c r="AN684" i="3"/>
  <c r="AM684" i="3"/>
  <c r="C684" i="3"/>
  <c r="BS683" i="3"/>
  <c r="BR683" i="3"/>
  <c r="BQ683" i="3"/>
  <c r="BP683" i="3"/>
  <c r="BO683" i="3"/>
  <c r="BN683" i="3"/>
  <c r="BM683" i="3"/>
  <c r="BL683" i="3"/>
  <c r="BK683" i="3"/>
  <c r="BJ683" i="3"/>
  <c r="BI683" i="3"/>
  <c r="BH683" i="3"/>
  <c r="BG683" i="3"/>
  <c r="BF683" i="3"/>
  <c r="BE683" i="3"/>
  <c r="BD683" i="3"/>
  <c r="BC683" i="3"/>
  <c r="BB683" i="3"/>
  <c r="BA683" i="3"/>
  <c r="AZ683" i="3"/>
  <c r="AY683" i="3"/>
  <c r="AX683" i="3"/>
  <c r="AW683" i="3"/>
  <c r="AV683" i="3"/>
  <c r="AU683" i="3"/>
  <c r="AT683" i="3"/>
  <c r="AS683" i="3"/>
  <c r="AR683" i="3"/>
  <c r="AQ683" i="3"/>
  <c r="AP683" i="3"/>
  <c r="AO683" i="3"/>
  <c r="AN683" i="3"/>
  <c r="AM683" i="3"/>
  <c r="BS682" i="3"/>
  <c r="BR682" i="3"/>
  <c r="BQ682" i="3"/>
  <c r="BP682" i="3"/>
  <c r="BO682" i="3"/>
  <c r="BN682" i="3"/>
  <c r="BM682" i="3"/>
  <c r="BL682" i="3"/>
  <c r="BK682" i="3"/>
  <c r="BJ682" i="3"/>
  <c r="BI682" i="3"/>
  <c r="BH682" i="3"/>
  <c r="BG682" i="3"/>
  <c r="BF682" i="3"/>
  <c r="BE682" i="3"/>
  <c r="BD682" i="3"/>
  <c r="BC682" i="3"/>
  <c r="BB682" i="3"/>
  <c r="BA682" i="3"/>
  <c r="AZ682" i="3"/>
  <c r="AY682" i="3"/>
  <c r="AX682" i="3"/>
  <c r="AW682" i="3"/>
  <c r="AV682" i="3"/>
  <c r="AU682" i="3"/>
  <c r="AT682" i="3"/>
  <c r="AS682" i="3"/>
  <c r="AR682" i="3"/>
  <c r="AQ682" i="3"/>
  <c r="AP682" i="3"/>
  <c r="AO682" i="3"/>
  <c r="AN682" i="3"/>
  <c r="AM682" i="3"/>
  <c r="BS681" i="3"/>
  <c r="BR681" i="3"/>
  <c r="BQ681" i="3"/>
  <c r="BP681" i="3"/>
  <c r="BO681" i="3"/>
  <c r="BN681" i="3"/>
  <c r="BM681" i="3"/>
  <c r="BL681" i="3"/>
  <c r="BK681" i="3"/>
  <c r="BJ681" i="3"/>
  <c r="BI681" i="3"/>
  <c r="BH681" i="3"/>
  <c r="BG681" i="3"/>
  <c r="BF681" i="3"/>
  <c r="BE681" i="3"/>
  <c r="BD681" i="3"/>
  <c r="BC681" i="3"/>
  <c r="BB681" i="3"/>
  <c r="BA681" i="3"/>
  <c r="AZ681" i="3"/>
  <c r="AY681" i="3"/>
  <c r="AX681" i="3"/>
  <c r="AW681" i="3"/>
  <c r="AV681" i="3"/>
  <c r="AU681" i="3"/>
  <c r="AT681" i="3"/>
  <c r="AS681" i="3"/>
  <c r="AR681" i="3"/>
  <c r="AQ681" i="3"/>
  <c r="AP681" i="3"/>
  <c r="AO681" i="3"/>
  <c r="AN681" i="3"/>
  <c r="AM681" i="3"/>
  <c r="B681" i="3"/>
  <c r="BS680" i="3"/>
  <c r="BR680" i="3"/>
  <c r="BQ680" i="3"/>
  <c r="BP680" i="3"/>
  <c r="BO680" i="3"/>
  <c r="BN680" i="3"/>
  <c r="BM680" i="3"/>
  <c r="BL680" i="3"/>
  <c r="BK680" i="3"/>
  <c r="BJ680" i="3"/>
  <c r="BI680" i="3"/>
  <c r="BH680" i="3"/>
  <c r="BG680" i="3"/>
  <c r="BF680" i="3"/>
  <c r="BE680" i="3"/>
  <c r="BD680" i="3"/>
  <c r="BC680" i="3"/>
  <c r="BB680" i="3"/>
  <c r="BA680" i="3"/>
  <c r="AZ680" i="3"/>
  <c r="AY680" i="3"/>
  <c r="AX680" i="3"/>
  <c r="AW680" i="3"/>
  <c r="AV680" i="3"/>
  <c r="AU680" i="3"/>
  <c r="AT680" i="3"/>
  <c r="AS680" i="3"/>
  <c r="AR680" i="3"/>
  <c r="AQ680" i="3"/>
  <c r="AP680" i="3"/>
  <c r="AO680" i="3"/>
  <c r="AN680" i="3"/>
  <c r="AM680" i="3"/>
  <c r="BS679" i="3"/>
  <c r="BR679" i="3"/>
  <c r="BQ679" i="3"/>
  <c r="BP679" i="3"/>
  <c r="BO679" i="3"/>
  <c r="BN679" i="3"/>
  <c r="BM679" i="3"/>
  <c r="BL679" i="3"/>
  <c r="BK679" i="3"/>
  <c r="BJ679" i="3"/>
  <c r="BI679" i="3"/>
  <c r="BH679" i="3"/>
  <c r="BG679" i="3"/>
  <c r="BF679" i="3"/>
  <c r="BE679" i="3"/>
  <c r="BD679" i="3"/>
  <c r="BC679" i="3"/>
  <c r="BB679" i="3"/>
  <c r="BA679" i="3"/>
  <c r="AZ679" i="3"/>
  <c r="AY679" i="3"/>
  <c r="AX679" i="3"/>
  <c r="AW679" i="3"/>
  <c r="AV679" i="3"/>
  <c r="AU679" i="3"/>
  <c r="AT679" i="3"/>
  <c r="AS679" i="3"/>
  <c r="AR679" i="3"/>
  <c r="AQ679" i="3"/>
  <c r="AP679" i="3"/>
  <c r="AO679" i="3"/>
  <c r="AN679" i="3"/>
  <c r="AM679" i="3"/>
  <c r="E679" i="3"/>
  <c r="BS678" i="3"/>
  <c r="BR678" i="3"/>
  <c r="BQ678" i="3"/>
  <c r="BP678" i="3"/>
  <c r="BO678" i="3"/>
  <c r="BN678" i="3"/>
  <c r="BM678" i="3"/>
  <c r="BL678" i="3"/>
  <c r="BK678" i="3"/>
  <c r="BJ678" i="3"/>
  <c r="BI678" i="3"/>
  <c r="BH678" i="3"/>
  <c r="BG678" i="3"/>
  <c r="BF678" i="3"/>
  <c r="BE678" i="3"/>
  <c r="BD678" i="3"/>
  <c r="BC678" i="3"/>
  <c r="BB678" i="3"/>
  <c r="BA678" i="3"/>
  <c r="AZ678" i="3"/>
  <c r="AY678" i="3"/>
  <c r="AX678" i="3"/>
  <c r="AW678" i="3"/>
  <c r="AV678" i="3"/>
  <c r="AU678" i="3"/>
  <c r="AT678" i="3"/>
  <c r="AS678" i="3"/>
  <c r="AR678" i="3"/>
  <c r="AQ678" i="3"/>
  <c r="AP678" i="3"/>
  <c r="AO678" i="3"/>
  <c r="AN678" i="3"/>
  <c r="AM678" i="3"/>
  <c r="BS677" i="3"/>
  <c r="BR677" i="3"/>
  <c r="BQ677" i="3"/>
  <c r="BP677" i="3"/>
  <c r="BO677" i="3"/>
  <c r="BN677" i="3"/>
  <c r="BM677" i="3"/>
  <c r="BL677" i="3"/>
  <c r="BK677" i="3"/>
  <c r="BJ677" i="3"/>
  <c r="BI677" i="3"/>
  <c r="BH677" i="3"/>
  <c r="BG677" i="3"/>
  <c r="BF677" i="3"/>
  <c r="BE677" i="3"/>
  <c r="BD677" i="3"/>
  <c r="BC677" i="3"/>
  <c r="BB677" i="3"/>
  <c r="BA677" i="3"/>
  <c r="AZ677" i="3"/>
  <c r="AY677" i="3"/>
  <c r="AX677" i="3"/>
  <c r="AW677" i="3"/>
  <c r="AV677" i="3"/>
  <c r="AU677" i="3"/>
  <c r="AT677" i="3"/>
  <c r="AS677" i="3"/>
  <c r="AR677" i="3"/>
  <c r="AQ677" i="3"/>
  <c r="AP677" i="3"/>
  <c r="AO677" i="3"/>
  <c r="AN677" i="3"/>
  <c r="AM677" i="3"/>
  <c r="BS676" i="3"/>
  <c r="BR676" i="3"/>
  <c r="BQ676" i="3"/>
  <c r="BP676" i="3"/>
  <c r="BO676" i="3"/>
  <c r="BN676" i="3"/>
  <c r="BM676" i="3"/>
  <c r="BL676" i="3"/>
  <c r="BK676" i="3"/>
  <c r="BJ676" i="3"/>
  <c r="BI676" i="3"/>
  <c r="BH676" i="3"/>
  <c r="BG676" i="3"/>
  <c r="BF676" i="3"/>
  <c r="BE676" i="3"/>
  <c r="BD676" i="3"/>
  <c r="BC676" i="3"/>
  <c r="BB676" i="3"/>
  <c r="BA676" i="3"/>
  <c r="AZ676" i="3"/>
  <c r="AY676" i="3"/>
  <c r="AX676" i="3"/>
  <c r="AW676" i="3"/>
  <c r="AV676" i="3"/>
  <c r="AU676" i="3"/>
  <c r="AT676" i="3"/>
  <c r="AS676" i="3"/>
  <c r="AR676" i="3"/>
  <c r="AQ676" i="3"/>
  <c r="AP676" i="3"/>
  <c r="AO676" i="3"/>
  <c r="AN676" i="3"/>
  <c r="AM676" i="3"/>
  <c r="BS675" i="3"/>
  <c r="BR675" i="3"/>
  <c r="BQ675" i="3"/>
  <c r="BP675" i="3"/>
  <c r="BO675" i="3"/>
  <c r="BN675" i="3"/>
  <c r="BM675" i="3"/>
  <c r="BL675" i="3"/>
  <c r="BK675" i="3"/>
  <c r="BJ675" i="3"/>
  <c r="BI675" i="3"/>
  <c r="BH675" i="3"/>
  <c r="BG675" i="3"/>
  <c r="BF675" i="3"/>
  <c r="BE675" i="3"/>
  <c r="BD675" i="3"/>
  <c r="BC675" i="3"/>
  <c r="BB675" i="3"/>
  <c r="BA675" i="3"/>
  <c r="AZ675" i="3"/>
  <c r="AY675" i="3"/>
  <c r="AX675" i="3"/>
  <c r="AW675" i="3"/>
  <c r="AV675" i="3"/>
  <c r="AU675" i="3"/>
  <c r="AT675" i="3"/>
  <c r="AS675" i="3"/>
  <c r="AR675" i="3"/>
  <c r="AQ675" i="3"/>
  <c r="AP675" i="3"/>
  <c r="AO675" i="3"/>
  <c r="AN675" i="3"/>
  <c r="AM675" i="3"/>
  <c r="BS674" i="3"/>
  <c r="BR674" i="3"/>
  <c r="BQ674" i="3"/>
  <c r="BP674" i="3"/>
  <c r="BO674" i="3"/>
  <c r="BN674" i="3"/>
  <c r="BM674" i="3"/>
  <c r="BL674" i="3"/>
  <c r="BK674" i="3"/>
  <c r="BJ674" i="3"/>
  <c r="BI674" i="3"/>
  <c r="BH674" i="3"/>
  <c r="BG674" i="3"/>
  <c r="BF674" i="3"/>
  <c r="BE674" i="3"/>
  <c r="BD674" i="3"/>
  <c r="BC674" i="3"/>
  <c r="BB674" i="3"/>
  <c r="BA674" i="3"/>
  <c r="AZ674" i="3"/>
  <c r="AY674" i="3"/>
  <c r="AX674" i="3"/>
  <c r="AW674" i="3"/>
  <c r="AV674" i="3"/>
  <c r="AU674" i="3"/>
  <c r="AT674" i="3"/>
  <c r="AS674" i="3"/>
  <c r="AR674" i="3"/>
  <c r="AQ674" i="3"/>
  <c r="AP674" i="3"/>
  <c r="AO674" i="3"/>
  <c r="AN674" i="3"/>
  <c r="AM674" i="3"/>
  <c r="C674" i="3"/>
  <c r="BS673" i="3"/>
  <c r="BR673" i="3"/>
  <c r="BQ673" i="3"/>
  <c r="BP673" i="3"/>
  <c r="BO673" i="3"/>
  <c r="BN673" i="3"/>
  <c r="BM673" i="3"/>
  <c r="BL673" i="3"/>
  <c r="BK673" i="3"/>
  <c r="BJ673" i="3"/>
  <c r="BI673" i="3"/>
  <c r="BH673" i="3"/>
  <c r="BG673" i="3"/>
  <c r="BF673" i="3"/>
  <c r="BE673" i="3"/>
  <c r="BD673" i="3"/>
  <c r="BC673" i="3"/>
  <c r="BB673" i="3"/>
  <c r="BA673" i="3"/>
  <c r="AZ673" i="3"/>
  <c r="AY673" i="3"/>
  <c r="AX673" i="3"/>
  <c r="AW673" i="3"/>
  <c r="AV673" i="3"/>
  <c r="AU673" i="3"/>
  <c r="AT673" i="3"/>
  <c r="AS673" i="3"/>
  <c r="AR673" i="3"/>
  <c r="AQ673" i="3"/>
  <c r="AP673" i="3"/>
  <c r="AO673" i="3"/>
  <c r="AN673" i="3"/>
  <c r="AM673" i="3"/>
  <c r="BS672" i="3"/>
  <c r="BR672" i="3"/>
  <c r="BQ672" i="3"/>
  <c r="BP672" i="3"/>
  <c r="BO672" i="3"/>
  <c r="BN672" i="3"/>
  <c r="BM672" i="3"/>
  <c r="BL672" i="3"/>
  <c r="BK672" i="3"/>
  <c r="BJ672" i="3"/>
  <c r="BI672" i="3"/>
  <c r="BH672" i="3"/>
  <c r="BG672" i="3"/>
  <c r="BF672" i="3"/>
  <c r="BE672" i="3"/>
  <c r="BD672" i="3"/>
  <c r="BC672" i="3"/>
  <c r="BB672" i="3"/>
  <c r="BA672" i="3"/>
  <c r="AZ672" i="3"/>
  <c r="AY672" i="3"/>
  <c r="AX672" i="3"/>
  <c r="AW672" i="3"/>
  <c r="AV672" i="3"/>
  <c r="AU672" i="3"/>
  <c r="AT672" i="3"/>
  <c r="AS672" i="3"/>
  <c r="AR672" i="3"/>
  <c r="AQ672" i="3"/>
  <c r="AP672" i="3"/>
  <c r="AO672" i="3"/>
  <c r="AN672" i="3"/>
  <c r="AM672" i="3"/>
  <c r="BS671" i="3"/>
  <c r="BR671" i="3"/>
  <c r="BQ671" i="3"/>
  <c r="BP671" i="3"/>
  <c r="BO671" i="3"/>
  <c r="BN671" i="3"/>
  <c r="BM671" i="3"/>
  <c r="BL671" i="3"/>
  <c r="BK671" i="3"/>
  <c r="BJ671" i="3"/>
  <c r="BI671" i="3"/>
  <c r="BH671" i="3"/>
  <c r="BG671" i="3"/>
  <c r="BF671" i="3"/>
  <c r="BE671" i="3"/>
  <c r="BD671" i="3"/>
  <c r="BC671" i="3"/>
  <c r="BB671" i="3"/>
  <c r="BA671" i="3"/>
  <c r="AZ671" i="3"/>
  <c r="AY671" i="3"/>
  <c r="AX671" i="3"/>
  <c r="AW671" i="3"/>
  <c r="AV671" i="3"/>
  <c r="AU671" i="3"/>
  <c r="AT671" i="3"/>
  <c r="AS671" i="3"/>
  <c r="AR671" i="3"/>
  <c r="AQ671" i="3"/>
  <c r="AP671" i="3"/>
  <c r="AO671" i="3"/>
  <c r="AN671" i="3"/>
  <c r="AM671" i="3"/>
  <c r="BS670" i="3"/>
  <c r="BR670" i="3"/>
  <c r="BQ670" i="3"/>
  <c r="BP670" i="3"/>
  <c r="BO670" i="3"/>
  <c r="BN670" i="3"/>
  <c r="BM670" i="3"/>
  <c r="BL670" i="3"/>
  <c r="BK670" i="3"/>
  <c r="BJ670" i="3"/>
  <c r="BI670" i="3"/>
  <c r="BH670" i="3"/>
  <c r="BG670" i="3"/>
  <c r="BF670" i="3"/>
  <c r="BE670" i="3"/>
  <c r="BD670" i="3"/>
  <c r="BC670" i="3"/>
  <c r="BB670" i="3"/>
  <c r="BA670" i="3"/>
  <c r="AZ670" i="3"/>
  <c r="AY670" i="3"/>
  <c r="AX670" i="3"/>
  <c r="AW670" i="3"/>
  <c r="AV670" i="3"/>
  <c r="AU670" i="3"/>
  <c r="AT670" i="3"/>
  <c r="AS670" i="3"/>
  <c r="AR670" i="3"/>
  <c r="AQ670" i="3"/>
  <c r="AP670" i="3"/>
  <c r="AO670" i="3"/>
  <c r="AN670" i="3"/>
  <c r="AM670" i="3"/>
  <c r="BS669" i="3"/>
  <c r="BR669" i="3"/>
  <c r="BQ669" i="3"/>
  <c r="BP669" i="3"/>
  <c r="BO669" i="3"/>
  <c r="BN669" i="3"/>
  <c r="BM669" i="3"/>
  <c r="BL669" i="3"/>
  <c r="BK669" i="3"/>
  <c r="BJ669" i="3"/>
  <c r="BI669" i="3"/>
  <c r="BH669" i="3"/>
  <c r="BG669" i="3"/>
  <c r="BF669" i="3"/>
  <c r="BE669" i="3"/>
  <c r="BD669" i="3"/>
  <c r="BC669" i="3"/>
  <c r="BB669" i="3"/>
  <c r="BA669" i="3"/>
  <c r="AZ669" i="3"/>
  <c r="AY669" i="3"/>
  <c r="AX669" i="3"/>
  <c r="AW669" i="3"/>
  <c r="AV669" i="3"/>
  <c r="AU669" i="3"/>
  <c r="AT669" i="3"/>
  <c r="AS669" i="3"/>
  <c r="AR669" i="3"/>
  <c r="AQ669" i="3"/>
  <c r="AP669" i="3"/>
  <c r="AO669" i="3"/>
  <c r="AN669" i="3"/>
  <c r="AM669" i="3"/>
  <c r="D669" i="3"/>
  <c r="C669" i="3"/>
  <c r="B669" i="3"/>
  <c r="BS668" i="3"/>
  <c r="BR668" i="3"/>
  <c r="BQ668" i="3"/>
  <c r="BP668" i="3"/>
  <c r="BO668" i="3"/>
  <c r="BN668" i="3"/>
  <c r="BM668" i="3"/>
  <c r="BL668" i="3"/>
  <c r="BK668" i="3"/>
  <c r="BJ668" i="3"/>
  <c r="BI668" i="3"/>
  <c r="BH668" i="3"/>
  <c r="BG668" i="3"/>
  <c r="BF668" i="3"/>
  <c r="BE668" i="3"/>
  <c r="BD668" i="3"/>
  <c r="BC668" i="3"/>
  <c r="BB668" i="3"/>
  <c r="BA668" i="3"/>
  <c r="AZ668" i="3"/>
  <c r="AY668" i="3"/>
  <c r="AX668" i="3"/>
  <c r="AW668" i="3"/>
  <c r="AV668" i="3"/>
  <c r="AU668" i="3"/>
  <c r="AT668" i="3"/>
  <c r="AS668" i="3"/>
  <c r="AR668" i="3"/>
  <c r="AQ668" i="3"/>
  <c r="AP668" i="3"/>
  <c r="AO668" i="3"/>
  <c r="AN668" i="3"/>
  <c r="AM668" i="3"/>
  <c r="BS667" i="3"/>
  <c r="BR667" i="3"/>
  <c r="BQ667" i="3"/>
  <c r="BP667" i="3"/>
  <c r="BO667" i="3"/>
  <c r="BN667" i="3"/>
  <c r="BM667" i="3"/>
  <c r="BL667" i="3"/>
  <c r="BK667" i="3"/>
  <c r="BJ667" i="3"/>
  <c r="BI667" i="3"/>
  <c r="BH667" i="3"/>
  <c r="BG667" i="3"/>
  <c r="BF667" i="3"/>
  <c r="BE667" i="3"/>
  <c r="BD667" i="3"/>
  <c r="BC667" i="3"/>
  <c r="BB667" i="3"/>
  <c r="BA667" i="3"/>
  <c r="AZ667" i="3"/>
  <c r="AY667" i="3"/>
  <c r="AX667" i="3"/>
  <c r="AW667" i="3"/>
  <c r="AV667" i="3"/>
  <c r="AU667" i="3"/>
  <c r="AT667" i="3"/>
  <c r="AS667" i="3"/>
  <c r="AR667" i="3"/>
  <c r="AQ667" i="3"/>
  <c r="AP667" i="3"/>
  <c r="AO667" i="3"/>
  <c r="AN667" i="3"/>
  <c r="AM667" i="3"/>
  <c r="BS666" i="3"/>
  <c r="BR666" i="3"/>
  <c r="BQ666" i="3"/>
  <c r="BP666" i="3"/>
  <c r="BO666" i="3"/>
  <c r="BN666" i="3"/>
  <c r="BM666" i="3"/>
  <c r="BL666" i="3"/>
  <c r="BK666" i="3"/>
  <c r="BJ666" i="3"/>
  <c r="BI666" i="3"/>
  <c r="BH666" i="3"/>
  <c r="BG666" i="3"/>
  <c r="BF666" i="3"/>
  <c r="BE666" i="3"/>
  <c r="BD666" i="3"/>
  <c r="BC666" i="3"/>
  <c r="BB666" i="3"/>
  <c r="BA666" i="3"/>
  <c r="AZ666" i="3"/>
  <c r="AY666" i="3"/>
  <c r="AX666" i="3"/>
  <c r="AW666" i="3"/>
  <c r="AV666" i="3"/>
  <c r="AU666" i="3"/>
  <c r="AT666" i="3"/>
  <c r="AS666" i="3"/>
  <c r="AR666" i="3"/>
  <c r="AQ666" i="3"/>
  <c r="AP666" i="3"/>
  <c r="AO666" i="3"/>
  <c r="AN666" i="3"/>
  <c r="AM666" i="3"/>
  <c r="BS665" i="3"/>
  <c r="BR665" i="3"/>
  <c r="BQ665" i="3"/>
  <c r="BP665" i="3"/>
  <c r="BO665" i="3"/>
  <c r="BN665" i="3"/>
  <c r="BM665" i="3"/>
  <c r="BL665" i="3"/>
  <c r="BK665" i="3"/>
  <c r="BJ665" i="3"/>
  <c r="BI665" i="3"/>
  <c r="BH665" i="3"/>
  <c r="BG665" i="3"/>
  <c r="BF665" i="3"/>
  <c r="BE665" i="3"/>
  <c r="BD665" i="3"/>
  <c r="BC665" i="3"/>
  <c r="BB665" i="3"/>
  <c r="BA665" i="3"/>
  <c r="AZ665" i="3"/>
  <c r="AY665" i="3"/>
  <c r="AX665" i="3"/>
  <c r="AW665" i="3"/>
  <c r="AV665" i="3"/>
  <c r="AU665" i="3"/>
  <c r="AT665" i="3"/>
  <c r="AS665" i="3"/>
  <c r="AR665" i="3"/>
  <c r="AQ665" i="3"/>
  <c r="AP665" i="3"/>
  <c r="AO665" i="3"/>
  <c r="AN665" i="3"/>
  <c r="AM665" i="3"/>
  <c r="BS664" i="3"/>
  <c r="BR664" i="3"/>
  <c r="BQ664" i="3"/>
  <c r="BP664" i="3"/>
  <c r="BO664" i="3"/>
  <c r="BN664" i="3"/>
  <c r="BM664" i="3"/>
  <c r="BL664" i="3"/>
  <c r="BK664" i="3"/>
  <c r="BJ664" i="3"/>
  <c r="BI664" i="3"/>
  <c r="BH664" i="3"/>
  <c r="BG664" i="3"/>
  <c r="BF664" i="3"/>
  <c r="BE664" i="3"/>
  <c r="BD664" i="3"/>
  <c r="BC664" i="3"/>
  <c r="BB664" i="3"/>
  <c r="BA664" i="3"/>
  <c r="AZ664" i="3"/>
  <c r="AY664" i="3"/>
  <c r="AX664" i="3"/>
  <c r="AW664" i="3"/>
  <c r="AV664" i="3"/>
  <c r="AU664" i="3"/>
  <c r="AT664" i="3"/>
  <c r="AS664" i="3"/>
  <c r="AR664" i="3"/>
  <c r="AQ664" i="3"/>
  <c r="AP664" i="3"/>
  <c r="AO664" i="3"/>
  <c r="AN664" i="3"/>
  <c r="AM664" i="3"/>
  <c r="A664" i="3"/>
  <c r="BS663" i="3"/>
  <c r="BR663" i="3"/>
  <c r="BQ663" i="3"/>
  <c r="BP663" i="3"/>
  <c r="BO663" i="3"/>
  <c r="BN663" i="3"/>
  <c r="BM663" i="3"/>
  <c r="BL663" i="3"/>
  <c r="BK663" i="3"/>
  <c r="BJ663" i="3"/>
  <c r="BI663" i="3"/>
  <c r="BH663" i="3"/>
  <c r="BG663" i="3"/>
  <c r="BF663" i="3"/>
  <c r="BE663" i="3"/>
  <c r="BD663" i="3"/>
  <c r="BC663" i="3"/>
  <c r="BB663" i="3"/>
  <c r="BA663" i="3"/>
  <c r="AZ663" i="3"/>
  <c r="AY663" i="3"/>
  <c r="AX663" i="3"/>
  <c r="AW663" i="3"/>
  <c r="AV663" i="3"/>
  <c r="AU663" i="3"/>
  <c r="AT663" i="3"/>
  <c r="AS663" i="3"/>
  <c r="AR663" i="3"/>
  <c r="AQ663" i="3"/>
  <c r="AP663" i="3"/>
  <c r="AO663" i="3"/>
  <c r="AN663" i="3"/>
  <c r="AM663" i="3"/>
  <c r="BS662" i="3"/>
  <c r="BR662" i="3"/>
  <c r="BQ662" i="3"/>
  <c r="BP662" i="3"/>
  <c r="BO662" i="3"/>
  <c r="BN662" i="3"/>
  <c r="BM662" i="3"/>
  <c r="BL662" i="3"/>
  <c r="BK662" i="3"/>
  <c r="BJ662" i="3"/>
  <c r="BI662" i="3"/>
  <c r="BH662" i="3"/>
  <c r="BG662" i="3"/>
  <c r="BF662" i="3"/>
  <c r="BE662" i="3"/>
  <c r="BD662" i="3"/>
  <c r="BC662" i="3"/>
  <c r="BB662" i="3"/>
  <c r="BA662" i="3"/>
  <c r="AZ662" i="3"/>
  <c r="AY662" i="3"/>
  <c r="AX662" i="3"/>
  <c r="AW662" i="3"/>
  <c r="AV662" i="3"/>
  <c r="AU662" i="3"/>
  <c r="AT662" i="3"/>
  <c r="AS662" i="3"/>
  <c r="AR662" i="3"/>
  <c r="AQ662" i="3"/>
  <c r="AP662" i="3"/>
  <c r="AO662" i="3"/>
  <c r="AN662" i="3"/>
  <c r="AM662" i="3"/>
  <c r="BS661" i="3"/>
  <c r="BR661" i="3"/>
  <c r="BQ661" i="3"/>
  <c r="BP661" i="3"/>
  <c r="BO661" i="3"/>
  <c r="BN661" i="3"/>
  <c r="BM661" i="3"/>
  <c r="BL661" i="3"/>
  <c r="BK661" i="3"/>
  <c r="BJ661" i="3"/>
  <c r="BI661" i="3"/>
  <c r="BH661" i="3"/>
  <c r="BG661" i="3"/>
  <c r="BF661" i="3"/>
  <c r="BE661" i="3"/>
  <c r="BD661" i="3"/>
  <c r="BC661" i="3"/>
  <c r="BB661" i="3"/>
  <c r="BA661" i="3"/>
  <c r="AZ661" i="3"/>
  <c r="AY661" i="3"/>
  <c r="AX661" i="3"/>
  <c r="AW661" i="3"/>
  <c r="AV661" i="3"/>
  <c r="AU661" i="3"/>
  <c r="AT661" i="3"/>
  <c r="AS661" i="3"/>
  <c r="AR661" i="3"/>
  <c r="AQ661" i="3"/>
  <c r="AP661" i="3"/>
  <c r="AO661" i="3"/>
  <c r="AN661" i="3"/>
  <c r="AM661" i="3"/>
  <c r="BS660" i="3"/>
  <c r="BR660" i="3"/>
  <c r="BQ660" i="3"/>
  <c r="BP660" i="3"/>
  <c r="BO660" i="3"/>
  <c r="BN660" i="3"/>
  <c r="BM660" i="3"/>
  <c r="BL660" i="3"/>
  <c r="BK660" i="3"/>
  <c r="BJ660" i="3"/>
  <c r="BI660" i="3"/>
  <c r="BH660" i="3"/>
  <c r="BG660" i="3"/>
  <c r="BF660" i="3"/>
  <c r="BE660" i="3"/>
  <c r="BD660" i="3"/>
  <c r="BC660" i="3"/>
  <c r="BB660" i="3"/>
  <c r="BA660" i="3"/>
  <c r="AZ660" i="3"/>
  <c r="AY660" i="3"/>
  <c r="AX660" i="3"/>
  <c r="AW660" i="3"/>
  <c r="AV660" i="3"/>
  <c r="AU660" i="3"/>
  <c r="AT660" i="3"/>
  <c r="AS660" i="3"/>
  <c r="AR660" i="3"/>
  <c r="AQ660" i="3"/>
  <c r="AP660" i="3"/>
  <c r="AO660" i="3"/>
  <c r="AN660" i="3"/>
  <c r="AM660" i="3"/>
  <c r="BS659" i="3"/>
  <c r="BR659" i="3"/>
  <c r="BQ659" i="3"/>
  <c r="BP659" i="3"/>
  <c r="BO659" i="3"/>
  <c r="BN659" i="3"/>
  <c r="BM659" i="3"/>
  <c r="BL659" i="3"/>
  <c r="BK659" i="3"/>
  <c r="BJ659" i="3"/>
  <c r="BI659" i="3"/>
  <c r="BH659" i="3"/>
  <c r="BG659" i="3"/>
  <c r="BF659" i="3"/>
  <c r="BE659" i="3"/>
  <c r="BD659" i="3"/>
  <c r="BC659" i="3"/>
  <c r="BB659" i="3"/>
  <c r="BA659" i="3"/>
  <c r="AZ659" i="3"/>
  <c r="AY659" i="3"/>
  <c r="AX659" i="3"/>
  <c r="AW659" i="3"/>
  <c r="AV659" i="3"/>
  <c r="AU659" i="3"/>
  <c r="AT659" i="3"/>
  <c r="AS659" i="3"/>
  <c r="AR659" i="3"/>
  <c r="AQ659" i="3"/>
  <c r="AP659" i="3"/>
  <c r="AO659" i="3"/>
  <c r="AN659" i="3"/>
  <c r="AM659" i="3"/>
  <c r="BS658" i="3"/>
  <c r="BR658" i="3"/>
  <c r="BQ658" i="3"/>
  <c r="BP658" i="3"/>
  <c r="BO658" i="3"/>
  <c r="BN658" i="3"/>
  <c r="BM658" i="3"/>
  <c r="BL658" i="3"/>
  <c r="BK658" i="3"/>
  <c r="BJ658" i="3"/>
  <c r="BI658" i="3"/>
  <c r="BH658" i="3"/>
  <c r="BG658" i="3"/>
  <c r="BF658" i="3"/>
  <c r="BE658" i="3"/>
  <c r="BD658" i="3"/>
  <c r="BC658" i="3"/>
  <c r="BB658" i="3"/>
  <c r="BA658" i="3"/>
  <c r="AZ658" i="3"/>
  <c r="AY658" i="3"/>
  <c r="AX658" i="3"/>
  <c r="AW658" i="3"/>
  <c r="AV658" i="3"/>
  <c r="AU658" i="3"/>
  <c r="AT658" i="3"/>
  <c r="AS658" i="3"/>
  <c r="AR658" i="3"/>
  <c r="AQ658" i="3"/>
  <c r="AP658" i="3"/>
  <c r="AO658" i="3"/>
  <c r="AN658" i="3"/>
  <c r="AM658" i="3"/>
  <c r="E658" i="3"/>
  <c r="BS657" i="3"/>
  <c r="BR657" i="3"/>
  <c r="BQ657" i="3"/>
  <c r="BP657" i="3"/>
  <c r="BO657" i="3"/>
  <c r="BN657" i="3"/>
  <c r="BM657" i="3"/>
  <c r="BL657" i="3"/>
  <c r="BK657" i="3"/>
  <c r="BJ657" i="3"/>
  <c r="BI657" i="3"/>
  <c r="BH657" i="3"/>
  <c r="BG657" i="3"/>
  <c r="BF657" i="3"/>
  <c r="BE657" i="3"/>
  <c r="BD657" i="3"/>
  <c r="BC657" i="3"/>
  <c r="BB657" i="3"/>
  <c r="BA657" i="3"/>
  <c r="AZ657" i="3"/>
  <c r="AY657" i="3"/>
  <c r="AX657" i="3"/>
  <c r="AW657" i="3"/>
  <c r="AV657" i="3"/>
  <c r="AU657" i="3"/>
  <c r="AT657" i="3"/>
  <c r="AS657" i="3"/>
  <c r="AR657" i="3"/>
  <c r="AQ657" i="3"/>
  <c r="AP657" i="3"/>
  <c r="AO657" i="3"/>
  <c r="AN657" i="3"/>
  <c r="AM657" i="3"/>
  <c r="D657" i="3"/>
  <c r="C657" i="3"/>
  <c r="B657" i="3"/>
  <c r="BS656" i="3"/>
  <c r="BR656" i="3"/>
  <c r="BQ656" i="3"/>
  <c r="BP656" i="3"/>
  <c r="BO656" i="3"/>
  <c r="BN656" i="3"/>
  <c r="BM656" i="3"/>
  <c r="BL656" i="3"/>
  <c r="BK656" i="3"/>
  <c r="BJ656" i="3"/>
  <c r="BI656" i="3"/>
  <c r="BH656" i="3"/>
  <c r="BG656" i="3"/>
  <c r="BF656" i="3"/>
  <c r="BE656" i="3"/>
  <c r="BD656" i="3"/>
  <c r="BC656" i="3"/>
  <c r="BB656" i="3"/>
  <c r="BA656" i="3"/>
  <c r="AZ656" i="3"/>
  <c r="AY656" i="3"/>
  <c r="AX656" i="3"/>
  <c r="AW656" i="3"/>
  <c r="AV656" i="3"/>
  <c r="AU656" i="3"/>
  <c r="AT656" i="3"/>
  <c r="AS656" i="3"/>
  <c r="AR656" i="3"/>
  <c r="AQ656" i="3"/>
  <c r="AP656" i="3"/>
  <c r="AO656" i="3"/>
  <c r="AN656" i="3"/>
  <c r="AM656" i="3"/>
  <c r="A656" i="3"/>
  <c r="BS655" i="3"/>
  <c r="BR655" i="3"/>
  <c r="BQ655" i="3"/>
  <c r="BP655" i="3"/>
  <c r="BO655" i="3"/>
  <c r="BN655" i="3"/>
  <c r="BM655" i="3"/>
  <c r="BL655" i="3"/>
  <c r="BK655" i="3"/>
  <c r="BJ655" i="3"/>
  <c r="BI655" i="3"/>
  <c r="BH655" i="3"/>
  <c r="BG655" i="3"/>
  <c r="BF655" i="3"/>
  <c r="BE655" i="3"/>
  <c r="BD655" i="3"/>
  <c r="BC655" i="3"/>
  <c r="BB655" i="3"/>
  <c r="BA655" i="3"/>
  <c r="AZ655" i="3"/>
  <c r="AY655" i="3"/>
  <c r="AX655" i="3"/>
  <c r="AW655" i="3"/>
  <c r="AV655" i="3"/>
  <c r="AU655" i="3"/>
  <c r="AT655" i="3"/>
  <c r="AS655" i="3"/>
  <c r="AR655" i="3"/>
  <c r="AQ655" i="3"/>
  <c r="AP655" i="3"/>
  <c r="AO655" i="3"/>
  <c r="AN655" i="3"/>
  <c r="AM655" i="3"/>
  <c r="BS654" i="3"/>
  <c r="BR654" i="3"/>
  <c r="BQ654" i="3"/>
  <c r="BP654" i="3"/>
  <c r="BO654" i="3"/>
  <c r="BN654" i="3"/>
  <c r="BM654" i="3"/>
  <c r="BL654" i="3"/>
  <c r="BK654" i="3"/>
  <c r="BJ654" i="3"/>
  <c r="BI654" i="3"/>
  <c r="BH654" i="3"/>
  <c r="BG654" i="3"/>
  <c r="BF654" i="3"/>
  <c r="BE654" i="3"/>
  <c r="BD654" i="3"/>
  <c r="BC654" i="3"/>
  <c r="BB654" i="3"/>
  <c r="BA654" i="3"/>
  <c r="AZ654" i="3"/>
  <c r="AY654" i="3"/>
  <c r="AX654" i="3"/>
  <c r="AW654" i="3"/>
  <c r="AV654" i="3"/>
  <c r="AU654" i="3"/>
  <c r="AT654" i="3"/>
  <c r="AS654" i="3"/>
  <c r="AR654" i="3"/>
  <c r="AQ654" i="3"/>
  <c r="AP654" i="3"/>
  <c r="AO654" i="3"/>
  <c r="AN654" i="3"/>
  <c r="AM654" i="3"/>
  <c r="BS653" i="3"/>
  <c r="BR653" i="3"/>
  <c r="BQ653" i="3"/>
  <c r="BP653" i="3"/>
  <c r="BO653" i="3"/>
  <c r="BN653" i="3"/>
  <c r="BM653" i="3"/>
  <c r="BL653" i="3"/>
  <c r="BK653" i="3"/>
  <c r="BJ653" i="3"/>
  <c r="BI653" i="3"/>
  <c r="BH653" i="3"/>
  <c r="BG653" i="3"/>
  <c r="BF653" i="3"/>
  <c r="BE653" i="3"/>
  <c r="BD653" i="3"/>
  <c r="BC653" i="3"/>
  <c r="BB653" i="3"/>
  <c r="BA653" i="3"/>
  <c r="AZ653" i="3"/>
  <c r="AY653" i="3"/>
  <c r="AX653" i="3"/>
  <c r="AW653" i="3"/>
  <c r="AV653" i="3"/>
  <c r="AU653" i="3"/>
  <c r="AT653" i="3"/>
  <c r="AS653" i="3"/>
  <c r="AR653" i="3"/>
  <c r="AQ653" i="3"/>
  <c r="AP653" i="3"/>
  <c r="AO653" i="3"/>
  <c r="AN653" i="3"/>
  <c r="AM653" i="3"/>
  <c r="BS652" i="3"/>
  <c r="BR652" i="3"/>
  <c r="BQ652" i="3"/>
  <c r="BP652" i="3"/>
  <c r="BO652" i="3"/>
  <c r="BN652" i="3"/>
  <c r="BM652" i="3"/>
  <c r="BL652" i="3"/>
  <c r="BK652" i="3"/>
  <c r="BJ652" i="3"/>
  <c r="BI652" i="3"/>
  <c r="BH652" i="3"/>
  <c r="BG652" i="3"/>
  <c r="BF652" i="3"/>
  <c r="BE652" i="3"/>
  <c r="BD652" i="3"/>
  <c r="BC652" i="3"/>
  <c r="BB652" i="3"/>
  <c r="BA652" i="3"/>
  <c r="AZ652" i="3"/>
  <c r="AY652" i="3"/>
  <c r="AX652" i="3"/>
  <c r="AW652" i="3"/>
  <c r="AV652" i="3"/>
  <c r="AU652" i="3"/>
  <c r="AT652" i="3"/>
  <c r="AS652" i="3"/>
  <c r="AR652" i="3"/>
  <c r="AQ652" i="3"/>
  <c r="AP652" i="3"/>
  <c r="AO652" i="3"/>
  <c r="AN652" i="3"/>
  <c r="AM652" i="3"/>
  <c r="BS651" i="3"/>
  <c r="BR651" i="3"/>
  <c r="BQ651" i="3"/>
  <c r="BP651" i="3"/>
  <c r="BO651" i="3"/>
  <c r="BN651" i="3"/>
  <c r="BM651" i="3"/>
  <c r="BL651" i="3"/>
  <c r="BK651" i="3"/>
  <c r="BJ651" i="3"/>
  <c r="BI651" i="3"/>
  <c r="BH651" i="3"/>
  <c r="BG651" i="3"/>
  <c r="BF651" i="3"/>
  <c r="BE651" i="3"/>
  <c r="BD651" i="3"/>
  <c r="BC651" i="3"/>
  <c r="BB651" i="3"/>
  <c r="BA651" i="3"/>
  <c r="AZ651" i="3"/>
  <c r="AY651" i="3"/>
  <c r="AX651" i="3"/>
  <c r="AW651" i="3"/>
  <c r="AV651" i="3"/>
  <c r="AU651" i="3"/>
  <c r="AT651" i="3"/>
  <c r="AS651" i="3"/>
  <c r="AR651" i="3"/>
  <c r="AQ651" i="3"/>
  <c r="AP651" i="3"/>
  <c r="AO651" i="3"/>
  <c r="AN651" i="3"/>
  <c r="AM651" i="3"/>
  <c r="A651" i="3"/>
  <c r="BS650" i="3"/>
  <c r="BR650" i="3"/>
  <c r="BQ650" i="3"/>
  <c r="BP650" i="3"/>
  <c r="BO650" i="3"/>
  <c r="BN650" i="3"/>
  <c r="BM650" i="3"/>
  <c r="BL650" i="3"/>
  <c r="BK650" i="3"/>
  <c r="BJ650" i="3"/>
  <c r="BI650" i="3"/>
  <c r="BH650" i="3"/>
  <c r="BG650" i="3"/>
  <c r="BF650" i="3"/>
  <c r="BE650" i="3"/>
  <c r="BD650" i="3"/>
  <c r="BC650" i="3"/>
  <c r="BB650" i="3"/>
  <c r="BA650" i="3"/>
  <c r="AZ650" i="3"/>
  <c r="AY650" i="3"/>
  <c r="AX650" i="3"/>
  <c r="AW650" i="3"/>
  <c r="AV650" i="3"/>
  <c r="AU650" i="3"/>
  <c r="AT650" i="3"/>
  <c r="AS650" i="3"/>
  <c r="AR650" i="3"/>
  <c r="AQ650" i="3"/>
  <c r="AP650" i="3"/>
  <c r="AO650" i="3"/>
  <c r="AN650" i="3"/>
  <c r="AM650" i="3"/>
  <c r="BS649" i="3"/>
  <c r="BR649" i="3"/>
  <c r="BQ649" i="3"/>
  <c r="BP649" i="3"/>
  <c r="BO649" i="3"/>
  <c r="BN649" i="3"/>
  <c r="BM649" i="3"/>
  <c r="BL649" i="3"/>
  <c r="BK649" i="3"/>
  <c r="BJ649" i="3"/>
  <c r="BI649" i="3"/>
  <c r="BH649" i="3"/>
  <c r="BG649" i="3"/>
  <c r="BF649" i="3"/>
  <c r="BE649" i="3"/>
  <c r="BD649" i="3"/>
  <c r="BC649" i="3"/>
  <c r="BB649" i="3"/>
  <c r="BA649" i="3"/>
  <c r="AZ649" i="3"/>
  <c r="AY649" i="3"/>
  <c r="AX649" i="3"/>
  <c r="AW649" i="3"/>
  <c r="AV649" i="3"/>
  <c r="AU649" i="3"/>
  <c r="AT649" i="3"/>
  <c r="AS649" i="3"/>
  <c r="AR649" i="3"/>
  <c r="AQ649" i="3"/>
  <c r="AP649" i="3"/>
  <c r="AO649" i="3"/>
  <c r="AN649" i="3"/>
  <c r="AM649" i="3"/>
  <c r="BS648" i="3"/>
  <c r="BR648" i="3"/>
  <c r="BQ648" i="3"/>
  <c r="BP648" i="3"/>
  <c r="BO648" i="3"/>
  <c r="BN648" i="3"/>
  <c r="BM648" i="3"/>
  <c r="BL648" i="3"/>
  <c r="BK648" i="3"/>
  <c r="BJ648" i="3"/>
  <c r="BI648" i="3"/>
  <c r="BH648" i="3"/>
  <c r="BG648" i="3"/>
  <c r="BF648" i="3"/>
  <c r="BE648" i="3"/>
  <c r="BD648" i="3"/>
  <c r="BC648" i="3"/>
  <c r="BB648" i="3"/>
  <c r="BA648" i="3"/>
  <c r="AZ648" i="3"/>
  <c r="AY648" i="3"/>
  <c r="AX648" i="3"/>
  <c r="AW648" i="3"/>
  <c r="AV648" i="3"/>
  <c r="AU648" i="3"/>
  <c r="AT648" i="3"/>
  <c r="AS648" i="3"/>
  <c r="AR648" i="3"/>
  <c r="AQ648" i="3"/>
  <c r="AP648" i="3"/>
  <c r="AO648" i="3"/>
  <c r="AN648" i="3"/>
  <c r="AM648" i="3"/>
  <c r="BS647" i="3"/>
  <c r="BR647" i="3"/>
  <c r="BQ647" i="3"/>
  <c r="BP647" i="3"/>
  <c r="BO647" i="3"/>
  <c r="BN647" i="3"/>
  <c r="BM647" i="3"/>
  <c r="BL647" i="3"/>
  <c r="BK647" i="3"/>
  <c r="BJ647" i="3"/>
  <c r="BI647" i="3"/>
  <c r="BH647" i="3"/>
  <c r="BG647" i="3"/>
  <c r="BF647" i="3"/>
  <c r="BE647" i="3"/>
  <c r="BD647" i="3"/>
  <c r="BC647" i="3"/>
  <c r="BB647" i="3"/>
  <c r="BA647" i="3"/>
  <c r="AZ647" i="3"/>
  <c r="AY647" i="3"/>
  <c r="AX647" i="3"/>
  <c r="AW647" i="3"/>
  <c r="AV647" i="3"/>
  <c r="AU647" i="3"/>
  <c r="AT647" i="3"/>
  <c r="AS647" i="3"/>
  <c r="AR647" i="3"/>
  <c r="AQ647" i="3"/>
  <c r="AP647" i="3"/>
  <c r="AO647" i="3"/>
  <c r="AN647" i="3"/>
  <c r="AM647" i="3"/>
  <c r="E647" i="3"/>
  <c r="BS646" i="3"/>
  <c r="BR646" i="3"/>
  <c r="BQ646" i="3"/>
  <c r="BP646" i="3"/>
  <c r="BO646" i="3"/>
  <c r="BN646" i="3"/>
  <c r="BM646" i="3"/>
  <c r="BL646" i="3"/>
  <c r="BK646" i="3"/>
  <c r="BJ646" i="3"/>
  <c r="BI646" i="3"/>
  <c r="BH646" i="3"/>
  <c r="BG646" i="3"/>
  <c r="BF646" i="3"/>
  <c r="BE646" i="3"/>
  <c r="BD646" i="3"/>
  <c r="BC646" i="3"/>
  <c r="BB646" i="3"/>
  <c r="BA646" i="3"/>
  <c r="AZ646" i="3"/>
  <c r="AY646" i="3"/>
  <c r="AX646" i="3"/>
  <c r="AW646" i="3"/>
  <c r="AV646" i="3"/>
  <c r="AU646" i="3"/>
  <c r="AT646" i="3"/>
  <c r="AS646" i="3"/>
  <c r="AR646" i="3"/>
  <c r="AQ646" i="3"/>
  <c r="AP646" i="3"/>
  <c r="AO646" i="3"/>
  <c r="AN646" i="3"/>
  <c r="AM646" i="3"/>
  <c r="BS645" i="3"/>
  <c r="BR645" i="3"/>
  <c r="BQ645" i="3"/>
  <c r="BP645" i="3"/>
  <c r="BO645" i="3"/>
  <c r="BN645" i="3"/>
  <c r="BM645" i="3"/>
  <c r="BL645" i="3"/>
  <c r="BK645" i="3"/>
  <c r="BJ645" i="3"/>
  <c r="BI645" i="3"/>
  <c r="BH645" i="3"/>
  <c r="BG645" i="3"/>
  <c r="BF645" i="3"/>
  <c r="BE645" i="3"/>
  <c r="BD645" i="3"/>
  <c r="BC645" i="3"/>
  <c r="BB645" i="3"/>
  <c r="BA645" i="3"/>
  <c r="AZ645" i="3"/>
  <c r="AY645" i="3"/>
  <c r="AX645" i="3"/>
  <c r="AW645" i="3"/>
  <c r="AV645" i="3"/>
  <c r="AU645" i="3"/>
  <c r="AT645" i="3"/>
  <c r="AS645" i="3"/>
  <c r="AR645" i="3"/>
  <c r="AQ645" i="3"/>
  <c r="AP645" i="3"/>
  <c r="AO645" i="3"/>
  <c r="AN645" i="3"/>
  <c r="AM645" i="3"/>
  <c r="A645" i="3"/>
  <c r="BS644" i="3"/>
  <c r="BR644" i="3"/>
  <c r="BQ644" i="3"/>
  <c r="BP644" i="3"/>
  <c r="BO644" i="3"/>
  <c r="BN644" i="3"/>
  <c r="BM644" i="3"/>
  <c r="BL644" i="3"/>
  <c r="BK644" i="3"/>
  <c r="BJ644" i="3"/>
  <c r="BI644" i="3"/>
  <c r="BH644" i="3"/>
  <c r="BG644" i="3"/>
  <c r="BF644" i="3"/>
  <c r="BE644" i="3"/>
  <c r="BD644" i="3"/>
  <c r="BC644" i="3"/>
  <c r="BB644" i="3"/>
  <c r="BA644" i="3"/>
  <c r="AZ644" i="3"/>
  <c r="AY644" i="3"/>
  <c r="AX644" i="3"/>
  <c r="AW644" i="3"/>
  <c r="AV644" i="3"/>
  <c r="AU644" i="3"/>
  <c r="AT644" i="3"/>
  <c r="AS644" i="3"/>
  <c r="AR644" i="3"/>
  <c r="AQ644" i="3"/>
  <c r="AP644" i="3"/>
  <c r="AO644" i="3"/>
  <c r="AN644" i="3"/>
  <c r="AM644" i="3"/>
  <c r="BS643" i="3"/>
  <c r="BR643" i="3"/>
  <c r="BQ643" i="3"/>
  <c r="BP643" i="3"/>
  <c r="BO643" i="3"/>
  <c r="BN643" i="3"/>
  <c r="BM643" i="3"/>
  <c r="BL643" i="3"/>
  <c r="BK643" i="3"/>
  <c r="BJ643" i="3"/>
  <c r="BI643" i="3"/>
  <c r="BH643" i="3"/>
  <c r="BG643" i="3"/>
  <c r="BF643" i="3"/>
  <c r="BE643" i="3"/>
  <c r="BD643" i="3"/>
  <c r="BC643" i="3"/>
  <c r="BB643" i="3"/>
  <c r="BA643" i="3"/>
  <c r="AZ643" i="3"/>
  <c r="AY643" i="3"/>
  <c r="AX643" i="3"/>
  <c r="AW643" i="3"/>
  <c r="AV643" i="3"/>
  <c r="AU643" i="3"/>
  <c r="AT643" i="3"/>
  <c r="AS643" i="3"/>
  <c r="AR643" i="3"/>
  <c r="AQ643" i="3"/>
  <c r="AP643" i="3"/>
  <c r="AO643" i="3"/>
  <c r="AN643" i="3"/>
  <c r="AM643" i="3"/>
  <c r="BS642" i="3"/>
  <c r="BR642" i="3"/>
  <c r="BQ642" i="3"/>
  <c r="BP642" i="3"/>
  <c r="BO642" i="3"/>
  <c r="BN642" i="3"/>
  <c r="BM642" i="3"/>
  <c r="BL642" i="3"/>
  <c r="BK642" i="3"/>
  <c r="BJ642" i="3"/>
  <c r="BI642" i="3"/>
  <c r="BH642" i="3"/>
  <c r="BG642" i="3"/>
  <c r="BF642" i="3"/>
  <c r="BE642" i="3"/>
  <c r="BD642" i="3"/>
  <c r="BC642" i="3"/>
  <c r="BB642" i="3"/>
  <c r="BA642" i="3"/>
  <c r="AZ642" i="3"/>
  <c r="AY642" i="3"/>
  <c r="AX642" i="3"/>
  <c r="AW642" i="3"/>
  <c r="AV642" i="3"/>
  <c r="AU642" i="3"/>
  <c r="AT642" i="3"/>
  <c r="AS642" i="3"/>
  <c r="AR642" i="3"/>
  <c r="AQ642" i="3"/>
  <c r="AP642" i="3"/>
  <c r="AO642" i="3"/>
  <c r="AN642" i="3"/>
  <c r="AM642" i="3"/>
  <c r="BS641" i="3"/>
  <c r="BR641" i="3"/>
  <c r="BQ641" i="3"/>
  <c r="BP641" i="3"/>
  <c r="BO641" i="3"/>
  <c r="BN641" i="3"/>
  <c r="BM641" i="3"/>
  <c r="BL641" i="3"/>
  <c r="BK641" i="3"/>
  <c r="BJ641" i="3"/>
  <c r="BI641" i="3"/>
  <c r="BH641" i="3"/>
  <c r="BG641" i="3"/>
  <c r="BF641" i="3"/>
  <c r="BE641" i="3"/>
  <c r="BD641" i="3"/>
  <c r="BC641" i="3"/>
  <c r="BB641" i="3"/>
  <c r="BA641" i="3"/>
  <c r="AZ641" i="3"/>
  <c r="AY641" i="3"/>
  <c r="AX641" i="3"/>
  <c r="AW641" i="3"/>
  <c r="AV641" i="3"/>
  <c r="AU641" i="3"/>
  <c r="AT641" i="3"/>
  <c r="AS641" i="3"/>
  <c r="AR641" i="3"/>
  <c r="AQ641" i="3"/>
  <c r="AP641" i="3"/>
  <c r="AO641" i="3"/>
  <c r="AN641" i="3"/>
  <c r="AM641" i="3"/>
  <c r="BS640" i="3"/>
  <c r="BR640" i="3"/>
  <c r="BQ640" i="3"/>
  <c r="BP640" i="3"/>
  <c r="BO640" i="3"/>
  <c r="BN640" i="3"/>
  <c r="BM640" i="3"/>
  <c r="BL640" i="3"/>
  <c r="BK640" i="3"/>
  <c r="BJ640" i="3"/>
  <c r="BI640" i="3"/>
  <c r="BH640" i="3"/>
  <c r="BG640" i="3"/>
  <c r="BF640" i="3"/>
  <c r="BE640" i="3"/>
  <c r="BD640" i="3"/>
  <c r="BC640" i="3"/>
  <c r="BB640" i="3"/>
  <c r="BA640" i="3"/>
  <c r="AZ640" i="3"/>
  <c r="AY640" i="3"/>
  <c r="AX640" i="3"/>
  <c r="AW640" i="3"/>
  <c r="AV640" i="3"/>
  <c r="AU640" i="3"/>
  <c r="AT640" i="3"/>
  <c r="AS640" i="3"/>
  <c r="AR640" i="3"/>
  <c r="AQ640" i="3"/>
  <c r="AP640" i="3"/>
  <c r="AO640" i="3"/>
  <c r="AN640" i="3"/>
  <c r="AM640" i="3"/>
  <c r="BS639" i="3"/>
  <c r="BR639" i="3"/>
  <c r="BQ639" i="3"/>
  <c r="BP639" i="3"/>
  <c r="BO639" i="3"/>
  <c r="BN639" i="3"/>
  <c r="BM639" i="3"/>
  <c r="BL639" i="3"/>
  <c r="BK639" i="3"/>
  <c r="BJ639" i="3"/>
  <c r="BI639" i="3"/>
  <c r="BH639" i="3"/>
  <c r="BG639" i="3"/>
  <c r="BF639" i="3"/>
  <c r="BE639" i="3"/>
  <c r="BD639" i="3"/>
  <c r="BC639" i="3"/>
  <c r="BB639" i="3"/>
  <c r="BA639" i="3"/>
  <c r="AZ639" i="3"/>
  <c r="AY639" i="3"/>
  <c r="AX639" i="3"/>
  <c r="AW639" i="3"/>
  <c r="AV639" i="3"/>
  <c r="AU639" i="3"/>
  <c r="AT639" i="3"/>
  <c r="AS639" i="3"/>
  <c r="AR639" i="3"/>
  <c r="AQ639" i="3"/>
  <c r="AP639" i="3"/>
  <c r="AO639" i="3"/>
  <c r="AN639" i="3"/>
  <c r="AM639" i="3"/>
  <c r="BS638" i="3"/>
  <c r="BR638" i="3"/>
  <c r="BQ638" i="3"/>
  <c r="BP638" i="3"/>
  <c r="BO638" i="3"/>
  <c r="BN638" i="3"/>
  <c r="BM638" i="3"/>
  <c r="BL638" i="3"/>
  <c r="BK638" i="3"/>
  <c r="BJ638" i="3"/>
  <c r="BI638" i="3"/>
  <c r="BH638" i="3"/>
  <c r="BG638" i="3"/>
  <c r="BF638" i="3"/>
  <c r="BE638" i="3"/>
  <c r="BD638" i="3"/>
  <c r="BC638" i="3"/>
  <c r="BB638" i="3"/>
  <c r="BA638" i="3"/>
  <c r="AZ638" i="3"/>
  <c r="AY638" i="3"/>
  <c r="AX638" i="3"/>
  <c r="AW638" i="3"/>
  <c r="AV638" i="3"/>
  <c r="AU638" i="3"/>
  <c r="AT638" i="3"/>
  <c r="AS638" i="3"/>
  <c r="AR638" i="3"/>
  <c r="AQ638" i="3"/>
  <c r="AP638" i="3"/>
  <c r="AO638" i="3"/>
  <c r="AN638" i="3"/>
  <c r="AM638" i="3"/>
  <c r="D638" i="3"/>
  <c r="BS637" i="3"/>
  <c r="BR637" i="3"/>
  <c r="BQ637" i="3"/>
  <c r="BP637" i="3"/>
  <c r="BO637" i="3"/>
  <c r="BN637" i="3"/>
  <c r="BM637" i="3"/>
  <c r="BL637" i="3"/>
  <c r="BK637" i="3"/>
  <c r="BJ637" i="3"/>
  <c r="BI637" i="3"/>
  <c r="BH637" i="3"/>
  <c r="BG637" i="3"/>
  <c r="BF637" i="3"/>
  <c r="BE637" i="3"/>
  <c r="BD637" i="3"/>
  <c r="BC637" i="3"/>
  <c r="BB637" i="3"/>
  <c r="BA637" i="3"/>
  <c r="AZ637" i="3"/>
  <c r="AY637" i="3"/>
  <c r="AX637" i="3"/>
  <c r="AW637" i="3"/>
  <c r="AV637" i="3"/>
  <c r="AU637" i="3"/>
  <c r="AT637" i="3"/>
  <c r="AS637" i="3"/>
  <c r="AR637" i="3"/>
  <c r="AQ637" i="3"/>
  <c r="AP637" i="3"/>
  <c r="AO637" i="3"/>
  <c r="AN637" i="3"/>
  <c r="AM637" i="3"/>
  <c r="BS636" i="3"/>
  <c r="BR636" i="3"/>
  <c r="BQ636" i="3"/>
  <c r="BP636" i="3"/>
  <c r="BO636" i="3"/>
  <c r="BN636" i="3"/>
  <c r="BM636" i="3"/>
  <c r="BL636" i="3"/>
  <c r="BK636" i="3"/>
  <c r="BJ636" i="3"/>
  <c r="BI636" i="3"/>
  <c r="BH636" i="3"/>
  <c r="BG636" i="3"/>
  <c r="BF636" i="3"/>
  <c r="BE636" i="3"/>
  <c r="BD636" i="3"/>
  <c r="BC636" i="3"/>
  <c r="BB636" i="3"/>
  <c r="BA636" i="3"/>
  <c r="AZ636" i="3"/>
  <c r="AY636" i="3"/>
  <c r="AX636" i="3"/>
  <c r="AW636" i="3"/>
  <c r="AV636" i="3"/>
  <c r="AU636" i="3"/>
  <c r="AT636" i="3"/>
  <c r="AS636" i="3"/>
  <c r="AR636" i="3"/>
  <c r="AQ636" i="3"/>
  <c r="AP636" i="3"/>
  <c r="AO636" i="3"/>
  <c r="AN636" i="3"/>
  <c r="AM636" i="3"/>
  <c r="B636" i="3"/>
  <c r="BS635" i="3"/>
  <c r="BR635" i="3"/>
  <c r="BQ635" i="3"/>
  <c r="BP635" i="3"/>
  <c r="BO635" i="3"/>
  <c r="BN635" i="3"/>
  <c r="BM635" i="3"/>
  <c r="BL635" i="3"/>
  <c r="BK635" i="3"/>
  <c r="BJ635" i="3"/>
  <c r="BI635" i="3"/>
  <c r="BH635" i="3"/>
  <c r="BG635" i="3"/>
  <c r="BF635" i="3"/>
  <c r="BE635" i="3"/>
  <c r="BD635" i="3"/>
  <c r="BC635" i="3"/>
  <c r="BB635" i="3"/>
  <c r="BA635" i="3"/>
  <c r="AZ635" i="3"/>
  <c r="AY635" i="3"/>
  <c r="AX635" i="3"/>
  <c r="AW635" i="3"/>
  <c r="AV635" i="3"/>
  <c r="AU635" i="3"/>
  <c r="AT635" i="3"/>
  <c r="AS635" i="3"/>
  <c r="AR635" i="3"/>
  <c r="AQ635" i="3"/>
  <c r="AP635" i="3"/>
  <c r="AO635" i="3"/>
  <c r="AN635" i="3"/>
  <c r="AM635" i="3"/>
  <c r="BS634" i="3"/>
  <c r="BR634" i="3"/>
  <c r="BQ634" i="3"/>
  <c r="BP634" i="3"/>
  <c r="BO634" i="3"/>
  <c r="BN634" i="3"/>
  <c r="BM634" i="3"/>
  <c r="BL634" i="3"/>
  <c r="BK634" i="3"/>
  <c r="BJ634" i="3"/>
  <c r="BI634" i="3"/>
  <c r="BH634" i="3"/>
  <c r="BG634" i="3"/>
  <c r="BF634" i="3"/>
  <c r="BE634" i="3"/>
  <c r="BD634" i="3"/>
  <c r="BC634" i="3"/>
  <c r="BB634" i="3"/>
  <c r="BA634" i="3"/>
  <c r="AZ634" i="3"/>
  <c r="AY634" i="3"/>
  <c r="AX634" i="3"/>
  <c r="AW634" i="3"/>
  <c r="AV634" i="3"/>
  <c r="AU634" i="3"/>
  <c r="AT634" i="3"/>
  <c r="AS634" i="3"/>
  <c r="AR634" i="3"/>
  <c r="AQ634" i="3"/>
  <c r="AP634" i="3"/>
  <c r="AO634" i="3"/>
  <c r="AN634" i="3"/>
  <c r="AM634" i="3"/>
  <c r="BS633" i="3"/>
  <c r="BR633" i="3"/>
  <c r="BQ633" i="3"/>
  <c r="BP633" i="3"/>
  <c r="BO633" i="3"/>
  <c r="BN633" i="3"/>
  <c r="BM633" i="3"/>
  <c r="BL633" i="3"/>
  <c r="BK633" i="3"/>
  <c r="BJ633" i="3"/>
  <c r="BI633" i="3"/>
  <c r="BH633" i="3"/>
  <c r="BG633" i="3"/>
  <c r="BF633" i="3"/>
  <c r="BE633" i="3"/>
  <c r="BD633" i="3"/>
  <c r="BC633" i="3"/>
  <c r="BB633" i="3"/>
  <c r="BA633" i="3"/>
  <c r="AZ633" i="3"/>
  <c r="AY633" i="3"/>
  <c r="AX633" i="3"/>
  <c r="AW633" i="3"/>
  <c r="AV633" i="3"/>
  <c r="AU633" i="3"/>
  <c r="AT633" i="3"/>
  <c r="AS633" i="3"/>
  <c r="AR633" i="3"/>
  <c r="AQ633" i="3"/>
  <c r="AP633" i="3"/>
  <c r="AO633" i="3"/>
  <c r="AN633" i="3"/>
  <c r="AM633" i="3"/>
  <c r="BS632" i="3"/>
  <c r="BR632" i="3"/>
  <c r="BQ632" i="3"/>
  <c r="BP632" i="3"/>
  <c r="BO632" i="3"/>
  <c r="BN632" i="3"/>
  <c r="BM632" i="3"/>
  <c r="BL632" i="3"/>
  <c r="BK632" i="3"/>
  <c r="BJ632" i="3"/>
  <c r="BI632" i="3"/>
  <c r="BH632" i="3"/>
  <c r="BG632" i="3"/>
  <c r="BF632" i="3"/>
  <c r="BE632" i="3"/>
  <c r="BD632" i="3"/>
  <c r="BC632" i="3"/>
  <c r="BB632" i="3"/>
  <c r="BA632" i="3"/>
  <c r="AZ632" i="3"/>
  <c r="AY632" i="3"/>
  <c r="AX632" i="3"/>
  <c r="AW632" i="3"/>
  <c r="AV632" i="3"/>
  <c r="AU632" i="3"/>
  <c r="AT632" i="3"/>
  <c r="AS632" i="3"/>
  <c r="AR632" i="3"/>
  <c r="AQ632" i="3"/>
  <c r="AP632" i="3"/>
  <c r="AO632" i="3"/>
  <c r="AN632" i="3"/>
  <c r="AM632" i="3"/>
  <c r="B632" i="3"/>
  <c r="BS631" i="3"/>
  <c r="BR631" i="3"/>
  <c r="BQ631" i="3"/>
  <c r="BP631" i="3"/>
  <c r="BO631" i="3"/>
  <c r="BN631" i="3"/>
  <c r="BM631" i="3"/>
  <c r="BL631" i="3"/>
  <c r="BK631" i="3"/>
  <c r="BJ631" i="3"/>
  <c r="BI631" i="3"/>
  <c r="BH631" i="3"/>
  <c r="BG631" i="3"/>
  <c r="BF631" i="3"/>
  <c r="BE631" i="3"/>
  <c r="BD631" i="3"/>
  <c r="BC631" i="3"/>
  <c r="BB631" i="3"/>
  <c r="BA631" i="3"/>
  <c r="AZ631" i="3"/>
  <c r="AY631" i="3"/>
  <c r="AX631" i="3"/>
  <c r="AW631" i="3"/>
  <c r="AV631" i="3"/>
  <c r="AU631" i="3"/>
  <c r="AT631" i="3"/>
  <c r="AS631" i="3"/>
  <c r="AR631" i="3"/>
  <c r="AQ631" i="3"/>
  <c r="AP631" i="3"/>
  <c r="AO631" i="3"/>
  <c r="AN631" i="3"/>
  <c r="AM631" i="3"/>
  <c r="BS630" i="3"/>
  <c r="BR630" i="3"/>
  <c r="BQ630" i="3"/>
  <c r="BP630" i="3"/>
  <c r="BO630" i="3"/>
  <c r="BN630" i="3"/>
  <c r="BM630" i="3"/>
  <c r="BL630" i="3"/>
  <c r="BK630" i="3"/>
  <c r="BJ630" i="3"/>
  <c r="BI630" i="3"/>
  <c r="BH630" i="3"/>
  <c r="BG630" i="3"/>
  <c r="BF630" i="3"/>
  <c r="BE630" i="3"/>
  <c r="BD630" i="3"/>
  <c r="BC630" i="3"/>
  <c r="BB630" i="3"/>
  <c r="BA630" i="3"/>
  <c r="AZ630" i="3"/>
  <c r="AY630" i="3"/>
  <c r="AX630" i="3"/>
  <c r="AW630" i="3"/>
  <c r="AV630" i="3"/>
  <c r="AU630" i="3"/>
  <c r="AT630" i="3"/>
  <c r="AS630" i="3"/>
  <c r="AR630" i="3"/>
  <c r="AQ630" i="3"/>
  <c r="AP630" i="3"/>
  <c r="AO630" i="3"/>
  <c r="AN630" i="3"/>
  <c r="AM630" i="3"/>
  <c r="BS629" i="3"/>
  <c r="BR629" i="3"/>
  <c r="BQ629" i="3"/>
  <c r="BP629" i="3"/>
  <c r="BO629" i="3"/>
  <c r="BN629" i="3"/>
  <c r="BM629" i="3"/>
  <c r="BL629" i="3"/>
  <c r="BK629" i="3"/>
  <c r="BJ629" i="3"/>
  <c r="BI629" i="3"/>
  <c r="BH629" i="3"/>
  <c r="BG629" i="3"/>
  <c r="BF629" i="3"/>
  <c r="BE629" i="3"/>
  <c r="BD629" i="3"/>
  <c r="BC629" i="3"/>
  <c r="BB629" i="3"/>
  <c r="BA629" i="3"/>
  <c r="AZ629" i="3"/>
  <c r="AY629" i="3"/>
  <c r="AX629" i="3"/>
  <c r="AW629" i="3"/>
  <c r="AV629" i="3"/>
  <c r="AU629" i="3"/>
  <c r="AT629" i="3"/>
  <c r="AS629" i="3"/>
  <c r="AR629" i="3"/>
  <c r="AQ629" i="3"/>
  <c r="AP629" i="3"/>
  <c r="AO629" i="3"/>
  <c r="AN629" i="3"/>
  <c r="AM629" i="3"/>
  <c r="E629" i="3"/>
  <c r="BS628" i="3"/>
  <c r="BR628" i="3"/>
  <c r="BQ628" i="3"/>
  <c r="BP628" i="3"/>
  <c r="BO628" i="3"/>
  <c r="BN628" i="3"/>
  <c r="BM628" i="3"/>
  <c r="BL628" i="3"/>
  <c r="BK628" i="3"/>
  <c r="BJ628" i="3"/>
  <c r="BI628" i="3"/>
  <c r="BH628" i="3"/>
  <c r="BG628" i="3"/>
  <c r="BF628" i="3"/>
  <c r="BE628" i="3"/>
  <c r="BD628" i="3"/>
  <c r="BC628" i="3"/>
  <c r="BB628" i="3"/>
  <c r="BA628" i="3"/>
  <c r="AZ628" i="3"/>
  <c r="AY628" i="3"/>
  <c r="AX628" i="3"/>
  <c r="AW628" i="3"/>
  <c r="AV628" i="3"/>
  <c r="AU628" i="3"/>
  <c r="AT628" i="3"/>
  <c r="AS628" i="3"/>
  <c r="AR628" i="3"/>
  <c r="AQ628" i="3"/>
  <c r="AP628" i="3"/>
  <c r="AO628" i="3"/>
  <c r="AN628" i="3"/>
  <c r="AM628" i="3"/>
  <c r="BS627" i="3"/>
  <c r="BR627" i="3"/>
  <c r="BQ627" i="3"/>
  <c r="BP627" i="3"/>
  <c r="BO627" i="3"/>
  <c r="BN627" i="3"/>
  <c r="BM627" i="3"/>
  <c r="BL627" i="3"/>
  <c r="BK627" i="3"/>
  <c r="BJ627" i="3"/>
  <c r="BI627" i="3"/>
  <c r="BH627" i="3"/>
  <c r="BG627" i="3"/>
  <c r="BF627" i="3"/>
  <c r="BE627" i="3"/>
  <c r="BD627" i="3"/>
  <c r="BC627" i="3"/>
  <c r="BB627" i="3"/>
  <c r="BA627" i="3"/>
  <c r="AZ627" i="3"/>
  <c r="AY627" i="3"/>
  <c r="AX627" i="3"/>
  <c r="AW627" i="3"/>
  <c r="AV627" i="3"/>
  <c r="AU627" i="3"/>
  <c r="AT627" i="3"/>
  <c r="AS627" i="3"/>
  <c r="AR627" i="3"/>
  <c r="AQ627" i="3"/>
  <c r="AP627" i="3"/>
  <c r="AO627" i="3"/>
  <c r="AN627" i="3"/>
  <c r="AM627" i="3"/>
  <c r="BS626" i="3"/>
  <c r="BR626" i="3"/>
  <c r="BQ626" i="3"/>
  <c r="BP626" i="3"/>
  <c r="BO626" i="3"/>
  <c r="BN626" i="3"/>
  <c r="BM626" i="3"/>
  <c r="BL626" i="3"/>
  <c r="BK626" i="3"/>
  <c r="BJ626" i="3"/>
  <c r="BI626" i="3"/>
  <c r="BH626" i="3"/>
  <c r="BG626" i="3"/>
  <c r="BF626" i="3"/>
  <c r="BE626" i="3"/>
  <c r="BD626" i="3"/>
  <c r="BC626" i="3"/>
  <c r="BB626" i="3"/>
  <c r="BA626" i="3"/>
  <c r="AZ626" i="3"/>
  <c r="AY626" i="3"/>
  <c r="AX626" i="3"/>
  <c r="AW626" i="3"/>
  <c r="AV626" i="3"/>
  <c r="AU626" i="3"/>
  <c r="AT626" i="3"/>
  <c r="AS626" i="3"/>
  <c r="AR626" i="3"/>
  <c r="AQ626" i="3"/>
  <c r="AP626" i="3"/>
  <c r="AO626" i="3"/>
  <c r="AN626" i="3"/>
  <c r="AM626" i="3"/>
  <c r="BS625" i="3"/>
  <c r="BR625" i="3"/>
  <c r="BQ625" i="3"/>
  <c r="BP625" i="3"/>
  <c r="BO625" i="3"/>
  <c r="BN625" i="3"/>
  <c r="BM625" i="3"/>
  <c r="BL625" i="3"/>
  <c r="BK625" i="3"/>
  <c r="BJ625" i="3"/>
  <c r="BI625" i="3"/>
  <c r="BH625" i="3"/>
  <c r="BG625" i="3"/>
  <c r="BF625" i="3"/>
  <c r="BE625" i="3"/>
  <c r="BD625" i="3"/>
  <c r="BC625" i="3"/>
  <c r="BB625" i="3"/>
  <c r="BA625" i="3"/>
  <c r="AZ625" i="3"/>
  <c r="AY625" i="3"/>
  <c r="AX625" i="3"/>
  <c r="AW625" i="3"/>
  <c r="AV625" i="3"/>
  <c r="AU625" i="3"/>
  <c r="AT625" i="3"/>
  <c r="AS625" i="3"/>
  <c r="AR625" i="3"/>
  <c r="AQ625" i="3"/>
  <c r="AP625" i="3"/>
  <c r="AO625" i="3"/>
  <c r="AN625" i="3"/>
  <c r="AM625" i="3"/>
  <c r="E625" i="3"/>
  <c r="BS624" i="3"/>
  <c r="BR624" i="3"/>
  <c r="BQ624" i="3"/>
  <c r="BP624" i="3"/>
  <c r="BO624" i="3"/>
  <c r="BN624" i="3"/>
  <c r="BM624" i="3"/>
  <c r="BL624" i="3"/>
  <c r="BK624" i="3"/>
  <c r="BJ624" i="3"/>
  <c r="BI624" i="3"/>
  <c r="BH624" i="3"/>
  <c r="BG624" i="3"/>
  <c r="BF624" i="3"/>
  <c r="BE624" i="3"/>
  <c r="BD624" i="3"/>
  <c r="BC624" i="3"/>
  <c r="BB624" i="3"/>
  <c r="BA624" i="3"/>
  <c r="AZ624" i="3"/>
  <c r="AY624" i="3"/>
  <c r="AX624" i="3"/>
  <c r="AW624" i="3"/>
  <c r="AV624" i="3"/>
  <c r="AU624" i="3"/>
  <c r="AT624" i="3"/>
  <c r="AS624" i="3"/>
  <c r="AR624" i="3"/>
  <c r="AQ624" i="3"/>
  <c r="AP624" i="3"/>
  <c r="AO624" i="3"/>
  <c r="AN624" i="3"/>
  <c r="AM624" i="3"/>
  <c r="D624" i="3"/>
  <c r="BS623" i="3"/>
  <c r="BR623" i="3"/>
  <c r="BQ623" i="3"/>
  <c r="BP623" i="3"/>
  <c r="BO623" i="3"/>
  <c r="BN623" i="3"/>
  <c r="BM623" i="3"/>
  <c r="BL623" i="3"/>
  <c r="BK623" i="3"/>
  <c r="BJ623" i="3"/>
  <c r="BI623" i="3"/>
  <c r="BH623" i="3"/>
  <c r="BG623" i="3"/>
  <c r="BF623" i="3"/>
  <c r="BE623" i="3"/>
  <c r="BD623" i="3"/>
  <c r="BC623" i="3"/>
  <c r="BB623" i="3"/>
  <c r="BA623" i="3"/>
  <c r="AZ623" i="3"/>
  <c r="AY623" i="3"/>
  <c r="AX623" i="3"/>
  <c r="AW623" i="3"/>
  <c r="AV623" i="3"/>
  <c r="AU623" i="3"/>
  <c r="AT623" i="3"/>
  <c r="AS623" i="3"/>
  <c r="AR623" i="3"/>
  <c r="AQ623" i="3"/>
  <c r="AP623" i="3"/>
  <c r="AO623" i="3"/>
  <c r="AN623" i="3"/>
  <c r="AM623" i="3"/>
  <c r="BS622" i="3"/>
  <c r="BR622" i="3"/>
  <c r="BQ622" i="3"/>
  <c r="BP622" i="3"/>
  <c r="BO622" i="3"/>
  <c r="BN622" i="3"/>
  <c r="BM622" i="3"/>
  <c r="BL622" i="3"/>
  <c r="BK622" i="3"/>
  <c r="BJ622" i="3"/>
  <c r="BI622" i="3"/>
  <c r="BH622" i="3"/>
  <c r="BG622" i="3"/>
  <c r="BF622" i="3"/>
  <c r="BE622" i="3"/>
  <c r="BD622" i="3"/>
  <c r="BC622" i="3"/>
  <c r="BB622" i="3"/>
  <c r="BA622" i="3"/>
  <c r="AZ622" i="3"/>
  <c r="AY622" i="3"/>
  <c r="AX622" i="3"/>
  <c r="AW622" i="3"/>
  <c r="AV622" i="3"/>
  <c r="AU622" i="3"/>
  <c r="AT622" i="3"/>
  <c r="AS622" i="3"/>
  <c r="AR622" i="3"/>
  <c r="AQ622" i="3"/>
  <c r="AP622" i="3"/>
  <c r="AO622" i="3"/>
  <c r="AN622" i="3"/>
  <c r="AM622" i="3"/>
  <c r="BS621" i="3"/>
  <c r="BR621" i="3"/>
  <c r="BQ621" i="3"/>
  <c r="BP621" i="3"/>
  <c r="BO621" i="3"/>
  <c r="BN621" i="3"/>
  <c r="BM621" i="3"/>
  <c r="BL621" i="3"/>
  <c r="BK621" i="3"/>
  <c r="BJ621" i="3"/>
  <c r="BI621" i="3"/>
  <c r="BH621" i="3"/>
  <c r="BG621" i="3"/>
  <c r="BF621" i="3"/>
  <c r="BE621" i="3"/>
  <c r="BD621" i="3"/>
  <c r="BC621" i="3"/>
  <c r="BB621" i="3"/>
  <c r="BA621" i="3"/>
  <c r="AZ621" i="3"/>
  <c r="AY621" i="3"/>
  <c r="AX621" i="3"/>
  <c r="AW621" i="3"/>
  <c r="AV621" i="3"/>
  <c r="AU621" i="3"/>
  <c r="AT621" i="3"/>
  <c r="AS621" i="3"/>
  <c r="AR621" i="3"/>
  <c r="AQ621" i="3"/>
  <c r="AP621" i="3"/>
  <c r="AO621" i="3"/>
  <c r="AN621" i="3"/>
  <c r="AM621" i="3"/>
  <c r="BS620" i="3"/>
  <c r="BR620" i="3"/>
  <c r="BQ620" i="3"/>
  <c r="BP620" i="3"/>
  <c r="BO620" i="3"/>
  <c r="BN620" i="3"/>
  <c r="BM620" i="3"/>
  <c r="BL620" i="3"/>
  <c r="BK620" i="3"/>
  <c r="BJ620" i="3"/>
  <c r="BI620" i="3"/>
  <c r="BH620" i="3"/>
  <c r="BG620" i="3"/>
  <c r="BF620" i="3"/>
  <c r="BE620" i="3"/>
  <c r="BD620" i="3"/>
  <c r="BC620" i="3"/>
  <c r="BB620" i="3"/>
  <c r="BA620" i="3"/>
  <c r="AZ620" i="3"/>
  <c r="AY620" i="3"/>
  <c r="AX620" i="3"/>
  <c r="AW620" i="3"/>
  <c r="AV620" i="3"/>
  <c r="AU620" i="3"/>
  <c r="AT620" i="3"/>
  <c r="AS620" i="3"/>
  <c r="AR620" i="3"/>
  <c r="AQ620" i="3"/>
  <c r="AP620" i="3"/>
  <c r="AO620" i="3"/>
  <c r="AN620" i="3"/>
  <c r="AM620" i="3"/>
  <c r="BS619" i="3"/>
  <c r="BR619" i="3"/>
  <c r="BQ619" i="3"/>
  <c r="BP619" i="3"/>
  <c r="BO619" i="3"/>
  <c r="BN619" i="3"/>
  <c r="BM619" i="3"/>
  <c r="BL619" i="3"/>
  <c r="BK619" i="3"/>
  <c r="BJ619" i="3"/>
  <c r="BI619" i="3"/>
  <c r="BH619" i="3"/>
  <c r="BG619" i="3"/>
  <c r="BF619" i="3"/>
  <c r="BE619" i="3"/>
  <c r="BD619" i="3"/>
  <c r="BC619" i="3"/>
  <c r="BB619" i="3"/>
  <c r="BA619" i="3"/>
  <c r="AZ619" i="3"/>
  <c r="AY619" i="3"/>
  <c r="AX619" i="3"/>
  <c r="AW619" i="3"/>
  <c r="AV619" i="3"/>
  <c r="AU619" i="3"/>
  <c r="AT619" i="3"/>
  <c r="AS619" i="3"/>
  <c r="AR619" i="3"/>
  <c r="AQ619" i="3"/>
  <c r="AP619" i="3"/>
  <c r="AO619" i="3"/>
  <c r="AN619" i="3"/>
  <c r="AM619" i="3"/>
  <c r="E619" i="3"/>
  <c r="D619" i="3"/>
  <c r="C619" i="3"/>
  <c r="BS618" i="3"/>
  <c r="BR618" i="3"/>
  <c r="BQ618" i="3"/>
  <c r="BP618" i="3"/>
  <c r="BO618" i="3"/>
  <c r="BN618" i="3"/>
  <c r="BM618" i="3"/>
  <c r="BL618" i="3"/>
  <c r="BK618" i="3"/>
  <c r="BJ618" i="3"/>
  <c r="BI618" i="3"/>
  <c r="BH618" i="3"/>
  <c r="BG618" i="3"/>
  <c r="BF618" i="3"/>
  <c r="BE618" i="3"/>
  <c r="BD618" i="3"/>
  <c r="BC618" i="3"/>
  <c r="BB618" i="3"/>
  <c r="BA618" i="3"/>
  <c r="AZ618" i="3"/>
  <c r="AY618" i="3"/>
  <c r="AX618" i="3"/>
  <c r="AW618" i="3"/>
  <c r="AV618" i="3"/>
  <c r="AU618" i="3"/>
  <c r="AT618" i="3"/>
  <c r="AS618" i="3"/>
  <c r="AR618" i="3"/>
  <c r="AQ618" i="3"/>
  <c r="AP618" i="3"/>
  <c r="AO618" i="3"/>
  <c r="AN618" i="3"/>
  <c r="AM618" i="3"/>
  <c r="C618" i="3"/>
  <c r="BS617" i="3"/>
  <c r="BR617" i="3"/>
  <c r="BQ617" i="3"/>
  <c r="BP617" i="3"/>
  <c r="BO617" i="3"/>
  <c r="BN617" i="3"/>
  <c r="BM617" i="3"/>
  <c r="BL617" i="3"/>
  <c r="BK617" i="3"/>
  <c r="BJ617" i="3"/>
  <c r="BI617" i="3"/>
  <c r="BH617" i="3"/>
  <c r="BG617" i="3"/>
  <c r="BF617" i="3"/>
  <c r="BE617" i="3"/>
  <c r="BD617" i="3"/>
  <c r="BC617" i="3"/>
  <c r="BB617" i="3"/>
  <c r="BA617" i="3"/>
  <c r="AZ617" i="3"/>
  <c r="AY617" i="3"/>
  <c r="AX617" i="3"/>
  <c r="AW617" i="3"/>
  <c r="AV617" i="3"/>
  <c r="AU617" i="3"/>
  <c r="AT617" i="3"/>
  <c r="AS617" i="3"/>
  <c r="AR617" i="3"/>
  <c r="AQ617" i="3"/>
  <c r="AP617" i="3"/>
  <c r="AO617" i="3"/>
  <c r="AN617" i="3"/>
  <c r="AM617" i="3"/>
  <c r="BS616" i="3"/>
  <c r="BR616" i="3"/>
  <c r="BQ616" i="3"/>
  <c r="BP616" i="3"/>
  <c r="BO616" i="3"/>
  <c r="BN616" i="3"/>
  <c r="BM616" i="3"/>
  <c r="BL616" i="3"/>
  <c r="BK616" i="3"/>
  <c r="BJ616" i="3"/>
  <c r="BI616" i="3"/>
  <c r="BH616" i="3"/>
  <c r="BG616" i="3"/>
  <c r="BF616" i="3"/>
  <c r="BE616" i="3"/>
  <c r="BD616" i="3"/>
  <c r="BC616" i="3"/>
  <c r="BB616" i="3"/>
  <c r="BA616" i="3"/>
  <c r="AZ616" i="3"/>
  <c r="AY616" i="3"/>
  <c r="AX616" i="3"/>
  <c r="AW616" i="3"/>
  <c r="AV616" i="3"/>
  <c r="AU616" i="3"/>
  <c r="AT616" i="3"/>
  <c r="AS616" i="3"/>
  <c r="AR616" i="3"/>
  <c r="AQ616" i="3"/>
  <c r="AP616" i="3"/>
  <c r="AO616" i="3"/>
  <c r="AN616" i="3"/>
  <c r="AM616" i="3"/>
  <c r="BS615" i="3"/>
  <c r="BR615" i="3"/>
  <c r="BQ615" i="3"/>
  <c r="BP615" i="3"/>
  <c r="BO615" i="3"/>
  <c r="BN615" i="3"/>
  <c r="BM615" i="3"/>
  <c r="BL615" i="3"/>
  <c r="BK615" i="3"/>
  <c r="BJ615" i="3"/>
  <c r="BI615" i="3"/>
  <c r="BH615" i="3"/>
  <c r="BG615" i="3"/>
  <c r="BF615" i="3"/>
  <c r="BE615" i="3"/>
  <c r="BD615" i="3"/>
  <c r="BC615" i="3"/>
  <c r="BB615" i="3"/>
  <c r="BA615" i="3"/>
  <c r="AZ615" i="3"/>
  <c r="AY615" i="3"/>
  <c r="AX615" i="3"/>
  <c r="AW615" i="3"/>
  <c r="AV615" i="3"/>
  <c r="AU615" i="3"/>
  <c r="AT615" i="3"/>
  <c r="AS615" i="3"/>
  <c r="AR615" i="3"/>
  <c r="AQ615" i="3"/>
  <c r="AP615" i="3"/>
  <c r="AO615" i="3"/>
  <c r="AN615" i="3"/>
  <c r="AM615" i="3"/>
  <c r="A615" i="3"/>
  <c r="BS614" i="3"/>
  <c r="BR614" i="3"/>
  <c r="BQ614" i="3"/>
  <c r="BP614" i="3"/>
  <c r="BO614" i="3"/>
  <c r="BN614" i="3"/>
  <c r="BM614" i="3"/>
  <c r="BL614" i="3"/>
  <c r="BK614" i="3"/>
  <c r="BJ614" i="3"/>
  <c r="BI614" i="3"/>
  <c r="BH614" i="3"/>
  <c r="BG614" i="3"/>
  <c r="BF614" i="3"/>
  <c r="BE614" i="3"/>
  <c r="BD614" i="3"/>
  <c r="BC614" i="3"/>
  <c r="BB614" i="3"/>
  <c r="BA614" i="3"/>
  <c r="AZ614" i="3"/>
  <c r="AY614" i="3"/>
  <c r="AX614" i="3"/>
  <c r="AW614" i="3"/>
  <c r="AV614" i="3"/>
  <c r="AU614" i="3"/>
  <c r="AT614" i="3"/>
  <c r="AS614" i="3"/>
  <c r="AR614" i="3"/>
  <c r="AQ614" i="3"/>
  <c r="AP614" i="3"/>
  <c r="AO614" i="3"/>
  <c r="AN614" i="3"/>
  <c r="AM614" i="3"/>
  <c r="BS613" i="3"/>
  <c r="BR613" i="3"/>
  <c r="BQ613" i="3"/>
  <c r="BP613" i="3"/>
  <c r="BO613" i="3"/>
  <c r="BN613" i="3"/>
  <c r="BM613" i="3"/>
  <c r="BL613" i="3"/>
  <c r="BK613" i="3"/>
  <c r="BJ613" i="3"/>
  <c r="BI613" i="3"/>
  <c r="BH613" i="3"/>
  <c r="BG613" i="3"/>
  <c r="BF613" i="3"/>
  <c r="BE613" i="3"/>
  <c r="BD613" i="3"/>
  <c r="BC613" i="3"/>
  <c r="BB613" i="3"/>
  <c r="BA613" i="3"/>
  <c r="AZ613" i="3"/>
  <c r="AY613" i="3"/>
  <c r="AX613" i="3"/>
  <c r="AW613" i="3"/>
  <c r="AV613" i="3"/>
  <c r="AU613" i="3"/>
  <c r="AT613" i="3"/>
  <c r="AS613" i="3"/>
  <c r="AR613" i="3"/>
  <c r="AQ613" i="3"/>
  <c r="AP613" i="3"/>
  <c r="AO613" i="3"/>
  <c r="AN613" i="3"/>
  <c r="AM613" i="3"/>
  <c r="BS612" i="3"/>
  <c r="BR612" i="3"/>
  <c r="BQ612" i="3"/>
  <c r="BP612" i="3"/>
  <c r="BO612" i="3"/>
  <c r="BN612" i="3"/>
  <c r="BM612" i="3"/>
  <c r="BL612" i="3"/>
  <c r="BK612" i="3"/>
  <c r="BJ612" i="3"/>
  <c r="BI612" i="3"/>
  <c r="BH612" i="3"/>
  <c r="BG612" i="3"/>
  <c r="BF612" i="3"/>
  <c r="BE612" i="3"/>
  <c r="BD612" i="3"/>
  <c r="BC612" i="3"/>
  <c r="BB612" i="3"/>
  <c r="BA612" i="3"/>
  <c r="AZ612" i="3"/>
  <c r="AY612" i="3"/>
  <c r="AX612" i="3"/>
  <c r="AW612" i="3"/>
  <c r="AV612" i="3"/>
  <c r="AU612" i="3"/>
  <c r="AT612" i="3"/>
  <c r="AS612" i="3"/>
  <c r="AR612" i="3"/>
  <c r="AQ612" i="3"/>
  <c r="AP612" i="3"/>
  <c r="AO612" i="3"/>
  <c r="AN612" i="3"/>
  <c r="AM612" i="3"/>
  <c r="BS611" i="3"/>
  <c r="BR611" i="3"/>
  <c r="BQ611" i="3"/>
  <c r="BP611" i="3"/>
  <c r="BO611" i="3"/>
  <c r="BN611" i="3"/>
  <c r="BM611" i="3"/>
  <c r="BL611" i="3"/>
  <c r="BK611" i="3"/>
  <c r="BJ611" i="3"/>
  <c r="BI611" i="3"/>
  <c r="BH611" i="3"/>
  <c r="BG611" i="3"/>
  <c r="BF611" i="3"/>
  <c r="BE611" i="3"/>
  <c r="BD611" i="3"/>
  <c r="BC611" i="3"/>
  <c r="BB611" i="3"/>
  <c r="BA611" i="3"/>
  <c r="AZ611" i="3"/>
  <c r="AY611" i="3"/>
  <c r="AX611" i="3"/>
  <c r="AW611" i="3"/>
  <c r="AV611" i="3"/>
  <c r="AU611" i="3"/>
  <c r="AT611" i="3"/>
  <c r="AS611" i="3"/>
  <c r="AR611" i="3"/>
  <c r="AQ611" i="3"/>
  <c r="AP611" i="3"/>
  <c r="AO611" i="3"/>
  <c r="AN611" i="3"/>
  <c r="AM611" i="3"/>
  <c r="B611" i="3"/>
  <c r="A611" i="3"/>
  <c r="BS610" i="3"/>
  <c r="BR610" i="3"/>
  <c r="BQ610" i="3"/>
  <c r="BP610" i="3"/>
  <c r="BO610" i="3"/>
  <c r="BN610" i="3"/>
  <c r="BM610" i="3"/>
  <c r="BL610" i="3"/>
  <c r="BK610" i="3"/>
  <c r="BJ610" i="3"/>
  <c r="BI610" i="3"/>
  <c r="BH610" i="3"/>
  <c r="BG610" i="3"/>
  <c r="BF610" i="3"/>
  <c r="BE610" i="3"/>
  <c r="BD610" i="3"/>
  <c r="BC610" i="3"/>
  <c r="BB610" i="3"/>
  <c r="BA610" i="3"/>
  <c r="AZ610" i="3"/>
  <c r="AY610" i="3"/>
  <c r="AX610" i="3"/>
  <c r="AW610" i="3"/>
  <c r="AV610" i="3"/>
  <c r="AU610" i="3"/>
  <c r="AT610" i="3"/>
  <c r="AS610" i="3"/>
  <c r="AR610" i="3"/>
  <c r="AQ610" i="3"/>
  <c r="AP610" i="3"/>
  <c r="AO610" i="3"/>
  <c r="AN610" i="3"/>
  <c r="AM610" i="3"/>
  <c r="A610" i="3"/>
  <c r="BS609" i="3"/>
  <c r="BR609" i="3"/>
  <c r="BQ609" i="3"/>
  <c r="BP609" i="3"/>
  <c r="BO609" i="3"/>
  <c r="BN609" i="3"/>
  <c r="BM609" i="3"/>
  <c r="BL609" i="3"/>
  <c r="BK609" i="3"/>
  <c r="BJ609" i="3"/>
  <c r="BI609" i="3"/>
  <c r="BH609" i="3"/>
  <c r="BG609" i="3"/>
  <c r="BF609" i="3"/>
  <c r="BE609" i="3"/>
  <c r="BD609" i="3"/>
  <c r="BC609" i="3"/>
  <c r="BB609" i="3"/>
  <c r="BA609" i="3"/>
  <c r="AZ609" i="3"/>
  <c r="AY609" i="3"/>
  <c r="AX609" i="3"/>
  <c r="AW609" i="3"/>
  <c r="AV609" i="3"/>
  <c r="AU609" i="3"/>
  <c r="AT609" i="3"/>
  <c r="AS609" i="3"/>
  <c r="AR609" i="3"/>
  <c r="AQ609" i="3"/>
  <c r="AP609" i="3"/>
  <c r="AO609" i="3"/>
  <c r="AN609" i="3"/>
  <c r="AM609" i="3"/>
  <c r="BS608" i="3"/>
  <c r="BR608" i="3"/>
  <c r="BQ608" i="3"/>
  <c r="BP608" i="3"/>
  <c r="BO608" i="3"/>
  <c r="BN608" i="3"/>
  <c r="BM608" i="3"/>
  <c r="BL608" i="3"/>
  <c r="BK608" i="3"/>
  <c r="BJ608" i="3"/>
  <c r="BI608" i="3"/>
  <c r="BH608" i="3"/>
  <c r="BG608" i="3"/>
  <c r="BF608" i="3"/>
  <c r="BE608" i="3"/>
  <c r="BD608" i="3"/>
  <c r="BC608" i="3"/>
  <c r="BB608" i="3"/>
  <c r="BA608" i="3"/>
  <c r="AZ608" i="3"/>
  <c r="AY608" i="3"/>
  <c r="AX608" i="3"/>
  <c r="AW608" i="3"/>
  <c r="AV608" i="3"/>
  <c r="AU608" i="3"/>
  <c r="AT608" i="3"/>
  <c r="AS608" i="3"/>
  <c r="AR608" i="3"/>
  <c r="AQ608" i="3"/>
  <c r="AP608" i="3"/>
  <c r="AO608" i="3"/>
  <c r="AN608" i="3"/>
  <c r="AM608" i="3"/>
  <c r="BS607" i="3"/>
  <c r="BR607" i="3"/>
  <c r="BQ607" i="3"/>
  <c r="BP607" i="3"/>
  <c r="BO607" i="3"/>
  <c r="BN607" i="3"/>
  <c r="BM607" i="3"/>
  <c r="BL607" i="3"/>
  <c r="BK607" i="3"/>
  <c r="BJ607" i="3"/>
  <c r="BI607" i="3"/>
  <c r="BH607" i="3"/>
  <c r="BG607" i="3"/>
  <c r="BF607" i="3"/>
  <c r="BE607" i="3"/>
  <c r="BD607" i="3"/>
  <c r="BC607" i="3"/>
  <c r="BB607" i="3"/>
  <c r="BA607" i="3"/>
  <c r="AZ607" i="3"/>
  <c r="AY607" i="3"/>
  <c r="AX607" i="3"/>
  <c r="AW607" i="3"/>
  <c r="AV607" i="3"/>
  <c r="AU607" i="3"/>
  <c r="AT607" i="3"/>
  <c r="AS607" i="3"/>
  <c r="AR607" i="3"/>
  <c r="AQ607" i="3"/>
  <c r="AP607" i="3"/>
  <c r="AO607" i="3"/>
  <c r="AN607" i="3"/>
  <c r="AM607" i="3"/>
  <c r="BS606" i="3"/>
  <c r="BR606" i="3"/>
  <c r="BQ606" i="3"/>
  <c r="BP606" i="3"/>
  <c r="BO606" i="3"/>
  <c r="BN606" i="3"/>
  <c r="BM606" i="3"/>
  <c r="BL606" i="3"/>
  <c r="BK606" i="3"/>
  <c r="BJ606" i="3"/>
  <c r="BI606" i="3"/>
  <c r="BH606" i="3"/>
  <c r="BG606" i="3"/>
  <c r="BF606" i="3"/>
  <c r="BE606" i="3"/>
  <c r="BD606" i="3"/>
  <c r="BC606" i="3"/>
  <c r="BB606" i="3"/>
  <c r="BA606" i="3"/>
  <c r="AZ606" i="3"/>
  <c r="AY606" i="3"/>
  <c r="AX606" i="3"/>
  <c r="AW606" i="3"/>
  <c r="AV606" i="3"/>
  <c r="AU606" i="3"/>
  <c r="AT606" i="3"/>
  <c r="AS606" i="3"/>
  <c r="AR606" i="3"/>
  <c r="AQ606" i="3"/>
  <c r="AP606" i="3"/>
  <c r="AO606" i="3"/>
  <c r="AN606" i="3"/>
  <c r="AM606" i="3"/>
  <c r="BS605" i="3"/>
  <c r="BR605" i="3"/>
  <c r="BQ605" i="3"/>
  <c r="BP605" i="3"/>
  <c r="BO605" i="3"/>
  <c r="BN605" i="3"/>
  <c r="BM605" i="3"/>
  <c r="BL605" i="3"/>
  <c r="BK605" i="3"/>
  <c r="BJ605" i="3"/>
  <c r="BI605" i="3"/>
  <c r="BH605" i="3"/>
  <c r="BG605" i="3"/>
  <c r="BF605" i="3"/>
  <c r="BE605" i="3"/>
  <c r="BD605" i="3"/>
  <c r="BC605" i="3"/>
  <c r="BB605" i="3"/>
  <c r="BA605" i="3"/>
  <c r="AZ605" i="3"/>
  <c r="AY605" i="3"/>
  <c r="AX605" i="3"/>
  <c r="AW605" i="3"/>
  <c r="AV605" i="3"/>
  <c r="AU605" i="3"/>
  <c r="AT605" i="3"/>
  <c r="AS605" i="3"/>
  <c r="AR605" i="3"/>
  <c r="AQ605" i="3"/>
  <c r="AP605" i="3"/>
  <c r="AO605" i="3"/>
  <c r="AN605" i="3"/>
  <c r="AM605" i="3"/>
  <c r="BS604" i="3"/>
  <c r="BR604" i="3"/>
  <c r="BQ604" i="3"/>
  <c r="BP604" i="3"/>
  <c r="BO604" i="3"/>
  <c r="BN604" i="3"/>
  <c r="BM604" i="3"/>
  <c r="BL604" i="3"/>
  <c r="BK604" i="3"/>
  <c r="BJ604" i="3"/>
  <c r="BI604" i="3"/>
  <c r="BH604" i="3"/>
  <c r="BG604" i="3"/>
  <c r="BF604" i="3"/>
  <c r="BE604" i="3"/>
  <c r="BD604" i="3"/>
  <c r="BC604" i="3"/>
  <c r="BB604" i="3"/>
  <c r="BA604" i="3"/>
  <c r="AZ604" i="3"/>
  <c r="AY604" i="3"/>
  <c r="AX604" i="3"/>
  <c r="AW604" i="3"/>
  <c r="AV604" i="3"/>
  <c r="AU604" i="3"/>
  <c r="AT604" i="3"/>
  <c r="AS604" i="3"/>
  <c r="AR604" i="3"/>
  <c r="AQ604" i="3"/>
  <c r="AP604" i="3"/>
  <c r="AO604" i="3"/>
  <c r="AN604" i="3"/>
  <c r="AM604" i="3"/>
  <c r="BS603" i="3"/>
  <c r="BR603" i="3"/>
  <c r="BQ603" i="3"/>
  <c r="BP603" i="3"/>
  <c r="BO603" i="3"/>
  <c r="BN603" i="3"/>
  <c r="BM603" i="3"/>
  <c r="BL603" i="3"/>
  <c r="BK603" i="3"/>
  <c r="BJ603" i="3"/>
  <c r="BI603" i="3"/>
  <c r="BH603" i="3"/>
  <c r="BG603" i="3"/>
  <c r="BF603" i="3"/>
  <c r="BE603" i="3"/>
  <c r="BD603" i="3"/>
  <c r="BC603" i="3"/>
  <c r="BB603" i="3"/>
  <c r="BA603" i="3"/>
  <c r="AZ603" i="3"/>
  <c r="AY603" i="3"/>
  <c r="AX603" i="3"/>
  <c r="AW603" i="3"/>
  <c r="AV603" i="3"/>
  <c r="AU603" i="3"/>
  <c r="AT603" i="3"/>
  <c r="AS603" i="3"/>
  <c r="AR603" i="3"/>
  <c r="AQ603" i="3"/>
  <c r="AP603" i="3"/>
  <c r="AO603" i="3"/>
  <c r="AN603" i="3"/>
  <c r="AM603" i="3"/>
  <c r="BS602" i="3"/>
  <c r="BR602" i="3"/>
  <c r="BQ602" i="3"/>
  <c r="BP602" i="3"/>
  <c r="BO602" i="3"/>
  <c r="BN602" i="3"/>
  <c r="BM602" i="3"/>
  <c r="BL602" i="3"/>
  <c r="BK602" i="3"/>
  <c r="BJ602" i="3"/>
  <c r="BI602" i="3"/>
  <c r="BH602" i="3"/>
  <c r="BG602" i="3"/>
  <c r="BF602" i="3"/>
  <c r="BE602" i="3"/>
  <c r="BD602" i="3"/>
  <c r="BC602" i="3"/>
  <c r="BB602" i="3"/>
  <c r="BA602" i="3"/>
  <c r="AZ602" i="3"/>
  <c r="AY602" i="3"/>
  <c r="AX602" i="3"/>
  <c r="AW602" i="3"/>
  <c r="AV602" i="3"/>
  <c r="AU602" i="3"/>
  <c r="AT602" i="3"/>
  <c r="AS602" i="3"/>
  <c r="AR602" i="3"/>
  <c r="AQ602" i="3"/>
  <c r="AP602" i="3"/>
  <c r="AO602" i="3"/>
  <c r="AN602" i="3"/>
  <c r="AM602" i="3"/>
  <c r="BS601" i="3"/>
  <c r="BR601" i="3"/>
  <c r="BQ601" i="3"/>
  <c r="BP601" i="3"/>
  <c r="BO601" i="3"/>
  <c r="BN601" i="3"/>
  <c r="BM601" i="3"/>
  <c r="BL601" i="3"/>
  <c r="BK601" i="3"/>
  <c r="BJ601" i="3"/>
  <c r="BI601" i="3"/>
  <c r="BH601" i="3"/>
  <c r="BG601" i="3"/>
  <c r="BF601" i="3"/>
  <c r="BE601" i="3"/>
  <c r="BD601" i="3"/>
  <c r="BC601" i="3"/>
  <c r="BB601" i="3"/>
  <c r="BA601" i="3"/>
  <c r="AZ601" i="3"/>
  <c r="AY601" i="3"/>
  <c r="AX601" i="3"/>
  <c r="AW601" i="3"/>
  <c r="AV601" i="3"/>
  <c r="AU601" i="3"/>
  <c r="AT601" i="3"/>
  <c r="AS601" i="3"/>
  <c r="AR601" i="3"/>
  <c r="AQ601" i="3"/>
  <c r="AP601" i="3"/>
  <c r="AO601" i="3"/>
  <c r="AN601" i="3"/>
  <c r="AM601" i="3"/>
  <c r="BS600" i="3"/>
  <c r="BR600" i="3"/>
  <c r="BQ600" i="3"/>
  <c r="BP600" i="3"/>
  <c r="BO600" i="3"/>
  <c r="BN600" i="3"/>
  <c r="BM600" i="3"/>
  <c r="BL600" i="3"/>
  <c r="BK600" i="3"/>
  <c r="BJ600" i="3"/>
  <c r="BI600" i="3"/>
  <c r="BH600" i="3"/>
  <c r="BG600" i="3"/>
  <c r="BF600" i="3"/>
  <c r="BE600" i="3"/>
  <c r="BD600" i="3"/>
  <c r="BC600" i="3"/>
  <c r="BB600" i="3"/>
  <c r="BA600" i="3"/>
  <c r="AZ600" i="3"/>
  <c r="AY600" i="3"/>
  <c r="AX600" i="3"/>
  <c r="AW600" i="3"/>
  <c r="AV600" i="3"/>
  <c r="AU600" i="3"/>
  <c r="AT600" i="3"/>
  <c r="AS600" i="3"/>
  <c r="AR600" i="3"/>
  <c r="AQ600" i="3"/>
  <c r="AP600" i="3"/>
  <c r="AO600" i="3"/>
  <c r="AN600" i="3"/>
  <c r="AM600" i="3"/>
  <c r="BS599" i="3"/>
  <c r="BR599" i="3"/>
  <c r="BQ599" i="3"/>
  <c r="BP599" i="3"/>
  <c r="BO599" i="3"/>
  <c r="BN599" i="3"/>
  <c r="BM599" i="3"/>
  <c r="BL599" i="3"/>
  <c r="BK599" i="3"/>
  <c r="BJ599" i="3"/>
  <c r="BI599" i="3"/>
  <c r="BH599" i="3"/>
  <c r="BG599" i="3"/>
  <c r="BF599" i="3"/>
  <c r="BE599" i="3"/>
  <c r="BD599" i="3"/>
  <c r="BC599" i="3"/>
  <c r="BB599" i="3"/>
  <c r="BA599" i="3"/>
  <c r="AZ599" i="3"/>
  <c r="AY599" i="3"/>
  <c r="AX599" i="3"/>
  <c r="AW599" i="3"/>
  <c r="AV599" i="3"/>
  <c r="AU599" i="3"/>
  <c r="AT599" i="3"/>
  <c r="AS599" i="3"/>
  <c r="AR599" i="3"/>
  <c r="AQ599" i="3"/>
  <c r="AP599" i="3"/>
  <c r="AO599" i="3"/>
  <c r="AN599" i="3"/>
  <c r="AM599" i="3"/>
  <c r="BS598" i="3"/>
  <c r="BR598" i="3"/>
  <c r="BQ598" i="3"/>
  <c r="BP598" i="3"/>
  <c r="BO598" i="3"/>
  <c r="BN598" i="3"/>
  <c r="BM598" i="3"/>
  <c r="BL598" i="3"/>
  <c r="BK598" i="3"/>
  <c r="BJ598" i="3"/>
  <c r="BI598" i="3"/>
  <c r="BH598" i="3"/>
  <c r="BG598" i="3"/>
  <c r="BF598" i="3"/>
  <c r="BE598" i="3"/>
  <c r="BD598" i="3"/>
  <c r="BC598" i="3"/>
  <c r="BB598" i="3"/>
  <c r="BA598" i="3"/>
  <c r="AZ598" i="3"/>
  <c r="AY598" i="3"/>
  <c r="AX598" i="3"/>
  <c r="AW598" i="3"/>
  <c r="AV598" i="3"/>
  <c r="AU598" i="3"/>
  <c r="AT598" i="3"/>
  <c r="AS598" i="3"/>
  <c r="AR598" i="3"/>
  <c r="AQ598" i="3"/>
  <c r="AP598" i="3"/>
  <c r="AO598" i="3"/>
  <c r="AN598" i="3"/>
  <c r="AM598" i="3"/>
  <c r="BS597" i="3"/>
  <c r="BR597" i="3"/>
  <c r="BQ597" i="3"/>
  <c r="BP597" i="3"/>
  <c r="BO597" i="3"/>
  <c r="BN597" i="3"/>
  <c r="BM597" i="3"/>
  <c r="BL597" i="3"/>
  <c r="BK597" i="3"/>
  <c r="BJ597" i="3"/>
  <c r="BI597" i="3"/>
  <c r="BH597" i="3"/>
  <c r="BG597" i="3"/>
  <c r="BF597" i="3"/>
  <c r="BE597" i="3"/>
  <c r="BD597" i="3"/>
  <c r="BC597" i="3"/>
  <c r="BB597" i="3"/>
  <c r="BA597" i="3"/>
  <c r="AZ597" i="3"/>
  <c r="AY597" i="3"/>
  <c r="AX597" i="3"/>
  <c r="AW597" i="3"/>
  <c r="AV597" i="3"/>
  <c r="AU597" i="3"/>
  <c r="AT597" i="3"/>
  <c r="AS597" i="3"/>
  <c r="AR597" i="3"/>
  <c r="AQ597" i="3"/>
  <c r="AP597" i="3"/>
  <c r="AO597" i="3"/>
  <c r="AN597" i="3"/>
  <c r="AM597" i="3"/>
  <c r="BS596" i="3"/>
  <c r="BR596" i="3"/>
  <c r="BQ596" i="3"/>
  <c r="BP596" i="3"/>
  <c r="BO596" i="3"/>
  <c r="BN596" i="3"/>
  <c r="BM596" i="3"/>
  <c r="BL596" i="3"/>
  <c r="BK596" i="3"/>
  <c r="BJ596" i="3"/>
  <c r="BI596" i="3"/>
  <c r="BH596" i="3"/>
  <c r="BG596" i="3"/>
  <c r="BF596" i="3"/>
  <c r="BE596" i="3"/>
  <c r="BD596" i="3"/>
  <c r="BC596" i="3"/>
  <c r="BB596" i="3"/>
  <c r="BA596" i="3"/>
  <c r="AZ596" i="3"/>
  <c r="AY596" i="3"/>
  <c r="AX596" i="3"/>
  <c r="AW596" i="3"/>
  <c r="AV596" i="3"/>
  <c r="AU596" i="3"/>
  <c r="AT596" i="3"/>
  <c r="AS596" i="3"/>
  <c r="AR596" i="3"/>
  <c r="AQ596" i="3"/>
  <c r="AP596" i="3"/>
  <c r="AO596" i="3"/>
  <c r="AN596" i="3"/>
  <c r="AM596" i="3"/>
  <c r="BS595" i="3"/>
  <c r="BR595" i="3"/>
  <c r="BQ595" i="3"/>
  <c r="BP595" i="3"/>
  <c r="BO595" i="3"/>
  <c r="BN595" i="3"/>
  <c r="BM595" i="3"/>
  <c r="BL595" i="3"/>
  <c r="BK595" i="3"/>
  <c r="BJ595" i="3"/>
  <c r="BI595" i="3"/>
  <c r="BH595" i="3"/>
  <c r="BG595" i="3"/>
  <c r="BF595" i="3"/>
  <c r="BE595" i="3"/>
  <c r="BD595" i="3"/>
  <c r="BC595" i="3"/>
  <c r="BB595" i="3"/>
  <c r="BA595" i="3"/>
  <c r="AZ595" i="3"/>
  <c r="AY595" i="3"/>
  <c r="AX595" i="3"/>
  <c r="AW595" i="3"/>
  <c r="AV595" i="3"/>
  <c r="AU595" i="3"/>
  <c r="AT595" i="3"/>
  <c r="AS595" i="3"/>
  <c r="AR595" i="3"/>
  <c r="AQ595" i="3"/>
  <c r="AP595" i="3"/>
  <c r="AO595" i="3"/>
  <c r="AN595" i="3"/>
  <c r="AM595" i="3"/>
  <c r="BS594" i="3"/>
  <c r="BR594" i="3"/>
  <c r="BQ594" i="3"/>
  <c r="BP594" i="3"/>
  <c r="BO594" i="3"/>
  <c r="BN594" i="3"/>
  <c r="BM594" i="3"/>
  <c r="BL594" i="3"/>
  <c r="BK594" i="3"/>
  <c r="BJ594" i="3"/>
  <c r="BI594" i="3"/>
  <c r="BH594" i="3"/>
  <c r="BG594" i="3"/>
  <c r="BF594" i="3"/>
  <c r="BE594" i="3"/>
  <c r="BD594" i="3"/>
  <c r="BC594" i="3"/>
  <c r="BB594" i="3"/>
  <c r="BA594" i="3"/>
  <c r="AZ594" i="3"/>
  <c r="AY594" i="3"/>
  <c r="AX594" i="3"/>
  <c r="AW594" i="3"/>
  <c r="AV594" i="3"/>
  <c r="AU594" i="3"/>
  <c r="AT594" i="3"/>
  <c r="AS594" i="3"/>
  <c r="AR594" i="3"/>
  <c r="AQ594" i="3"/>
  <c r="AP594" i="3"/>
  <c r="AO594" i="3"/>
  <c r="AN594" i="3"/>
  <c r="AM594" i="3"/>
  <c r="BS593" i="3"/>
  <c r="BR593" i="3"/>
  <c r="BQ593" i="3"/>
  <c r="BP593" i="3"/>
  <c r="BO593" i="3"/>
  <c r="BN593" i="3"/>
  <c r="BM593" i="3"/>
  <c r="BL593" i="3"/>
  <c r="BK593" i="3"/>
  <c r="BJ593" i="3"/>
  <c r="BI593" i="3"/>
  <c r="BH593" i="3"/>
  <c r="BG593" i="3"/>
  <c r="BF593" i="3"/>
  <c r="BE593" i="3"/>
  <c r="BD593" i="3"/>
  <c r="BC593" i="3"/>
  <c r="BB593" i="3"/>
  <c r="BA593" i="3"/>
  <c r="AZ593" i="3"/>
  <c r="AY593" i="3"/>
  <c r="AX593" i="3"/>
  <c r="AW593" i="3"/>
  <c r="AV593" i="3"/>
  <c r="AU593" i="3"/>
  <c r="AT593" i="3"/>
  <c r="AS593" i="3"/>
  <c r="AR593" i="3"/>
  <c r="AQ593" i="3"/>
  <c r="AP593" i="3"/>
  <c r="AO593" i="3"/>
  <c r="AN593" i="3"/>
  <c r="AM593" i="3"/>
  <c r="BS592" i="3"/>
  <c r="BR592" i="3"/>
  <c r="BQ592" i="3"/>
  <c r="BP592" i="3"/>
  <c r="BO592" i="3"/>
  <c r="BN592" i="3"/>
  <c r="BM592" i="3"/>
  <c r="BL592" i="3"/>
  <c r="BK592" i="3"/>
  <c r="BJ592" i="3"/>
  <c r="BI592" i="3"/>
  <c r="BH592" i="3"/>
  <c r="BG592" i="3"/>
  <c r="BF592" i="3"/>
  <c r="BE592" i="3"/>
  <c r="BD592" i="3"/>
  <c r="BC592" i="3"/>
  <c r="BB592" i="3"/>
  <c r="BA592" i="3"/>
  <c r="AZ592" i="3"/>
  <c r="AY592" i="3"/>
  <c r="AX592" i="3"/>
  <c r="AW592" i="3"/>
  <c r="AV592" i="3"/>
  <c r="AU592" i="3"/>
  <c r="AT592" i="3"/>
  <c r="AS592" i="3"/>
  <c r="AR592" i="3"/>
  <c r="AQ592" i="3"/>
  <c r="AP592" i="3"/>
  <c r="AO592" i="3"/>
  <c r="AN592" i="3"/>
  <c r="AM592" i="3"/>
  <c r="BS591" i="3"/>
  <c r="BR591" i="3"/>
  <c r="BQ591" i="3"/>
  <c r="BP591" i="3"/>
  <c r="BO591" i="3"/>
  <c r="BN591" i="3"/>
  <c r="BM591" i="3"/>
  <c r="BL591" i="3"/>
  <c r="BK591" i="3"/>
  <c r="BJ591" i="3"/>
  <c r="BI591" i="3"/>
  <c r="BH591" i="3"/>
  <c r="BG591" i="3"/>
  <c r="BF591" i="3"/>
  <c r="BE591" i="3"/>
  <c r="BD591" i="3"/>
  <c r="BC591" i="3"/>
  <c r="BB591" i="3"/>
  <c r="BA591" i="3"/>
  <c r="AZ591" i="3"/>
  <c r="AY591" i="3"/>
  <c r="AX591" i="3"/>
  <c r="AW591" i="3"/>
  <c r="AV591" i="3"/>
  <c r="AU591" i="3"/>
  <c r="AT591" i="3"/>
  <c r="AS591" i="3"/>
  <c r="AR591" i="3"/>
  <c r="AQ591" i="3"/>
  <c r="AP591" i="3"/>
  <c r="AO591" i="3"/>
  <c r="AN591" i="3"/>
  <c r="AM591" i="3"/>
  <c r="BS590" i="3"/>
  <c r="BR590" i="3"/>
  <c r="BQ590" i="3"/>
  <c r="BP590" i="3"/>
  <c r="BO590" i="3"/>
  <c r="BN590" i="3"/>
  <c r="BM590" i="3"/>
  <c r="BL590" i="3"/>
  <c r="BK590" i="3"/>
  <c r="BJ590" i="3"/>
  <c r="BI590" i="3"/>
  <c r="BH590" i="3"/>
  <c r="BG590" i="3"/>
  <c r="BF590" i="3"/>
  <c r="BE590" i="3"/>
  <c r="BD590" i="3"/>
  <c r="BC590" i="3"/>
  <c r="BB590" i="3"/>
  <c r="BA590" i="3"/>
  <c r="AZ590" i="3"/>
  <c r="AY590" i="3"/>
  <c r="AX590" i="3"/>
  <c r="AW590" i="3"/>
  <c r="AV590" i="3"/>
  <c r="AU590" i="3"/>
  <c r="AT590" i="3"/>
  <c r="AS590" i="3"/>
  <c r="AR590" i="3"/>
  <c r="AQ590" i="3"/>
  <c r="AP590" i="3"/>
  <c r="AO590" i="3"/>
  <c r="AN590" i="3"/>
  <c r="AM590" i="3"/>
  <c r="BS589" i="3"/>
  <c r="BR589" i="3"/>
  <c r="BQ589" i="3"/>
  <c r="BP589" i="3"/>
  <c r="BO589" i="3"/>
  <c r="BN589" i="3"/>
  <c r="BM589" i="3"/>
  <c r="BL589" i="3"/>
  <c r="BK589" i="3"/>
  <c r="BJ589" i="3"/>
  <c r="BI589" i="3"/>
  <c r="BH589" i="3"/>
  <c r="BG589" i="3"/>
  <c r="BF589" i="3"/>
  <c r="BE589" i="3"/>
  <c r="BD589" i="3"/>
  <c r="BC589" i="3"/>
  <c r="BB589" i="3"/>
  <c r="BA589" i="3"/>
  <c r="AZ589" i="3"/>
  <c r="AY589" i="3"/>
  <c r="AX589" i="3"/>
  <c r="AW589" i="3"/>
  <c r="AV589" i="3"/>
  <c r="AU589" i="3"/>
  <c r="AT589" i="3"/>
  <c r="AS589" i="3"/>
  <c r="AR589" i="3"/>
  <c r="AQ589" i="3"/>
  <c r="AP589" i="3"/>
  <c r="AO589" i="3"/>
  <c r="AN589" i="3"/>
  <c r="AM589" i="3"/>
  <c r="BS588" i="3"/>
  <c r="BR588" i="3"/>
  <c r="BQ588" i="3"/>
  <c r="BP588" i="3"/>
  <c r="BO588" i="3"/>
  <c r="BN588" i="3"/>
  <c r="BM588" i="3"/>
  <c r="BL588" i="3"/>
  <c r="BK588" i="3"/>
  <c r="BJ588" i="3"/>
  <c r="BI588" i="3"/>
  <c r="BH588" i="3"/>
  <c r="BG588" i="3"/>
  <c r="BF588" i="3"/>
  <c r="BE588" i="3"/>
  <c r="BD588" i="3"/>
  <c r="BC588" i="3"/>
  <c r="BB588" i="3"/>
  <c r="BA588" i="3"/>
  <c r="AZ588" i="3"/>
  <c r="AY588" i="3"/>
  <c r="AX588" i="3"/>
  <c r="AW588" i="3"/>
  <c r="AV588" i="3"/>
  <c r="AU588" i="3"/>
  <c r="AT588" i="3"/>
  <c r="AS588" i="3"/>
  <c r="AR588" i="3"/>
  <c r="AQ588" i="3"/>
  <c r="AP588" i="3"/>
  <c r="AO588" i="3"/>
  <c r="AN588" i="3"/>
  <c r="AM588" i="3"/>
  <c r="E588" i="3"/>
  <c r="BS587" i="3"/>
  <c r="BR587" i="3"/>
  <c r="BQ587" i="3"/>
  <c r="BP587" i="3"/>
  <c r="BO587" i="3"/>
  <c r="BN587" i="3"/>
  <c r="BM587" i="3"/>
  <c r="BL587" i="3"/>
  <c r="BK587" i="3"/>
  <c r="BJ587" i="3"/>
  <c r="BI587" i="3"/>
  <c r="BH587" i="3"/>
  <c r="BG587" i="3"/>
  <c r="BF587" i="3"/>
  <c r="BE587" i="3"/>
  <c r="BD587" i="3"/>
  <c r="BC587" i="3"/>
  <c r="BB587" i="3"/>
  <c r="BA587" i="3"/>
  <c r="AZ587" i="3"/>
  <c r="AY587" i="3"/>
  <c r="AX587" i="3"/>
  <c r="AW587" i="3"/>
  <c r="AV587" i="3"/>
  <c r="AU587" i="3"/>
  <c r="AT587" i="3"/>
  <c r="AS587" i="3"/>
  <c r="AR587" i="3"/>
  <c r="AQ587" i="3"/>
  <c r="AP587" i="3"/>
  <c r="AO587" i="3"/>
  <c r="AN587" i="3"/>
  <c r="AM587" i="3"/>
  <c r="A587" i="3"/>
  <c r="BS586" i="3"/>
  <c r="BR586" i="3"/>
  <c r="BQ586" i="3"/>
  <c r="BP586" i="3"/>
  <c r="BO586" i="3"/>
  <c r="BN586" i="3"/>
  <c r="BM586" i="3"/>
  <c r="BL586" i="3"/>
  <c r="BK586" i="3"/>
  <c r="BJ586" i="3"/>
  <c r="BI586" i="3"/>
  <c r="BH586" i="3"/>
  <c r="BG586" i="3"/>
  <c r="BF586" i="3"/>
  <c r="BE586" i="3"/>
  <c r="BD586" i="3"/>
  <c r="BC586" i="3"/>
  <c r="BB586" i="3"/>
  <c r="BA586" i="3"/>
  <c r="AZ586" i="3"/>
  <c r="AY586" i="3"/>
  <c r="AX586" i="3"/>
  <c r="AW586" i="3"/>
  <c r="AV586" i="3"/>
  <c r="AU586" i="3"/>
  <c r="AT586" i="3"/>
  <c r="AS586" i="3"/>
  <c r="AR586" i="3"/>
  <c r="AQ586" i="3"/>
  <c r="AP586" i="3"/>
  <c r="AO586" i="3"/>
  <c r="AN586" i="3"/>
  <c r="AM586" i="3"/>
  <c r="BS585" i="3"/>
  <c r="BR585" i="3"/>
  <c r="BQ585" i="3"/>
  <c r="BP585" i="3"/>
  <c r="BO585" i="3"/>
  <c r="BN585" i="3"/>
  <c r="BM585" i="3"/>
  <c r="BL585" i="3"/>
  <c r="BK585" i="3"/>
  <c r="BJ585" i="3"/>
  <c r="BI585" i="3"/>
  <c r="BH585" i="3"/>
  <c r="BG585" i="3"/>
  <c r="BF585" i="3"/>
  <c r="BE585" i="3"/>
  <c r="BD585" i="3"/>
  <c r="BC585" i="3"/>
  <c r="BB585" i="3"/>
  <c r="BA585" i="3"/>
  <c r="AZ585" i="3"/>
  <c r="AY585" i="3"/>
  <c r="AX585" i="3"/>
  <c r="AW585" i="3"/>
  <c r="AV585" i="3"/>
  <c r="AU585" i="3"/>
  <c r="AT585" i="3"/>
  <c r="AS585" i="3"/>
  <c r="AR585" i="3"/>
  <c r="AQ585" i="3"/>
  <c r="AP585" i="3"/>
  <c r="AO585" i="3"/>
  <c r="AN585" i="3"/>
  <c r="AM585" i="3"/>
  <c r="BS584" i="3"/>
  <c r="BR584" i="3"/>
  <c r="BQ584" i="3"/>
  <c r="BP584" i="3"/>
  <c r="BO584" i="3"/>
  <c r="BN584" i="3"/>
  <c r="BM584" i="3"/>
  <c r="BL584" i="3"/>
  <c r="BK584" i="3"/>
  <c r="BJ584" i="3"/>
  <c r="BI584" i="3"/>
  <c r="BH584" i="3"/>
  <c r="BG584" i="3"/>
  <c r="BF584" i="3"/>
  <c r="BE584" i="3"/>
  <c r="BD584" i="3"/>
  <c r="BC584" i="3"/>
  <c r="BB584" i="3"/>
  <c r="BA584" i="3"/>
  <c r="AZ584" i="3"/>
  <c r="AY584" i="3"/>
  <c r="AX584" i="3"/>
  <c r="AW584" i="3"/>
  <c r="AV584" i="3"/>
  <c r="AU584" i="3"/>
  <c r="AT584" i="3"/>
  <c r="AS584" i="3"/>
  <c r="AR584" i="3"/>
  <c r="AQ584" i="3"/>
  <c r="AP584" i="3"/>
  <c r="AO584" i="3"/>
  <c r="AN584" i="3"/>
  <c r="AM584" i="3"/>
  <c r="E584" i="3"/>
  <c r="BS583" i="3"/>
  <c r="BR583" i="3"/>
  <c r="BQ583" i="3"/>
  <c r="BP583" i="3"/>
  <c r="BO583" i="3"/>
  <c r="BN583" i="3"/>
  <c r="BM583" i="3"/>
  <c r="BL583" i="3"/>
  <c r="BK583" i="3"/>
  <c r="BJ583" i="3"/>
  <c r="BI583" i="3"/>
  <c r="BH583" i="3"/>
  <c r="BG583" i="3"/>
  <c r="BF583" i="3"/>
  <c r="BE583" i="3"/>
  <c r="BD583" i="3"/>
  <c r="BC583" i="3"/>
  <c r="BB583" i="3"/>
  <c r="BA583" i="3"/>
  <c r="AZ583" i="3"/>
  <c r="AY583" i="3"/>
  <c r="AX583" i="3"/>
  <c r="AW583" i="3"/>
  <c r="AV583" i="3"/>
  <c r="AU583" i="3"/>
  <c r="AT583" i="3"/>
  <c r="AS583" i="3"/>
  <c r="AR583" i="3"/>
  <c r="AQ583" i="3"/>
  <c r="AP583" i="3"/>
  <c r="AO583" i="3"/>
  <c r="AN583" i="3"/>
  <c r="AM583" i="3"/>
  <c r="BS582" i="3"/>
  <c r="BR582" i="3"/>
  <c r="BQ582" i="3"/>
  <c r="BP582" i="3"/>
  <c r="BO582" i="3"/>
  <c r="BN582" i="3"/>
  <c r="BM582" i="3"/>
  <c r="BL582" i="3"/>
  <c r="BK582" i="3"/>
  <c r="BJ582" i="3"/>
  <c r="BI582" i="3"/>
  <c r="BH582" i="3"/>
  <c r="BG582" i="3"/>
  <c r="BF582" i="3"/>
  <c r="BE582" i="3"/>
  <c r="BD582" i="3"/>
  <c r="BC582" i="3"/>
  <c r="BB582" i="3"/>
  <c r="BA582" i="3"/>
  <c r="AZ582" i="3"/>
  <c r="AY582" i="3"/>
  <c r="AX582" i="3"/>
  <c r="AW582" i="3"/>
  <c r="AV582" i="3"/>
  <c r="AU582" i="3"/>
  <c r="AT582" i="3"/>
  <c r="AS582" i="3"/>
  <c r="AR582" i="3"/>
  <c r="AQ582" i="3"/>
  <c r="AP582" i="3"/>
  <c r="AO582" i="3"/>
  <c r="AN582" i="3"/>
  <c r="AM582" i="3"/>
  <c r="BS581" i="3"/>
  <c r="BR581" i="3"/>
  <c r="BQ581" i="3"/>
  <c r="BP581" i="3"/>
  <c r="BO581" i="3"/>
  <c r="BN581" i="3"/>
  <c r="BM581" i="3"/>
  <c r="BL581" i="3"/>
  <c r="BK581" i="3"/>
  <c r="BJ581" i="3"/>
  <c r="BI581" i="3"/>
  <c r="BH581" i="3"/>
  <c r="BG581" i="3"/>
  <c r="BF581" i="3"/>
  <c r="BE581" i="3"/>
  <c r="BD581" i="3"/>
  <c r="BC581" i="3"/>
  <c r="BB581" i="3"/>
  <c r="BA581" i="3"/>
  <c r="AZ581" i="3"/>
  <c r="AY581" i="3"/>
  <c r="AX581" i="3"/>
  <c r="AW581" i="3"/>
  <c r="AV581" i="3"/>
  <c r="AU581" i="3"/>
  <c r="AT581" i="3"/>
  <c r="AS581" i="3"/>
  <c r="AR581" i="3"/>
  <c r="AQ581" i="3"/>
  <c r="AP581" i="3"/>
  <c r="AO581" i="3"/>
  <c r="AN581" i="3"/>
  <c r="AM581" i="3"/>
  <c r="BS580" i="3"/>
  <c r="BR580" i="3"/>
  <c r="BQ580" i="3"/>
  <c r="BP580" i="3"/>
  <c r="BO580" i="3"/>
  <c r="BN580" i="3"/>
  <c r="BM580" i="3"/>
  <c r="BL580" i="3"/>
  <c r="BK580" i="3"/>
  <c r="BJ580" i="3"/>
  <c r="BI580" i="3"/>
  <c r="BH580" i="3"/>
  <c r="BG580" i="3"/>
  <c r="BF580" i="3"/>
  <c r="BE580" i="3"/>
  <c r="BD580" i="3"/>
  <c r="BC580" i="3"/>
  <c r="BB580" i="3"/>
  <c r="BA580" i="3"/>
  <c r="AZ580" i="3"/>
  <c r="AY580" i="3"/>
  <c r="AX580" i="3"/>
  <c r="AW580" i="3"/>
  <c r="AV580" i="3"/>
  <c r="AU580" i="3"/>
  <c r="AT580" i="3"/>
  <c r="AS580" i="3"/>
  <c r="AR580" i="3"/>
  <c r="AQ580" i="3"/>
  <c r="AP580" i="3"/>
  <c r="AO580" i="3"/>
  <c r="AN580" i="3"/>
  <c r="AM580" i="3"/>
  <c r="BS579" i="3"/>
  <c r="BR579" i="3"/>
  <c r="BQ579" i="3"/>
  <c r="BP579" i="3"/>
  <c r="BO579" i="3"/>
  <c r="BN579" i="3"/>
  <c r="BM579" i="3"/>
  <c r="BL579" i="3"/>
  <c r="BK579" i="3"/>
  <c r="BJ579" i="3"/>
  <c r="BI579" i="3"/>
  <c r="BH579" i="3"/>
  <c r="BG579" i="3"/>
  <c r="BF579" i="3"/>
  <c r="BE579" i="3"/>
  <c r="BD579" i="3"/>
  <c r="BC579" i="3"/>
  <c r="BB579" i="3"/>
  <c r="BA579" i="3"/>
  <c r="AZ579" i="3"/>
  <c r="AY579" i="3"/>
  <c r="AX579" i="3"/>
  <c r="AW579" i="3"/>
  <c r="AV579" i="3"/>
  <c r="AU579" i="3"/>
  <c r="AT579" i="3"/>
  <c r="AS579" i="3"/>
  <c r="AR579" i="3"/>
  <c r="AQ579" i="3"/>
  <c r="AP579" i="3"/>
  <c r="AO579" i="3"/>
  <c r="AN579" i="3"/>
  <c r="AM579" i="3"/>
  <c r="BS578" i="3"/>
  <c r="BR578" i="3"/>
  <c r="BQ578" i="3"/>
  <c r="BP578" i="3"/>
  <c r="BO578" i="3"/>
  <c r="BN578" i="3"/>
  <c r="BM578" i="3"/>
  <c r="BL578" i="3"/>
  <c r="BK578" i="3"/>
  <c r="BJ578" i="3"/>
  <c r="BI578" i="3"/>
  <c r="BH578" i="3"/>
  <c r="BG578" i="3"/>
  <c r="BF578" i="3"/>
  <c r="BE578" i="3"/>
  <c r="BD578" i="3"/>
  <c r="BC578" i="3"/>
  <c r="BB578" i="3"/>
  <c r="BA578" i="3"/>
  <c r="AZ578" i="3"/>
  <c r="AY578" i="3"/>
  <c r="AX578" i="3"/>
  <c r="AW578" i="3"/>
  <c r="AV578" i="3"/>
  <c r="AU578" i="3"/>
  <c r="AT578" i="3"/>
  <c r="AS578" i="3"/>
  <c r="AR578" i="3"/>
  <c r="AQ578" i="3"/>
  <c r="AP578" i="3"/>
  <c r="AO578" i="3"/>
  <c r="AN578" i="3"/>
  <c r="AM578" i="3"/>
  <c r="BS577" i="3"/>
  <c r="BR577" i="3"/>
  <c r="BQ577" i="3"/>
  <c r="BP577" i="3"/>
  <c r="BO577" i="3"/>
  <c r="BN577" i="3"/>
  <c r="BM577" i="3"/>
  <c r="BL577" i="3"/>
  <c r="BK577" i="3"/>
  <c r="BJ577" i="3"/>
  <c r="BI577" i="3"/>
  <c r="BH577" i="3"/>
  <c r="BG577" i="3"/>
  <c r="BF577" i="3"/>
  <c r="BE577" i="3"/>
  <c r="BD577" i="3"/>
  <c r="BC577" i="3"/>
  <c r="BB577" i="3"/>
  <c r="BA577" i="3"/>
  <c r="AZ577" i="3"/>
  <c r="AY577" i="3"/>
  <c r="AX577" i="3"/>
  <c r="AW577" i="3"/>
  <c r="AV577" i="3"/>
  <c r="AU577" i="3"/>
  <c r="AT577" i="3"/>
  <c r="AS577" i="3"/>
  <c r="AR577" i="3"/>
  <c r="AQ577" i="3"/>
  <c r="AP577" i="3"/>
  <c r="AO577" i="3"/>
  <c r="AN577" i="3"/>
  <c r="AM577" i="3"/>
  <c r="E577" i="3"/>
  <c r="BS576" i="3"/>
  <c r="BR576" i="3"/>
  <c r="BQ576" i="3"/>
  <c r="BP576" i="3"/>
  <c r="BO576" i="3"/>
  <c r="BN576" i="3"/>
  <c r="BM576" i="3"/>
  <c r="BL576" i="3"/>
  <c r="BK576" i="3"/>
  <c r="BJ576" i="3"/>
  <c r="BI576" i="3"/>
  <c r="BH576" i="3"/>
  <c r="BG576" i="3"/>
  <c r="BF576" i="3"/>
  <c r="BE576" i="3"/>
  <c r="BD576" i="3"/>
  <c r="BC576" i="3"/>
  <c r="BB576" i="3"/>
  <c r="BA576" i="3"/>
  <c r="AZ576" i="3"/>
  <c r="AY576" i="3"/>
  <c r="AX576" i="3"/>
  <c r="AW576" i="3"/>
  <c r="AV576" i="3"/>
  <c r="AU576" i="3"/>
  <c r="AT576" i="3"/>
  <c r="AS576" i="3"/>
  <c r="AR576" i="3"/>
  <c r="AQ576" i="3"/>
  <c r="AP576" i="3"/>
  <c r="AO576" i="3"/>
  <c r="AN576" i="3"/>
  <c r="AM576" i="3"/>
  <c r="C576" i="3"/>
  <c r="BS575" i="3"/>
  <c r="BR575" i="3"/>
  <c r="BQ575" i="3"/>
  <c r="BP575" i="3"/>
  <c r="BO575" i="3"/>
  <c r="BN575" i="3"/>
  <c r="BM575" i="3"/>
  <c r="BL575" i="3"/>
  <c r="BK575" i="3"/>
  <c r="BJ575" i="3"/>
  <c r="BI575" i="3"/>
  <c r="BH575" i="3"/>
  <c r="BG575" i="3"/>
  <c r="BF575" i="3"/>
  <c r="BE575" i="3"/>
  <c r="BD575" i="3"/>
  <c r="BC575" i="3"/>
  <c r="BB575" i="3"/>
  <c r="BA575" i="3"/>
  <c r="AZ575" i="3"/>
  <c r="AY575" i="3"/>
  <c r="AX575" i="3"/>
  <c r="AW575" i="3"/>
  <c r="AV575" i="3"/>
  <c r="AU575" i="3"/>
  <c r="AT575" i="3"/>
  <c r="AS575" i="3"/>
  <c r="AR575" i="3"/>
  <c r="AQ575" i="3"/>
  <c r="AP575" i="3"/>
  <c r="AO575" i="3"/>
  <c r="AN575" i="3"/>
  <c r="AM575" i="3"/>
  <c r="BS574" i="3"/>
  <c r="BR574" i="3"/>
  <c r="BQ574" i="3"/>
  <c r="BP574" i="3"/>
  <c r="BO574" i="3"/>
  <c r="BN574" i="3"/>
  <c r="BM574" i="3"/>
  <c r="BL574" i="3"/>
  <c r="BK574" i="3"/>
  <c r="BJ574" i="3"/>
  <c r="BI574" i="3"/>
  <c r="BH574" i="3"/>
  <c r="BG574" i="3"/>
  <c r="BF574" i="3"/>
  <c r="BE574" i="3"/>
  <c r="BD574" i="3"/>
  <c r="BC574" i="3"/>
  <c r="BB574" i="3"/>
  <c r="BA574" i="3"/>
  <c r="AZ574" i="3"/>
  <c r="AY574" i="3"/>
  <c r="AX574" i="3"/>
  <c r="AW574" i="3"/>
  <c r="AV574" i="3"/>
  <c r="AU574" i="3"/>
  <c r="AT574" i="3"/>
  <c r="AS574" i="3"/>
  <c r="AR574" i="3"/>
  <c r="AQ574" i="3"/>
  <c r="AP574" i="3"/>
  <c r="AO574" i="3"/>
  <c r="AN574" i="3"/>
  <c r="AM574" i="3"/>
  <c r="BS573" i="3"/>
  <c r="BR573" i="3"/>
  <c r="BQ573" i="3"/>
  <c r="BP573" i="3"/>
  <c r="BO573" i="3"/>
  <c r="BN573" i="3"/>
  <c r="BM573" i="3"/>
  <c r="BL573" i="3"/>
  <c r="BK573" i="3"/>
  <c r="BJ573" i="3"/>
  <c r="BI573" i="3"/>
  <c r="BH573" i="3"/>
  <c r="BG573" i="3"/>
  <c r="BF573" i="3"/>
  <c r="BE573" i="3"/>
  <c r="BD573" i="3"/>
  <c r="BC573" i="3"/>
  <c r="BB573" i="3"/>
  <c r="BA573" i="3"/>
  <c r="AZ573" i="3"/>
  <c r="AY573" i="3"/>
  <c r="AX573" i="3"/>
  <c r="AW573" i="3"/>
  <c r="AV573" i="3"/>
  <c r="AU573" i="3"/>
  <c r="AT573" i="3"/>
  <c r="AS573" i="3"/>
  <c r="AR573" i="3"/>
  <c r="AQ573" i="3"/>
  <c r="AP573" i="3"/>
  <c r="AO573" i="3"/>
  <c r="AN573" i="3"/>
  <c r="AM573" i="3"/>
  <c r="BS572" i="3"/>
  <c r="BR572" i="3"/>
  <c r="BQ572" i="3"/>
  <c r="BP572" i="3"/>
  <c r="BO572" i="3"/>
  <c r="BN572" i="3"/>
  <c r="BM572" i="3"/>
  <c r="BL572" i="3"/>
  <c r="BK572" i="3"/>
  <c r="BJ572" i="3"/>
  <c r="BI572" i="3"/>
  <c r="BH572" i="3"/>
  <c r="BG572" i="3"/>
  <c r="BF572" i="3"/>
  <c r="BE572" i="3"/>
  <c r="BD572" i="3"/>
  <c r="BC572" i="3"/>
  <c r="BB572" i="3"/>
  <c r="BA572" i="3"/>
  <c r="AZ572" i="3"/>
  <c r="AY572" i="3"/>
  <c r="AX572" i="3"/>
  <c r="AW572" i="3"/>
  <c r="AV572" i="3"/>
  <c r="AU572" i="3"/>
  <c r="AT572" i="3"/>
  <c r="AS572" i="3"/>
  <c r="AR572" i="3"/>
  <c r="AQ572" i="3"/>
  <c r="AP572" i="3"/>
  <c r="AO572" i="3"/>
  <c r="AN572" i="3"/>
  <c r="AM572" i="3"/>
  <c r="BS571" i="3"/>
  <c r="BR571" i="3"/>
  <c r="BQ571" i="3"/>
  <c r="BP571" i="3"/>
  <c r="BO571" i="3"/>
  <c r="BN571" i="3"/>
  <c r="BM571" i="3"/>
  <c r="BL571" i="3"/>
  <c r="BK571" i="3"/>
  <c r="BJ571" i="3"/>
  <c r="BI571" i="3"/>
  <c r="BH571" i="3"/>
  <c r="BG571" i="3"/>
  <c r="BF571" i="3"/>
  <c r="BE571" i="3"/>
  <c r="BD571" i="3"/>
  <c r="BC571" i="3"/>
  <c r="BB571" i="3"/>
  <c r="BA571" i="3"/>
  <c r="AZ571" i="3"/>
  <c r="AY571" i="3"/>
  <c r="AX571" i="3"/>
  <c r="AW571" i="3"/>
  <c r="AV571" i="3"/>
  <c r="AU571" i="3"/>
  <c r="AT571" i="3"/>
  <c r="AS571" i="3"/>
  <c r="AR571" i="3"/>
  <c r="AQ571" i="3"/>
  <c r="AP571" i="3"/>
  <c r="AO571" i="3"/>
  <c r="AN571" i="3"/>
  <c r="AM571" i="3"/>
  <c r="BS570" i="3"/>
  <c r="BR570" i="3"/>
  <c r="BQ570" i="3"/>
  <c r="BP570" i="3"/>
  <c r="BO570" i="3"/>
  <c r="BN570" i="3"/>
  <c r="BM570" i="3"/>
  <c r="BL570" i="3"/>
  <c r="BK570" i="3"/>
  <c r="BJ570" i="3"/>
  <c r="BI570" i="3"/>
  <c r="BH570" i="3"/>
  <c r="BG570" i="3"/>
  <c r="BF570" i="3"/>
  <c r="BE570" i="3"/>
  <c r="BD570" i="3"/>
  <c r="BC570" i="3"/>
  <c r="BB570" i="3"/>
  <c r="BA570" i="3"/>
  <c r="AZ570" i="3"/>
  <c r="AY570" i="3"/>
  <c r="AX570" i="3"/>
  <c r="AW570" i="3"/>
  <c r="AV570" i="3"/>
  <c r="AU570" i="3"/>
  <c r="AT570" i="3"/>
  <c r="AS570" i="3"/>
  <c r="AR570" i="3"/>
  <c r="AQ570" i="3"/>
  <c r="AP570" i="3"/>
  <c r="AO570" i="3"/>
  <c r="AN570" i="3"/>
  <c r="AM570" i="3"/>
  <c r="BS569" i="3"/>
  <c r="BR569" i="3"/>
  <c r="BQ569" i="3"/>
  <c r="BP569" i="3"/>
  <c r="BO569" i="3"/>
  <c r="BN569" i="3"/>
  <c r="BM569" i="3"/>
  <c r="BL569" i="3"/>
  <c r="BK569" i="3"/>
  <c r="BJ569" i="3"/>
  <c r="BI569" i="3"/>
  <c r="BH569" i="3"/>
  <c r="BG569" i="3"/>
  <c r="BF569" i="3"/>
  <c r="BE569" i="3"/>
  <c r="BD569" i="3"/>
  <c r="BC569" i="3"/>
  <c r="BB569" i="3"/>
  <c r="BA569" i="3"/>
  <c r="AZ569" i="3"/>
  <c r="AY569" i="3"/>
  <c r="AX569" i="3"/>
  <c r="AW569" i="3"/>
  <c r="AV569" i="3"/>
  <c r="AU569" i="3"/>
  <c r="AT569" i="3"/>
  <c r="AS569" i="3"/>
  <c r="AR569" i="3"/>
  <c r="AQ569" i="3"/>
  <c r="AP569" i="3"/>
  <c r="AO569" i="3"/>
  <c r="AN569" i="3"/>
  <c r="AM569" i="3"/>
  <c r="BS568" i="3"/>
  <c r="BR568" i="3"/>
  <c r="BQ568" i="3"/>
  <c r="BP568" i="3"/>
  <c r="BO568" i="3"/>
  <c r="BN568" i="3"/>
  <c r="BM568" i="3"/>
  <c r="BL568" i="3"/>
  <c r="BK568" i="3"/>
  <c r="BJ568" i="3"/>
  <c r="BI568" i="3"/>
  <c r="BH568" i="3"/>
  <c r="BG568" i="3"/>
  <c r="BF568" i="3"/>
  <c r="BE568" i="3"/>
  <c r="BD568" i="3"/>
  <c r="BC568" i="3"/>
  <c r="BB568" i="3"/>
  <c r="BA568" i="3"/>
  <c r="AZ568" i="3"/>
  <c r="AY568" i="3"/>
  <c r="AX568" i="3"/>
  <c r="AW568" i="3"/>
  <c r="AV568" i="3"/>
  <c r="AU568" i="3"/>
  <c r="AT568" i="3"/>
  <c r="AS568" i="3"/>
  <c r="AR568" i="3"/>
  <c r="AQ568" i="3"/>
  <c r="AP568" i="3"/>
  <c r="AO568" i="3"/>
  <c r="AN568" i="3"/>
  <c r="AM568" i="3"/>
  <c r="BS567" i="3"/>
  <c r="BR567" i="3"/>
  <c r="BQ567" i="3"/>
  <c r="BP567" i="3"/>
  <c r="BO567" i="3"/>
  <c r="BN567" i="3"/>
  <c r="BM567" i="3"/>
  <c r="BL567" i="3"/>
  <c r="BK567" i="3"/>
  <c r="BJ567" i="3"/>
  <c r="BI567" i="3"/>
  <c r="BH567" i="3"/>
  <c r="BG567" i="3"/>
  <c r="BF567" i="3"/>
  <c r="BE567" i="3"/>
  <c r="BD567" i="3"/>
  <c r="BC567" i="3"/>
  <c r="BB567" i="3"/>
  <c r="BA567" i="3"/>
  <c r="AZ567" i="3"/>
  <c r="AY567" i="3"/>
  <c r="AX567" i="3"/>
  <c r="AW567" i="3"/>
  <c r="AV567" i="3"/>
  <c r="AU567" i="3"/>
  <c r="AT567" i="3"/>
  <c r="AS567" i="3"/>
  <c r="AR567" i="3"/>
  <c r="AQ567" i="3"/>
  <c r="AP567" i="3"/>
  <c r="AO567" i="3"/>
  <c r="AN567" i="3"/>
  <c r="AM567" i="3"/>
  <c r="BS566" i="3"/>
  <c r="BR566" i="3"/>
  <c r="BQ566" i="3"/>
  <c r="BP566" i="3"/>
  <c r="BO566" i="3"/>
  <c r="BN566" i="3"/>
  <c r="BM566" i="3"/>
  <c r="BL566" i="3"/>
  <c r="BK566" i="3"/>
  <c r="BJ566" i="3"/>
  <c r="BI566" i="3"/>
  <c r="BH566" i="3"/>
  <c r="BG566" i="3"/>
  <c r="BF566" i="3"/>
  <c r="BE566" i="3"/>
  <c r="BD566" i="3"/>
  <c r="BC566" i="3"/>
  <c r="BB566" i="3"/>
  <c r="BA566" i="3"/>
  <c r="AZ566" i="3"/>
  <c r="AY566" i="3"/>
  <c r="AX566" i="3"/>
  <c r="AW566" i="3"/>
  <c r="AV566" i="3"/>
  <c r="AU566" i="3"/>
  <c r="AT566" i="3"/>
  <c r="AS566" i="3"/>
  <c r="AR566" i="3"/>
  <c r="AQ566" i="3"/>
  <c r="AP566" i="3"/>
  <c r="AO566" i="3"/>
  <c r="AN566" i="3"/>
  <c r="AM566" i="3"/>
  <c r="BS565" i="3"/>
  <c r="BR565" i="3"/>
  <c r="BQ565" i="3"/>
  <c r="BP565" i="3"/>
  <c r="BO565" i="3"/>
  <c r="BN565" i="3"/>
  <c r="BM565" i="3"/>
  <c r="BL565" i="3"/>
  <c r="BK565" i="3"/>
  <c r="BJ565" i="3"/>
  <c r="BI565" i="3"/>
  <c r="BH565" i="3"/>
  <c r="BG565" i="3"/>
  <c r="BF565" i="3"/>
  <c r="BE565" i="3"/>
  <c r="BD565" i="3"/>
  <c r="BC565" i="3"/>
  <c r="BB565" i="3"/>
  <c r="BA565" i="3"/>
  <c r="AZ565" i="3"/>
  <c r="AY565" i="3"/>
  <c r="AX565" i="3"/>
  <c r="AW565" i="3"/>
  <c r="AV565" i="3"/>
  <c r="AU565" i="3"/>
  <c r="AT565" i="3"/>
  <c r="AS565" i="3"/>
  <c r="AR565" i="3"/>
  <c r="AQ565" i="3"/>
  <c r="AP565" i="3"/>
  <c r="AO565" i="3"/>
  <c r="AN565" i="3"/>
  <c r="AM565" i="3"/>
  <c r="D565" i="3"/>
  <c r="BS564" i="3"/>
  <c r="BR564" i="3"/>
  <c r="BQ564" i="3"/>
  <c r="BP564" i="3"/>
  <c r="BO564" i="3"/>
  <c r="BN564" i="3"/>
  <c r="BM564" i="3"/>
  <c r="BL564" i="3"/>
  <c r="BK564" i="3"/>
  <c r="BJ564" i="3"/>
  <c r="BI564" i="3"/>
  <c r="BH564" i="3"/>
  <c r="BG564" i="3"/>
  <c r="BF564" i="3"/>
  <c r="BE564" i="3"/>
  <c r="BD564" i="3"/>
  <c r="BC564" i="3"/>
  <c r="BB564" i="3"/>
  <c r="BA564" i="3"/>
  <c r="AZ564" i="3"/>
  <c r="AY564" i="3"/>
  <c r="AX564" i="3"/>
  <c r="AW564" i="3"/>
  <c r="AV564" i="3"/>
  <c r="AU564" i="3"/>
  <c r="AT564" i="3"/>
  <c r="AS564" i="3"/>
  <c r="AR564" i="3"/>
  <c r="AQ564" i="3"/>
  <c r="AP564" i="3"/>
  <c r="AO564" i="3"/>
  <c r="AN564" i="3"/>
  <c r="AM564" i="3"/>
  <c r="BS563" i="3"/>
  <c r="BR563" i="3"/>
  <c r="BQ563" i="3"/>
  <c r="BP563" i="3"/>
  <c r="BO563" i="3"/>
  <c r="BN563" i="3"/>
  <c r="BM563" i="3"/>
  <c r="BL563" i="3"/>
  <c r="BK563" i="3"/>
  <c r="BJ563" i="3"/>
  <c r="BI563" i="3"/>
  <c r="BH563" i="3"/>
  <c r="BG563" i="3"/>
  <c r="BF563" i="3"/>
  <c r="BE563" i="3"/>
  <c r="BD563" i="3"/>
  <c r="BC563" i="3"/>
  <c r="BB563" i="3"/>
  <c r="BA563" i="3"/>
  <c r="AZ563" i="3"/>
  <c r="AY563" i="3"/>
  <c r="AX563" i="3"/>
  <c r="AW563" i="3"/>
  <c r="AV563" i="3"/>
  <c r="AU563" i="3"/>
  <c r="AT563" i="3"/>
  <c r="AS563" i="3"/>
  <c r="AR563" i="3"/>
  <c r="AQ563" i="3"/>
  <c r="AP563" i="3"/>
  <c r="AO563" i="3"/>
  <c r="AN563" i="3"/>
  <c r="AM563" i="3"/>
  <c r="C563" i="3"/>
  <c r="BS562" i="3"/>
  <c r="BR562" i="3"/>
  <c r="BQ562" i="3"/>
  <c r="BP562" i="3"/>
  <c r="BO562" i="3"/>
  <c r="BN562" i="3"/>
  <c r="BM562" i="3"/>
  <c r="BL562" i="3"/>
  <c r="BK562" i="3"/>
  <c r="BJ562" i="3"/>
  <c r="BI562" i="3"/>
  <c r="BH562" i="3"/>
  <c r="BG562" i="3"/>
  <c r="BF562" i="3"/>
  <c r="BE562" i="3"/>
  <c r="BD562" i="3"/>
  <c r="BC562" i="3"/>
  <c r="BB562" i="3"/>
  <c r="BA562" i="3"/>
  <c r="AZ562" i="3"/>
  <c r="AY562" i="3"/>
  <c r="AX562" i="3"/>
  <c r="AW562" i="3"/>
  <c r="AV562" i="3"/>
  <c r="AU562" i="3"/>
  <c r="AT562" i="3"/>
  <c r="AS562" i="3"/>
  <c r="AR562" i="3"/>
  <c r="AQ562" i="3"/>
  <c r="AP562" i="3"/>
  <c r="AO562" i="3"/>
  <c r="AN562" i="3"/>
  <c r="AM562" i="3"/>
  <c r="BS561" i="3"/>
  <c r="BR561" i="3"/>
  <c r="BQ561" i="3"/>
  <c r="BP561" i="3"/>
  <c r="BO561" i="3"/>
  <c r="BN561" i="3"/>
  <c r="BM561" i="3"/>
  <c r="BL561" i="3"/>
  <c r="BK561" i="3"/>
  <c r="BJ561" i="3"/>
  <c r="BI561" i="3"/>
  <c r="BH561" i="3"/>
  <c r="BG561" i="3"/>
  <c r="BF561" i="3"/>
  <c r="BE561" i="3"/>
  <c r="BD561" i="3"/>
  <c r="BC561" i="3"/>
  <c r="BB561" i="3"/>
  <c r="BA561" i="3"/>
  <c r="AZ561" i="3"/>
  <c r="AY561" i="3"/>
  <c r="AX561" i="3"/>
  <c r="AW561" i="3"/>
  <c r="AV561" i="3"/>
  <c r="AU561" i="3"/>
  <c r="AT561" i="3"/>
  <c r="AS561" i="3"/>
  <c r="AR561" i="3"/>
  <c r="AQ561" i="3"/>
  <c r="AP561" i="3"/>
  <c r="AO561" i="3"/>
  <c r="AN561" i="3"/>
  <c r="AM561" i="3"/>
  <c r="BS560" i="3"/>
  <c r="BR560" i="3"/>
  <c r="BQ560" i="3"/>
  <c r="BP560" i="3"/>
  <c r="BO560" i="3"/>
  <c r="BN560" i="3"/>
  <c r="BM560" i="3"/>
  <c r="BL560" i="3"/>
  <c r="BK560" i="3"/>
  <c r="BJ560" i="3"/>
  <c r="BI560" i="3"/>
  <c r="BH560" i="3"/>
  <c r="BG560" i="3"/>
  <c r="BF560" i="3"/>
  <c r="BE560" i="3"/>
  <c r="BD560" i="3"/>
  <c r="BC560" i="3"/>
  <c r="BB560" i="3"/>
  <c r="BA560" i="3"/>
  <c r="AZ560" i="3"/>
  <c r="AY560" i="3"/>
  <c r="AX560" i="3"/>
  <c r="AW560" i="3"/>
  <c r="AV560" i="3"/>
  <c r="AU560" i="3"/>
  <c r="AT560" i="3"/>
  <c r="AS560" i="3"/>
  <c r="AR560" i="3"/>
  <c r="AQ560" i="3"/>
  <c r="AP560" i="3"/>
  <c r="AO560" i="3"/>
  <c r="AN560" i="3"/>
  <c r="AM560" i="3"/>
  <c r="BS559" i="3"/>
  <c r="BR559" i="3"/>
  <c r="BQ559" i="3"/>
  <c r="BP559" i="3"/>
  <c r="BO559" i="3"/>
  <c r="BN559" i="3"/>
  <c r="BM559" i="3"/>
  <c r="BL559" i="3"/>
  <c r="BK559" i="3"/>
  <c r="BJ559" i="3"/>
  <c r="BI559" i="3"/>
  <c r="BH559" i="3"/>
  <c r="BG559" i="3"/>
  <c r="BF559" i="3"/>
  <c r="BE559" i="3"/>
  <c r="BD559" i="3"/>
  <c r="BC559" i="3"/>
  <c r="BB559" i="3"/>
  <c r="BA559" i="3"/>
  <c r="AZ559" i="3"/>
  <c r="AY559" i="3"/>
  <c r="AX559" i="3"/>
  <c r="AW559" i="3"/>
  <c r="AV559" i="3"/>
  <c r="AU559" i="3"/>
  <c r="AT559" i="3"/>
  <c r="AS559" i="3"/>
  <c r="AR559" i="3"/>
  <c r="AQ559" i="3"/>
  <c r="AP559" i="3"/>
  <c r="AO559" i="3"/>
  <c r="AN559" i="3"/>
  <c r="AM559" i="3"/>
  <c r="BS558" i="3"/>
  <c r="BR558" i="3"/>
  <c r="BQ558" i="3"/>
  <c r="BP558" i="3"/>
  <c r="BO558" i="3"/>
  <c r="BN558" i="3"/>
  <c r="BM558" i="3"/>
  <c r="BL558" i="3"/>
  <c r="BK558" i="3"/>
  <c r="BJ558" i="3"/>
  <c r="BI558" i="3"/>
  <c r="BH558" i="3"/>
  <c r="BG558" i="3"/>
  <c r="BF558" i="3"/>
  <c r="BE558" i="3"/>
  <c r="BD558" i="3"/>
  <c r="BC558" i="3"/>
  <c r="BB558" i="3"/>
  <c r="BA558" i="3"/>
  <c r="AZ558" i="3"/>
  <c r="AY558" i="3"/>
  <c r="AX558" i="3"/>
  <c r="AW558" i="3"/>
  <c r="AV558" i="3"/>
  <c r="AU558" i="3"/>
  <c r="AT558" i="3"/>
  <c r="AS558" i="3"/>
  <c r="AR558" i="3"/>
  <c r="AQ558" i="3"/>
  <c r="AP558" i="3"/>
  <c r="AO558" i="3"/>
  <c r="AN558" i="3"/>
  <c r="AM558" i="3"/>
  <c r="BS557" i="3"/>
  <c r="BR557" i="3"/>
  <c r="BQ557" i="3"/>
  <c r="BP557" i="3"/>
  <c r="BO557" i="3"/>
  <c r="BN557" i="3"/>
  <c r="BM557" i="3"/>
  <c r="BL557" i="3"/>
  <c r="BK557" i="3"/>
  <c r="BJ557" i="3"/>
  <c r="BI557" i="3"/>
  <c r="BH557" i="3"/>
  <c r="BG557" i="3"/>
  <c r="BF557" i="3"/>
  <c r="BE557" i="3"/>
  <c r="BD557" i="3"/>
  <c r="BC557" i="3"/>
  <c r="BB557" i="3"/>
  <c r="BA557" i="3"/>
  <c r="AZ557" i="3"/>
  <c r="AY557" i="3"/>
  <c r="AX557" i="3"/>
  <c r="AW557" i="3"/>
  <c r="AV557" i="3"/>
  <c r="AU557" i="3"/>
  <c r="AT557" i="3"/>
  <c r="AS557" i="3"/>
  <c r="AR557" i="3"/>
  <c r="AQ557" i="3"/>
  <c r="AP557" i="3"/>
  <c r="AO557" i="3"/>
  <c r="AN557" i="3"/>
  <c r="AM557" i="3"/>
  <c r="BS556" i="3"/>
  <c r="BR556" i="3"/>
  <c r="BQ556" i="3"/>
  <c r="BP556" i="3"/>
  <c r="BO556" i="3"/>
  <c r="BN556" i="3"/>
  <c r="BM556" i="3"/>
  <c r="BL556" i="3"/>
  <c r="BK556" i="3"/>
  <c r="BJ556" i="3"/>
  <c r="BI556" i="3"/>
  <c r="BH556" i="3"/>
  <c r="BG556" i="3"/>
  <c r="BF556" i="3"/>
  <c r="BE556" i="3"/>
  <c r="BD556" i="3"/>
  <c r="BC556" i="3"/>
  <c r="BB556" i="3"/>
  <c r="BA556" i="3"/>
  <c r="AZ556" i="3"/>
  <c r="AY556" i="3"/>
  <c r="AX556" i="3"/>
  <c r="AW556" i="3"/>
  <c r="AV556" i="3"/>
  <c r="AU556" i="3"/>
  <c r="AT556" i="3"/>
  <c r="AS556" i="3"/>
  <c r="AR556" i="3"/>
  <c r="AQ556" i="3"/>
  <c r="AP556" i="3"/>
  <c r="AO556" i="3"/>
  <c r="AN556" i="3"/>
  <c r="AM556" i="3"/>
  <c r="BS555" i="3"/>
  <c r="BR555" i="3"/>
  <c r="BQ555" i="3"/>
  <c r="BP555" i="3"/>
  <c r="BO555" i="3"/>
  <c r="BN555" i="3"/>
  <c r="BM555" i="3"/>
  <c r="BL555" i="3"/>
  <c r="BK555" i="3"/>
  <c r="BJ555" i="3"/>
  <c r="BI555" i="3"/>
  <c r="BH555" i="3"/>
  <c r="BG555" i="3"/>
  <c r="BF555" i="3"/>
  <c r="BE555" i="3"/>
  <c r="BD555" i="3"/>
  <c r="BC555" i="3"/>
  <c r="BB555" i="3"/>
  <c r="BA555" i="3"/>
  <c r="AZ555" i="3"/>
  <c r="AY555" i="3"/>
  <c r="AX555" i="3"/>
  <c r="AW555" i="3"/>
  <c r="AV555" i="3"/>
  <c r="AU555" i="3"/>
  <c r="AT555" i="3"/>
  <c r="AS555" i="3"/>
  <c r="AR555" i="3"/>
  <c r="AQ555" i="3"/>
  <c r="AP555" i="3"/>
  <c r="AO555" i="3"/>
  <c r="AN555" i="3"/>
  <c r="AM555" i="3"/>
  <c r="D555" i="3"/>
  <c r="BS554" i="3"/>
  <c r="BR554" i="3"/>
  <c r="BQ554" i="3"/>
  <c r="BP554" i="3"/>
  <c r="BO554" i="3"/>
  <c r="BN554" i="3"/>
  <c r="BM554" i="3"/>
  <c r="BL554" i="3"/>
  <c r="BK554" i="3"/>
  <c r="BJ554" i="3"/>
  <c r="BI554" i="3"/>
  <c r="BH554" i="3"/>
  <c r="BG554" i="3"/>
  <c r="BF554" i="3"/>
  <c r="BE554" i="3"/>
  <c r="BD554" i="3"/>
  <c r="BC554" i="3"/>
  <c r="BB554" i="3"/>
  <c r="BA554" i="3"/>
  <c r="AZ554" i="3"/>
  <c r="AY554" i="3"/>
  <c r="AX554" i="3"/>
  <c r="AW554" i="3"/>
  <c r="AV554" i="3"/>
  <c r="AU554" i="3"/>
  <c r="AT554" i="3"/>
  <c r="AS554" i="3"/>
  <c r="AR554" i="3"/>
  <c r="AQ554" i="3"/>
  <c r="AP554" i="3"/>
  <c r="AO554" i="3"/>
  <c r="AN554" i="3"/>
  <c r="AM554" i="3"/>
  <c r="BS553" i="3"/>
  <c r="BR553" i="3"/>
  <c r="BQ553" i="3"/>
  <c r="BP553" i="3"/>
  <c r="BO553" i="3"/>
  <c r="BN553" i="3"/>
  <c r="BM553" i="3"/>
  <c r="BL553" i="3"/>
  <c r="BK553" i="3"/>
  <c r="BJ553" i="3"/>
  <c r="BI553" i="3"/>
  <c r="BH553" i="3"/>
  <c r="BG553" i="3"/>
  <c r="BF553" i="3"/>
  <c r="BE553" i="3"/>
  <c r="BD553" i="3"/>
  <c r="BC553" i="3"/>
  <c r="BB553" i="3"/>
  <c r="BA553" i="3"/>
  <c r="AZ553" i="3"/>
  <c r="AY553" i="3"/>
  <c r="AX553" i="3"/>
  <c r="AW553" i="3"/>
  <c r="AV553" i="3"/>
  <c r="AU553" i="3"/>
  <c r="AT553" i="3"/>
  <c r="AS553" i="3"/>
  <c r="AR553" i="3"/>
  <c r="AQ553" i="3"/>
  <c r="AP553" i="3"/>
  <c r="AO553" i="3"/>
  <c r="AN553" i="3"/>
  <c r="AM553" i="3"/>
  <c r="BS552" i="3"/>
  <c r="BR552" i="3"/>
  <c r="BQ552" i="3"/>
  <c r="BP552" i="3"/>
  <c r="BO552" i="3"/>
  <c r="BN552" i="3"/>
  <c r="BM552" i="3"/>
  <c r="BL552" i="3"/>
  <c r="BK552" i="3"/>
  <c r="BJ552" i="3"/>
  <c r="BI552" i="3"/>
  <c r="BH552" i="3"/>
  <c r="BG552" i="3"/>
  <c r="BF552" i="3"/>
  <c r="BE552" i="3"/>
  <c r="BD552" i="3"/>
  <c r="BC552" i="3"/>
  <c r="BB552" i="3"/>
  <c r="BA552" i="3"/>
  <c r="AZ552" i="3"/>
  <c r="AY552" i="3"/>
  <c r="AX552" i="3"/>
  <c r="AW552" i="3"/>
  <c r="AV552" i="3"/>
  <c r="AU552" i="3"/>
  <c r="AT552" i="3"/>
  <c r="AS552" i="3"/>
  <c r="AR552" i="3"/>
  <c r="AQ552" i="3"/>
  <c r="AP552" i="3"/>
  <c r="AO552" i="3"/>
  <c r="AN552" i="3"/>
  <c r="AM552" i="3"/>
  <c r="BS551" i="3"/>
  <c r="BR551" i="3"/>
  <c r="BQ551" i="3"/>
  <c r="BP551" i="3"/>
  <c r="BO551" i="3"/>
  <c r="BN551" i="3"/>
  <c r="BM551" i="3"/>
  <c r="BL551" i="3"/>
  <c r="BK551" i="3"/>
  <c r="BJ551" i="3"/>
  <c r="BI551" i="3"/>
  <c r="BH551" i="3"/>
  <c r="BG551" i="3"/>
  <c r="BF551" i="3"/>
  <c r="BE551" i="3"/>
  <c r="BD551" i="3"/>
  <c r="BC551" i="3"/>
  <c r="BB551" i="3"/>
  <c r="BA551" i="3"/>
  <c r="AZ551" i="3"/>
  <c r="AY551" i="3"/>
  <c r="AX551" i="3"/>
  <c r="AW551" i="3"/>
  <c r="AV551" i="3"/>
  <c r="AU551" i="3"/>
  <c r="AT551" i="3"/>
  <c r="AS551" i="3"/>
  <c r="AR551" i="3"/>
  <c r="AQ551" i="3"/>
  <c r="AP551" i="3"/>
  <c r="AO551" i="3"/>
  <c r="AN551" i="3"/>
  <c r="AM551" i="3"/>
  <c r="BS550" i="3"/>
  <c r="BR550" i="3"/>
  <c r="BQ550" i="3"/>
  <c r="BP550" i="3"/>
  <c r="BO550" i="3"/>
  <c r="BN550" i="3"/>
  <c r="BM550" i="3"/>
  <c r="BL550" i="3"/>
  <c r="BK550" i="3"/>
  <c r="BJ550" i="3"/>
  <c r="BI550" i="3"/>
  <c r="BH550" i="3"/>
  <c r="BG550" i="3"/>
  <c r="BF550" i="3"/>
  <c r="BE550" i="3"/>
  <c r="BD550" i="3"/>
  <c r="BC550" i="3"/>
  <c r="BB550" i="3"/>
  <c r="BA550" i="3"/>
  <c r="AZ550" i="3"/>
  <c r="AY550" i="3"/>
  <c r="AX550" i="3"/>
  <c r="AW550" i="3"/>
  <c r="AV550" i="3"/>
  <c r="AU550" i="3"/>
  <c r="AT550" i="3"/>
  <c r="AS550" i="3"/>
  <c r="AR550" i="3"/>
  <c r="AQ550" i="3"/>
  <c r="AP550" i="3"/>
  <c r="AO550" i="3"/>
  <c r="AN550" i="3"/>
  <c r="AM550" i="3"/>
  <c r="BS549" i="3"/>
  <c r="BR549" i="3"/>
  <c r="BQ549" i="3"/>
  <c r="BP549" i="3"/>
  <c r="BO549" i="3"/>
  <c r="BN549" i="3"/>
  <c r="BM549" i="3"/>
  <c r="BL549" i="3"/>
  <c r="BK549" i="3"/>
  <c r="BJ549" i="3"/>
  <c r="BI549" i="3"/>
  <c r="BH549" i="3"/>
  <c r="BG549" i="3"/>
  <c r="BF549" i="3"/>
  <c r="BE549" i="3"/>
  <c r="BD549" i="3"/>
  <c r="BC549" i="3"/>
  <c r="BB549" i="3"/>
  <c r="BA549" i="3"/>
  <c r="AZ549" i="3"/>
  <c r="AY549" i="3"/>
  <c r="AX549" i="3"/>
  <c r="AW549" i="3"/>
  <c r="AV549" i="3"/>
  <c r="AU549" i="3"/>
  <c r="AT549" i="3"/>
  <c r="AS549" i="3"/>
  <c r="AR549" i="3"/>
  <c r="AQ549" i="3"/>
  <c r="AP549" i="3"/>
  <c r="AO549" i="3"/>
  <c r="AN549" i="3"/>
  <c r="AM549" i="3"/>
  <c r="BS548" i="3"/>
  <c r="BR548" i="3"/>
  <c r="BQ548" i="3"/>
  <c r="BP548" i="3"/>
  <c r="BO548" i="3"/>
  <c r="BN548" i="3"/>
  <c r="BM548" i="3"/>
  <c r="BL548" i="3"/>
  <c r="BK548" i="3"/>
  <c r="BJ548" i="3"/>
  <c r="BI548" i="3"/>
  <c r="BH548" i="3"/>
  <c r="BG548" i="3"/>
  <c r="BF548" i="3"/>
  <c r="BE548" i="3"/>
  <c r="BD548" i="3"/>
  <c r="BC548" i="3"/>
  <c r="BB548" i="3"/>
  <c r="BA548" i="3"/>
  <c r="AZ548" i="3"/>
  <c r="AY548" i="3"/>
  <c r="AX548" i="3"/>
  <c r="AW548" i="3"/>
  <c r="AV548" i="3"/>
  <c r="AU548" i="3"/>
  <c r="AT548" i="3"/>
  <c r="AS548" i="3"/>
  <c r="AR548" i="3"/>
  <c r="AQ548" i="3"/>
  <c r="AP548" i="3"/>
  <c r="AO548" i="3"/>
  <c r="AN548" i="3"/>
  <c r="AM548" i="3"/>
  <c r="BS547" i="3"/>
  <c r="BR547" i="3"/>
  <c r="BQ547" i="3"/>
  <c r="BP547" i="3"/>
  <c r="BO547" i="3"/>
  <c r="BN547" i="3"/>
  <c r="BM547" i="3"/>
  <c r="BL547" i="3"/>
  <c r="BK547" i="3"/>
  <c r="BJ547" i="3"/>
  <c r="BI547" i="3"/>
  <c r="BH547" i="3"/>
  <c r="BG547" i="3"/>
  <c r="BF547" i="3"/>
  <c r="BE547" i="3"/>
  <c r="BD547" i="3"/>
  <c r="BC547" i="3"/>
  <c r="BB547" i="3"/>
  <c r="BA547" i="3"/>
  <c r="AZ547" i="3"/>
  <c r="AY547" i="3"/>
  <c r="AX547" i="3"/>
  <c r="AW547" i="3"/>
  <c r="AV547" i="3"/>
  <c r="AU547" i="3"/>
  <c r="AT547" i="3"/>
  <c r="AS547" i="3"/>
  <c r="AR547" i="3"/>
  <c r="AQ547" i="3"/>
  <c r="AP547" i="3"/>
  <c r="AO547" i="3"/>
  <c r="AN547" i="3"/>
  <c r="AM547" i="3"/>
  <c r="BS546" i="3"/>
  <c r="BR546" i="3"/>
  <c r="BQ546" i="3"/>
  <c r="BP546" i="3"/>
  <c r="BO546" i="3"/>
  <c r="BN546" i="3"/>
  <c r="BM546" i="3"/>
  <c r="BL546" i="3"/>
  <c r="BK546" i="3"/>
  <c r="BJ546" i="3"/>
  <c r="BI546" i="3"/>
  <c r="BH546" i="3"/>
  <c r="BG546" i="3"/>
  <c r="BF546" i="3"/>
  <c r="BE546" i="3"/>
  <c r="BD546" i="3"/>
  <c r="BC546" i="3"/>
  <c r="BB546" i="3"/>
  <c r="BA546" i="3"/>
  <c r="AZ546" i="3"/>
  <c r="AY546" i="3"/>
  <c r="AX546" i="3"/>
  <c r="AW546" i="3"/>
  <c r="AV546" i="3"/>
  <c r="AU546" i="3"/>
  <c r="AT546" i="3"/>
  <c r="AS546" i="3"/>
  <c r="AR546" i="3"/>
  <c r="AQ546" i="3"/>
  <c r="AP546" i="3"/>
  <c r="AO546" i="3"/>
  <c r="AN546" i="3"/>
  <c r="AM546" i="3"/>
  <c r="BS545" i="3"/>
  <c r="BR545" i="3"/>
  <c r="BQ545" i="3"/>
  <c r="BP545" i="3"/>
  <c r="BO545" i="3"/>
  <c r="BN545" i="3"/>
  <c r="BM545" i="3"/>
  <c r="BL545" i="3"/>
  <c r="BK545" i="3"/>
  <c r="BJ545" i="3"/>
  <c r="BI545" i="3"/>
  <c r="BH545" i="3"/>
  <c r="BG545" i="3"/>
  <c r="BF545" i="3"/>
  <c r="BE545" i="3"/>
  <c r="BD545" i="3"/>
  <c r="BC545" i="3"/>
  <c r="BB545" i="3"/>
  <c r="BA545" i="3"/>
  <c r="AZ545" i="3"/>
  <c r="AY545" i="3"/>
  <c r="AX545" i="3"/>
  <c r="AW545" i="3"/>
  <c r="AV545" i="3"/>
  <c r="AU545" i="3"/>
  <c r="AT545" i="3"/>
  <c r="AS545" i="3"/>
  <c r="AR545" i="3"/>
  <c r="AQ545" i="3"/>
  <c r="AP545" i="3"/>
  <c r="AO545" i="3"/>
  <c r="AN545" i="3"/>
  <c r="AM545" i="3"/>
  <c r="BS544" i="3"/>
  <c r="BR544" i="3"/>
  <c r="BQ544" i="3"/>
  <c r="BP544" i="3"/>
  <c r="BO544" i="3"/>
  <c r="BN544" i="3"/>
  <c r="BM544" i="3"/>
  <c r="BL544" i="3"/>
  <c r="BK544" i="3"/>
  <c r="BJ544" i="3"/>
  <c r="BI544" i="3"/>
  <c r="BH544" i="3"/>
  <c r="BG544" i="3"/>
  <c r="BF544" i="3"/>
  <c r="BE544" i="3"/>
  <c r="BD544" i="3"/>
  <c r="BC544" i="3"/>
  <c r="BB544" i="3"/>
  <c r="BA544" i="3"/>
  <c r="AZ544" i="3"/>
  <c r="AY544" i="3"/>
  <c r="AX544" i="3"/>
  <c r="AW544" i="3"/>
  <c r="AV544" i="3"/>
  <c r="AU544" i="3"/>
  <c r="AT544" i="3"/>
  <c r="AS544" i="3"/>
  <c r="AR544" i="3"/>
  <c r="AQ544" i="3"/>
  <c r="AP544" i="3"/>
  <c r="AO544" i="3"/>
  <c r="AN544" i="3"/>
  <c r="AM544" i="3"/>
  <c r="BS543" i="3"/>
  <c r="BR543" i="3"/>
  <c r="BQ543" i="3"/>
  <c r="BP543" i="3"/>
  <c r="BO543" i="3"/>
  <c r="BN543" i="3"/>
  <c r="BM543" i="3"/>
  <c r="BL543" i="3"/>
  <c r="BK543" i="3"/>
  <c r="BJ543" i="3"/>
  <c r="BI543" i="3"/>
  <c r="BH543" i="3"/>
  <c r="BG543" i="3"/>
  <c r="BF543" i="3"/>
  <c r="BE543" i="3"/>
  <c r="BD543" i="3"/>
  <c r="BC543" i="3"/>
  <c r="BB543" i="3"/>
  <c r="BA543" i="3"/>
  <c r="AZ543" i="3"/>
  <c r="AY543" i="3"/>
  <c r="AX543" i="3"/>
  <c r="AW543" i="3"/>
  <c r="AV543" i="3"/>
  <c r="AU543" i="3"/>
  <c r="AT543" i="3"/>
  <c r="AS543" i="3"/>
  <c r="AR543" i="3"/>
  <c r="AQ543" i="3"/>
  <c r="AP543" i="3"/>
  <c r="AO543" i="3"/>
  <c r="AN543" i="3"/>
  <c r="AM543" i="3"/>
  <c r="BS542" i="3"/>
  <c r="BR542" i="3"/>
  <c r="BQ542" i="3"/>
  <c r="BP542" i="3"/>
  <c r="BO542" i="3"/>
  <c r="BN542" i="3"/>
  <c r="BM542" i="3"/>
  <c r="BL542" i="3"/>
  <c r="BK542" i="3"/>
  <c r="BJ542" i="3"/>
  <c r="BI542" i="3"/>
  <c r="BH542" i="3"/>
  <c r="BG542" i="3"/>
  <c r="BF542" i="3"/>
  <c r="BE542" i="3"/>
  <c r="BD542" i="3"/>
  <c r="BC542" i="3"/>
  <c r="BB542" i="3"/>
  <c r="BA542" i="3"/>
  <c r="AZ542" i="3"/>
  <c r="AY542" i="3"/>
  <c r="AX542" i="3"/>
  <c r="AW542" i="3"/>
  <c r="AV542" i="3"/>
  <c r="AU542" i="3"/>
  <c r="AT542" i="3"/>
  <c r="AS542" i="3"/>
  <c r="AR542" i="3"/>
  <c r="AQ542" i="3"/>
  <c r="AP542" i="3"/>
  <c r="AO542" i="3"/>
  <c r="AN542" i="3"/>
  <c r="AM542" i="3"/>
  <c r="BS541" i="3"/>
  <c r="BR541" i="3"/>
  <c r="BQ541" i="3"/>
  <c r="BP541" i="3"/>
  <c r="BO541" i="3"/>
  <c r="BN541" i="3"/>
  <c r="BM541" i="3"/>
  <c r="BL541" i="3"/>
  <c r="BK541" i="3"/>
  <c r="BJ541" i="3"/>
  <c r="BI541" i="3"/>
  <c r="BH541" i="3"/>
  <c r="BG541" i="3"/>
  <c r="BF541" i="3"/>
  <c r="BE541" i="3"/>
  <c r="BD541" i="3"/>
  <c r="BC541" i="3"/>
  <c r="BB541" i="3"/>
  <c r="BA541" i="3"/>
  <c r="AZ541" i="3"/>
  <c r="AY541" i="3"/>
  <c r="AX541" i="3"/>
  <c r="AW541" i="3"/>
  <c r="AV541" i="3"/>
  <c r="AU541" i="3"/>
  <c r="AT541" i="3"/>
  <c r="AS541" i="3"/>
  <c r="AR541" i="3"/>
  <c r="AQ541" i="3"/>
  <c r="AP541" i="3"/>
  <c r="AO541" i="3"/>
  <c r="AN541" i="3"/>
  <c r="AM541" i="3"/>
  <c r="B541" i="3"/>
  <c r="BS540" i="3"/>
  <c r="BR540" i="3"/>
  <c r="BQ540" i="3"/>
  <c r="BP540" i="3"/>
  <c r="BO540" i="3"/>
  <c r="BN540" i="3"/>
  <c r="BM540" i="3"/>
  <c r="BL540" i="3"/>
  <c r="BK540" i="3"/>
  <c r="BJ540" i="3"/>
  <c r="BI540" i="3"/>
  <c r="BH540" i="3"/>
  <c r="BG540" i="3"/>
  <c r="BF540" i="3"/>
  <c r="BE540" i="3"/>
  <c r="BD540" i="3"/>
  <c r="BC540" i="3"/>
  <c r="BB540" i="3"/>
  <c r="BA540" i="3"/>
  <c r="AZ540" i="3"/>
  <c r="AY540" i="3"/>
  <c r="AX540" i="3"/>
  <c r="AW540" i="3"/>
  <c r="AV540" i="3"/>
  <c r="AU540" i="3"/>
  <c r="AT540" i="3"/>
  <c r="AS540" i="3"/>
  <c r="AR540" i="3"/>
  <c r="AQ540" i="3"/>
  <c r="AP540" i="3"/>
  <c r="AO540" i="3"/>
  <c r="AN540" i="3"/>
  <c r="AM540" i="3"/>
  <c r="BS539" i="3"/>
  <c r="BR539" i="3"/>
  <c r="BQ539" i="3"/>
  <c r="BP539" i="3"/>
  <c r="BO539" i="3"/>
  <c r="BN539" i="3"/>
  <c r="BM539" i="3"/>
  <c r="BL539" i="3"/>
  <c r="BK539" i="3"/>
  <c r="BJ539" i="3"/>
  <c r="BI539" i="3"/>
  <c r="BH539" i="3"/>
  <c r="BG539" i="3"/>
  <c r="BF539" i="3"/>
  <c r="BE539" i="3"/>
  <c r="BD539" i="3"/>
  <c r="BC539" i="3"/>
  <c r="BB539" i="3"/>
  <c r="BA539" i="3"/>
  <c r="AZ539" i="3"/>
  <c r="AY539" i="3"/>
  <c r="AX539" i="3"/>
  <c r="AW539" i="3"/>
  <c r="AV539" i="3"/>
  <c r="AU539" i="3"/>
  <c r="AT539" i="3"/>
  <c r="AS539" i="3"/>
  <c r="AR539" i="3"/>
  <c r="AQ539" i="3"/>
  <c r="AP539" i="3"/>
  <c r="AO539" i="3"/>
  <c r="AN539" i="3"/>
  <c r="AM539" i="3"/>
  <c r="BS538" i="3"/>
  <c r="BR538" i="3"/>
  <c r="BQ538" i="3"/>
  <c r="BP538" i="3"/>
  <c r="BO538" i="3"/>
  <c r="BN538" i="3"/>
  <c r="BM538" i="3"/>
  <c r="BL538" i="3"/>
  <c r="BK538" i="3"/>
  <c r="BJ538" i="3"/>
  <c r="BI538" i="3"/>
  <c r="BH538" i="3"/>
  <c r="BG538" i="3"/>
  <c r="BF538" i="3"/>
  <c r="BE538" i="3"/>
  <c r="BD538" i="3"/>
  <c r="BC538" i="3"/>
  <c r="BB538" i="3"/>
  <c r="BA538" i="3"/>
  <c r="AZ538" i="3"/>
  <c r="AY538" i="3"/>
  <c r="AX538" i="3"/>
  <c r="AW538" i="3"/>
  <c r="AV538" i="3"/>
  <c r="AU538" i="3"/>
  <c r="AT538" i="3"/>
  <c r="AS538" i="3"/>
  <c r="AR538" i="3"/>
  <c r="AQ538" i="3"/>
  <c r="AP538" i="3"/>
  <c r="AO538" i="3"/>
  <c r="AN538" i="3"/>
  <c r="AM538" i="3"/>
  <c r="BS537" i="3"/>
  <c r="BR537" i="3"/>
  <c r="BQ537" i="3"/>
  <c r="BP537" i="3"/>
  <c r="BO537" i="3"/>
  <c r="BN537" i="3"/>
  <c r="BM537" i="3"/>
  <c r="BL537" i="3"/>
  <c r="BK537" i="3"/>
  <c r="BJ537" i="3"/>
  <c r="BI537" i="3"/>
  <c r="BH537" i="3"/>
  <c r="BG537" i="3"/>
  <c r="BF537" i="3"/>
  <c r="BE537" i="3"/>
  <c r="BD537" i="3"/>
  <c r="BC537" i="3"/>
  <c r="BB537" i="3"/>
  <c r="BA537" i="3"/>
  <c r="AZ537" i="3"/>
  <c r="AY537" i="3"/>
  <c r="AX537" i="3"/>
  <c r="AW537" i="3"/>
  <c r="AV537" i="3"/>
  <c r="AU537" i="3"/>
  <c r="AT537" i="3"/>
  <c r="AS537" i="3"/>
  <c r="AR537" i="3"/>
  <c r="AQ537" i="3"/>
  <c r="AP537" i="3"/>
  <c r="AO537" i="3"/>
  <c r="AN537" i="3"/>
  <c r="AM537" i="3"/>
  <c r="BS536" i="3"/>
  <c r="BR536" i="3"/>
  <c r="BQ536" i="3"/>
  <c r="BP536" i="3"/>
  <c r="BO536" i="3"/>
  <c r="BN536" i="3"/>
  <c r="BM536" i="3"/>
  <c r="BL536" i="3"/>
  <c r="BK536" i="3"/>
  <c r="BJ536" i="3"/>
  <c r="BI536" i="3"/>
  <c r="BH536" i="3"/>
  <c r="BG536" i="3"/>
  <c r="BF536" i="3"/>
  <c r="BE536" i="3"/>
  <c r="BD536" i="3"/>
  <c r="BC536" i="3"/>
  <c r="BB536" i="3"/>
  <c r="BA536" i="3"/>
  <c r="AZ536" i="3"/>
  <c r="AY536" i="3"/>
  <c r="AX536" i="3"/>
  <c r="AW536" i="3"/>
  <c r="AV536" i="3"/>
  <c r="AU536" i="3"/>
  <c r="AT536" i="3"/>
  <c r="AS536" i="3"/>
  <c r="AR536" i="3"/>
  <c r="AQ536" i="3"/>
  <c r="AP536" i="3"/>
  <c r="AO536" i="3"/>
  <c r="AN536" i="3"/>
  <c r="AM536" i="3"/>
  <c r="BS535" i="3"/>
  <c r="BR535" i="3"/>
  <c r="BQ535" i="3"/>
  <c r="BP535" i="3"/>
  <c r="BO535" i="3"/>
  <c r="BN535" i="3"/>
  <c r="BM535" i="3"/>
  <c r="BL535" i="3"/>
  <c r="BK535" i="3"/>
  <c r="BJ535" i="3"/>
  <c r="BI535" i="3"/>
  <c r="BH535" i="3"/>
  <c r="BG535" i="3"/>
  <c r="BF535" i="3"/>
  <c r="BE535" i="3"/>
  <c r="BD535" i="3"/>
  <c r="BC535" i="3"/>
  <c r="BB535" i="3"/>
  <c r="BA535" i="3"/>
  <c r="AZ535" i="3"/>
  <c r="AY535" i="3"/>
  <c r="AX535" i="3"/>
  <c r="AW535" i="3"/>
  <c r="AV535" i="3"/>
  <c r="AU535" i="3"/>
  <c r="AT535" i="3"/>
  <c r="AS535" i="3"/>
  <c r="AR535" i="3"/>
  <c r="AQ535" i="3"/>
  <c r="AP535" i="3"/>
  <c r="AO535" i="3"/>
  <c r="AN535" i="3"/>
  <c r="AM535" i="3"/>
  <c r="BS534" i="3"/>
  <c r="BR534" i="3"/>
  <c r="BQ534" i="3"/>
  <c r="BP534" i="3"/>
  <c r="BO534" i="3"/>
  <c r="BN534" i="3"/>
  <c r="BM534" i="3"/>
  <c r="BL534" i="3"/>
  <c r="BK534" i="3"/>
  <c r="BJ534" i="3"/>
  <c r="BI534" i="3"/>
  <c r="BH534" i="3"/>
  <c r="BG534" i="3"/>
  <c r="BF534" i="3"/>
  <c r="BE534" i="3"/>
  <c r="BD534" i="3"/>
  <c r="BC534" i="3"/>
  <c r="BB534" i="3"/>
  <c r="BA534" i="3"/>
  <c r="AZ534" i="3"/>
  <c r="AY534" i="3"/>
  <c r="AX534" i="3"/>
  <c r="AW534" i="3"/>
  <c r="AV534" i="3"/>
  <c r="AU534" i="3"/>
  <c r="AT534" i="3"/>
  <c r="AS534" i="3"/>
  <c r="AR534" i="3"/>
  <c r="AQ534" i="3"/>
  <c r="AP534" i="3"/>
  <c r="AO534" i="3"/>
  <c r="AN534" i="3"/>
  <c r="AM534" i="3"/>
  <c r="BS533" i="3"/>
  <c r="BR533" i="3"/>
  <c r="BQ533" i="3"/>
  <c r="BP533" i="3"/>
  <c r="BO533" i="3"/>
  <c r="BN533" i="3"/>
  <c r="BM533" i="3"/>
  <c r="BL533" i="3"/>
  <c r="BK533" i="3"/>
  <c r="BJ533" i="3"/>
  <c r="BI533" i="3"/>
  <c r="BH533" i="3"/>
  <c r="BG533" i="3"/>
  <c r="BF533" i="3"/>
  <c r="BE533" i="3"/>
  <c r="BD533" i="3"/>
  <c r="BC533" i="3"/>
  <c r="BB533" i="3"/>
  <c r="BA533" i="3"/>
  <c r="AZ533" i="3"/>
  <c r="AY533" i="3"/>
  <c r="AX533" i="3"/>
  <c r="AW533" i="3"/>
  <c r="AV533" i="3"/>
  <c r="AU533" i="3"/>
  <c r="AT533" i="3"/>
  <c r="AS533" i="3"/>
  <c r="AR533" i="3"/>
  <c r="AQ533" i="3"/>
  <c r="AP533" i="3"/>
  <c r="AO533" i="3"/>
  <c r="AN533" i="3"/>
  <c r="AM533" i="3"/>
  <c r="BS532" i="3"/>
  <c r="BR532" i="3"/>
  <c r="BQ532" i="3"/>
  <c r="BP532" i="3"/>
  <c r="BO532" i="3"/>
  <c r="BN532" i="3"/>
  <c r="BM532" i="3"/>
  <c r="BL532" i="3"/>
  <c r="BK532" i="3"/>
  <c r="BJ532" i="3"/>
  <c r="BI532" i="3"/>
  <c r="BH532" i="3"/>
  <c r="BG532" i="3"/>
  <c r="BF532" i="3"/>
  <c r="BE532" i="3"/>
  <c r="BD532" i="3"/>
  <c r="BC532" i="3"/>
  <c r="BB532" i="3"/>
  <c r="BA532" i="3"/>
  <c r="AZ532" i="3"/>
  <c r="AY532" i="3"/>
  <c r="AX532" i="3"/>
  <c r="AW532" i="3"/>
  <c r="AV532" i="3"/>
  <c r="AU532" i="3"/>
  <c r="AT532" i="3"/>
  <c r="AS532" i="3"/>
  <c r="AR532" i="3"/>
  <c r="AQ532" i="3"/>
  <c r="AP532" i="3"/>
  <c r="AO532" i="3"/>
  <c r="AN532" i="3"/>
  <c r="AM532" i="3"/>
  <c r="BS531" i="3"/>
  <c r="BR531" i="3"/>
  <c r="BQ531" i="3"/>
  <c r="BP531" i="3"/>
  <c r="BO531" i="3"/>
  <c r="BN531" i="3"/>
  <c r="BM531" i="3"/>
  <c r="BL531" i="3"/>
  <c r="BK531" i="3"/>
  <c r="BJ531" i="3"/>
  <c r="BI531" i="3"/>
  <c r="BH531" i="3"/>
  <c r="BG531" i="3"/>
  <c r="BF531" i="3"/>
  <c r="BE531" i="3"/>
  <c r="BD531" i="3"/>
  <c r="BC531" i="3"/>
  <c r="BB531" i="3"/>
  <c r="BA531" i="3"/>
  <c r="AZ531" i="3"/>
  <c r="AY531" i="3"/>
  <c r="AX531" i="3"/>
  <c r="AW531" i="3"/>
  <c r="AV531" i="3"/>
  <c r="AU531" i="3"/>
  <c r="AT531" i="3"/>
  <c r="AS531" i="3"/>
  <c r="AR531" i="3"/>
  <c r="AQ531" i="3"/>
  <c r="AP531" i="3"/>
  <c r="AO531" i="3"/>
  <c r="AN531" i="3"/>
  <c r="AM531" i="3"/>
  <c r="A531" i="3"/>
  <c r="BS530" i="3"/>
  <c r="BR530" i="3"/>
  <c r="BQ530" i="3"/>
  <c r="BP530" i="3"/>
  <c r="BO530" i="3"/>
  <c r="BN530" i="3"/>
  <c r="BM530" i="3"/>
  <c r="BL530" i="3"/>
  <c r="BK530" i="3"/>
  <c r="BJ530" i="3"/>
  <c r="BI530" i="3"/>
  <c r="BH530" i="3"/>
  <c r="BG530" i="3"/>
  <c r="BF530" i="3"/>
  <c r="BE530" i="3"/>
  <c r="BD530" i="3"/>
  <c r="BC530" i="3"/>
  <c r="BB530" i="3"/>
  <c r="BA530" i="3"/>
  <c r="AZ530" i="3"/>
  <c r="AY530" i="3"/>
  <c r="AX530" i="3"/>
  <c r="AW530" i="3"/>
  <c r="AV530" i="3"/>
  <c r="AU530" i="3"/>
  <c r="AT530" i="3"/>
  <c r="AS530" i="3"/>
  <c r="AR530" i="3"/>
  <c r="AQ530" i="3"/>
  <c r="AP530" i="3"/>
  <c r="AO530" i="3"/>
  <c r="AN530" i="3"/>
  <c r="AM530" i="3"/>
  <c r="BS529" i="3"/>
  <c r="BR529" i="3"/>
  <c r="BQ529" i="3"/>
  <c r="BP529" i="3"/>
  <c r="BO529" i="3"/>
  <c r="BN529" i="3"/>
  <c r="BM529" i="3"/>
  <c r="BL529" i="3"/>
  <c r="BK529" i="3"/>
  <c r="BJ529" i="3"/>
  <c r="BI529" i="3"/>
  <c r="BH529" i="3"/>
  <c r="BG529" i="3"/>
  <c r="BF529" i="3"/>
  <c r="BE529" i="3"/>
  <c r="BD529" i="3"/>
  <c r="BC529" i="3"/>
  <c r="BB529" i="3"/>
  <c r="BA529" i="3"/>
  <c r="AZ529" i="3"/>
  <c r="AY529" i="3"/>
  <c r="AX529" i="3"/>
  <c r="AW529" i="3"/>
  <c r="AV529" i="3"/>
  <c r="AU529" i="3"/>
  <c r="AT529" i="3"/>
  <c r="AS529" i="3"/>
  <c r="AR529" i="3"/>
  <c r="AQ529" i="3"/>
  <c r="AP529" i="3"/>
  <c r="AO529" i="3"/>
  <c r="AN529" i="3"/>
  <c r="AM529" i="3"/>
  <c r="BS528" i="3"/>
  <c r="BR528" i="3"/>
  <c r="BQ528" i="3"/>
  <c r="BP528" i="3"/>
  <c r="BO528" i="3"/>
  <c r="BN528" i="3"/>
  <c r="BM528" i="3"/>
  <c r="BL528" i="3"/>
  <c r="BK528" i="3"/>
  <c r="BJ528" i="3"/>
  <c r="BI528" i="3"/>
  <c r="BH528" i="3"/>
  <c r="BG528" i="3"/>
  <c r="BF528" i="3"/>
  <c r="BE528" i="3"/>
  <c r="BD528" i="3"/>
  <c r="BC528" i="3"/>
  <c r="BB528" i="3"/>
  <c r="BA528" i="3"/>
  <c r="AZ528" i="3"/>
  <c r="AY528" i="3"/>
  <c r="AX528" i="3"/>
  <c r="AW528" i="3"/>
  <c r="AV528" i="3"/>
  <c r="AU528" i="3"/>
  <c r="AT528" i="3"/>
  <c r="AS528" i="3"/>
  <c r="AR528" i="3"/>
  <c r="AQ528" i="3"/>
  <c r="AP528" i="3"/>
  <c r="AO528" i="3"/>
  <c r="AN528" i="3"/>
  <c r="AM528" i="3"/>
  <c r="BS527" i="3"/>
  <c r="BR527" i="3"/>
  <c r="BQ527" i="3"/>
  <c r="BP527" i="3"/>
  <c r="BO527" i="3"/>
  <c r="BN527" i="3"/>
  <c r="BM527" i="3"/>
  <c r="BL527" i="3"/>
  <c r="BK527" i="3"/>
  <c r="BJ527" i="3"/>
  <c r="BI527" i="3"/>
  <c r="BH527" i="3"/>
  <c r="BG527" i="3"/>
  <c r="BF527" i="3"/>
  <c r="BE527" i="3"/>
  <c r="BD527" i="3"/>
  <c r="BC527" i="3"/>
  <c r="BB527" i="3"/>
  <c r="BA527" i="3"/>
  <c r="AZ527" i="3"/>
  <c r="AY527" i="3"/>
  <c r="AX527" i="3"/>
  <c r="AW527" i="3"/>
  <c r="AV527" i="3"/>
  <c r="AU527" i="3"/>
  <c r="AT527" i="3"/>
  <c r="AS527" i="3"/>
  <c r="AR527" i="3"/>
  <c r="AQ527" i="3"/>
  <c r="AP527" i="3"/>
  <c r="AO527" i="3"/>
  <c r="AN527" i="3"/>
  <c r="AM527" i="3"/>
  <c r="BS526" i="3"/>
  <c r="BR526" i="3"/>
  <c r="BQ526" i="3"/>
  <c r="BP526" i="3"/>
  <c r="BO526" i="3"/>
  <c r="BN526" i="3"/>
  <c r="BM526" i="3"/>
  <c r="BL526" i="3"/>
  <c r="BK526" i="3"/>
  <c r="BJ526" i="3"/>
  <c r="BI526" i="3"/>
  <c r="BH526" i="3"/>
  <c r="BG526" i="3"/>
  <c r="BF526" i="3"/>
  <c r="BE526" i="3"/>
  <c r="BD526" i="3"/>
  <c r="BC526" i="3"/>
  <c r="BB526" i="3"/>
  <c r="BA526" i="3"/>
  <c r="AZ526" i="3"/>
  <c r="AY526" i="3"/>
  <c r="AX526" i="3"/>
  <c r="AW526" i="3"/>
  <c r="AV526" i="3"/>
  <c r="AU526" i="3"/>
  <c r="AT526" i="3"/>
  <c r="AS526" i="3"/>
  <c r="AR526" i="3"/>
  <c r="AQ526" i="3"/>
  <c r="AP526" i="3"/>
  <c r="AO526" i="3"/>
  <c r="AN526" i="3"/>
  <c r="AM526" i="3"/>
  <c r="BS525" i="3"/>
  <c r="BR525" i="3"/>
  <c r="BQ525" i="3"/>
  <c r="BP525" i="3"/>
  <c r="BO525" i="3"/>
  <c r="BN525" i="3"/>
  <c r="BM525" i="3"/>
  <c r="BL525" i="3"/>
  <c r="BK525" i="3"/>
  <c r="BJ525" i="3"/>
  <c r="BI525" i="3"/>
  <c r="BH525" i="3"/>
  <c r="BG525" i="3"/>
  <c r="BF525" i="3"/>
  <c r="BE525" i="3"/>
  <c r="BD525" i="3"/>
  <c r="BC525" i="3"/>
  <c r="BB525" i="3"/>
  <c r="BA525" i="3"/>
  <c r="AZ525" i="3"/>
  <c r="AY525" i="3"/>
  <c r="AX525" i="3"/>
  <c r="AW525" i="3"/>
  <c r="AV525" i="3"/>
  <c r="AU525" i="3"/>
  <c r="AT525" i="3"/>
  <c r="AS525" i="3"/>
  <c r="AR525" i="3"/>
  <c r="AQ525" i="3"/>
  <c r="AP525" i="3"/>
  <c r="AO525" i="3"/>
  <c r="AN525" i="3"/>
  <c r="AM525" i="3"/>
  <c r="BS524" i="3"/>
  <c r="BR524" i="3"/>
  <c r="BQ524" i="3"/>
  <c r="BP524" i="3"/>
  <c r="BO524" i="3"/>
  <c r="BN524" i="3"/>
  <c r="BM524" i="3"/>
  <c r="BL524" i="3"/>
  <c r="BK524" i="3"/>
  <c r="BJ524" i="3"/>
  <c r="BI524" i="3"/>
  <c r="BH524" i="3"/>
  <c r="BG524" i="3"/>
  <c r="BF524" i="3"/>
  <c r="BE524" i="3"/>
  <c r="BD524" i="3"/>
  <c r="BC524" i="3"/>
  <c r="BB524" i="3"/>
  <c r="BA524" i="3"/>
  <c r="AZ524" i="3"/>
  <c r="AY524" i="3"/>
  <c r="AX524" i="3"/>
  <c r="AW524" i="3"/>
  <c r="AV524" i="3"/>
  <c r="AU524" i="3"/>
  <c r="AT524" i="3"/>
  <c r="AS524" i="3"/>
  <c r="AR524" i="3"/>
  <c r="AQ524" i="3"/>
  <c r="AP524" i="3"/>
  <c r="AO524" i="3"/>
  <c r="AN524" i="3"/>
  <c r="AM524" i="3"/>
  <c r="BS523" i="3"/>
  <c r="BR523" i="3"/>
  <c r="BQ523" i="3"/>
  <c r="BP523" i="3"/>
  <c r="BO523" i="3"/>
  <c r="BN523" i="3"/>
  <c r="BM523" i="3"/>
  <c r="BL523" i="3"/>
  <c r="BK523" i="3"/>
  <c r="BJ523" i="3"/>
  <c r="BI523" i="3"/>
  <c r="BH523" i="3"/>
  <c r="BG523" i="3"/>
  <c r="BF523" i="3"/>
  <c r="BE523" i="3"/>
  <c r="BD523" i="3"/>
  <c r="BC523" i="3"/>
  <c r="BB523" i="3"/>
  <c r="BA523" i="3"/>
  <c r="AZ523" i="3"/>
  <c r="AY523" i="3"/>
  <c r="AX523" i="3"/>
  <c r="AW523" i="3"/>
  <c r="AV523" i="3"/>
  <c r="AU523" i="3"/>
  <c r="AT523" i="3"/>
  <c r="AS523" i="3"/>
  <c r="AR523" i="3"/>
  <c r="AQ523" i="3"/>
  <c r="AP523" i="3"/>
  <c r="AO523" i="3"/>
  <c r="AN523" i="3"/>
  <c r="AM523" i="3"/>
  <c r="BS522" i="3"/>
  <c r="BR522" i="3"/>
  <c r="BQ522" i="3"/>
  <c r="BP522" i="3"/>
  <c r="BO522" i="3"/>
  <c r="BN522" i="3"/>
  <c r="BM522" i="3"/>
  <c r="BL522" i="3"/>
  <c r="BK522" i="3"/>
  <c r="BJ522" i="3"/>
  <c r="BI522" i="3"/>
  <c r="BH522" i="3"/>
  <c r="BG522" i="3"/>
  <c r="BF522" i="3"/>
  <c r="BE522" i="3"/>
  <c r="BD522" i="3"/>
  <c r="BC522" i="3"/>
  <c r="BB522" i="3"/>
  <c r="BA522" i="3"/>
  <c r="AZ522" i="3"/>
  <c r="AY522" i="3"/>
  <c r="AX522" i="3"/>
  <c r="AW522" i="3"/>
  <c r="AV522" i="3"/>
  <c r="AU522" i="3"/>
  <c r="AT522" i="3"/>
  <c r="AS522" i="3"/>
  <c r="AR522" i="3"/>
  <c r="AQ522" i="3"/>
  <c r="AP522" i="3"/>
  <c r="AO522" i="3"/>
  <c r="AN522" i="3"/>
  <c r="AM522" i="3"/>
  <c r="BS521" i="3"/>
  <c r="BR521" i="3"/>
  <c r="BQ521" i="3"/>
  <c r="BP521" i="3"/>
  <c r="BO521" i="3"/>
  <c r="BN521" i="3"/>
  <c r="BM521" i="3"/>
  <c r="BL521" i="3"/>
  <c r="BK521" i="3"/>
  <c r="BJ521" i="3"/>
  <c r="BI521" i="3"/>
  <c r="BH521" i="3"/>
  <c r="BG521" i="3"/>
  <c r="BF521" i="3"/>
  <c r="BE521" i="3"/>
  <c r="BD521" i="3"/>
  <c r="BC521" i="3"/>
  <c r="BB521" i="3"/>
  <c r="BA521" i="3"/>
  <c r="AZ521" i="3"/>
  <c r="AY521" i="3"/>
  <c r="AX521" i="3"/>
  <c r="AW521" i="3"/>
  <c r="AV521" i="3"/>
  <c r="AU521" i="3"/>
  <c r="AT521" i="3"/>
  <c r="AS521" i="3"/>
  <c r="AR521" i="3"/>
  <c r="AQ521" i="3"/>
  <c r="AP521" i="3"/>
  <c r="AO521" i="3"/>
  <c r="AN521" i="3"/>
  <c r="AM521" i="3"/>
  <c r="BS520" i="3"/>
  <c r="BR520" i="3"/>
  <c r="BQ520" i="3"/>
  <c r="BP520" i="3"/>
  <c r="BO520" i="3"/>
  <c r="BN520" i="3"/>
  <c r="BM520" i="3"/>
  <c r="BL520" i="3"/>
  <c r="BK520" i="3"/>
  <c r="BJ520" i="3"/>
  <c r="BI520" i="3"/>
  <c r="BH520" i="3"/>
  <c r="BG520" i="3"/>
  <c r="BF520" i="3"/>
  <c r="BE520" i="3"/>
  <c r="BD520" i="3"/>
  <c r="BC520" i="3"/>
  <c r="BB520" i="3"/>
  <c r="BA520" i="3"/>
  <c r="AZ520" i="3"/>
  <c r="AY520" i="3"/>
  <c r="AX520" i="3"/>
  <c r="AW520" i="3"/>
  <c r="AV520" i="3"/>
  <c r="AU520" i="3"/>
  <c r="AT520" i="3"/>
  <c r="AS520" i="3"/>
  <c r="AR520" i="3"/>
  <c r="AQ520" i="3"/>
  <c r="AP520" i="3"/>
  <c r="AO520" i="3"/>
  <c r="AN520" i="3"/>
  <c r="AM520" i="3"/>
  <c r="BS519" i="3"/>
  <c r="BR519" i="3"/>
  <c r="BQ519" i="3"/>
  <c r="BP519" i="3"/>
  <c r="BO519" i="3"/>
  <c r="BN519" i="3"/>
  <c r="BM519" i="3"/>
  <c r="BL519" i="3"/>
  <c r="BK519" i="3"/>
  <c r="BJ519" i="3"/>
  <c r="BI519" i="3"/>
  <c r="BH519" i="3"/>
  <c r="BG519" i="3"/>
  <c r="BF519" i="3"/>
  <c r="BE519" i="3"/>
  <c r="BD519" i="3"/>
  <c r="BC519" i="3"/>
  <c r="BB519" i="3"/>
  <c r="BA519" i="3"/>
  <c r="AZ519" i="3"/>
  <c r="AY519" i="3"/>
  <c r="AX519" i="3"/>
  <c r="AW519" i="3"/>
  <c r="AV519" i="3"/>
  <c r="AU519" i="3"/>
  <c r="AT519" i="3"/>
  <c r="AS519" i="3"/>
  <c r="AR519" i="3"/>
  <c r="AQ519" i="3"/>
  <c r="AP519" i="3"/>
  <c r="AO519" i="3"/>
  <c r="AN519" i="3"/>
  <c r="AM519" i="3"/>
  <c r="BS518" i="3"/>
  <c r="BR518" i="3"/>
  <c r="BQ518" i="3"/>
  <c r="BP518" i="3"/>
  <c r="BO518" i="3"/>
  <c r="BN518" i="3"/>
  <c r="BM518" i="3"/>
  <c r="BL518" i="3"/>
  <c r="BK518" i="3"/>
  <c r="BJ518" i="3"/>
  <c r="BI518" i="3"/>
  <c r="BH518" i="3"/>
  <c r="BG518" i="3"/>
  <c r="BF518" i="3"/>
  <c r="BE518" i="3"/>
  <c r="BD518" i="3"/>
  <c r="BC518" i="3"/>
  <c r="BB518" i="3"/>
  <c r="BA518" i="3"/>
  <c r="AZ518" i="3"/>
  <c r="AY518" i="3"/>
  <c r="AX518" i="3"/>
  <c r="AW518" i="3"/>
  <c r="AV518" i="3"/>
  <c r="AU518" i="3"/>
  <c r="AT518" i="3"/>
  <c r="AS518" i="3"/>
  <c r="AR518" i="3"/>
  <c r="AQ518" i="3"/>
  <c r="AP518" i="3"/>
  <c r="AO518" i="3"/>
  <c r="AN518" i="3"/>
  <c r="AM518" i="3"/>
  <c r="BS517" i="3"/>
  <c r="BR517" i="3"/>
  <c r="BQ517" i="3"/>
  <c r="BP517" i="3"/>
  <c r="BO517" i="3"/>
  <c r="BN517" i="3"/>
  <c r="BM517" i="3"/>
  <c r="BL517" i="3"/>
  <c r="BK517" i="3"/>
  <c r="BJ517" i="3"/>
  <c r="BI517" i="3"/>
  <c r="BH517" i="3"/>
  <c r="BG517" i="3"/>
  <c r="BF517" i="3"/>
  <c r="BE517" i="3"/>
  <c r="BD517" i="3"/>
  <c r="BC517" i="3"/>
  <c r="BB517" i="3"/>
  <c r="BA517" i="3"/>
  <c r="AZ517" i="3"/>
  <c r="AY517" i="3"/>
  <c r="AX517" i="3"/>
  <c r="AW517" i="3"/>
  <c r="AV517" i="3"/>
  <c r="AU517" i="3"/>
  <c r="AT517" i="3"/>
  <c r="AS517" i="3"/>
  <c r="AR517" i="3"/>
  <c r="AQ517" i="3"/>
  <c r="AP517" i="3"/>
  <c r="AO517" i="3"/>
  <c r="AN517" i="3"/>
  <c r="AM517" i="3"/>
  <c r="BS516" i="3"/>
  <c r="BR516" i="3"/>
  <c r="BQ516" i="3"/>
  <c r="BP516" i="3"/>
  <c r="BO516" i="3"/>
  <c r="BN516" i="3"/>
  <c r="BM516" i="3"/>
  <c r="BL516" i="3"/>
  <c r="BK516" i="3"/>
  <c r="BJ516" i="3"/>
  <c r="BI516" i="3"/>
  <c r="BH516" i="3"/>
  <c r="BG516" i="3"/>
  <c r="BF516" i="3"/>
  <c r="BE516" i="3"/>
  <c r="BD516" i="3"/>
  <c r="BC516" i="3"/>
  <c r="BB516" i="3"/>
  <c r="BA516" i="3"/>
  <c r="AZ516" i="3"/>
  <c r="AY516" i="3"/>
  <c r="AX516" i="3"/>
  <c r="AW516" i="3"/>
  <c r="AV516" i="3"/>
  <c r="AU516" i="3"/>
  <c r="AT516" i="3"/>
  <c r="AS516" i="3"/>
  <c r="AR516" i="3"/>
  <c r="AQ516" i="3"/>
  <c r="AP516" i="3"/>
  <c r="AO516" i="3"/>
  <c r="AN516" i="3"/>
  <c r="AM516" i="3"/>
  <c r="C516" i="3"/>
  <c r="BS515" i="3"/>
  <c r="BR515" i="3"/>
  <c r="BQ515" i="3"/>
  <c r="BP515" i="3"/>
  <c r="BO515" i="3"/>
  <c r="BN515" i="3"/>
  <c r="BM515" i="3"/>
  <c r="BL515" i="3"/>
  <c r="BK515" i="3"/>
  <c r="BJ515" i="3"/>
  <c r="BI515" i="3"/>
  <c r="BH515" i="3"/>
  <c r="BG515" i="3"/>
  <c r="BF515" i="3"/>
  <c r="BE515" i="3"/>
  <c r="BD515" i="3"/>
  <c r="BC515" i="3"/>
  <c r="BB515" i="3"/>
  <c r="BA515" i="3"/>
  <c r="AZ515" i="3"/>
  <c r="AY515" i="3"/>
  <c r="AX515" i="3"/>
  <c r="AW515" i="3"/>
  <c r="AV515" i="3"/>
  <c r="AU515" i="3"/>
  <c r="AT515" i="3"/>
  <c r="AS515" i="3"/>
  <c r="AR515" i="3"/>
  <c r="AQ515" i="3"/>
  <c r="AP515" i="3"/>
  <c r="AO515" i="3"/>
  <c r="AN515" i="3"/>
  <c r="AM515" i="3"/>
  <c r="A515" i="3"/>
  <c r="BS514" i="3"/>
  <c r="BR514" i="3"/>
  <c r="BQ514" i="3"/>
  <c r="BP514" i="3"/>
  <c r="BO514" i="3"/>
  <c r="BN514" i="3"/>
  <c r="BM514" i="3"/>
  <c r="BL514" i="3"/>
  <c r="BK514" i="3"/>
  <c r="BJ514" i="3"/>
  <c r="BI514" i="3"/>
  <c r="BH514" i="3"/>
  <c r="BG514" i="3"/>
  <c r="BF514" i="3"/>
  <c r="BE514" i="3"/>
  <c r="BD514" i="3"/>
  <c r="BC514" i="3"/>
  <c r="BB514" i="3"/>
  <c r="BA514" i="3"/>
  <c r="AZ514" i="3"/>
  <c r="AY514" i="3"/>
  <c r="AX514" i="3"/>
  <c r="AW514" i="3"/>
  <c r="AV514" i="3"/>
  <c r="AU514" i="3"/>
  <c r="AT514" i="3"/>
  <c r="AS514" i="3"/>
  <c r="AR514" i="3"/>
  <c r="AQ514" i="3"/>
  <c r="AP514" i="3"/>
  <c r="AO514" i="3"/>
  <c r="AN514" i="3"/>
  <c r="AM514" i="3"/>
  <c r="BS513" i="3"/>
  <c r="BR513" i="3"/>
  <c r="BQ513" i="3"/>
  <c r="BP513" i="3"/>
  <c r="BO513" i="3"/>
  <c r="BN513" i="3"/>
  <c r="BM513" i="3"/>
  <c r="BL513" i="3"/>
  <c r="BK513" i="3"/>
  <c r="BJ513" i="3"/>
  <c r="BI513" i="3"/>
  <c r="BH513" i="3"/>
  <c r="BG513" i="3"/>
  <c r="BF513" i="3"/>
  <c r="BE513" i="3"/>
  <c r="BD513" i="3"/>
  <c r="BC513" i="3"/>
  <c r="BB513" i="3"/>
  <c r="BA513" i="3"/>
  <c r="AZ513" i="3"/>
  <c r="AY513" i="3"/>
  <c r="AX513" i="3"/>
  <c r="AW513" i="3"/>
  <c r="AV513" i="3"/>
  <c r="AU513" i="3"/>
  <c r="AT513" i="3"/>
  <c r="AS513" i="3"/>
  <c r="AR513" i="3"/>
  <c r="AQ513" i="3"/>
  <c r="AP513" i="3"/>
  <c r="AO513" i="3"/>
  <c r="AN513" i="3"/>
  <c r="AM513" i="3"/>
  <c r="BS512" i="3"/>
  <c r="BR512" i="3"/>
  <c r="BQ512" i="3"/>
  <c r="BP512" i="3"/>
  <c r="BO512" i="3"/>
  <c r="BN512" i="3"/>
  <c r="BM512" i="3"/>
  <c r="BL512" i="3"/>
  <c r="BK512" i="3"/>
  <c r="BJ512" i="3"/>
  <c r="BI512" i="3"/>
  <c r="BH512" i="3"/>
  <c r="BG512" i="3"/>
  <c r="BF512" i="3"/>
  <c r="BE512" i="3"/>
  <c r="BD512" i="3"/>
  <c r="BC512" i="3"/>
  <c r="BB512" i="3"/>
  <c r="BA512" i="3"/>
  <c r="AZ512" i="3"/>
  <c r="AY512" i="3"/>
  <c r="AX512" i="3"/>
  <c r="AW512" i="3"/>
  <c r="AV512" i="3"/>
  <c r="AU512" i="3"/>
  <c r="AT512" i="3"/>
  <c r="AS512" i="3"/>
  <c r="AR512" i="3"/>
  <c r="AQ512" i="3"/>
  <c r="AP512" i="3"/>
  <c r="AO512" i="3"/>
  <c r="AN512" i="3"/>
  <c r="AM512" i="3"/>
  <c r="BS511" i="3"/>
  <c r="BR511" i="3"/>
  <c r="BQ511" i="3"/>
  <c r="BP511" i="3"/>
  <c r="BO511" i="3"/>
  <c r="BN511" i="3"/>
  <c r="BM511" i="3"/>
  <c r="BL511" i="3"/>
  <c r="BK511" i="3"/>
  <c r="BJ511" i="3"/>
  <c r="BI511" i="3"/>
  <c r="BH511" i="3"/>
  <c r="BG511" i="3"/>
  <c r="BF511" i="3"/>
  <c r="BE511" i="3"/>
  <c r="BD511" i="3"/>
  <c r="BC511" i="3"/>
  <c r="BB511" i="3"/>
  <c r="BA511" i="3"/>
  <c r="AZ511" i="3"/>
  <c r="AY511" i="3"/>
  <c r="AX511" i="3"/>
  <c r="AW511" i="3"/>
  <c r="AV511" i="3"/>
  <c r="AU511" i="3"/>
  <c r="AT511" i="3"/>
  <c r="AS511" i="3"/>
  <c r="AR511" i="3"/>
  <c r="AQ511" i="3"/>
  <c r="AP511" i="3"/>
  <c r="AO511" i="3"/>
  <c r="AN511" i="3"/>
  <c r="AM511" i="3"/>
  <c r="A511" i="3"/>
  <c r="BS510" i="3"/>
  <c r="BR510" i="3"/>
  <c r="BQ510" i="3"/>
  <c r="BP510" i="3"/>
  <c r="BO510" i="3"/>
  <c r="BN510" i="3"/>
  <c r="BM510" i="3"/>
  <c r="BL510" i="3"/>
  <c r="BK510" i="3"/>
  <c r="BJ510" i="3"/>
  <c r="BI510" i="3"/>
  <c r="BH510" i="3"/>
  <c r="BG510" i="3"/>
  <c r="BF510" i="3"/>
  <c r="BE510" i="3"/>
  <c r="BD510" i="3"/>
  <c r="BC510" i="3"/>
  <c r="BB510" i="3"/>
  <c r="BA510" i="3"/>
  <c r="AZ510" i="3"/>
  <c r="AY510" i="3"/>
  <c r="AX510" i="3"/>
  <c r="AW510" i="3"/>
  <c r="AV510" i="3"/>
  <c r="AU510" i="3"/>
  <c r="AT510" i="3"/>
  <c r="AS510" i="3"/>
  <c r="AR510" i="3"/>
  <c r="AQ510" i="3"/>
  <c r="AP510" i="3"/>
  <c r="AO510" i="3"/>
  <c r="AN510" i="3"/>
  <c r="AM510" i="3"/>
  <c r="BS509" i="3"/>
  <c r="BR509" i="3"/>
  <c r="BQ509" i="3"/>
  <c r="BP509" i="3"/>
  <c r="BO509" i="3"/>
  <c r="BN509" i="3"/>
  <c r="BM509" i="3"/>
  <c r="BL509" i="3"/>
  <c r="BK509" i="3"/>
  <c r="BJ509" i="3"/>
  <c r="BI509" i="3"/>
  <c r="BH509" i="3"/>
  <c r="BG509" i="3"/>
  <c r="BF509" i="3"/>
  <c r="BE509" i="3"/>
  <c r="BD509" i="3"/>
  <c r="BC509" i="3"/>
  <c r="BB509" i="3"/>
  <c r="BA509" i="3"/>
  <c r="AZ509" i="3"/>
  <c r="AY509" i="3"/>
  <c r="AX509" i="3"/>
  <c r="AW509" i="3"/>
  <c r="AV509" i="3"/>
  <c r="AU509" i="3"/>
  <c r="AT509" i="3"/>
  <c r="AS509" i="3"/>
  <c r="AR509" i="3"/>
  <c r="AQ509" i="3"/>
  <c r="AP509" i="3"/>
  <c r="AO509" i="3"/>
  <c r="AN509" i="3"/>
  <c r="AM509" i="3"/>
  <c r="BS508" i="3"/>
  <c r="BR508" i="3"/>
  <c r="BQ508" i="3"/>
  <c r="BP508" i="3"/>
  <c r="BO508" i="3"/>
  <c r="BN508" i="3"/>
  <c r="BM508" i="3"/>
  <c r="BL508" i="3"/>
  <c r="BK508" i="3"/>
  <c r="BJ508" i="3"/>
  <c r="BI508" i="3"/>
  <c r="BH508" i="3"/>
  <c r="BG508" i="3"/>
  <c r="BF508" i="3"/>
  <c r="BE508" i="3"/>
  <c r="BD508" i="3"/>
  <c r="BC508" i="3"/>
  <c r="BB508" i="3"/>
  <c r="BA508" i="3"/>
  <c r="AZ508" i="3"/>
  <c r="AY508" i="3"/>
  <c r="AX508" i="3"/>
  <c r="AW508" i="3"/>
  <c r="AV508" i="3"/>
  <c r="AU508" i="3"/>
  <c r="AT508" i="3"/>
  <c r="AS508" i="3"/>
  <c r="AR508" i="3"/>
  <c r="AQ508" i="3"/>
  <c r="AP508" i="3"/>
  <c r="AO508" i="3"/>
  <c r="AN508" i="3"/>
  <c r="AM508" i="3"/>
  <c r="BS507" i="3"/>
  <c r="BR507" i="3"/>
  <c r="BQ507" i="3"/>
  <c r="BP507" i="3"/>
  <c r="BO507" i="3"/>
  <c r="BN507" i="3"/>
  <c r="BM507" i="3"/>
  <c r="BL507" i="3"/>
  <c r="BK507" i="3"/>
  <c r="BJ507" i="3"/>
  <c r="BI507" i="3"/>
  <c r="BH507" i="3"/>
  <c r="BG507" i="3"/>
  <c r="BF507" i="3"/>
  <c r="BE507" i="3"/>
  <c r="BD507" i="3"/>
  <c r="BC507" i="3"/>
  <c r="BB507" i="3"/>
  <c r="BA507" i="3"/>
  <c r="AZ507" i="3"/>
  <c r="AY507" i="3"/>
  <c r="AX507" i="3"/>
  <c r="AW507" i="3"/>
  <c r="AV507" i="3"/>
  <c r="AU507" i="3"/>
  <c r="AT507" i="3"/>
  <c r="AS507" i="3"/>
  <c r="AR507" i="3"/>
  <c r="AQ507" i="3"/>
  <c r="AP507" i="3"/>
  <c r="AO507" i="3"/>
  <c r="AN507" i="3"/>
  <c r="AM507" i="3"/>
  <c r="BS506" i="3"/>
  <c r="BR506" i="3"/>
  <c r="BQ506" i="3"/>
  <c r="BP506" i="3"/>
  <c r="BO506" i="3"/>
  <c r="BN506" i="3"/>
  <c r="BM506" i="3"/>
  <c r="BL506" i="3"/>
  <c r="BK506" i="3"/>
  <c r="BJ506" i="3"/>
  <c r="BI506" i="3"/>
  <c r="BH506" i="3"/>
  <c r="BG506" i="3"/>
  <c r="BF506" i="3"/>
  <c r="BE506" i="3"/>
  <c r="BD506" i="3"/>
  <c r="BC506" i="3"/>
  <c r="BB506" i="3"/>
  <c r="BA506" i="3"/>
  <c r="AZ506" i="3"/>
  <c r="AY506" i="3"/>
  <c r="AX506" i="3"/>
  <c r="AW506" i="3"/>
  <c r="AV506" i="3"/>
  <c r="AU506" i="3"/>
  <c r="AT506" i="3"/>
  <c r="AS506" i="3"/>
  <c r="AR506" i="3"/>
  <c r="AQ506" i="3"/>
  <c r="AP506" i="3"/>
  <c r="AO506" i="3"/>
  <c r="AN506" i="3"/>
  <c r="AM506" i="3"/>
  <c r="BS505" i="3"/>
  <c r="BR505" i="3"/>
  <c r="BQ505" i="3"/>
  <c r="BP505" i="3"/>
  <c r="BO505" i="3"/>
  <c r="BN505" i="3"/>
  <c r="BM505" i="3"/>
  <c r="BL505" i="3"/>
  <c r="BK505" i="3"/>
  <c r="BJ505" i="3"/>
  <c r="BI505" i="3"/>
  <c r="BH505" i="3"/>
  <c r="BG505" i="3"/>
  <c r="BF505" i="3"/>
  <c r="BE505" i="3"/>
  <c r="BD505" i="3"/>
  <c r="BC505" i="3"/>
  <c r="BB505" i="3"/>
  <c r="BA505" i="3"/>
  <c r="AZ505" i="3"/>
  <c r="AY505" i="3"/>
  <c r="AX505" i="3"/>
  <c r="AW505" i="3"/>
  <c r="AV505" i="3"/>
  <c r="AU505" i="3"/>
  <c r="AT505" i="3"/>
  <c r="AS505" i="3"/>
  <c r="AR505" i="3"/>
  <c r="AQ505" i="3"/>
  <c r="AP505" i="3"/>
  <c r="AO505" i="3"/>
  <c r="AN505" i="3"/>
  <c r="AM505" i="3"/>
  <c r="E505" i="3"/>
  <c r="D505" i="3"/>
  <c r="BS504" i="3"/>
  <c r="BR504" i="3"/>
  <c r="BQ504" i="3"/>
  <c r="BP504" i="3"/>
  <c r="BO504" i="3"/>
  <c r="BN504" i="3"/>
  <c r="BM504" i="3"/>
  <c r="BL504" i="3"/>
  <c r="BK504" i="3"/>
  <c r="BJ504" i="3"/>
  <c r="BI504" i="3"/>
  <c r="BH504" i="3"/>
  <c r="BG504" i="3"/>
  <c r="BF504" i="3"/>
  <c r="BE504" i="3"/>
  <c r="BD504" i="3"/>
  <c r="BC504" i="3"/>
  <c r="BB504" i="3"/>
  <c r="BA504" i="3"/>
  <c r="AZ504" i="3"/>
  <c r="AY504" i="3"/>
  <c r="AX504" i="3"/>
  <c r="AW504" i="3"/>
  <c r="AV504" i="3"/>
  <c r="AU504" i="3"/>
  <c r="AT504" i="3"/>
  <c r="AS504" i="3"/>
  <c r="AR504" i="3"/>
  <c r="AQ504" i="3"/>
  <c r="AP504" i="3"/>
  <c r="AO504" i="3"/>
  <c r="AN504" i="3"/>
  <c r="AM504" i="3"/>
  <c r="BS503" i="3"/>
  <c r="BR503" i="3"/>
  <c r="BQ503" i="3"/>
  <c r="BP503" i="3"/>
  <c r="BO503" i="3"/>
  <c r="BN503" i="3"/>
  <c r="BM503" i="3"/>
  <c r="BL503" i="3"/>
  <c r="BK503" i="3"/>
  <c r="BJ503" i="3"/>
  <c r="BI503" i="3"/>
  <c r="BH503" i="3"/>
  <c r="BG503" i="3"/>
  <c r="BF503" i="3"/>
  <c r="BE503" i="3"/>
  <c r="BD503" i="3"/>
  <c r="BC503" i="3"/>
  <c r="BB503" i="3"/>
  <c r="BA503" i="3"/>
  <c r="AZ503" i="3"/>
  <c r="AY503" i="3"/>
  <c r="AX503" i="3"/>
  <c r="AW503" i="3"/>
  <c r="AV503" i="3"/>
  <c r="AU503" i="3"/>
  <c r="AT503" i="3"/>
  <c r="AS503" i="3"/>
  <c r="AR503" i="3"/>
  <c r="AQ503" i="3"/>
  <c r="AP503" i="3"/>
  <c r="AO503" i="3"/>
  <c r="AN503" i="3"/>
  <c r="AM503" i="3"/>
  <c r="C503" i="3"/>
  <c r="BS502" i="3"/>
  <c r="BR502" i="3"/>
  <c r="BQ502" i="3"/>
  <c r="BP502" i="3"/>
  <c r="BO502" i="3"/>
  <c r="BN502" i="3"/>
  <c r="BM502" i="3"/>
  <c r="BL502" i="3"/>
  <c r="BK502" i="3"/>
  <c r="BJ502" i="3"/>
  <c r="BI502" i="3"/>
  <c r="BH502" i="3"/>
  <c r="BG502" i="3"/>
  <c r="BF502" i="3"/>
  <c r="BE502" i="3"/>
  <c r="BD502" i="3"/>
  <c r="BC502" i="3"/>
  <c r="BB502" i="3"/>
  <c r="BA502" i="3"/>
  <c r="AZ502" i="3"/>
  <c r="AY502" i="3"/>
  <c r="AX502" i="3"/>
  <c r="AW502" i="3"/>
  <c r="AV502" i="3"/>
  <c r="AU502" i="3"/>
  <c r="AT502" i="3"/>
  <c r="AS502" i="3"/>
  <c r="AR502" i="3"/>
  <c r="AQ502" i="3"/>
  <c r="AP502" i="3"/>
  <c r="AO502" i="3"/>
  <c r="AN502" i="3"/>
  <c r="AM502" i="3"/>
  <c r="BS501" i="3"/>
  <c r="BR501" i="3"/>
  <c r="BQ501" i="3"/>
  <c r="BP501" i="3"/>
  <c r="BO501" i="3"/>
  <c r="BN501" i="3"/>
  <c r="BM501" i="3"/>
  <c r="BL501" i="3"/>
  <c r="BK501" i="3"/>
  <c r="BJ501" i="3"/>
  <c r="BI501" i="3"/>
  <c r="BH501" i="3"/>
  <c r="BG501" i="3"/>
  <c r="BF501" i="3"/>
  <c r="BE501" i="3"/>
  <c r="BD501" i="3"/>
  <c r="BC501" i="3"/>
  <c r="BB501" i="3"/>
  <c r="BA501" i="3"/>
  <c r="AZ501" i="3"/>
  <c r="AY501" i="3"/>
  <c r="AX501" i="3"/>
  <c r="AW501" i="3"/>
  <c r="AV501" i="3"/>
  <c r="AU501" i="3"/>
  <c r="AT501" i="3"/>
  <c r="AS501" i="3"/>
  <c r="AR501" i="3"/>
  <c r="AQ501" i="3"/>
  <c r="AP501" i="3"/>
  <c r="AO501" i="3"/>
  <c r="AN501" i="3"/>
  <c r="AM501" i="3"/>
  <c r="BS500" i="3"/>
  <c r="BR500" i="3"/>
  <c r="BQ500" i="3"/>
  <c r="BP500" i="3"/>
  <c r="BO500" i="3"/>
  <c r="BN500" i="3"/>
  <c r="BM500" i="3"/>
  <c r="BL500" i="3"/>
  <c r="BK500" i="3"/>
  <c r="BJ500" i="3"/>
  <c r="BI500" i="3"/>
  <c r="BH500" i="3"/>
  <c r="BG500" i="3"/>
  <c r="BF500" i="3"/>
  <c r="BE500" i="3"/>
  <c r="BD500" i="3"/>
  <c r="BC500" i="3"/>
  <c r="BB500" i="3"/>
  <c r="BA500" i="3"/>
  <c r="AZ500" i="3"/>
  <c r="AY500" i="3"/>
  <c r="AX500" i="3"/>
  <c r="AW500" i="3"/>
  <c r="AV500" i="3"/>
  <c r="AU500" i="3"/>
  <c r="AT500" i="3"/>
  <c r="AS500" i="3"/>
  <c r="AR500" i="3"/>
  <c r="AQ500" i="3"/>
  <c r="AP500" i="3"/>
  <c r="AO500" i="3"/>
  <c r="AN500" i="3"/>
  <c r="AM500" i="3"/>
  <c r="BS499" i="3"/>
  <c r="BR499" i="3"/>
  <c r="BQ499" i="3"/>
  <c r="BP499" i="3"/>
  <c r="BO499" i="3"/>
  <c r="BN499" i="3"/>
  <c r="BM499" i="3"/>
  <c r="BL499" i="3"/>
  <c r="BK499" i="3"/>
  <c r="BJ499" i="3"/>
  <c r="BI499" i="3"/>
  <c r="BH499" i="3"/>
  <c r="BG499" i="3"/>
  <c r="BF499" i="3"/>
  <c r="BE499" i="3"/>
  <c r="BD499" i="3"/>
  <c r="BC499" i="3"/>
  <c r="BB499" i="3"/>
  <c r="BA499" i="3"/>
  <c r="AZ499" i="3"/>
  <c r="AY499" i="3"/>
  <c r="AX499" i="3"/>
  <c r="AW499" i="3"/>
  <c r="AV499" i="3"/>
  <c r="AU499" i="3"/>
  <c r="AT499" i="3"/>
  <c r="AS499" i="3"/>
  <c r="AR499" i="3"/>
  <c r="AQ499" i="3"/>
  <c r="AP499" i="3"/>
  <c r="AO499" i="3"/>
  <c r="AN499" i="3"/>
  <c r="AM499" i="3"/>
  <c r="BS498" i="3"/>
  <c r="BR498" i="3"/>
  <c r="BQ498" i="3"/>
  <c r="BP498" i="3"/>
  <c r="BO498" i="3"/>
  <c r="BN498" i="3"/>
  <c r="BM498" i="3"/>
  <c r="BL498" i="3"/>
  <c r="BK498" i="3"/>
  <c r="BJ498" i="3"/>
  <c r="BI498" i="3"/>
  <c r="BH498" i="3"/>
  <c r="BG498" i="3"/>
  <c r="BF498" i="3"/>
  <c r="BE498" i="3"/>
  <c r="BD498" i="3"/>
  <c r="BC498" i="3"/>
  <c r="BB498" i="3"/>
  <c r="BA498" i="3"/>
  <c r="AZ498" i="3"/>
  <c r="AY498" i="3"/>
  <c r="AX498" i="3"/>
  <c r="AW498" i="3"/>
  <c r="AV498" i="3"/>
  <c r="AU498" i="3"/>
  <c r="AT498" i="3"/>
  <c r="AS498" i="3"/>
  <c r="AR498" i="3"/>
  <c r="AQ498" i="3"/>
  <c r="AP498" i="3"/>
  <c r="AO498" i="3"/>
  <c r="AN498" i="3"/>
  <c r="AM498" i="3"/>
  <c r="B498" i="3"/>
  <c r="BS497" i="3"/>
  <c r="BR497" i="3"/>
  <c r="BQ497" i="3"/>
  <c r="BP497" i="3"/>
  <c r="BO497" i="3"/>
  <c r="BN497" i="3"/>
  <c r="BM497" i="3"/>
  <c r="BL497" i="3"/>
  <c r="BK497" i="3"/>
  <c r="BJ497" i="3"/>
  <c r="BI497" i="3"/>
  <c r="BH497" i="3"/>
  <c r="BG497" i="3"/>
  <c r="BF497" i="3"/>
  <c r="BE497" i="3"/>
  <c r="BD497" i="3"/>
  <c r="BC497" i="3"/>
  <c r="BB497" i="3"/>
  <c r="BA497" i="3"/>
  <c r="AZ497" i="3"/>
  <c r="AY497" i="3"/>
  <c r="AX497" i="3"/>
  <c r="AW497" i="3"/>
  <c r="AV497" i="3"/>
  <c r="AU497" i="3"/>
  <c r="AT497" i="3"/>
  <c r="AS497" i="3"/>
  <c r="AR497" i="3"/>
  <c r="AQ497" i="3"/>
  <c r="AP497" i="3"/>
  <c r="AO497" i="3"/>
  <c r="AN497" i="3"/>
  <c r="AM497" i="3"/>
  <c r="BS496" i="3"/>
  <c r="BR496" i="3"/>
  <c r="BQ496" i="3"/>
  <c r="BP496" i="3"/>
  <c r="BO496" i="3"/>
  <c r="BN496" i="3"/>
  <c r="BM496" i="3"/>
  <c r="BL496" i="3"/>
  <c r="BK496" i="3"/>
  <c r="BJ496" i="3"/>
  <c r="BI496" i="3"/>
  <c r="BH496" i="3"/>
  <c r="BG496" i="3"/>
  <c r="BF496" i="3"/>
  <c r="BE496" i="3"/>
  <c r="BD496" i="3"/>
  <c r="BC496" i="3"/>
  <c r="BB496" i="3"/>
  <c r="BA496" i="3"/>
  <c r="AZ496" i="3"/>
  <c r="AY496" i="3"/>
  <c r="AX496" i="3"/>
  <c r="AW496" i="3"/>
  <c r="AV496" i="3"/>
  <c r="AU496" i="3"/>
  <c r="AT496" i="3"/>
  <c r="AS496" i="3"/>
  <c r="AR496" i="3"/>
  <c r="AQ496" i="3"/>
  <c r="AP496" i="3"/>
  <c r="AO496" i="3"/>
  <c r="AN496" i="3"/>
  <c r="AM496" i="3"/>
  <c r="A496" i="3"/>
  <c r="BS495" i="3"/>
  <c r="BR495" i="3"/>
  <c r="BQ495" i="3"/>
  <c r="BP495" i="3"/>
  <c r="BO495" i="3"/>
  <c r="BN495" i="3"/>
  <c r="BM495" i="3"/>
  <c r="BL495" i="3"/>
  <c r="BK495" i="3"/>
  <c r="BJ495" i="3"/>
  <c r="BI495" i="3"/>
  <c r="BH495" i="3"/>
  <c r="BG495" i="3"/>
  <c r="BF495" i="3"/>
  <c r="BE495" i="3"/>
  <c r="BD495" i="3"/>
  <c r="BC495" i="3"/>
  <c r="BB495" i="3"/>
  <c r="BA495" i="3"/>
  <c r="AZ495" i="3"/>
  <c r="AY495" i="3"/>
  <c r="AX495" i="3"/>
  <c r="AW495" i="3"/>
  <c r="AV495" i="3"/>
  <c r="AU495" i="3"/>
  <c r="AT495" i="3"/>
  <c r="AS495" i="3"/>
  <c r="AR495" i="3"/>
  <c r="AQ495" i="3"/>
  <c r="AP495" i="3"/>
  <c r="AO495" i="3"/>
  <c r="AN495" i="3"/>
  <c r="AM495" i="3"/>
  <c r="BS494" i="3"/>
  <c r="BR494" i="3"/>
  <c r="BQ494" i="3"/>
  <c r="BP494" i="3"/>
  <c r="BO494" i="3"/>
  <c r="BN494" i="3"/>
  <c r="BM494" i="3"/>
  <c r="BL494" i="3"/>
  <c r="BK494" i="3"/>
  <c r="BJ494" i="3"/>
  <c r="BI494" i="3"/>
  <c r="BH494" i="3"/>
  <c r="BG494" i="3"/>
  <c r="BF494" i="3"/>
  <c r="BE494" i="3"/>
  <c r="BD494" i="3"/>
  <c r="BC494" i="3"/>
  <c r="BB494" i="3"/>
  <c r="BA494" i="3"/>
  <c r="AZ494" i="3"/>
  <c r="AY494" i="3"/>
  <c r="AX494" i="3"/>
  <c r="AW494" i="3"/>
  <c r="AV494" i="3"/>
  <c r="AU494" i="3"/>
  <c r="AT494" i="3"/>
  <c r="AS494" i="3"/>
  <c r="AR494" i="3"/>
  <c r="AQ494" i="3"/>
  <c r="AP494" i="3"/>
  <c r="AO494" i="3"/>
  <c r="AN494" i="3"/>
  <c r="AM494" i="3"/>
  <c r="BS493" i="3"/>
  <c r="BR493" i="3"/>
  <c r="BQ493" i="3"/>
  <c r="BP493" i="3"/>
  <c r="BO493" i="3"/>
  <c r="BN493" i="3"/>
  <c r="BM493" i="3"/>
  <c r="BL493" i="3"/>
  <c r="BK493" i="3"/>
  <c r="BJ493" i="3"/>
  <c r="BI493" i="3"/>
  <c r="BH493" i="3"/>
  <c r="BG493" i="3"/>
  <c r="BF493" i="3"/>
  <c r="BE493" i="3"/>
  <c r="BD493" i="3"/>
  <c r="BC493" i="3"/>
  <c r="BB493" i="3"/>
  <c r="BA493" i="3"/>
  <c r="AZ493" i="3"/>
  <c r="AY493" i="3"/>
  <c r="AX493" i="3"/>
  <c r="AW493" i="3"/>
  <c r="AV493" i="3"/>
  <c r="AU493" i="3"/>
  <c r="AT493" i="3"/>
  <c r="AS493" i="3"/>
  <c r="AR493" i="3"/>
  <c r="AQ493" i="3"/>
  <c r="AP493" i="3"/>
  <c r="AO493" i="3"/>
  <c r="AN493" i="3"/>
  <c r="AM493" i="3"/>
  <c r="BS492" i="3"/>
  <c r="BR492" i="3"/>
  <c r="BQ492" i="3"/>
  <c r="BP492" i="3"/>
  <c r="BO492" i="3"/>
  <c r="BN492" i="3"/>
  <c r="BM492" i="3"/>
  <c r="BL492" i="3"/>
  <c r="BK492" i="3"/>
  <c r="BJ492" i="3"/>
  <c r="BI492" i="3"/>
  <c r="BH492" i="3"/>
  <c r="BG492" i="3"/>
  <c r="BF492" i="3"/>
  <c r="BE492" i="3"/>
  <c r="BD492" i="3"/>
  <c r="BC492" i="3"/>
  <c r="BB492" i="3"/>
  <c r="BA492" i="3"/>
  <c r="AZ492" i="3"/>
  <c r="AY492" i="3"/>
  <c r="AX492" i="3"/>
  <c r="AW492" i="3"/>
  <c r="AV492" i="3"/>
  <c r="AU492" i="3"/>
  <c r="AT492" i="3"/>
  <c r="AS492" i="3"/>
  <c r="AR492" i="3"/>
  <c r="AQ492" i="3"/>
  <c r="AP492" i="3"/>
  <c r="AO492" i="3"/>
  <c r="AN492" i="3"/>
  <c r="AM492" i="3"/>
  <c r="BS491" i="3"/>
  <c r="BR491" i="3"/>
  <c r="BQ491" i="3"/>
  <c r="BP491" i="3"/>
  <c r="BO491" i="3"/>
  <c r="BN491" i="3"/>
  <c r="BM491" i="3"/>
  <c r="BL491" i="3"/>
  <c r="BK491" i="3"/>
  <c r="BJ491" i="3"/>
  <c r="BI491" i="3"/>
  <c r="BH491" i="3"/>
  <c r="BG491" i="3"/>
  <c r="BF491" i="3"/>
  <c r="BE491" i="3"/>
  <c r="BD491" i="3"/>
  <c r="BC491" i="3"/>
  <c r="BB491" i="3"/>
  <c r="BA491" i="3"/>
  <c r="AZ491" i="3"/>
  <c r="AY491" i="3"/>
  <c r="AX491" i="3"/>
  <c r="AW491" i="3"/>
  <c r="AV491" i="3"/>
  <c r="AU491" i="3"/>
  <c r="AT491" i="3"/>
  <c r="AS491" i="3"/>
  <c r="AR491" i="3"/>
  <c r="AQ491" i="3"/>
  <c r="AP491" i="3"/>
  <c r="AO491" i="3"/>
  <c r="AN491" i="3"/>
  <c r="AM491" i="3"/>
  <c r="BS490" i="3"/>
  <c r="BR490" i="3"/>
  <c r="BQ490" i="3"/>
  <c r="BP490" i="3"/>
  <c r="BO490" i="3"/>
  <c r="BN490" i="3"/>
  <c r="BM490" i="3"/>
  <c r="BL490" i="3"/>
  <c r="BK490" i="3"/>
  <c r="BJ490" i="3"/>
  <c r="BI490" i="3"/>
  <c r="BH490" i="3"/>
  <c r="BG490" i="3"/>
  <c r="BF490" i="3"/>
  <c r="BE490" i="3"/>
  <c r="BD490" i="3"/>
  <c r="BC490" i="3"/>
  <c r="BB490" i="3"/>
  <c r="BA490" i="3"/>
  <c r="AZ490" i="3"/>
  <c r="AY490" i="3"/>
  <c r="AX490" i="3"/>
  <c r="AW490" i="3"/>
  <c r="AV490" i="3"/>
  <c r="AU490" i="3"/>
  <c r="AT490" i="3"/>
  <c r="AS490" i="3"/>
  <c r="AR490" i="3"/>
  <c r="AQ490" i="3"/>
  <c r="AP490" i="3"/>
  <c r="AO490" i="3"/>
  <c r="AN490" i="3"/>
  <c r="AM490" i="3"/>
  <c r="D490" i="3"/>
  <c r="B490" i="3"/>
  <c r="BS489" i="3"/>
  <c r="BR489" i="3"/>
  <c r="BQ489" i="3"/>
  <c r="BP489" i="3"/>
  <c r="BO489" i="3"/>
  <c r="BN489" i="3"/>
  <c r="BM489" i="3"/>
  <c r="BL489" i="3"/>
  <c r="BK489" i="3"/>
  <c r="BJ489" i="3"/>
  <c r="BI489" i="3"/>
  <c r="BH489" i="3"/>
  <c r="BG489" i="3"/>
  <c r="BF489" i="3"/>
  <c r="BE489" i="3"/>
  <c r="BD489" i="3"/>
  <c r="BC489" i="3"/>
  <c r="BB489" i="3"/>
  <c r="BA489" i="3"/>
  <c r="AZ489" i="3"/>
  <c r="AY489" i="3"/>
  <c r="AX489" i="3"/>
  <c r="AW489" i="3"/>
  <c r="AV489" i="3"/>
  <c r="AU489" i="3"/>
  <c r="AT489" i="3"/>
  <c r="AS489" i="3"/>
  <c r="AR489" i="3"/>
  <c r="AQ489" i="3"/>
  <c r="AP489" i="3"/>
  <c r="AO489" i="3"/>
  <c r="AN489" i="3"/>
  <c r="AM489" i="3"/>
  <c r="E489" i="3"/>
  <c r="BS488" i="3"/>
  <c r="BR488" i="3"/>
  <c r="BQ488" i="3"/>
  <c r="BP488" i="3"/>
  <c r="BO488" i="3"/>
  <c r="BN488" i="3"/>
  <c r="BM488" i="3"/>
  <c r="BL488" i="3"/>
  <c r="BK488" i="3"/>
  <c r="BJ488" i="3"/>
  <c r="BI488" i="3"/>
  <c r="BH488" i="3"/>
  <c r="BG488" i="3"/>
  <c r="BF488" i="3"/>
  <c r="BE488" i="3"/>
  <c r="BD488" i="3"/>
  <c r="BC488" i="3"/>
  <c r="BB488" i="3"/>
  <c r="BA488" i="3"/>
  <c r="AZ488" i="3"/>
  <c r="AY488" i="3"/>
  <c r="AX488" i="3"/>
  <c r="AW488" i="3"/>
  <c r="AV488" i="3"/>
  <c r="AU488" i="3"/>
  <c r="AT488" i="3"/>
  <c r="AS488" i="3"/>
  <c r="AR488" i="3"/>
  <c r="AQ488" i="3"/>
  <c r="AP488" i="3"/>
  <c r="AO488" i="3"/>
  <c r="AN488" i="3"/>
  <c r="AM488" i="3"/>
  <c r="BS487" i="3"/>
  <c r="BR487" i="3"/>
  <c r="BQ487" i="3"/>
  <c r="BP487" i="3"/>
  <c r="BO487" i="3"/>
  <c r="BN487" i="3"/>
  <c r="BM487" i="3"/>
  <c r="BL487" i="3"/>
  <c r="BK487" i="3"/>
  <c r="BJ487" i="3"/>
  <c r="BI487" i="3"/>
  <c r="BH487" i="3"/>
  <c r="BG487" i="3"/>
  <c r="BF487" i="3"/>
  <c r="BE487" i="3"/>
  <c r="BD487" i="3"/>
  <c r="BC487" i="3"/>
  <c r="BB487" i="3"/>
  <c r="BA487" i="3"/>
  <c r="AZ487" i="3"/>
  <c r="AY487" i="3"/>
  <c r="AX487" i="3"/>
  <c r="AW487" i="3"/>
  <c r="AV487" i="3"/>
  <c r="AU487" i="3"/>
  <c r="AT487" i="3"/>
  <c r="AS487" i="3"/>
  <c r="AR487" i="3"/>
  <c r="AQ487" i="3"/>
  <c r="AP487" i="3"/>
  <c r="AO487" i="3"/>
  <c r="AN487" i="3"/>
  <c r="AM487" i="3"/>
  <c r="BS486" i="3"/>
  <c r="BR486" i="3"/>
  <c r="BQ486" i="3"/>
  <c r="BP486" i="3"/>
  <c r="BO486" i="3"/>
  <c r="BN486" i="3"/>
  <c r="BM486" i="3"/>
  <c r="BL486" i="3"/>
  <c r="BK486" i="3"/>
  <c r="BJ486" i="3"/>
  <c r="BI486" i="3"/>
  <c r="BH486" i="3"/>
  <c r="BG486" i="3"/>
  <c r="BF486" i="3"/>
  <c r="BE486" i="3"/>
  <c r="BD486" i="3"/>
  <c r="BC486" i="3"/>
  <c r="BB486" i="3"/>
  <c r="BA486" i="3"/>
  <c r="AZ486" i="3"/>
  <c r="AY486" i="3"/>
  <c r="AX486" i="3"/>
  <c r="AW486" i="3"/>
  <c r="AV486" i="3"/>
  <c r="AU486" i="3"/>
  <c r="AT486" i="3"/>
  <c r="AS486" i="3"/>
  <c r="AR486" i="3"/>
  <c r="AQ486" i="3"/>
  <c r="AP486" i="3"/>
  <c r="AO486" i="3"/>
  <c r="AN486" i="3"/>
  <c r="AM486" i="3"/>
  <c r="BS485" i="3"/>
  <c r="BR485" i="3"/>
  <c r="BQ485" i="3"/>
  <c r="BP485" i="3"/>
  <c r="BO485" i="3"/>
  <c r="BN485" i="3"/>
  <c r="BM485" i="3"/>
  <c r="BL485" i="3"/>
  <c r="BK485" i="3"/>
  <c r="BJ485" i="3"/>
  <c r="BI485" i="3"/>
  <c r="BH485" i="3"/>
  <c r="BG485" i="3"/>
  <c r="BF485" i="3"/>
  <c r="BE485" i="3"/>
  <c r="BD485" i="3"/>
  <c r="BC485" i="3"/>
  <c r="BB485" i="3"/>
  <c r="BA485" i="3"/>
  <c r="AZ485" i="3"/>
  <c r="AY485" i="3"/>
  <c r="AX485" i="3"/>
  <c r="AW485" i="3"/>
  <c r="AV485" i="3"/>
  <c r="AU485" i="3"/>
  <c r="AT485" i="3"/>
  <c r="AS485" i="3"/>
  <c r="AR485" i="3"/>
  <c r="AQ485" i="3"/>
  <c r="AP485" i="3"/>
  <c r="AO485" i="3"/>
  <c r="AN485" i="3"/>
  <c r="AM485" i="3"/>
  <c r="BS484" i="3"/>
  <c r="BR484" i="3"/>
  <c r="BQ484" i="3"/>
  <c r="BP484" i="3"/>
  <c r="BO484" i="3"/>
  <c r="BN484" i="3"/>
  <c r="BM484" i="3"/>
  <c r="BL484" i="3"/>
  <c r="BK484" i="3"/>
  <c r="BJ484" i="3"/>
  <c r="BI484" i="3"/>
  <c r="BH484" i="3"/>
  <c r="BG484" i="3"/>
  <c r="BF484" i="3"/>
  <c r="BE484" i="3"/>
  <c r="BD484" i="3"/>
  <c r="BC484" i="3"/>
  <c r="BB484" i="3"/>
  <c r="BA484" i="3"/>
  <c r="AZ484" i="3"/>
  <c r="AY484" i="3"/>
  <c r="AX484" i="3"/>
  <c r="AW484" i="3"/>
  <c r="AV484" i="3"/>
  <c r="AU484" i="3"/>
  <c r="AT484" i="3"/>
  <c r="AS484" i="3"/>
  <c r="AR484" i="3"/>
  <c r="AQ484" i="3"/>
  <c r="AP484" i="3"/>
  <c r="AO484" i="3"/>
  <c r="AN484" i="3"/>
  <c r="AM484" i="3"/>
  <c r="BS483" i="3"/>
  <c r="BR483" i="3"/>
  <c r="BQ483" i="3"/>
  <c r="BP483" i="3"/>
  <c r="BO483" i="3"/>
  <c r="BN483" i="3"/>
  <c r="BM483" i="3"/>
  <c r="BL483" i="3"/>
  <c r="BK483" i="3"/>
  <c r="BJ483" i="3"/>
  <c r="BI483" i="3"/>
  <c r="BH483" i="3"/>
  <c r="BG483" i="3"/>
  <c r="BF483" i="3"/>
  <c r="BE483" i="3"/>
  <c r="BD483" i="3"/>
  <c r="BC483" i="3"/>
  <c r="BB483" i="3"/>
  <c r="BA483" i="3"/>
  <c r="AZ483" i="3"/>
  <c r="AY483" i="3"/>
  <c r="AX483" i="3"/>
  <c r="AW483" i="3"/>
  <c r="AV483" i="3"/>
  <c r="AU483" i="3"/>
  <c r="AT483" i="3"/>
  <c r="AS483" i="3"/>
  <c r="AR483" i="3"/>
  <c r="AQ483" i="3"/>
  <c r="AP483" i="3"/>
  <c r="AO483" i="3"/>
  <c r="AN483" i="3"/>
  <c r="AM483" i="3"/>
  <c r="BS482" i="3"/>
  <c r="BR482" i="3"/>
  <c r="BQ482" i="3"/>
  <c r="BP482" i="3"/>
  <c r="BO482" i="3"/>
  <c r="BN482" i="3"/>
  <c r="BM482" i="3"/>
  <c r="BL482" i="3"/>
  <c r="BK482" i="3"/>
  <c r="BJ482" i="3"/>
  <c r="BI482" i="3"/>
  <c r="BH482" i="3"/>
  <c r="BG482" i="3"/>
  <c r="BF482" i="3"/>
  <c r="BE482" i="3"/>
  <c r="BD482" i="3"/>
  <c r="BC482" i="3"/>
  <c r="BB482" i="3"/>
  <c r="BA482" i="3"/>
  <c r="AZ482" i="3"/>
  <c r="AY482" i="3"/>
  <c r="AX482" i="3"/>
  <c r="AW482" i="3"/>
  <c r="AV482" i="3"/>
  <c r="AU482" i="3"/>
  <c r="AT482" i="3"/>
  <c r="AS482" i="3"/>
  <c r="AR482" i="3"/>
  <c r="AQ482" i="3"/>
  <c r="AP482" i="3"/>
  <c r="AO482" i="3"/>
  <c r="AN482" i="3"/>
  <c r="AM482" i="3"/>
  <c r="BS481" i="3"/>
  <c r="BR481" i="3"/>
  <c r="BQ481" i="3"/>
  <c r="BP481" i="3"/>
  <c r="BO481" i="3"/>
  <c r="BN481" i="3"/>
  <c r="BM481" i="3"/>
  <c r="BL481" i="3"/>
  <c r="BK481" i="3"/>
  <c r="BJ481" i="3"/>
  <c r="BI481" i="3"/>
  <c r="BH481" i="3"/>
  <c r="BG481" i="3"/>
  <c r="BF481" i="3"/>
  <c r="BE481" i="3"/>
  <c r="BD481" i="3"/>
  <c r="BC481" i="3"/>
  <c r="BB481" i="3"/>
  <c r="BA481" i="3"/>
  <c r="AZ481" i="3"/>
  <c r="AY481" i="3"/>
  <c r="AX481" i="3"/>
  <c r="AW481" i="3"/>
  <c r="AV481" i="3"/>
  <c r="AU481" i="3"/>
  <c r="AT481" i="3"/>
  <c r="AS481" i="3"/>
  <c r="AR481" i="3"/>
  <c r="AQ481" i="3"/>
  <c r="AP481" i="3"/>
  <c r="AO481" i="3"/>
  <c r="AN481" i="3"/>
  <c r="AM481" i="3"/>
  <c r="BS480" i="3"/>
  <c r="BR480" i="3"/>
  <c r="BQ480" i="3"/>
  <c r="BP480" i="3"/>
  <c r="BO480" i="3"/>
  <c r="BN480" i="3"/>
  <c r="BM480" i="3"/>
  <c r="BL480" i="3"/>
  <c r="BK480" i="3"/>
  <c r="BJ480" i="3"/>
  <c r="BI480" i="3"/>
  <c r="BH480" i="3"/>
  <c r="BG480" i="3"/>
  <c r="BF480" i="3"/>
  <c r="BE480" i="3"/>
  <c r="BD480" i="3"/>
  <c r="BC480" i="3"/>
  <c r="BB480" i="3"/>
  <c r="BA480" i="3"/>
  <c r="AZ480" i="3"/>
  <c r="AY480" i="3"/>
  <c r="AX480" i="3"/>
  <c r="AW480" i="3"/>
  <c r="AV480" i="3"/>
  <c r="AU480" i="3"/>
  <c r="AT480" i="3"/>
  <c r="AS480" i="3"/>
  <c r="AR480" i="3"/>
  <c r="AQ480" i="3"/>
  <c r="AP480" i="3"/>
  <c r="AO480" i="3"/>
  <c r="AN480" i="3"/>
  <c r="AM480" i="3"/>
  <c r="BS479" i="3"/>
  <c r="BR479" i="3"/>
  <c r="BQ479" i="3"/>
  <c r="BP479" i="3"/>
  <c r="BO479" i="3"/>
  <c r="BN479" i="3"/>
  <c r="BM479" i="3"/>
  <c r="BL479" i="3"/>
  <c r="BK479" i="3"/>
  <c r="BJ479" i="3"/>
  <c r="BI479" i="3"/>
  <c r="BH479" i="3"/>
  <c r="BG479" i="3"/>
  <c r="BF479" i="3"/>
  <c r="BE479" i="3"/>
  <c r="BD479" i="3"/>
  <c r="BC479" i="3"/>
  <c r="BB479" i="3"/>
  <c r="BA479" i="3"/>
  <c r="AZ479" i="3"/>
  <c r="AY479" i="3"/>
  <c r="AX479" i="3"/>
  <c r="AW479" i="3"/>
  <c r="AV479" i="3"/>
  <c r="AU479" i="3"/>
  <c r="AT479" i="3"/>
  <c r="AS479" i="3"/>
  <c r="AR479" i="3"/>
  <c r="AQ479" i="3"/>
  <c r="AP479" i="3"/>
  <c r="AO479" i="3"/>
  <c r="AN479" i="3"/>
  <c r="AM479" i="3"/>
  <c r="BS478" i="3"/>
  <c r="BR478" i="3"/>
  <c r="BQ478" i="3"/>
  <c r="BP478" i="3"/>
  <c r="BO478" i="3"/>
  <c r="BN478" i="3"/>
  <c r="BM478" i="3"/>
  <c r="BL478" i="3"/>
  <c r="BK478" i="3"/>
  <c r="BJ478" i="3"/>
  <c r="BI478" i="3"/>
  <c r="BH478" i="3"/>
  <c r="BG478" i="3"/>
  <c r="BF478" i="3"/>
  <c r="BE478" i="3"/>
  <c r="BD478" i="3"/>
  <c r="BC478" i="3"/>
  <c r="BB478" i="3"/>
  <c r="BA478" i="3"/>
  <c r="AZ478" i="3"/>
  <c r="AY478" i="3"/>
  <c r="AX478" i="3"/>
  <c r="AW478" i="3"/>
  <c r="AV478" i="3"/>
  <c r="AU478" i="3"/>
  <c r="AT478" i="3"/>
  <c r="AS478" i="3"/>
  <c r="AR478" i="3"/>
  <c r="AQ478" i="3"/>
  <c r="AP478" i="3"/>
  <c r="AO478" i="3"/>
  <c r="AN478" i="3"/>
  <c r="AM478" i="3"/>
  <c r="BS477" i="3"/>
  <c r="BR477" i="3"/>
  <c r="BQ477" i="3"/>
  <c r="BP477" i="3"/>
  <c r="BO477" i="3"/>
  <c r="BN477" i="3"/>
  <c r="BM477" i="3"/>
  <c r="BL477" i="3"/>
  <c r="BK477" i="3"/>
  <c r="BJ477" i="3"/>
  <c r="BI477" i="3"/>
  <c r="BH477" i="3"/>
  <c r="BG477" i="3"/>
  <c r="BF477" i="3"/>
  <c r="BE477" i="3"/>
  <c r="BD477" i="3"/>
  <c r="BC477" i="3"/>
  <c r="BB477" i="3"/>
  <c r="BA477" i="3"/>
  <c r="AZ477" i="3"/>
  <c r="AY477" i="3"/>
  <c r="AX477" i="3"/>
  <c r="AW477" i="3"/>
  <c r="AV477" i="3"/>
  <c r="AU477" i="3"/>
  <c r="AT477" i="3"/>
  <c r="AS477" i="3"/>
  <c r="AR477" i="3"/>
  <c r="AQ477" i="3"/>
  <c r="AP477" i="3"/>
  <c r="AO477" i="3"/>
  <c r="AN477" i="3"/>
  <c r="AM477" i="3"/>
  <c r="E477" i="3"/>
  <c r="C477" i="3"/>
  <c r="BS476" i="3"/>
  <c r="BR476" i="3"/>
  <c r="BQ476" i="3"/>
  <c r="BP476" i="3"/>
  <c r="BO476" i="3"/>
  <c r="BN476" i="3"/>
  <c r="BM476" i="3"/>
  <c r="BL476" i="3"/>
  <c r="BK476" i="3"/>
  <c r="BJ476" i="3"/>
  <c r="BI476" i="3"/>
  <c r="BH476" i="3"/>
  <c r="BG476" i="3"/>
  <c r="BF476" i="3"/>
  <c r="BE476" i="3"/>
  <c r="BD476" i="3"/>
  <c r="BC476" i="3"/>
  <c r="BB476" i="3"/>
  <c r="BA476" i="3"/>
  <c r="AZ476" i="3"/>
  <c r="AY476" i="3"/>
  <c r="AX476" i="3"/>
  <c r="AW476" i="3"/>
  <c r="AV476" i="3"/>
  <c r="AU476" i="3"/>
  <c r="AT476" i="3"/>
  <c r="AS476" i="3"/>
  <c r="AR476" i="3"/>
  <c r="AQ476" i="3"/>
  <c r="AP476" i="3"/>
  <c r="AO476" i="3"/>
  <c r="AN476" i="3"/>
  <c r="AM476" i="3"/>
  <c r="BS475" i="3"/>
  <c r="BR475" i="3"/>
  <c r="BQ475" i="3"/>
  <c r="BP475" i="3"/>
  <c r="BO475" i="3"/>
  <c r="BN475" i="3"/>
  <c r="BM475" i="3"/>
  <c r="BL475" i="3"/>
  <c r="BK475" i="3"/>
  <c r="BJ475" i="3"/>
  <c r="BI475" i="3"/>
  <c r="BH475" i="3"/>
  <c r="BG475" i="3"/>
  <c r="BF475" i="3"/>
  <c r="BE475" i="3"/>
  <c r="BD475" i="3"/>
  <c r="BC475" i="3"/>
  <c r="BB475" i="3"/>
  <c r="BA475" i="3"/>
  <c r="AZ475" i="3"/>
  <c r="AY475" i="3"/>
  <c r="AX475" i="3"/>
  <c r="AW475" i="3"/>
  <c r="AV475" i="3"/>
  <c r="AU475" i="3"/>
  <c r="AT475" i="3"/>
  <c r="AS475" i="3"/>
  <c r="AR475" i="3"/>
  <c r="AQ475" i="3"/>
  <c r="AP475" i="3"/>
  <c r="AO475" i="3"/>
  <c r="AN475" i="3"/>
  <c r="AM475" i="3"/>
  <c r="BS474" i="3"/>
  <c r="BR474" i="3"/>
  <c r="BQ474" i="3"/>
  <c r="BP474" i="3"/>
  <c r="BO474" i="3"/>
  <c r="BN474" i="3"/>
  <c r="BM474" i="3"/>
  <c r="BL474" i="3"/>
  <c r="BK474" i="3"/>
  <c r="BJ474" i="3"/>
  <c r="BI474" i="3"/>
  <c r="BH474" i="3"/>
  <c r="BG474" i="3"/>
  <c r="BF474" i="3"/>
  <c r="BE474" i="3"/>
  <c r="BD474" i="3"/>
  <c r="BC474" i="3"/>
  <c r="BB474" i="3"/>
  <c r="BA474" i="3"/>
  <c r="AZ474" i="3"/>
  <c r="AY474" i="3"/>
  <c r="AX474" i="3"/>
  <c r="AW474" i="3"/>
  <c r="AV474" i="3"/>
  <c r="AU474" i="3"/>
  <c r="AT474" i="3"/>
  <c r="AS474" i="3"/>
  <c r="AR474" i="3"/>
  <c r="AQ474" i="3"/>
  <c r="AP474" i="3"/>
  <c r="AO474" i="3"/>
  <c r="AN474" i="3"/>
  <c r="AM474" i="3"/>
  <c r="BS473" i="3"/>
  <c r="BR473" i="3"/>
  <c r="BQ473" i="3"/>
  <c r="BP473" i="3"/>
  <c r="BO473" i="3"/>
  <c r="BN473" i="3"/>
  <c r="BM473" i="3"/>
  <c r="BL473" i="3"/>
  <c r="BK473" i="3"/>
  <c r="BJ473" i="3"/>
  <c r="BI473" i="3"/>
  <c r="BH473" i="3"/>
  <c r="BG473" i="3"/>
  <c r="BF473" i="3"/>
  <c r="BE473" i="3"/>
  <c r="BD473" i="3"/>
  <c r="BC473" i="3"/>
  <c r="BB473" i="3"/>
  <c r="BA473" i="3"/>
  <c r="AZ473" i="3"/>
  <c r="AY473" i="3"/>
  <c r="AX473" i="3"/>
  <c r="AW473" i="3"/>
  <c r="AV473" i="3"/>
  <c r="AU473" i="3"/>
  <c r="AT473" i="3"/>
  <c r="AS473" i="3"/>
  <c r="AR473" i="3"/>
  <c r="AQ473" i="3"/>
  <c r="AP473" i="3"/>
  <c r="AO473" i="3"/>
  <c r="AN473" i="3"/>
  <c r="AM473" i="3"/>
  <c r="BS472" i="3"/>
  <c r="BR472" i="3"/>
  <c r="BQ472" i="3"/>
  <c r="BP472" i="3"/>
  <c r="BO472" i="3"/>
  <c r="BN472" i="3"/>
  <c r="BM472" i="3"/>
  <c r="BL472" i="3"/>
  <c r="BK472" i="3"/>
  <c r="BJ472" i="3"/>
  <c r="BI472" i="3"/>
  <c r="BH472" i="3"/>
  <c r="BG472" i="3"/>
  <c r="BF472" i="3"/>
  <c r="BE472" i="3"/>
  <c r="BD472" i="3"/>
  <c r="BC472" i="3"/>
  <c r="BB472" i="3"/>
  <c r="BA472" i="3"/>
  <c r="AZ472" i="3"/>
  <c r="AY472" i="3"/>
  <c r="AX472" i="3"/>
  <c r="AW472" i="3"/>
  <c r="AV472" i="3"/>
  <c r="AU472" i="3"/>
  <c r="AT472" i="3"/>
  <c r="AS472" i="3"/>
  <c r="AR472" i="3"/>
  <c r="AQ472" i="3"/>
  <c r="AP472" i="3"/>
  <c r="AO472" i="3"/>
  <c r="AN472" i="3"/>
  <c r="AM472" i="3"/>
  <c r="BS471" i="3"/>
  <c r="BR471" i="3"/>
  <c r="BQ471" i="3"/>
  <c r="BP471" i="3"/>
  <c r="BO471" i="3"/>
  <c r="BN471" i="3"/>
  <c r="BM471" i="3"/>
  <c r="BL471" i="3"/>
  <c r="BK471" i="3"/>
  <c r="BJ471" i="3"/>
  <c r="BI471" i="3"/>
  <c r="BH471" i="3"/>
  <c r="BG471" i="3"/>
  <c r="BF471" i="3"/>
  <c r="BE471" i="3"/>
  <c r="BD471" i="3"/>
  <c r="BC471" i="3"/>
  <c r="BB471" i="3"/>
  <c r="BA471" i="3"/>
  <c r="AZ471" i="3"/>
  <c r="AY471" i="3"/>
  <c r="AX471" i="3"/>
  <c r="AW471" i="3"/>
  <c r="AV471" i="3"/>
  <c r="AU471" i="3"/>
  <c r="AT471" i="3"/>
  <c r="AS471" i="3"/>
  <c r="AR471" i="3"/>
  <c r="AQ471" i="3"/>
  <c r="AP471" i="3"/>
  <c r="AO471" i="3"/>
  <c r="AN471" i="3"/>
  <c r="AM471" i="3"/>
  <c r="BS470" i="3"/>
  <c r="BR470" i="3"/>
  <c r="BQ470" i="3"/>
  <c r="BP470" i="3"/>
  <c r="BO470" i="3"/>
  <c r="BN470" i="3"/>
  <c r="BM470" i="3"/>
  <c r="BL470" i="3"/>
  <c r="BK470" i="3"/>
  <c r="BJ470" i="3"/>
  <c r="BI470" i="3"/>
  <c r="BH470" i="3"/>
  <c r="BG470" i="3"/>
  <c r="BF470" i="3"/>
  <c r="BE470" i="3"/>
  <c r="BD470" i="3"/>
  <c r="BC470" i="3"/>
  <c r="BB470" i="3"/>
  <c r="BA470" i="3"/>
  <c r="AZ470" i="3"/>
  <c r="AY470" i="3"/>
  <c r="AX470" i="3"/>
  <c r="AW470" i="3"/>
  <c r="AV470" i="3"/>
  <c r="AU470" i="3"/>
  <c r="AT470" i="3"/>
  <c r="AS470" i="3"/>
  <c r="AR470" i="3"/>
  <c r="AQ470" i="3"/>
  <c r="AP470" i="3"/>
  <c r="AO470" i="3"/>
  <c r="AN470" i="3"/>
  <c r="AM470" i="3"/>
  <c r="BS469" i="3"/>
  <c r="BR469" i="3"/>
  <c r="BQ469" i="3"/>
  <c r="BP469" i="3"/>
  <c r="BO469" i="3"/>
  <c r="BN469" i="3"/>
  <c r="BM469" i="3"/>
  <c r="BL469" i="3"/>
  <c r="BK469" i="3"/>
  <c r="BJ469" i="3"/>
  <c r="BI469" i="3"/>
  <c r="BH469" i="3"/>
  <c r="BG469" i="3"/>
  <c r="BF469" i="3"/>
  <c r="BE469" i="3"/>
  <c r="BD469" i="3"/>
  <c r="BC469" i="3"/>
  <c r="BB469" i="3"/>
  <c r="BA469" i="3"/>
  <c r="AZ469" i="3"/>
  <c r="AY469" i="3"/>
  <c r="AX469" i="3"/>
  <c r="AW469" i="3"/>
  <c r="AV469" i="3"/>
  <c r="AU469" i="3"/>
  <c r="AT469" i="3"/>
  <c r="AS469" i="3"/>
  <c r="AR469" i="3"/>
  <c r="AQ469" i="3"/>
  <c r="AP469" i="3"/>
  <c r="AO469" i="3"/>
  <c r="AN469" i="3"/>
  <c r="AM469" i="3"/>
  <c r="BS468" i="3"/>
  <c r="BR468" i="3"/>
  <c r="BQ468" i="3"/>
  <c r="BP468" i="3"/>
  <c r="BO468" i="3"/>
  <c r="BN468" i="3"/>
  <c r="BM468" i="3"/>
  <c r="BL468" i="3"/>
  <c r="BK468" i="3"/>
  <c r="BJ468" i="3"/>
  <c r="BI468" i="3"/>
  <c r="BH468" i="3"/>
  <c r="BG468" i="3"/>
  <c r="BF468" i="3"/>
  <c r="BE468" i="3"/>
  <c r="BD468" i="3"/>
  <c r="BC468" i="3"/>
  <c r="BB468" i="3"/>
  <c r="BA468" i="3"/>
  <c r="AZ468" i="3"/>
  <c r="AY468" i="3"/>
  <c r="AX468" i="3"/>
  <c r="AW468" i="3"/>
  <c r="AV468" i="3"/>
  <c r="AU468" i="3"/>
  <c r="AT468" i="3"/>
  <c r="AS468" i="3"/>
  <c r="AR468" i="3"/>
  <c r="AQ468" i="3"/>
  <c r="AP468" i="3"/>
  <c r="AO468" i="3"/>
  <c r="AN468" i="3"/>
  <c r="AM468" i="3"/>
  <c r="BS467" i="3"/>
  <c r="BR467" i="3"/>
  <c r="BQ467" i="3"/>
  <c r="BP467" i="3"/>
  <c r="BO467" i="3"/>
  <c r="BN467" i="3"/>
  <c r="BM467" i="3"/>
  <c r="BL467" i="3"/>
  <c r="BK467" i="3"/>
  <c r="BJ467" i="3"/>
  <c r="BI467" i="3"/>
  <c r="BH467" i="3"/>
  <c r="BG467" i="3"/>
  <c r="BF467" i="3"/>
  <c r="BE467" i="3"/>
  <c r="BD467" i="3"/>
  <c r="BC467" i="3"/>
  <c r="BB467" i="3"/>
  <c r="BA467" i="3"/>
  <c r="AZ467" i="3"/>
  <c r="AY467" i="3"/>
  <c r="AX467" i="3"/>
  <c r="AW467" i="3"/>
  <c r="AV467" i="3"/>
  <c r="AU467" i="3"/>
  <c r="AT467" i="3"/>
  <c r="AS467" i="3"/>
  <c r="AR467" i="3"/>
  <c r="AQ467" i="3"/>
  <c r="AP467" i="3"/>
  <c r="AO467" i="3"/>
  <c r="AN467" i="3"/>
  <c r="AM467" i="3"/>
  <c r="BS466" i="3"/>
  <c r="BR466" i="3"/>
  <c r="BQ466" i="3"/>
  <c r="BP466" i="3"/>
  <c r="BO466" i="3"/>
  <c r="BN466" i="3"/>
  <c r="BM466" i="3"/>
  <c r="BL466" i="3"/>
  <c r="BK466" i="3"/>
  <c r="BJ466" i="3"/>
  <c r="BI466" i="3"/>
  <c r="BH466" i="3"/>
  <c r="BG466" i="3"/>
  <c r="BF466" i="3"/>
  <c r="BE466" i="3"/>
  <c r="BD466" i="3"/>
  <c r="BC466" i="3"/>
  <c r="BB466" i="3"/>
  <c r="BA466" i="3"/>
  <c r="AZ466" i="3"/>
  <c r="AY466" i="3"/>
  <c r="AX466" i="3"/>
  <c r="AW466" i="3"/>
  <c r="AV466" i="3"/>
  <c r="AU466" i="3"/>
  <c r="AT466" i="3"/>
  <c r="AS466" i="3"/>
  <c r="AR466" i="3"/>
  <c r="AQ466" i="3"/>
  <c r="AP466" i="3"/>
  <c r="AO466" i="3"/>
  <c r="AN466" i="3"/>
  <c r="AM466" i="3"/>
  <c r="BS465" i="3"/>
  <c r="BR465" i="3"/>
  <c r="BQ465" i="3"/>
  <c r="BP465" i="3"/>
  <c r="BO465" i="3"/>
  <c r="BN465" i="3"/>
  <c r="BM465" i="3"/>
  <c r="BL465" i="3"/>
  <c r="BK465" i="3"/>
  <c r="BJ465" i="3"/>
  <c r="BI465" i="3"/>
  <c r="BH465" i="3"/>
  <c r="BG465" i="3"/>
  <c r="BF465" i="3"/>
  <c r="BE465" i="3"/>
  <c r="BD465" i="3"/>
  <c r="BC465" i="3"/>
  <c r="BB465" i="3"/>
  <c r="BA465" i="3"/>
  <c r="AZ465" i="3"/>
  <c r="AY465" i="3"/>
  <c r="AX465" i="3"/>
  <c r="AW465" i="3"/>
  <c r="AV465" i="3"/>
  <c r="AU465" i="3"/>
  <c r="AT465" i="3"/>
  <c r="AS465" i="3"/>
  <c r="AR465" i="3"/>
  <c r="AQ465" i="3"/>
  <c r="AP465" i="3"/>
  <c r="AO465" i="3"/>
  <c r="AN465" i="3"/>
  <c r="AM465" i="3"/>
  <c r="BS464" i="3"/>
  <c r="BR464" i="3"/>
  <c r="BQ464" i="3"/>
  <c r="BP464" i="3"/>
  <c r="BO464" i="3"/>
  <c r="BN464" i="3"/>
  <c r="BM464" i="3"/>
  <c r="BL464" i="3"/>
  <c r="BK464" i="3"/>
  <c r="BJ464" i="3"/>
  <c r="BI464" i="3"/>
  <c r="BH464" i="3"/>
  <c r="BG464" i="3"/>
  <c r="BF464" i="3"/>
  <c r="BE464" i="3"/>
  <c r="BD464" i="3"/>
  <c r="BC464" i="3"/>
  <c r="BB464" i="3"/>
  <c r="BA464" i="3"/>
  <c r="AZ464" i="3"/>
  <c r="AY464" i="3"/>
  <c r="AX464" i="3"/>
  <c r="AW464" i="3"/>
  <c r="AV464" i="3"/>
  <c r="AU464" i="3"/>
  <c r="AT464" i="3"/>
  <c r="AS464" i="3"/>
  <c r="AR464" i="3"/>
  <c r="AQ464" i="3"/>
  <c r="AP464" i="3"/>
  <c r="AO464" i="3"/>
  <c r="AN464" i="3"/>
  <c r="AM464" i="3"/>
  <c r="BS463" i="3"/>
  <c r="BR463" i="3"/>
  <c r="BQ463" i="3"/>
  <c r="BP463" i="3"/>
  <c r="BO463" i="3"/>
  <c r="BN463" i="3"/>
  <c r="BM463" i="3"/>
  <c r="BL463" i="3"/>
  <c r="BK463" i="3"/>
  <c r="BJ463" i="3"/>
  <c r="BI463" i="3"/>
  <c r="BH463" i="3"/>
  <c r="BG463" i="3"/>
  <c r="BF463" i="3"/>
  <c r="BE463" i="3"/>
  <c r="BD463" i="3"/>
  <c r="BC463" i="3"/>
  <c r="BB463" i="3"/>
  <c r="BA463" i="3"/>
  <c r="AZ463" i="3"/>
  <c r="AY463" i="3"/>
  <c r="AX463" i="3"/>
  <c r="AW463" i="3"/>
  <c r="AV463" i="3"/>
  <c r="AU463" i="3"/>
  <c r="AT463" i="3"/>
  <c r="AS463" i="3"/>
  <c r="AR463" i="3"/>
  <c r="AQ463" i="3"/>
  <c r="AP463" i="3"/>
  <c r="AO463" i="3"/>
  <c r="AN463" i="3"/>
  <c r="AM463" i="3"/>
  <c r="BS462" i="3"/>
  <c r="BR462" i="3"/>
  <c r="BQ462" i="3"/>
  <c r="BP462" i="3"/>
  <c r="BO462" i="3"/>
  <c r="BN462" i="3"/>
  <c r="BM462" i="3"/>
  <c r="BL462" i="3"/>
  <c r="BK462" i="3"/>
  <c r="BJ462" i="3"/>
  <c r="BI462" i="3"/>
  <c r="BH462" i="3"/>
  <c r="BG462" i="3"/>
  <c r="BF462" i="3"/>
  <c r="BE462" i="3"/>
  <c r="BD462" i="3"/>
  <c r="BC462" i="3"/>
  <c r="BB462" i="3"/>
  <c r="BA462" i="3"/>
  <c r="AZ462" i="3"/>
  <c r="AY462" i="3"/>
  <c r="AX462" i="3"/>
  <c r="AW462" i="3"/>
  <c r="AV462" i="3"/>
  <c r="AU462" i="3"/>
  <c r="AT462" i="3"/>
  <c r="AS462" i="3"/>
  <c r="AR462" i="3"/>
  <c r="AQ462" i="3"/>
  <c r="AP462" i="3"/>
  <c r="AO462" i="3"/>
  <c r="AN462" i="3"/>
  <c r="AM462" i="3"/>
  <c r="BS461" i="3"/>
  <c r="BR461" i="3"/>
  <c r="BQ461" i="3"/>
  <c r="BP461" i="3"/>
  <c r="BO461" i="3"/>
  <c r="BN461" i="3"/>
  <c r="BM461" i="3"/>
  <c r="BL461" i="3"/>
  <c r="BK461" i="3"/>
  <c r="BJ461" i="3"/>
  <c r="BI461" i="3"/>
  <c r="BH461" i="3"/>
  <c r="BG461" i="3"/>
  <c r="BF461" i="3"/>
  <c r="BE461" i="3"/>
  <c r="BD461" i="3"/>
  <c r="BC461" i="3"/>
  <c r="BB461" i="3"/>
  <c r="BA461" i="3"/>
  <c r="AZ461" i="3"/>
  <c r="AY461" i="3"/>
  <c r="AX461" i="3"/>
  <c r="AW461" i="3"/>
  <c r="AV461" i="3"/>
  <c r="AU461" i="3"/>
  <c r="AT461" i="3"/>
  <c r="AS461" i="3"/>
  <c r="AR461" i="3"/>
  <c r="AQ461" i="3"/>
  <c r="AP461" i="3"/>
  <c r="AO461" i="3"/>
  <c r="AN461" i="3"/>
  <c r="AM461" i="3"/>
  <c r="BS460" i="3"/>
  <c r="BR460" i="3"/>
  <c r="BQ460" i="3"/>
  <c r="BP460" i="3"/>
  <c r="BO460" i="3"/>
  <c r="BN460" i="3"/>
  <c r="BM460" i="3"/>
  <c r="BL460" i="3"/>
  <c r="BK460" i="3"/>
  <c r="BJ460" i="3"/>
  <c r="BI460" i="3"/>
  <c r="BH460" i="3"/>
  <c r="BG460" i="3"/>
  <c r="BF460" i="3"/>
  <c r="BE460" i="3"/>
  <c r="BD460" i="3"/>
  <c r="BC460" i="3"/>
  <c r="BB460" i="3"/>
  <c r="BA460" i="3"/>
  <c r="AZ460" i="3"/>
  <c r="AY460" i="3"/>
  <c r="AX460" i="3"/>
  <c r="AW460" i="3"/>
  <c r="AV460" i="3"/>
  <c r="AU460" i="3"/>
  <c r="AT460" i="3"/>
  <c r="AS460" i="3"/>
  <c r="AR460" i="3"/>
  <c r="AQ460" i="3"/>
  <c r="AP460" i="3"/>
  <c r="AO460" i="3"/>
  <c r="AN460" i="3"/>
  <c r="AM460" i="3"/>
  <c r="BS459" i="3"/>
  <c r="BR459" i="3"/>
  <c r="BQ459" i="3"/>
  <c r="BP459" i="3"/>
  <c r="BO459" i="3"/>
  <c r="BN459" i="3"/>
  <c r="BM459" i="3"/>
  <c r="BL459" i="3"/>
  <c r="BK459" i="3"/>
  <c r="BJ459" i="3"/>
  <c r="BI459" i="3"/>
  <c r="BH459" i="3"/>
  <c r="BG459" i="3"/>
  <c r="BF459" i="3"/>
  <c r="BE459" i="3"/>
  <c r="BD459" i="3"/>
  <c r="BC459" i="3"/>
  <c r="BB459" i="3"/>
  <c r="BA459" i="3"/>
  <c r="AZ459" i="3"/>
  <c r="AY459" i="3"/>
  <c r="AX459" i="3"/>
  <c r="AW459" i="3"/>
  <c r="AV459" i="3"/>
  <c r="AU459" i="3"/>
  <c r="AT459" i="3"/>
  <c r="AS459" i="3"/>
  <c r="AR459" i="3"/>
  <c r="AQ459" i="3"/>
  <c r="AP459" i="3"/>
  <c r="AO459" i="3"/>
  <c r="AN459" i="3"/>
  <c r="AM459" i="3"/>
  <c r="BS458" i="3"/>
  <c r="BR458" i="3"/>
  <c r="BQ458" i="3"/>
  <c r="BP458" i="3"/>
  <c r="BO458" i="3"/>
  <c r="BN458" i="3"/>
  <c r="BM458" i="3"/>
  <c r="BL458" i="3"/>
  <c r="BK458" i="3"/>
  <c r="BJ458" i="3"/>
  <c r="BI458" i="3"/>
  <c r="BH458" i="3"/>
  <c r="BG458" i="3"/>
  <c r="BF458" i="3"/>
  <c r="BE458" i="3"/>
  <c r="BD458" i="3"/>
  <c r="BC458" i="3"/>
  <c r="BB458" i="3"/>
  <c r="BA458" i="3"/>
  <c r="AZ458" i="3"/>
  <c r="AY458" i="3"/>
  <c r="AX458" i="3"/>
  <c r="AW458" i="3"/>
  <c r="AV458" i="3"/>
  <c r="AU458" i="3"/>
  <c r="AT458" i="3"/>
  <c r="AS458" i="3"/>
  <c r="AR458" i="3"/>
  <c r="AQ458" i="3"/>
  <c r="AP458" i="3"/>
  <c r="AO458" i="3"/>
  <c r="AN458" i="3"/>
  <c r="AM458" i="3"/>
  <c r="BS457" i="3"/>
  <c r="BR457" i="3"/>
  <c r="BQ457" i="3"/>
  <c r="BP457" i="3"/>
  <c r="BO457" i="3"/>
  <c r="BN457" i="3"/>
  <c r="BM457" i="3"/>
  <c r="BL457" i="3"/>
  <c r="BK457" i="3"/>
  <c r="BJ457" i="3"/>
  <c r="BI457" i="3"/>
  <c r="BH457" i="3"/>
  <c r="BG457" i="3"/>
  <c r="BF457" i="3"/>
  <c r="BE457" i="3"/>
  <c r="BD457" i="3"/>
  <c r="BC457" i="3"/>
  <c r="BB457" i="3"/>
  <c r="BA457" i="3"/>
  <c r="AZ457" i="3"/>
  <c r="AY457" i="3"/>
  <c r="AX457" i="3"/>
  <c r="AW457" i="3"/>
  <c r="AV457" i="3"/>
  <c r="AU457" i="3"/>
  <c r="AT457" i="3"/>
  <c r="AS457" i="3"/>
  <c r="AR457" i="3"/>
  <c r="AQ457" i="3"/>
  <c r="AP457" i="3"/>
  <c r="AO457" i="3"/>
  <c r="AN457" i="3"/>
  <c r="AM457" i="3"/>
  <c r="BS456" i="3"/>
  <c r="BR456" i="3"/>
  <c r="BQ456" i="3"/>
  <c r="BP456" i="3"/>
  <c r="BO456" i="3"/>
  <c r="BN456" i="3"/>
  <c r="BM456" i="3"/>
  <c r="BL456" i="3"/>
  <c r="BK456" i="3"/>
  <c r="BJ456" i="3"/>
  <c r="BI456" i="3"/>
  <c r="BH456" i="3"/>
  <c r="BG456" i="3"/>
  <c r="BF456" i="3"/>
  <c r="BE456" i="3"/>
  <c r="BD456" i="3"/>
  <c r="BC456" i="3"/>
  <c r="BB456" i="3"/>
  <c r="BA456" i="3"/>
  <c r="AZ456" i="3"/>
  <c r="AY456" i="3"/>
  <c r="AX456" i="3"/>
  <c r="AW456" i="3"/>
  <c r="AV456" i="3"/>
  <c r="AU456" i="3"/>
  <c r="AT456" i="3"/>
  <c r="AS456" i="3"/>
  <c r="AR456" i="3"/>
  <c r="AQ456" i="3"/>
  <c r="AP456" i="3"/>
  <c r="AO456" i="3"/>
  <c r="AN456" i="3"/>
  <c r="AM456" i="3"/>
  <c r="E456" i="3"/>
  <c r="BS455" i="3"/>
  <c r="BR455" i="3"/>
  <c r="BQ455" i="3"/>
  <c r="BP455" i="3"/>
  <c r="BO455" i="3"/>
  <c r="BN455" i="3"/>
  <c r="BM455" i="3"/>
  <c r="BL455" i="3"/>
  <c r="BK455" i="3"/>
  <c r="BJ455" i="3"/>
  <c r="BI455" i="3"/>
  <c r="BH455" i="3"/>
  <c r="BG455" i="3"/>
  <c r="BF455" i="3"/>
  <c r="BE455" i="3"/>
  <c r="BD455" i="3"/>
  <c r="BC455" i="3"/>
  <c r="BB455" i="3"/>
  <c r="BA455" i="3"/>
  <c r="AZ455" i="3"/>
  <c r="AY455" i="3"/>
  <c r="AX455" i="3"/>
  <c r="AW455" i="3"/>
  <c r="AV455" i="3"/>
  <c r="AU455" i="3"/>
  <c r="AT455" i="3"/>
  <c r="AS455" i="3"/>
  <c r="AR455" i="3"/>
  <c r="AQ455" i="3"/>
  <c r="AP455" i="3"/>
  <c r="AO455" i="3"/>
  <c r="AN455" i="3"/>
  <c r="AM455" i="3"/>
  <c r="BS454" i="3"/>
  <c r="BR454" i="3"/>
  <c r="BQ454" i="3"/>
  <c r="BP454" i="3"/>
  <c r="BO454" i="3"/>
  <c r="BN454" i="3"/>
  <c r="BM454" i="3"/>
  <c r="BL454" i="3"/>
  <c r="BK454" i="3"/>
  <c r="BJ454" i="3"/>
  <c r="BI454" i="3"/>
  <c r="BH454" i="3"/>
  <c r="BG454" i="3"/>
  <c r="BF454" i="3"/>
  <c r="BE454" i="3"/>
  <c r="BD454" i="3"/>
  <c r="BC454" i="3"/>
  <c r="BB454" i="3"/>
  <c r="BA454" i="3"/>
  <c r="AZ454" i="3"/>
  <c r="AY454" i="3"/>
  <c r="AX454" i="3"/>
  <c r="AW454" i="3"/>
  <c r="AV454" i="3"/>
  <c r="AU454" i="3"/>
  <c r="AT454" i="3"/>
  <c r="AS454" i="3"/>
  <c r="AR454" i="3"/>
  <c r="AQ454" i="3"/>
  <c r="AP454" i="3"/>
  <c r="AO454" i="3"/>
  <c r="AN454" i="3"/>
  <c r="AM454" i="3"/>
  <c r="E454" i="3"/>
  <c r="BS453" i="3"/>
  <c r="BR453" i="3"/>
  <c r="BQ453" i="3"/>
  <c r="BP453" i="3"/>
  <c r="BO453" i="3"/>
  <c r="BN453" i="3"/>
  <c r="BM453" i="3"/>
  <c r="BL453" i="3"/>
  <c r="BK453" i="3"/>
  <c r="BJ453" i="3"/>
  <c r="BI453" i="3"/>
  <c r="BH453" i="3"/>
  <c r="BG453" i="3"/>
  <c r="BF453" i="3"/>
  <c r="BE453" i="3"/>
  <c r="BD453" i="3"/>
  <c r="BC453" i="3"/>
  <c r="BB453" i="3"/>
  <c r="BA453" i="3"/>
  <c r="AZ453" i="3"/>
  <c r="AY453" i="3"/>
  <c r="AX453" i="3"/>
  <c r="AW453" i="3"/>
  <c r="AV453" i="3"/>
  <c r="AU453" i="3"/>
  <c r="AT453" i="3"/>
  <c r="AS453" i="3"/>
  <c r="AR453" i="3"/>
  <c r="AQ453" i="3"/>
  <c r="AP453" i="3"/>
  <c r="AO453" i="3"/>
  <c r="AN453" i="3"/>
  <c r="AM453" i="3"/>
  <c r="E453" i="3"/>
  <c r="D453" i="3"/>
  <c r="BS452" i="3"/>
  <c r="BR452" i="3"/>
  <c r="BQ452" i="3"/>
  <c r="BP452" i="3"/>
  <c r="BO452" i="3"/>
  <c r="BN452" i="3"/>
  <c r="BM452" i="3"/>
  <c r="BL452" i="3"/>
  <c r="BK452" i="3"/>
  <c r="BJ452" i="3"/>
  <c r="BI452" i="3"/>
  <c r="BH452" i="3"/>
  <c r="BG452" i="3"/>
  <c r="BF452" i="3"/>
  <c r="BE452" i="3"/>
  <c r="BD452" i="3"/>
  <c r="BC452" i="3"/>
  <c r="BB452" i="3"/>
  <c r="BA452" i="3"/>
  <c r="AZ452" i="3"/>
  <c r="AY452" i="3"/>
  <c r="AX452" i="3"/>
  <c r="AW452" i="3"/>
  <c r="AV452" i="3"/>
  <c r="AU452" i="3"/>
  <c r="AT452" i="3"/>
  <c r="AS452" i="3"/>
  <c r="AR452" i="3"/>
  <c r="AQ452" i="3"/>
  <c r="AP452" i="3"/>
  <c r="AO452" i="3"/>
  <c r="AN452" i="3"/>
  <c r="AM452" i="3"/>
  <c r="C452" i="3"/>
  <c r="B452" i="3"/>
  <c r="A452" i="3"/>
  <c r="BS451" i="3"/>
  <c r="BR451" i="3"/>
  <c r="BQ451" i="3"/>
  <c r="BP451" i="3"/>
  <c r="BO451" i="3"/>
  <c r="BN451" i="3"/>
  <c r="BM451" i="3"/>
  <c r="BL451" i="3"/>
  <c r="BK451" i="3"/>
  <c r="BJ451" i="3"/>
  <c r="BI451" i="3"/>
  <c r="BH451" i="3"/>
  <c r="BG451" i="3"/>
  <c r="BF451" i="3"/>
  <c r="BE451" i="3"/>
  <c r="BD451" i="3"/>
  <c r="BC451" i="3"/>
  <c r="BB451" i="3"/>
  <c r="BA451" i="3"/>
  <c r="AZ451" i="3"/>
  <c r="AY451" i="3"/>
  <c r="AX451" i="3"/>
  <c r="AW451" i="3"/>
  <c r="AV451" i="3"/>
  <c r="AU451" i="3"/>
  <c r="AT451" i="3"/>
  <c r="AS451" i="3"/>
  <c r="AR451" i="3"/>
  <c r="AQ451" i="3"/>
  <c r="AP451" i="3"/>
  <c r="AO451" i="3"/>
  <c r="AN451" i="3"/>
  <c r="AM451" i="3"/>
  <c r="BS450" i="3"/>
  <c r="BR450" i="3"/>
  <c r="BQ450" i="3"/>
  <c r="BP450" i="3"/>
  <c r="BO450" i="3"/>
  <c r="BN450" i="3"/>
  <c r="BM450" i="3"/>
  <c r="BL450" i="3"/>
  <c r="BK450" i="3"/>
  <c r="BJ450" i="3"/>
  <c r="BI450" i="3"/>
  <c r="BH450" i="3"/>
  <c r="BG450" i="3"/>
  <c r="BF450" i="3"/>
  <c r="BE450" i="3"/>
  <c r="BD450" i="3"/>
  <c r="BC450" i="3"/>
  <c r="BB450" i="3"/>
  <c r="BA450" i="3"/>
  <c r="AZ450" i="3"/>
  <c r="AY450" i="3"/>
  <c r="AX450" i="3"/>
  <c r="AW450" i="3"/>
  <c r="AV450" i="3"/>
  <c r="AU450" i="3"/>
  <c r="AT450" i="3"/>
  <c r="AS450" i="3"/>
  <c r="AR450" i="3"/>
  <c r="AQ450" i="3"/>
  <c r="AP450" i="3"/>
  <c r="AO450" i="3"/>
  <c r="AN450" i="3"/>
  <c r="AM450" i="3"/>
  <c r="BS449" i="3"/>
  <c r="BR449" i="3"/>
  <c r="BQ449" i="3"/>
  <c r="BP449" i="3"/>
  <c r="BO449" i="3"/>
  <c r="BN449" i="3"/>
  <c r="BM449" i="3"/>
  <c r="BL449" i="3"/>
  <c r="BK449" i="3"/>
  <c r="BJ449" i="3"/>
  <c r="BI449" i="3"/>
  <c r="BH449" i="3"/>
  <c r="BG449" i="3"/>
  <c r="BF449" i="3"/>
  <c r="BE449" i="3"/>
  <c r="BD449" i="3"/>
  <c r="BC449" i="3"/>
  <c r="BB449" i="3"/>
  <c r="BA449" i="3"/>
  <c r="AZ449" i="3"/>
  <c r="AY449" i="3"/>
  <c r="AX449" i="3"/>
  <c r="AW449" i="3"/>
  <c r="AV449" i="3"/>
  <c r="AU449" i="3"/>
  <c r="AT449" i="3"/>
  <c r="AS449" i="3"/>
  <c r="AR449" i="3"/>
  <c r="AQ449" i="3"/>
  <c r="AP449" i="3"/>
  <c r="AO449" i="3"/>
  <c r="AN449" i="3"/>
  <c r="AM449" i="3"/>
  <c r="A449" i="3"/>
  <c r="BS448" i="3"/>
  <c r="BR448" i="3"/>
  <c r="BQ448" i="3"/>
  <c r="BP448" i="3"/>
  <c r="BO448" i="3"/>
  <c r="BN448" i="3"/>
  <c r="BM448" i="3"/>
  <c r="BL448" i="3"/>
  <c r="BK448" i="3"/>
  <c r="BJ448" i="3"/>
  <c r="BI448" i="3"/>
  <c r="BH448" i="3"/>
  <c r="BG448" i="3"/>
  <c r="BF448" i="3"/>
  <c r="BE448" i="3"/>
  <c r="BD448" i="3"/>
  <c r="BC448" i="3"/>
  <c r="BB448" i="3"/>
  <c r="BA448" i="3"/>
  <c r="AZ448" i="3"/>
  <c r="AY448" i="3"/>
  <c r="AX448" i="3"/>
  <c r="AW448" i="3"/>
  <c r="AV448" i="3"/>
  <c r="AU448" i="3"/>
  <c r="AT448" i="3"/>
  <c r="AS448" i="3"/>
  <c r="AR448" i="3"/>
  <c r="AQ448" i="3"/>
  <c r="AP448" i="3"/>
  <c r="AO448" i="3"/>
  <c r="AN448" i="3"/>
  <c r="AM448" i="3"/>
  <c r="BS447" i="3"/>
  <c r="BR447" i="3"/>
  <c r="BQ447" i="3"/>
  <c r="BP447" i="3"/>
  <c r="BO447" i="3"/>
  <c r="BN447" i="3"/>
  <c r="BM447" i="3"/>
  <c r="BL447" i="3"/>
  <c r="BK447" i="3"/>
  <c r="BJ447" i="3"/>
  <c r="BI447" i="3"/>
  <c r="BH447" i="3"/>
  <c r="BG447" i="3"/>
  <c r="BF447" i="3"/>
  <c r="BE447" i="3"/>
  <c r="BD447" i="3"/>
  <c r="BC447" i="3"/>
  <c r="BB447" i="3"/>
  <c r="BA447" i="3"/>
  <c r="AZ447" i="3"/>
  <c r="AY447" i="3"/>
  <c r="AX447" i="3"/>
  <c r="AW447" i="3"/>
  <c r="AV447" i="3"/>
  <c r="AU447" i="3"/>
  <c r="AT447" i="3"/>
  <c r="AS447" i="3"/>
  <c r="AR447" i="3"/>
  <c r="AQ447" i="3"/>
  <c r="AP447" i="3"/>
  <c r="AO447" i="3"/>
  <c r="AN447" i="3"/>
  <c r="AM447" i="3"/>
  <c r="BS446" i="3"/>
  <c r="BR446" i="3"/>
  <c r="BQ446" i="3"/>
  <c r="BP446" i="3"/>
  <c r="BO446" i="3"/>
  <c r="BN446" i="3"/>
  <c r="BM446" i="3"/>
  <c r="BL446" i="3"/>
  <c r="BK446" i="3"/>
  <c r="BJ446" i="3"/>
  <c r="BI446" i="3"/>
  <c r="BH446" i="3"/>
  <c r="BG446" i="3"/>
  <c r="BF446" i="3"/>
  <c r="BE446" i="3"/>
  <c r="BD446" i="3"/>
  <c r="BC446" i="3"/>
  <c r="BB446" i="3"/>
  <c r="BA446" i="3"/>
  <c r="AZ446" i="3"/>
  <c r="AY446" i="3"/>
  <c r="AX446" i="3"/>
  <c r="AW446" i="3"/>
  <c r="AV446" i="3"/>
  <c r="AU446" i="3"/>
  <c r="AT446" i="3"/>
  <c r="AS446" i="3"/>
  <c r="AR446" i="3"/>
  <c r="AQ446" i="3"/>
  <c r="AP446" i="3"/>
  <c r="AO446" i="3"/>
  <c r="AN446" i="3"/>
  <c r="AM446" i="3"/>
  <c r="BS445" i="3"/>
  <c r="BR445" i="3"/>
  <c r="BQ445" i="3"/>
  <c r="BP445" i="3"/>
  <c r="BO445" i="3"/>
  <c r="BN445" i="3"/>
  <c r="BM445" i="3"/>
  <c r="BL445" i="3"/>
  <c r="BK445" i="3"/>
  <c r="BJ445" i="3"/>
  <c r="BI445" i="3"/>
  <c r="BH445" i="3"/>
  <c r="BG445" i="3"/>
  <c r="BF445" i="3"/>
  <c r="BE445" i="3"/>
  <c r="BD445" i="3"/>
  <c r="BC445" i="3"/>
  <c r="BB445" i="3"/>
  <c r="BA445" i="3"/>
  <c r="AZ445" i="3"/>
  <c r="AY445" i="3"/>
  <c r="AX445" i="3"/>
  <c r="AW445" i="3"/>
  <c r="AV445" i="3"/>
  <c r="AU445" i="3"/>
  <c r="AT445" i="3"/>
  <c r="AS445" i="3"/>
  <c r="AR445" i="3"/>
  <c r="AQ445" i="3"/>
  <c r="AP445" i="3"/>
  <c r="AO445" i="3"/>
  <c r="AN445" i="3"/>
  <c r="AM445" i="3"/>
  <c r="BS444" i="3"/>
  <c r="BR444" i="3"/>
  <c r="BQ444" i="3"/>
  <c r="BP444" i="3"/>
  <c r="BO444" i="3"/>
  <c r="BN444" i="3"/>
  <c r="BM444" i="3"/>
  <c r="BL444" i="3"/>
  <c r="BK444" i="3"/>
  <c r="BJ444" i="3"/>
  <c r="BI444" i="3"/>
  <c r="BH444" i="3"/>
  <c r="BG444" i="3"/>
  <c r="BF444" i="3"/>
  <c r="BE444" i="3"/>
  <c r="BD444" i="3"/>
  <c r="BC444" i="3"/>
  <c r="BB444" i="3"/>
  <c r="BA444" i="3"/>
  <c r="AZ444" i="3"/>
  <c r="AY444" i="3"/>
  <c r="AX444" i="3"/>
  <c r="AW444" i="3"/>
  <c r="AV444" i="3"/>
  <c r="AU444" i="3"/>
  <c r="AT444" i="3"/>
  <c r="AS444" i="3"/>
  <c r="AR444" i="3"/>
  <c r="AQ444" i="3"/>
  <c r="AP444" i="3"/>
  <c r="AO444" i="3"/>
  <c r="AN444" i="3"/>
  <c r="AM444" i="3"/>
  <c r="BS443" i="3"/>
  <c r="BR443" i="3"/>
  <c r="BQ443" i="3"/>
  <c r="BP443" i="3"/>
  <c r="BO443" i="3"/>
  <c r="BN443" i="3"/>
  <c r="BM443" i="3"/>
  <c r="BL443" i="3"/>
  <c r="BK443" i="3"/>
  <c r="BJ443" i="3"/>
  <c r="BI443" i="3"/>
  <c r="BH443" i="3"/>
  <c r="BG443" i="3"/>
  <c r="BF443" i="3"/>
  <c r="BE443" i="3"/>
  <c r="BD443" i="3"/>
  <c r="BC443" i="3"/>
  <c r="BB443" i="3"/>
  <c r="BA443" i="3"/>
  <c r="AZ443" i="3"/>
  <c r="AY443" i="3"/>
  <c r="AX443" i="3"/>
  <c r="AW443" i="3"/>
  <c r="AV443" i="3"/>
  <c r="AU443" i="3"/>
  <c r="AT443" i="3"/>
  <c r="AS443" i="3"/>
  <c r="AR443" i="3"/>
  <c r="AQ443" i="3"/>
  <c r="AP443" i="3"/>
  <c r="AO443" i="3"/>
  <c r="AN443" i="3"/>
  <c r="AM443" i="3"/>
  <c r="E443" i="3"/>
  <c r="BS442" i="3"/>
  <c r="BR442" i="3"/>
  <c r="BQ442" i="3"/>
  <c r="BP442" i="3"/>
  <c r="BO442" i="3"/>
  <c r="BN442" i="3"/>
  <c r="BM442" i="3"/>
  <c r="BL442" i="3"/>
  <c r="BK442" i="3"/>
  <c r="BJ442" i="3"/>
  <c r="BI442" i="3"/>
  <c r="BH442" i="3"/>
  <c r="BG442" i="3"/>
  <c r="BF442" i="3"/>
  <c r="BE442" i="3"/>
  <c r="BD442" i="3"/>
  <c r="BC442" i="3"/>
  <c r="BB442" i="3"/>
  <c r="BA442" i="3"/>
  <c r="AZ442" i="3"/>
  <c r="AY442" i="3"/>
  <c r="AX442" i="3"/>
  <c r="AW442" i="3"/>
  <c r="AV442" i="3"/>
  <c r="AU442" i="3"/>
  <c r="AT442" i="3"/>
  <c r="AS442" i="3"/>
  <c r="AR442" i="3"/>
  <c r="AQ442" i="3"/>
  <c r="AP442" i="3"/>
  <c r="AO442" i="3"/>
  <c r="AN442" i="3"/>
  <c r="AM442" i="3"/>
  <c r="BS441" i="3"/>
  <c r="BR441" i="3"/>
  <c r="BQ441" i="3"/>
  <c r="BP441" i="3"/>
  <c r="BO441" i="3"/>
  <c r="BN441" i="3"/>
  <c r="BM441" i="3"/>
  <c r="BL441" i="3"/>
  <c r="BK441" i="3"/>
  <c r="BJ441" i="3"/>
  <c r="BI441" i="3"/>
  <c r="BH441" i="3"/>
  <c r="BG441" i="3"/>
  <c r="BF441" i="3"/>
  <c r="BE441" i="3"/>
  <c r="BD441" i="3"/>
  <c r="BC441" i="3"/>
  <c r="BB441" i="3"/>
  <c r="BA441" i="3"/>
  <c r="AZ441" i="3"/>
  <c r="AY441" i="3"/>
  <c r="AX441" i="3"/>
  <c r="AW441" i="3"/>
  <c r="AV441" i="3"/>
  <c r="AU441" i="3"/>
  <c r="AT441" i="3"/>
  <c r="AS441" i="3"/>
  <c r="AR441" i="3"/>
  <c r="AQ441" i="3"/>
  <c r="AP441" i="3"/>
  <c r="AO441" i="3"/>
  <c r="AN441" i="3"/>
  <c r="AM441" i="3"/>
  <c r="BS440" i="3"/>
  <c r="BR440" i="3"/>
  <c r="BQ440" i="3"/>
  <c r="BP440" i="3"/>
  <c r="BO440" i="3"/>
  <c r="BN440" i="3"/>
  <c r="BM440" i="3"/>
  <c r="BL440" i="3"/>
  <c r="BK440" i="3"/>
  <c r="BJ440" i="3"/>
  <c r="BI440" i="3"/>
  <c r="BH440" i="3"/>
  <c r="BG440" i="3"/>
  <c r="BF440" i="3"/>
  <c r="BE440" i="3"/>
  <c r="BD440" i="3"/>
  <c r="BC440" i="3"/>
  <c r="BB440" i="3"/>
  <c r="BA440" i="3"/>
  <c r="AZ440" i="3"/>
  <c r="AY440" i="3"/>
  <c r="AX440" i="3"/>
  <c r="AW440" i="3"/>
  <c r="AV440" i="3"/>
  <c r="AU440" i="3"/>
  <c r="AT440" i="3"/>
  <c r="AS440" i="3"/>
  <c r="AR440" i="3"/>
  <c r="AQ440" i="3"/>
  <c r="AP440" i="3"/>
  <c r="AO440" i="3"/>
  <c r="AN440" i="3"/>
  <c r="AM440" i="3"/>
  <c r="B440" i="3"/>
  <c r="BS439" i="3"/>
  <c r="BR439" i="3"/>
  <c r="BQ439" i="3"/>
  <c r="BP439" i="3"/>
  <c r="BO439" i="3"/>
  <c r="BN439" i="3"/>
  <c r="BM439" i="3"/>
  <c r="BL439" i="3"/>
  <c r="BK439" i="3"/>
  <c r="BJ439" i="3"/>
  <c r="BI439" i="3"/>
  <c r="BH439" i="3"/>
  <c r="BG439" i="3"/>
  <c r="BF439" i="3"/>
  <c r="BE439" i="3"/>
  <c r="BD439" i="3"/>
  <c r="BC439" i="3"/>
  <c r="BB439" i="3"/>
  <c r="BA439" i="3"/>
  <c r="AZ439" i="3"/>
  <c r="AY439" i="3"/>
  <c r="AX439" i="3"/>
  <c r="AW439" i="3"/>
  <c r="AV439" i="3"/>
  <c r="AU439" i="3"/>
  <c r="AT439" i="3"/>
  <c r="AS439" i="3"/>
  <c r="AR439" i="3"/>
  <c r="AQ439" i="3"/>
  <c r="AP439" i="3"/>
  <c r="AO439" i="3"/>
  <c r="AN439" i="3"/>
  <c r="AM439" i="3"/>
  <c r="BS438" i="3"/>
  <c r="BR438" i="3"/>
  <c r="BQ438" i="3"/>
  <c r="BP438" i="3"/>
  <c r="BO438" i="3"/>
  <c r="BN438" i="3"/>
  <c r="BM438" i="3"/>
  <c r="BL438" i="3"/>
  <c r="BK438" i="3"/>
  <c r="BJ438" i="3"/>
  <c r="BI438" i="3"/>
  <c r="BH438" i="3"/>
  <c r="BG438" i="3"/>
  <c r="BF438" i="3"/>
  <c r="BE438" i="3"/>
  <c r="BD438" i="3"/>
  <c r="BC438" i="3"/>
  <c r="BB438" i="3"/>
  <c r="BA438" i="3"/>
  <c r="AZ438" i="3"/>
  <c r="AY438" i="3"/>
  <c r="AX438" i="3"/>
  <c r="AW438" i="3"/>
  <c r="AV438" i="3"/>
  <c r="AU438" i="3"/>
  <c r="AT438" i="3"/>
  <c r="AS438" i="3"/>
  <c r="AR438" i="3"/>
  <c r="AQ438" i="3"/>
  <c r="AP438" i="3"/>
  <c r="AO438" i="3"/>
  <c r="AN438" i="3"/>
  <c r="AM438" i="3"/>
  <c r="BS437" i="3"/>
  <c r="BR437" i="3"/>
  <c r="BQ437" i="3"/>
  <c r="BP437" i="3"/>
  <c r="BO437" i="3"/>
  <c r="BN437" i="3"/>
  <c r="BM437" i="3"/>
  <c r="BL437" i="3"/>
  <c r="BK437" i="3"/>
  <c r="BJ437" i="3"/>
  <c r="BI437" i="3"/>
  <c r="BH437" i="3"/>
  <c r="BG437" i="3"/>
  <c r="BF437" i="3"/>
  <c r="BE437" i="3"/>
  <c r="BD437" i="3"/>
  <c r="BC437" i="3"/>
  <c r="BB437" i="3"/>
  <c r="BA437" i="3"/>
  <c r="AZ437" i="3"/>
  <c r="AY437" i="3"/>
  <c r="AX437" i="3"/>
  <c r="AW437" i="3"/>
  <c r="AV437" i="3"/>
  <c r="AU437" i="3"/>
  <c r="AT437" i="3"/>
  <c r="AS437" i="3"/>
  <c r="AR437" i="3"/>
  <c r="AQ437" i="3"/>
  <c r="AP437" i="3"/>
  <c r="AO437" i="3"/>
  <c r="AN437" i="3"/>
  <c r="AM437" i="3"/>
  <c r="BS436" i="3"/>
  <c r="BR436" i="3"/>
  <c r="BQ436" i="3"/>
  <c r="BP436" i="3"/>
  <c r="BO436" i="3"/>
  <c r="BN436" i="3"/>
  <c r="BM436" i="3"/>
  <c r="BL436" i="3"/>
  <c r="BK436" i="3"/>
  <c r="BJ436" i="3"/>
  <c r="BI436" i="3"/>
  <c r="BH436" i="3"/>
  <c r="BG436" i="3"/>
  <c r="BF436" i="3"/>
  <c r="BE436" i="3"/>
  <c r="BD436" i="3"/>
  <c r="BC436" i="3"/>
  <c r="BB436" i="3"/>
  <c r="BA436" i="3"/>
  <c r="AZ436" i="3"/>
  <c r="AY436" i="3"/>
  <c r="AX436" i="3"/>
  <c r="AW436" i="3"/>
  <c r="AV436" i="3"/>
  <c r="AU436" i="3"/>
  <c r="AT436" i="3"/>
  <c r="AS436" i="3"/>
  <c r="AR436" i="3"/>
  <c r="AQ436" i="3"/>
  <c r="AP436" i="3"/>
  <c r="AO436" i="3"/>
  <c r="AN436" i="3"/>
  <c r="AM436" i="3"/>
  <c r="BS435" i="3"/>
  <c r="BR435" i="3"/>
  <c r="BQ435" i="3"/>
  <c r="BP435" i="3"/>
  <c r="BO435" i="3"/>
  <c r="BN435" i="3"/>
  <c r="BM435" i="3"/>
  <c r="BL435" i="3"/>
  <c r="BK435" i="3"/>
  <c r="BJ435" i="3"/>
  <c r="BI435" i="3"/>
  <c r="BH435" i="3"/>
  <c r="BG435" i="3"/>
  <c r="BF435" i="3"/>
  <c r="BE435" i="3"/>
  <c r="BD435" i="3"/>
  <c r="BC435" i="3"/>
  <c r="BB435" i="3"/>
  <c r="BA435" i="3"/>
  <c r="AZ435" i="3"/>
  <c r="AY435" i="3"/>
  <c r="AX435" i="3"/>
  <c r="AW435" i="3"/>
  <c r="AV435" i="3"/>
  <c r="AU435" i="3"/>
  <c r="AT435" i="3"/>
  <c r="AS435" i="3"/>
  <c r="AR435" i="3"/>
  <c r="AQ435" i="3"/>
  <c r="AP435" i="3"/>
  <c r="AO435" i="3"/>
  <c r="AN435" i="3"/>
  <c r="AM435" i="3"/>
  <c r="BS434" i="3"/>
  <c r="BR434" i="3"/>
  <c r="BQ434" i="3"/>
  <c r="BP434" i="3"/>
  <c r="BO434" i="3"/>
  <c r="BN434" i="3"/>
  <c r="BM434" i="3"/>
  <c r="BL434" i="3"/>
  <c r="BK434" i="3"/>
  <c r="BJ434" i="3"/>
  <c r="BI434" i="3"/>
  <c r="BH434" i="3"/>
  <c r="BG434" i="3"/>
  <c r="BF434" i="3"/>
  <c r="BE434" i="3"/>
  <c r="BD434" i="3"/>
  <c r="BC434" i="3"/>
  <c r="BB434" i="3"/>
  <c r="BA434" i="3"/>
  <c r="AZ434" i="3"/>
  <c r="AY434" i="3"/>
  <c r="AX434" i="3"/>
  <c r="AW434" i="3"/>
  <c r="AV434" i="3"/>
  <c r="AU434" i="3"/>
  <c r="AT434" i="3"/>
  <c r="AS434" i="3"/>
  <c r="AR434" i="3"/>
  <c r="AQ434" i="3"/>
  <c r="AP434" i="3"/>
  <c r="AO434" i="3"/>
  <c r="AN434" i="3"/>
  <c r="AM434" i="3"/>
  <c r="D434" i="3"/>
  <c r="C434" i="3"/>
  <c r="B434" i="3"/>
  <c r="BS433" i="3"/>
  <c r="BR433" i="3"/>
  <c r="BQ433" i="3"/>
  <c r="BP433" i="3"/>
  <c r="BO433" i="3"/>
  <c r="BN433" i="3"/>
  <c r="BM433" i="3"/>
  <c r="BL433" i="3"/>
  <c r="BK433" i="3"/>
  <c r="BJ433" i="3"/>
  <c r="BI433" i="3"/>
  <c r="BH433" i="3"/>
  <c r="BG433" i="3"/>
  <c r="BF433" i="3"/>
  <c r="BE433" i="3"/>
  <c r="BD433" i="3"/>
  <c r="BC433" i="3"/>
  <c r="BB433" i="3"/>
  <c r="BA433" i="3"/>
  <c r="AZ433" i="3"/>
  <c r="AY433" i="3"/>
  <c r="AX433" i="3"/>
  <c r="AW433" i="3"/>
  <c r="AV433" i="3"/>
  <c r="AU433" i="3"/>
  <c r="AT433" i="3"/>
  <c r="AS433" i="3"/>
  <c r="AR433" i="3"/>
  <c r="AQ433" i="3"/>
  <c r="AP433" i="3"/>
  <c r="AO433" i="3"/>
  <c r="AN433" i="3"/>
  <c r="AM433" i="3"/>
  <c r="BS432" i="3"/>
  <c r="BR432" i="3"/>
  <c r="BQ432" i="3"/>
  <c r="BP432" i="3"/>
  <c r="BO432" i="3"/>
  <c r="BN432" i="3"/>
  <c r="BM432" i="3"/>
  <c r="BL432" i="3"/>
  <c r="BK432" i="3"/>
  <c r="BJ432" i="3"/>
  <c r="BI432" i="3"/>
  <c r="BH432" i="3"/>
  <c r="BG432" i="3"/>
  <c r="BF432" i="3"/>
  <c r="BE432" i="3"/>
  <c r="BD432" i="3"/>
  <c r="BC432" i="3"/>
  <c r="BB432" i="3"/>
  <c r="BA432" i="3"/>
  <c r="AZ432" i="3"/>
  <c r="AY432" i="3"/>
  <c r="AX432" i="3"/>
  <c r="AW432" i="3"/>
  <c r="AV432" i="3"/>
  <c r="AU432" i="3"/>
  <c r="AT432" i="3"/>
  <c r="AS432" i="3"/>
  <c r="AR432" i="3"/>
  <c r="AQ432" i="3"/>
  <c r="AP432" i="3"/>
  <c r="AO432" i="3"/>
  <c r="AN432" i="3"/>
  <c r="AM432" i="3"/>
  <c r="BS431" i="3"/>
  <c r="BR431" i="3"/>
  <c r="BQ431" i="3"/>
  <c r="BP431" i="3"/>
  <c r="BO431" i="3"/>
  <c r="BN431" i="3"/>
  <c r="BM431" i="3"/>
  <c r="BL431" i="3"/>
  <c r="BK431" i="3"/>
  <c r="BJ431" i="3"/>
  <c r="BI431" i="3"/>
  <c r="BH431" i="3"/>
  <c r="BG431" i="3"/>
  <c r="BF431" i="3"/>
  <c r="BE431" i="3"/>
  <c r="BD431" i="3"/>
  <c r="BC431" i="3"/>
  <c r="BB431" i="3"/>
  <c r="BA431" i="3"/>
  <c r="AZ431" i="3"/>
  <c r="AY431" i="3"/>
  <c r="AX431" i="3"/>
  <c r="AW431" i="3"/>
  <c r="AV431" i="3"/>
  <c r="AU431" i="3"/>
  <c r="AT431" i="3"/>
  <c r="AS431" i="3"/>
  <c r="AR431" i="3"/>
  <c r="AQ431" i="3"/>
  <c r="AP431" i="3"/>
  <c r="AO431" i="3"/>
  <c r="AN431" i="3"/>
  <c r="AM431" i="3"/>
  <c r="D431" i="3"/>
  <c r="BS430" i="3"/>
  <c r="BR430" i="3"/>
  <c r="BQ430" i="3"/>
  <c r="BP430" i="3"/>
  <c r="BO430" i="3"/>
  <c r="BN430" i="3"/>
  <c r="BM430" i="3"/>
  <c r="BL430" i="3"/>
  <c r="BK430" i="3"/>
  <c r="BJ430" i="3"/>
  <c r="BI430" i="3"/>
  <c r="BH430" i="3"/>
  <c r="BG430" i="3"/>
  <c r="BF430" i="3"/>
  <c r="BE430" i="3"/>
  <c r="BD430" i="3"/>
  <c r="BC430" i="3"/>
  <c r="BB430" i="3"/>
  <c r="BA430" i="3"/>
  <c r="AZ430" i="3"/>
  <c r="AY430" i="3"/>
  <c r="AX430" i="3"/>
  <c r="AW430" i="3"/>
  <c r="AV430" i="3"/>
  <c r="AU430" i="3"/>
  <c r="AT430" i="3"/>
  <c r="AS430" i="3"/>
  <c r="AR430" i="3"/>
  <c r="AQ430" i="3"/>
  <c r="AP430" i="3"/>
  <c r="AO430" i="3"/>
  <c r="AN430" i="3"/>
  <c r="AM430" i="3"/>
  <c r="BS429" i="3"/>
  <c r="BR429" i="3"/>
  <c r="BQ429" i="3"/>
  <c r="BP429" i="3"/>
  <c r="BO429" i="3"/>
  <c r="BN429" i="3"/>
  <c r="BM429" i="3"/>
  <c r="BL429" i="3"/>
  <c r="BK429" i="3"/>
  <c r="BJ429" i="3"/>
  <c r="BI429" i="3"/>
  <c r="BH429" i="3"/>
  <c r="BG429" i="3"/>
  <c r="BF429" i="3"/>
  <c r="BE429" i="3"/>
  <c r="BD429" i="3"/>
  <c r="BC429" i="3"/>
  <c r="BB429" i="3"/>
  <c r="BA429" i="3"/>
  <c r="AZ429" i="3"/>
  <c r="AY429" i="3"/>
  <c r="AX429" i="3"/>
  <c r="AW429" i="3"/>
  <c r="AV429" i="3"/>
  <c r="AU429" i="3"/>
  <c r="AT429" i="3"/>
  <c r="AS429" i="3"/>
  <c r="AR429" i="3"/>
  <c r="AQ429" i="3"/>
  <c r="AP429" i="3"/>
  <c r="AO429" i="3"/>
  <c r="AN429" i="3"/>
  <c r="AM429" i="3"/>
  <c r="BS428" i="3"/>
  <c r="BR428" i="3"/>
  <c r="BQ428" i="3"/>
  <c r="BP428" i="3"/>
  <c r="BO428" i="3"/>
  <c r="BN428" i="3"/>
  <c r="BM428" i="3"/>
  <c r="BL428" i="3"/>
  <c r="BK428" i="3"/>
  <c r="BJ428" i="3"/>
  <c r="BI428" i="3"/>
  <c r="BH428" i="3"/>
  <c r="BG428" i="3"/>
  <c r="BF428" i="3"/>
  <c r="BE428" i="3"/>
  <c r="BD428" i="3"/>
  <c r="BC428" i="3"/>
  <c r="BB428" i="3"/>
  <c r="BA428" i="3"/>
  <c r="AZ428" i="3"/>
  <c r="AY428" i="3"/>
  <c r="AX428" i="3"/>
  <c r="AW428" i="3"/>
  <c r="AV428" i="3"/>
  <c r="AU428" i="3"/>
  <c r="AT428" i="3"/>
  <c r="AS428" i="3"/>
  <c r="AR428" i="3"/>
  <c r="AQ428" i="3"/>
  <c r="AP428" i="3"/>
  <c r="AO428" i="3"/>
  <c r="AN428" i="3"/>
  <c r="AM428" i="3"/>
  <c r="BS427" i="3"/>
  <c r="BR427" i="3"/>
  <c r="BQ427" i="3"/>
  <c r="BP427" i="3"/>
  <c r="BO427" i="3"/>
  <c r="BN427" i="3"/>
  <c r="BM427" i="3"/>
  <c r="BL427" i="3"/>
  <c r="BK427" i="3"/>
  <c r="BJ427" i="3"/>
  <c r="BI427" i="3"/>
  <c r="BH427" i="3"/>
  <c r="BG427" i="3"/>
  <c r="BF427" i="3"/>
  <c r="BE427" i="3"/>
  <c r="BD427" i="3"/>
  <c r="BC427" i="3"/>
  <c r="BB427" i="3"/>
  <c r="BA427" i="3"/>
  <c r="AZ427" i="3"/>
  <c r="AY427" i="3"/>
  <c r="AX427" i="3"/>
  <c r="AW427" i="3"/>
  <c r="AV427" i="3"/>
  <c r="AU427" i="3"/>
  <c r="AT427" i="3"/>
  <c r="AS427" i="3"/>
  <c r="AR427" i="3"/>
  <c r="AQ427" i="3"/>
  <c r="AP427" i="3"/>
  <c r="AO427" i="3"/>
  <c r="AN427" i="3"/>
  <c r="AM427" i="3"/>
  <c r="A427" i="3"/>
  <c r="BS426" i="3"/>
  <c r="BR426" i="3"/>
  <c r="BQ426" i="3"/>
  <c r="BP426" i="3"/>
  <c r="BO426" i="3"/>
  <c r="BN426" i="3"/>
  <c r="BM426" i="3"/>
  <c r="BL426" i="3"/>
  <c r="BK426" i="3"/>
  <c r="BJ426" i="3"/>
  <c r="BI426" i="3"/>
  <c r="BH426" i="3"/>
  <c r="BG426" i="3"/>
  <c r="BF426" i="3"/>
  <c r="BE426" i="3"/>
  <c r="BD426" i="3"/>
  <c r="BC426" i="3"/>
  <c r="BB426" i="3"/>
  <c r="BA426" i="3"/>
  <c r="AZ426" i="3"/>
  <c r="AY426" i="3"/>
  <c r="AX426" i="3"/>
  <c r="AW426" i="3"/>
  <c r="AV426" i="3"/>
  <c r="AU426" i="3"/>
  <c r="AT426" i="3"/>
  <c r="AS426" i="3"/>
  <c r="AR426" i="3"/>
  <c r="AQ426" i="3"/>
  <c r="AP426" i="3"/>
  <c r="AO426" i="3"/>
  <c r="AN426" i="3"/>
  <c r="AM426" i="3"/>
  <c r="B426" i="3"/>
  <c r="A426" i="3"/>
  <c r="BS425" i="3"/>
  <c r="BR425" i="3"/>
  <c r="BQ425" i="3"/>
  <c r="BP425" i="3"/>
  <c r="BO425" i="3"/>
  <c r="BN425" i="3"/>
  <c r="BM425" i="3"/>
  <c r="BL425" i="3"/>
  <c r="BK425" i="3"/>
  <c r="BJ425" i="3"/>
  <c r="BI425" i="3"/>
  <c r="BH425" i="3"/>
  <c r="BG425" i="3"/>
  <c r="BF425" i="3"/>
  <c r="BE425" i="3"/>
  <c r="BD425" i="3"/>
  <c r="BC425" i="3"/>
  <c r="BB425" i="3"/>
  <c r="BA425" i="3"/>
  <c r="AZ425" i="3"/>
  <c r="AY425" i="3"/>
  <c r="AX425" i="3"/>
  <c r="AW425" i="3"/>
  <c r="AV425" i="3"/>
  <c r="AU425" i="3"/>
  <c r="AT425" i="3"/>
  <c r="AS425" i="3"/>
  <c r="AR425" i="3"/>
  <c r="AQ425" i="3"/>
  <c r="AP425" i="3"/>
  <c r="AO425" i="3"/>
  <c r="AN425" i="3"/>
  <c r="AM425" i="3"/>
  <c r="B425" i="3"/>
  <c r="A425" i="3"/>
  <c r="BS424" i="3"/>
  <c r="BR424" i="3"/>
  <c r="BQ424" i="3"/>
  <c r="BP424" i="3"/>
  <c r="BO424" i="3"/>
  <c r="BN424" i="3"/>
  <c r="BM424" i="3"/>
  <c r="BL424" i="3"/>
  <c r="BK424" i="3"/>
  <c r="BJ424" i="3"/>
  <c r="BI424" i="3"/>
  <c r="BH424" i="3"/>
  <c r="BG424" i="3"/>
  <c r="BF424" i="3"/>
  <c r="BE424" i="3"/>
  <c r="BD424" i="3"/>
  <c r="BC424" i="3"/>
  <c r="BB424" i="3"/>
  <c r="BA424" i="3"/>
  <c r="AZ424" i="3"/>
  <c r="AY424" i="3"/>
  <c r="AX424" i="3"/>
  <c r="AW424" i="3"/>
  <c r="AV424" i="3"/>
  <c r="AU424" i="3"/>
  <c r="AT424" i="3"/>
  <c r="AS424" i="3"/>
  <c r="AR424" i="3"/>
  <c r="AQ424" i="3"/>
  <c r="AP424" i="3"/>
  <c r="AO424" i="3"/>
  <c r="AN424" i="3"/>
  <c r="AM424" i="3"/>
  <c r="B424" i="3"/>
  <c r="A424" i="3"/>
  <c r="BS423" i="3"/>
  <c r="BR423" i="3"/>
  <c r="BQ423" i="3"/>
  <c r="BP423" i="3"/>
  <c r="BO423" i="3"/>
  <c r="BN423" i="3"/>
  <c r="BM423" i="3"/>
  <c r="BL423" i="3"/>
  <c r="BK423" i="3"/>
  <c r="BJ423" i="3"/>
  <c r="BI423" i="3"/>
  <c r="BH423" i="3"/>
  <c r="BG423" i="3"/>
  <c r="BF423" i="3"/>
  <c r="BE423" i="3"/>
  <c r="BD423" i="3"/>
  <c r="BC423" i="3"/>
  <c r="BB423" i="3"/>
  <c r="BA423" i="3"/>
  <c r="AZ423" i="3"/>
  <c r="AY423" i="3"/>
  <c r="AX423" i="3"/>
  <c r="AW423" i="3"/>
  <c r="AV423" i="3"/>
  <c r="AU423" i="3"/>
  <c r="AT423" i="3"/>
  <c r="AS423" i="3"/>
  <c r="AR423" i="3"/>
  <c r="AQ423" i="3"/>
  <c r="AP423" i="3"/>
  <c r="AO423" i="3"/>
  <c r="AN423" i="3"/>
  <c r="AM423" i="3"/>
  <c r="C423" i="3"/>
  <c r="C425" i="3" s="1"/>
  <c r="B423" i="3"/>
  <c r="A423" i="3"/>
  <c r="BS422" i="3"/>
  <c r="BR422" i="3"/>
  <c r="BQ422" i="3"/>
  <c r="BP422" i="3"/>
  <c r="BO422" i="3"/>
  <c r="BN422" i="3"/>
  <c r="BM422" i="3"/>
  <c r="BL422" i="3"/>
  <c r="BK422" i="3"/>
  <c r="BJ422" i="3"/>
  <c r="BI422" i="3"/>
  <c r="BH422" i="3"/>
  <c r="BG422" i="3"/>
  <c r="BF422" i="3"/>
  <c r="BE422" i="3"/>
  <c r="BD422" i="3"/>
  <c r="BC422" i="3"/>
  <c r="BB422" i="3"/>
  <c r="BA422" i="3"/>
  <c r="AZ422" i="3"/>
  <c r="AY422" i="3"/>
  <c r="AX422" i="3"/>
  <c r="AW422" i="3"/>
  <c r="AV422" i="3"/>
  <c r="AU422" i="3"/>
  <c r="AT422" i="3"/>
  <c r="AS422" i="3"/>
  <c r="AR422" i="3"/>
  <c r="AQ422" i="3"/>
  <c r="AP422" i="3"/>
  <c r="AO422" i="3"/>
  <c r="AN422" i="3"/>
  <c r="AM422" i="3"/>
  <c r="B422" i="3"/>
  <c r="A422" i="3"/>
  <c r="BS421" i="3"/>
  <c r="BR421" i="3"/>
  <c r="BQ421" i="3"/>
  <c r="BP421" i="3"/>
  <c r="BO421" i="3"/>
  <c r="BN421" i="3"/>
  <c r="BM421" i="3"/>
  <c r="BL421" i="3"/>
  <c r="BK421" i="3"/>
  <c r="BJ421" i="3"/>
  <c r="BI421" i="3"/>
  <c r="BH421" i="3"/>
  <c r="BG421" i="3"/>
  <c r="BF421" i="3"/>
  <c r="BE421" i="3"/>
  <c r="BD421" i="3"/>
  <c r="BC421" i="3"/>
  <c r="BB421" i="3"/>
  <c r="BA421" i="3"/>
  <c r="AZ421" i="3"/>
  <c r="AY421" i="3"/>
  <c r="AX421" i="3"/>
  <c r="AW421" i="3"/>
  <c r="AV421" i="3"/>
  <c r="AU421" i="3"/>
  <c r="AT421" i="3"/>
  <c r="AS421" i="3"/>
  <c r="AR421" i="3"/>
  <c r="AQ421" i="3"/>
  <c r="AP421" i="3"/>
  <c r="AO421" i="3"/>
  <c r="AN421" i="3"/>
  <c r="AM421" i="3"/>
  <c r="A421" i="3"/>
  <c r="BS420" i="3"/>
  <c r="BR420" i="3"/>
  <c r="BQ420" i="3"/>
  <c r="BP420" i="3"/>
  <c r="BO420" i="3"/>
  <c r="BN420" i="3"/>
  <c r="BM420" i="3"/>
  <c r="BL420" i="3"/>
  <c r="BK420" i="3"/>
  <c r="BJ420" i="3"/>
  <c r="BI420" i="3"/>
  <c r="BH420" i="3"/>
  <c r="BG420" i="3"/>
  <c r="BF420" i="3"/>
  <c r="BE420" i="3"/>
  <c r="BD420" i="3"/>
  <c r="BC420" i="3"/>
  <c r="BB420" i="3"/>
  <c r="BA420" i="3"/>
  <c r="AZ420" i="3"/>
  <c r="AY420" i="3"/>
  <c r="AX420" i="3"/>
  <c r="AW420" i="3"/>
  <c r="AV420" i="3"/>
  <c r="AU420" i="3"/>
  <c r="AT420" i="3"/>
  <c r="AS420" i="3"/>
  <c r="AR420" i="3"/>
  <c r="AQ420" i="3"/>
  <c r="AP420" i="3"/>
  <c r="AO420" i="3"/>
  <c r="AN420" i="3"/>
  <c r="AM420" i="3"/>
  <c r="A420" i="3"/>
  <c r="BS419" i="3"/>
  <c r="BR419" i="3"/>
  <c r="BQ419" i="3"/>
  <c r="BP419" i="3"/>
  <c r="BO419" i="3"/>
  <c r="BN419" i="3"/>
  <c r="BM419" i="3"/>
  <c r="BL419" i="3"/>
  <c r="BK419" i="3"/>
  <c r="BJ419" i="3"/>
  <c r="BI419" i="3"/>
  <c r="BH419" i="3"/>
  <c r="BG419" i="3"/>
  <c r="BF419" i="3"/>
  <c r="BE419" i="3"/>
  <c r="BD419" i="3"/>
  <c r="BC419" i="3"/>
  <c r="BB419" i="3"/>
  <c r="BA419" i="3"/>
  <c r="AZ419" i="3"/>
  <c r="AY419" i="3"/>
  <c r="AX419" i="3"/>
  <c r="AW419" i="3"/>
  <c r="AV419" i="3"/>
  <c r="AU419" i="3"/>
  <c r="AT419" i="3"/>
  <c r="AS419" i="3"/>
  <c r="AR419" i="3"/>
  <c r="AQ419" i="3"/>
  <c r="AP419" i="3"/>
  <c r="AO419" i="3"/>
  <c r="AN419" i="3"/>
  <c r="AM419" i="3"/>
  <c r="AL419" i="3"/>
  <c r="AK419" i="3"/>
  <c r="AJ419" i="3"/>
  <c r="AI419" i="3"/>
  <c r="AH419" i="3"/>
  <c r="AG419" i="3"/>
  <c r="AF419" i="3"/>
  <c r="AE419" i="3"/>
  <c r="AD419" i="3"/>
  <c r="AC419" i="3"/>
  <c r="AB419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A419" i="3"/>
  <c r="BS418" i="3"/>
  <c r="BR418" i="3"/>
  <c r="BQ418" i="3"/>
  <c r="BP418" i="3"/>
  <c r="BO418" i="3"/>
  <c r="BN418" i="3"/>
  <c r="BM418" i="3"/>
  <c r="BL418" i="3"/>
  <c r="BK418" i="3"/>
  <c r="BJ418" i="3"/>
  <c r="BI418" i="3"/>
  <c r="BH418" i="3"/>
  <c r="BG418" i="3"/>
  <c r="BF418" i="3"/>
  <c r="BE418" i="3"/>
  <c r="BD418" i="3"/>
  <c r="BC418" i="3"/>
  <c r="BB418" i="3"/>
  <c r="BA418" i="3"/>
  <c r="AZ418" i="3"/>
  <c r="AY418" i="3"/>
  <c r="AX418" i="3"/>
  <c r="AW418" i="3"/>
  <c r="AV418" i="3"/>
  <c r="AU418" i="3"/>
  <c r="AT418" i="3"/>
  <c r="AS418" i="3"/>
  <c r="AR418" i="3"/>
  <c r="AQ418" i="3"/>
  <c r="AP418" i="3"/>
  <c r="AO418" i="3"/>
  <c r="AN418" i="3"/>
  <c r="AM418" i="3"/>
  <c r="BS417" i="3"/>
  <c r="BR417" i="3"/>
  <c r="BQ417" i="3"/>
  <c r="BP417" i="3"/>
  <c r="BO417" i="3"/>
  <c r="BN417" i="3"/>
  <c r="BM417" i="3"/>
  <c r="BL417" i="3"/>
  <c r="BK417" i="3"/>
  <c r="BJ417" i="3"/>
  <c r="BI417" i="3"/>
  <c r="BH417" i="3"/>
  <c r="BG417" i="3"/>
  <c r="BF417" i="3"/>
  <c r="BE417" i="3"/>
  <c r="BD417" i="3"/>
  <c r="BC417" i="3"/>
  <c r="BB417" i="3"/>
  <c r="BA417" i="3"/>
  <c r="AZ417" i="3"/>
  <c r="AY417" i="3"/>
  <c r="AX417" i="3"/>
  <c r="AW417" i="3"/>
  <c r="AV417" i="3"/>
  <c r="AU417" i="3"/>
  <c r="AT417" i="3"/>
  <c r="AS417" i="3"/>
  <c r="AR417" i="3"/>
  <c r="AQ417" i="3"/>
  <c r="AP417" i="3"/>
  <c r="AO417" i="3"/>
  <c r="AN417" i="3"/>
  <c r="AM417" i="3"/>
  <c r="BS416" i="3"/>
  <c r="BR416" i="3"/>
  <c r="BQ416" i="3"/>
  <c r="BP416" i="3"/>
  <c r="BO416" i="3"/>
  <c r="BN416" i="3"/>
  <c r="BM416" i="3"/>
  <c r="BL416" i="3"/>
  <c r="BK416" i="3"/>
  <c r="BJ416" i="3"/>
  <c r="BI416" i="3"/>
  <c r="BH416" i="3"/>
  <c r="BG416" i="3"/>
  <c r="BF416" i="3"/>
  <c r="BE416" i="3"/>
  <c r="BD416" i="3"/>
  <c r="BC416" i="3"/>
  <c r="BB416" i="3"/>
  <c r="BA416" i="3"/>
  <c r="AZ416" i="3"/>
  <c r="AY416" i="3"/>
  <c r="AX416" i="3"/>
  <c r="AW416" i="3"/>
  <c r="AV416" i="3"/>
  <c r="AU416" i="3"/>
  <c r="AT416" i="3"/>
  <c r="AS416" i="3"/>
  <c r="AR416" i="3"/>
  <c r="AQ416" i="3"/>
  <c r="AP416" i="3"/>
  <c r="AO416" i="3"/>
  <c r="AN416" i="3"/>
  <c r="AM416" i="3"/>
  <c r="BS415" i="3"/>
  <c r="BR415" i="3"/>
  <c r="BQ415" i="3"/>
  <c r="BP415" i="3"/>
  <c r="BO415" i="3"/>
  <c r="BN415" i="3"/>
  <c r="BM415" i="3"/>
  <c r="BL415" i="3"/>
  <c r="BK415" i="3"/>
  <c r="BJ415" i="3"/>
  <c r="BI415" i="3"/>
  <c r="BH415" i="3"/>
  <c r="BG415" i="3"/>
  <c r="BF415" i="3"/>
  <c r="BE415" i="3"/>
  <c r="BD415" i="3"/>
  <c r="BC415" i="3"/>
  <c r="BB415" i="3"/>
  <c r="BA415" i="3"/>
  <c r="AZ415" i="3"/>
  <c r="AY415" i="3"/>
  <c r="AX415" i="3"/>
  <c r="AW415" i="3"/>
  <c r="AV415" i="3"/>
  <c r="AU415" i="3"/>
  <c r="AT415" i="3"/>
  <c r="AS415" i="3"/>
  <c r="AR415" i="3"/>
  <c r="AQ415" i="3"/>
  <c r="AP415" i="3"/>
  <c r="AO415" i="3"/>
  <c r="AN415" i="3"/>
  <c r="AM415" i="3"/>
  <c r="BS414" i="3"/>
  <c r="BR414" i="3"/>
  <c r="BQ414" i="3"/>
  <c r="BP414" i="3"/>
  <c r="BO414" i="3"/>
  <c r="BN414" i="3"/>
  <c r="BM414" i="3"/>
  <c r="BL414" i="3"/>
  <c r="BK414" i="3"/>
  <c r="BJ414" i="3"/>
  <c r="BI414" i="3"/>
  <c r="BH414" i="3"/>
  <c r="BG414" i="3"/>
  <c r="BF414" i="3"/>
  <c r="BE414" i="3"/>
  <c r="BD414" i="3"/>
  <c r="BC414" i="3"/>
  <c r="BB414" i="3"/>
  <c r="BA414" i="3"/>
  <c r="AZ414" i="3"/>
  <c r="AY414" i="3"/>
  <c r="AX414" i="3"/>
  <c r="AW414" i="3"/>
  <c r="AV414" i="3"/>
  <c r="AU414" i="3"/>
  <c r="AT414" i="3"/>
  <c r="AS414" i="3"/>
  <c r="AR414" i="3"/>
  <c r="AQ414" i="3"/>
  <c r="AP414" i="3"/>
  <c r="AO414" i="3"/>
  <c r="AN414" i="3"/>
  <c r="AM414" i="3"/>
  <c r="BS413" i="3"/>
  <c r="BR413" i="3"/>
  <c r="BQ413" i="3"/>
  <c r="BP413" i="3"/>
  <c r="BO413" i="3"/>
  <c r="BN413" i="3"/>
  <c r="BM413" i="3"/>
  <c r="BL413" i="3"/>
  <c r="BK413" i="3"/>
  <c r="BJ413" i="3"/>
  <c r="BI413" i="3"/>
  <c r="BH413" i="3"/>
  <c r="BG413" i="3"/>
  <c r="BF413" i="3"/>
  <c r="BE413" i="3"/>
  <c r="BD413" i="3"/>
  <c r="BC413" i="3"/>
  <c r="BB413" i="3"/>
  <c r="BA413" i="3"/>
  <c r="AZ413" i="3"/>
  <c r="AY413" i="3"/>
  <c r="AX413" i="3"/>
  <c r="AW413" i="3"/>
  <c r="AV413" i="3"/>
  <c r="AU413" i="3"/>
  <c r="AT413" i="3"/>
  <c r="AS413" i="3"/>
  <c r="AR413" i="3"/>
  <c r="AQ413" i="3"/>
  <c r="AP413" i="3"/>
  <c r="AO413" i="3"/>
  <c r="AN413" i="3"/>
  <c r="AM413" i="3"/>
  <c r="BS412" i="3"/>
  <c r="BR412" i="3"/>
  <c r="BQ412" i="3"/>
  <c r="BP412" i="3"/>
  <c r="BO412" i="3"/>
  <c r="BN412" i="3"/>
  <c r="BM412" i="3"/>
  <c r="BL412" i="3"/>
  <c r="BK412" i="3"/>
  <c r="BJ412" i="3"/>
  <c r="BI412" i="3"/>
  <c r="BH412" i="3"/>
  <c r="BG412" i="3"/>
  <c r="BF412" i="3"/>
  <c r="BE412" i="3"/>
  <c r="BD412" i="3"/>
  <c r="BC412" i="3"/>
  <c r="BB412" i="3"/>
  <c r="BA412" i="3"/>
  <c r="AZ412" i="3"/>
  <c r="AY412" i="3"/>
  <c r="AX412" i="3"/>
  <c r="AW412" i="3"/>
  <c r="AV412" i="3"/>
  <c r="AU412" i="3"/>
  <c r="AT412" i="3"/>
  <c r="AS412" i="3"/>
  <c r="AR412" i="3"/>
  <c r="AQ412" i="3"/>
  <c r="AP412" i="3"/>
  <c r="AO412" i="3"/>
  <c r="AN412" i="3"/>
  <c r="AM412" i="3"/>
  <c r="BS411" i="3"/>
  <c r="BR411" i="3"/>
  <c r="BQ411" i="3"/>
  <c r="BP411" i="3"/>
  <c r="BO411" i="3"/>
  <c r="BN411" i="3"/>
  <c r="BM411" i="3"/>
  <c r="BL411" i="3"/>
  <c r="BK411" i="3"/>
  <c r="BJ411" i="3"/>
  <c r="BI411" i="3"/>
  <c r="BH411" i="3"/>
  <c r="BG411" i="3"/>
  <c r="BF411" i="3"/>
  <c r="BE411" i="3"/>
  <c r="BD411" i="3"/>
  <c r="BC411" i="3"/>
  <c r="BB411" i="3"/>
  <c r="BA411" i="3"/>
  <c r="AZ411" i="3"/>
  <c r="AY411" i="3"/>
  <c r="AX411" i="3"/>
  <c r="AW411" i="3"/>
  <c r="AV411" i="3"/>
  <c r="AU411" i="3"/>
  <c r="AT411" i="3"/>
  <c r="AS411" i="3"/>
  <c r="AR411" i="3"/>
  <c r="AQ411" i="3"/>
  <c r="AP411" i="3"/>
  <c r="AO411" i="3"/>
  <c r="AN411" i="3"/>
  <c r="AM411" i="3"/>
  <c r="E411" i="3"/>
  <c r="E808" i="3" s="1"/>
  <c r="D411" i="3"/>
  <c r="D808" i="3" s="1"/>
  <c r="C411" i="3"/>
  <c r="C808" i="3" s="1"/>
  <c r="B411" i="3"/>
  <c r="A411" i="3"/>
  <c r="A808" i="3" s="1"/>
  <c r="BS410" i="3"/>
  <c r="BR410" i="3"/>
  <c r="BQ410" i="3"/>
  <c r="BP410" i="3"/>
  <c r="BO410" i="3"/>
  <c r="BN410" i="3"/>
  <c r="BM410" i="3"/>
  <c r="BL410" i="3"/>
  <c r="BK410" i="3"/>
  <c r="BJ410" i="3"/>
  <c r="BI410" i="3"/>
  <c r="BH410" i="3"/>
  <c r="BG410" i="3"/>
  <c r="BF410" i="3"/>
  <c r="BE410" i="3"/>
  <c r="BD410" i="3"/>
  <c r="BC410" i="3"/>
  <c r="BB410" i="3"/>
  <c r="BA410" i="3"/>
  <c r="AZ410" i="3"/>
  <c r="AY410" i="3"/>
  <c r="AX410" i="3"/>
  <c r="AW410" i="3"/>
  <c r="AV410" i="3"/>
  <c r="AU410" i="3"/>
  <c r="AT410" i="3"/>
  <c r="AS410" i="3"/>
  <c r="AR410" i="3"/>
  <c r="AQ410" i="3"/>
  <c r="AP410" i="3"/>
  <c r="AO410" i="3"/>
  <c r="AN410" i="3"/>
  <c r="AM410" i="3"/>
  <c r="E410" i="3"/>
  <c r="E807" i="3" s="1"/>
  <c r="D410" i="3"/>
  <c r="D807" i="3" s="1"/>
  <c r="C410" i="3"/>
  <c r="C807" i="3" s="1"/>
  <c r="B410" i="3"/>
  <c r="A410" i="3"/>
  <c r="BS409" i="3"/>
  <c r="BR409" i="3"/>
  <c r="BQ409" i="3"/>
  <c r="BP409" i="3"/>
  <c r="BO409" i="3"/>
  <c r="BN409" i="3"/>
  <c r="BM409" i="3"/>
  <c r="BL409" i="3"/>
  <c r="BK409" i="3"/>
  <c r="BJ409" i="3"/>
  <c r="BI409" i="3"/>
  <c r="BH409" i="3"/>
  <c r="BG409" i="3"/>
  <c r="BF409" i="3"/>
  <c r="BE409" i="3"/>
  <c r="BD409" i="3"/>
  <c r="BC409" i="3"/>
  <c r="BB409" i="3"/>
  <c r="BA409" i="3"/>
  <c r="AZ409" i="3"/>
  <c r="AY409" i="3"/>
  <c r="AX409" i="3"/>
  <c r="AW409" i="3"/>
  <c r="AV409" i="3"/>
  <c r="AU409" i="3"/>
  <c r="AT409" i="3"/>
  <c r="AS409" i="3"/>
  <c r="AR409" i="3"/>
  <c r="AQ409" i="3"/>
  <c r="AP409" i="3"/>
  <c r="AO409" i="3"/>
  <c r="AN409" i="3"/>
  <c r="AM409" i="3"/>
  <c r="E409" i="3"/>
  <c r="E806" i="3" s="1"/>
  <c r="D409" i="3"/>
  <c r="C409" i="3"/>
  <c r="C806" i="3" s="1"/>
  <c r="B409" i="3"/>
  <c r="B806" i="3" s="1"/>
  <c r="A409" i="3"/>
  <c r="A806" i="3" s="1"/>
  <c r="BS408" i="3"/>
  <c r="BR408" i="3"/>
  <c r="BQ408" i="3"/>
  <c r="BP408" i="3"/>
  <c r="BO408" i="3"/>
  <c r="BN408" i="3"/>
  <c r="BM408" i="3"/>
  <c r="BL408" i="3"/>
  <c r="BK408" i="3"/>
  <c r="BJ408" i="3"/>
  <c r="BI408" i="3"/>
  <c r="BH408" i="3"/>
  <c r="BG408" i="3"/>
  <c r="BF408" i="3"/>
  <c r="BE408" i="3"/>
  <c r="BD408" i="3"/>
  <c r="BC408" i="3"/>
  <c r="BB408" i="3"/>
  <c r="BA408" i="3"/>
  <c r="AZ408" i="3"/>
  <c r="AY408" i="3"/>
  <c r="AX408" i="3"/>
  <c r="AW408" i="3"/>
  <c r="AV408" i="3"/>
  <c r="AU408" i="3"/>
  <c r="AT408" i="3"/>
  <c r="AS408" i="3"/>
  <c r="AR408" i="3"/>
  <c r="AQ408" i="3"/>
  <c r="AP408" i="3"/>
  <c r="AO408" i="3"/>
  <c r="AN408" i="3"/>
  <c r="AM408" i="3"/>
  <c r="E408" i="3"/>
  <c r="D408" i="3"/>
  <c r="D805" i="3" s="1"/>
  <c r="C408" i="3"/>
  <c r="C805" i="3" s="1"/>
  <c r="B408" i="3"/>
  <c r="B805" i="3" s="1"/>
  <c r="A408" i="3"/>
  <c r="A805" i="3" s="1"/>
  <c r="BS407" i="3"/>
  <c r="BR407" i="3"/>
  <c r="BQ407" i="3"/>
  <c r="BP407" i="3"/>
  <c r="BO407" i="3"/>
  <c r="BN407" i="3"/>
  <c r="BM407" i="3"/>
  <c r="BL407" i="3"/>
  <c r="BK407" i="3"/>
  <c r="BJ407" i="3"/>
  <c r="BI407" i="3"/>
  <c r="BH407" i="3"/>
  <c r="BG407" i="3"/>
  <c r="BF407" i="3"/>
  <c r="BE407" i="3"/>
  <c r="BD407" i="3"/>
  <c r="BC407" i="3"/>
  <c r="BB407" i="3"/>
  <c r="BA407" i="3"/>
  <c r="AZ407" i="3"/>
  <c r="AY407" i="3"/>
  <c r="AX407" i="3"/>
  <c r="AW407" i="3"/>
  <c r="AV407" i="3"/>
  <c r="AU407" i="3"/>
  <c r="AT407" i="3"/>
  <c r="AS407" i="3"/>
  <c r="AR407" i="3"/>
  <c r="AQ407" i="3"/>
  <c r="AP407" i="3"/>
  <c r="AO407" i="3"/>
  <c r="AN407" i="3"/>
  <c r="AM407" i="3"/>
  <c r="E407" i="3"/>
  <c r="E804" i="3" s="1"/>
  <c r="D407" i="3"/>
  <c r="D804" i="3" s="1"/>
  <c r="C407" i="3"/>
  <c r="C804" i="3" s="1"/>
  <c r="B407" i="3"/>
  <c r="B804" i="3" s="1"/>
  <c r="A407" i="3"/>
  <c r="A804" i="3" s="1"/>
  <c r="BS406" i="3"/>
  <c r="BR406" i="3"/>
  <c r="BQ406" i="3"/>
  <c r="BP406" i="3"/>
  <c r="BO406" i="3"/>
  <c r="BN406" i="3"/>
  <c r="BM406" i="3"/>
  <c r="BL406" i="3"/>
  <c r="BK406" i="3"/>
  <c r="BJ406" i="3"/>
  <c r="BI406" i="3"/>
  <c r="BH406" i="3"/>
  <c r="BG406" i="3"/>
  <c r="BF406" i="3"/>
  <c r="BE406" i="3"/>
  <c r="BD406" i="3"/>
  <c r="BC406" i="3"/>
  <c r="BB406" i="3"/>
  <c r="BA406" i="3"/>
  <c r="AZ406" i="3"/>
  <c r="AY406" i="3"/>
  <c r="AX406" i="3"/>
  <c r="AW406" i="3"/>
  <c r="AV406" i="3"/>
  <c r="AU406" i="3"/>
  <c r="AT406" i="3"/>
  <c r="AS406" i="3"/>
  <c r="AR406" i="3"/>
  <c r="AQ406" i="3"/>
  <c r="AP406" i="3"/>
  <c r="AO406" i="3"/>
  <c r="AN406" i="3"/>
  <c r="AM406" i="3"/>
  <c r="E406" i="3"/>
  <c r="E803" i="3" s="1"/>
  <c r="D406" i="3"/>
  <c r="D803" i="3" s="1"/>
  <c r="C406" i="3"/>
  <c r="C803" i="3" s="1"/>
  <c r="B406" i="3"/>
  <c r="B803" i="3" s="1"/>
  <c r="A406" i="3"/>
  <c r="A803" i="3" s="1"/>
  <c r="BS405" i="3"/>
  <c r="BR405" i="3"/>
  <c r="BQ405" i="3"/>
  <c r="BP405" i="3"/>
  <c r="BO405" i="3"/>
  <c r="BN405" i="3"/>
  <c r="BM405" i="3"/>
  <c r="BL405" i="3"/>
  <c r="BK405" i="3"/>
  <c r="BJ405" i="3"/>
  <c r="BI405" i="3"/>
  <c r="BH405" i="3"/>
  <c r="BG405" i="3"/>
  <c r="BF405" i="3"/>
  <c r="BE405" i="3"/>
  <c r="BD405" i="3"/>
  <c r="BC405" i="3"/>
  <c r="BB405" i="3"/>
  <c r="BA405" i="3"/>
  <c r="AZ405" i="3"/>
  <c r="AY405" i="3"/>
  <c r="AX405" i="3"/>
  <c r="AW405" i="3"/>
  <c r="AV405" i="3"/>
  <c r="AU405" i="3"/>
  <c r="AT405" i="3"/>
  <c r="AS405" i="3"/>
  <c r="AR405" i="3"/>
  <c r="AQ405" i="3"/>
  <c r="AP405" i="3"/>
  <c r="AO405" i="3"/>
  <c r="AN405" i="3"/>
  <c r="AM405" i="3"/>
  <c r="E405" i="3"/>
  <c r="E802" i="3" s="1"/>
  <c r="D405" i="3"/>
  <c r="D802" i="3" s="1"/>
  <c r="C405" i="3"/>
  <c r="C802" i="3" s="1"/>
  <c r="B405" i="3"/>
  <c r="B802" i="3" s="1"/>
  <c r="A405" i="3"/>
  <c r="A802" i="3" s="1"/>
  <c r="BS404" i="3"/>
  <c r="BR404" i="3"/>
  <c r="BQ404" i="3"/>
  <c r="BP404" i="3"/>
  <c r="BO404" i="3"/>
  <c r="BN404" i="3"/>
  <c r="BM404" i="3"/>
  <c r="BL404" i="3"/>
  <c r="BK404" i="3"/>
  <c r="BJ404" i="3"/>
  <c r="BI404" i="3"/>
  <c r="BH404" i="3"/>
  <c r="BG404" i="3"/>
  <c r="BF404" i="3"/>
  <c r="BE404" i="3"/>
  <c r="BD404" i="3"/>
  <c r="BC404" i="3"/>
  <c r="BB404" i="3"/>
  <c r="BA404" i="3"/>
  <c r="AZ404" i="3"/>
  <c r="AY404" i="3"/>
  <c r="AX404" i="3"/>
  <c r="AW404" i="3"/>
  <c r="AV404" i="3"/>
  <c r="AU404" i="3"/>
  <c r="AT404" i="3"/>
  <c r="AS404" i="3"/>
  <c r="AR404" i="3"/>
  <c r="AQ404" i="3"/>
  <c r="AP404" i="3"/>
  <c r="AO404" i="3"/>
  <c r="AN404" i="3"/>
  <c r="AM404" i="3"/>
  <c r="E404" i="3"/>
  <c r="E801" i="3" s="1"/>
  <c r="D404" i="3"/>
  <c r="D801" i="3" s="1"/>
  <c r="C404" i="3"/>
  <c r="C801" i="3" s="1"/>
  <c r="B404" i="3"/>
  <c r="B801" i="3" s="1"/>
  <c r="A404" i="3"/>
  <c r="BS403" i="3"/>
  <c r="BR403" i="3"/>
  <c r="BQ403" i="3"/>
  <c r="BP403" i="3"/>
  <c r="BO403" i="3"/>
  <c r="BN403" i="3"/>
  <c r="BM403" i="3"/>
  <c r="BL403" i="3"/>
  <c r="BK403" i="3"/>
  <c r="BJ403" i="3"/>
  <c r="BI403" i="3"/>
  <c r="BH403" i="3"/>
  <c r="BG403" i="3"/>
  <c r="BF403" i="3"/>
  <c r="BE403" i="3"/>
  <c r="BD403" i="3"/>
  <c r="BC403" i="3"/>
  <c r="BB403" i="3"/>
  <c r="BA403" i="3"/>
  <c r="AZ403" i="3"/>
  <c r="AY403" i="3"/>
  <c r="AX403" i="3"/>
  <c r="AW403" i="3"/>
  <c r="AV403" i="3"/>
  <c r="AU403" i="3"/>
  <c r="AT403" i="3"/>
  <c r="AS403" i="3"/>
  <c r="AR403" i="3"/>
  <c r="AQ403" i="3"/>
  <c r="AP403" i="3"/>
  <c r="AO403" i="3"/>
  <c r="AN403" i="3"/>
  <c r="AM403" i="3"/>
  <c r="E403" i="3"/>
  <c r="E800" i="3" s="1"/>
  <c r="D403" i="3"/>
  <c r="D800" i="3" s="1"/>
  <c r="C403" i="3"/>
  <c r="C800" i="3" s="1"/>
  <c r="B403" i="3"/>
  <c r="B800" i="3" s="1"/>
  <c r="A403" i="3"/>
  <c r="A800" i="3" s="1"/>
  <c r="BS402" i="3"/>
  <c r="BR402" i="3"/>
  <c r="BQ402" i="3"/>
  <c r="BP402" i="3"/>
  <c r="BO402" i="3"/>
  <c r="BN402" i="3"/>
  <c r="BM402" i="3"/>
  <c r="BL402" i="3"/>
  <c r="BK402" i="3"/>
  <c r="BJ402" i="3"/>
  <c r="BI402" i="3"/>
  <c r="BH402" i="3"/>
  <c r="BG402" i="3"/>
  <c r="BF402" i="3"/>
  <c r="BE402" i="3"/>
  <c r="BD402" i="3"/>
  <c r="BC402" i="3"/>
  <c r="BB402" i="3"/>
  <c r="BA402" i="3"/>
  <c r="AZ402" i="3"/>
  <c r="AY402" i="3"/>
  <c r="AX402" i="3"/>
  <c r="AW402" i="3"/>
  <c r="AV402" i="3"/>
  <c r="AU402" i="3"/>
  <c r="AT402" i="3"/>
  <c r="AS402" i="3"/>
  <c r="AR402" i="3"/>
  <c r="AQ402" i="3"/>
  <c r="AP402" i="3"/>
  <c r="AO402" i="3"/>
  <c r="AN402" i="3"/>
  <c r="AM402" i="3"/>
  <c r="E402" i="3"/>
  <c r="E799" i="3" s="1"/>
  <c r="D402" i="3"/>
  <c r="C402" i="3"/>
  <c r="B402" i="3"/>
  <c r="B799" i="3" s="1"/>
  <c r="A402" i="3"/>
  <c r="A799" i="3" s="1"/>
  <c r="BS401" i="3"/>
  <c r="BR401" i="3"/>
  <c r="BQ401" i="3"/>
  <c r="BP401" i="3"/>
  <c r="BO401" i="3"/>
  <c r="BN401" i="3"/>
  <c r="BM401" i="3"/>
  <c r="BL401" i="3"/>
  <c r="BK401" i="3"/>
  <c r="BJ401" i="3"/>
  <c r="BI401" i="3"/>
  <c r="BH401" i="3"/>
  <c r="BG401" i="3"/>
  <c r="BF401" i="3"/>
  <c r="BE401" i="3"/>
  <c r="BD401" i="3"/>
  <c r="BC401" i="3"/>
  <c r="BB401" i="3"/>
  <c r="BA401" i="3"/>
  <c r="AZ401" i="3"/>
  <c r="AY401" i="3"/>
  <c r="AX401" i="3"/>
  <c r="AW401" i="3"/>
  <c r="AV401" i="3"/>
  <c r="AU401" i="3"/>
  <c r="AT401" i="3"/>
  <c r="AS401" i="3"/>
  <c r="AR401" i="3"/>
  <c r="AQ401" i="3"/>
  <c r="AP401" i="3"/>
  <c r="AO401" i="3"/>
  <c r="AN401" i="3"/>
  <c r="AM401" i="3"/>
  <c r="E401" i="3"/>
  <c r="D401" i="3"/>
  <c r="C401" i="3"/>
  <c r="C798" i="3" s="1"/>
  <c r="B401" i="3"/>
  <c r="B798" i="3" s="1"/>
  <c r="A401" i="3"/>
  <c r="A798" i="3" s="1"/>
  <c r="BS400" i="3"/>
  <c r="BR400" i="3"/>
  <c r="BQ400" i="3"/>
  <c r="BP400" i="3"/>
  <c r="BO400" i="3"/>
  <c r="BN400" i="3"/>
  <c r="BM400" i="3"/>
  <c r="BL400" i="3"/>
  <c r="BK400" i="3"/>
  <c r="BJ400" i="3"/>
  <c r="BI400" i="3"/>
  <c r="BH400" i="3"/>
  <c r="BG400" i="3"/>
  <c r="BF400" i="3"/>
  <c r="BE400" i="3"/>
  <c r="BD400" i="3"/>
  <c r="BC400" i="3"/>
  <c r="BB400" i="3"/>
  <c r="BA400" i="3"/>
  <c r="AZ400" i="3"/>
  <c r="AY400" i="3"/>
  <c r="AX400" i="3"/>
  <c r="AW400" i="3"/>
  <c r="AV400" i="3"/>
  <c r="AU400" i="3"/>
  <c r="AT400" i="3"/>
  <c r="AS400" i="3"/>
  <c r="AR400" i="3"/>
  <c r="AQ400" i="3"/>
  <c r="AP400" i="3"/>
  <c r="AO400" i="3"/>
  <c r="AN400" i="3"/>
  <c r="AM400" i="3"/>
  <c r="E400" i="3"/>
  <c r="E797" i="3" s="1"/>
  <c r="D400" i="3"/>
  <c r="D797" i="3" s="1"/>
  <c r="C400" i="3"/>
  <c r="B400" i="3"/>
  <c r="A400" i="3"/>
  <c r="A797" i="3" s="1"/>
  <c r="BS399" i="3"/>
  <c r="BR399" i="3"/>
  <c r="BQ399" i="3"/>
  <c r="BP399" i="3"/>
  <c r="BO399" i="3"/>
  <c r="BN399" i="3"/>
  <c r="BM399" i="3"/>
  <c r="BL399" i="3"/>
  <c r="BK399" i="3"/>
  <c r="BJ399" i="3"/>
  <c r="BI399" i="3"/>
  <c r="BH399" i="3"/>
  <c r="BG399" i="3"/>
  <c r="BF399" i="3"/>
  <c r="BE399" i="3"/>
  <c r="BD399" i="3"/>
  <c r="BC399" i="3"/>
  <c r="BB399" i="3"/>
  <c r="BA399" i="3"/>
  <c r="AZ399" i="3"/>
  <c r="AY399" i="3"/>
  <c r="AX399" i="3"/>
  <c r="AW399" i="3"/>
  <c r="AV399" i="3"/>
  <c r="AU399" i="3"/>
  <c r="AT399" i="3"/>
  <c r="AS399" i="3"/>
  <c r="AR399" i="3"/>
  <c r="AQ399" i="3"/>
  <c r="AP399" i="3"/>
  <c r="AO399" i="3"/>
  <c r="AN399" i="3"/>
  <c r="AM399" i="3"/>
  <c r="E399" i="3"/>
  <c r="D399" i="3"/>
  <c r="D796" i="3" s="1"/>
  <c r="C399" i="3"/>
  <c r="C796" i="3" s="1"/>
  <c r="B399" i="3"/>
  <c r="B796" i="3" s="1"/>
  <c r="A399" i="3"/>
  <c r="A796" i="3" s="1"/>
  <c r="BS398" i="3"/>
  <c r="BR398" i="3"/>
  <c r="BQ398" i="3"/>
  <c r="BP398" i="3"/>
  <c r="BO398" i="3"/>
  <c r="BN398" i="3"/>
  <c r="BM398" i="3"/>
  <c r="BL398" i="3"/>
  <c r="BK398" i="3"/>
  <c r="BJ398" i="3"/>
  <c r="BI398" i="3"/>
  <c r="BH398" i="3"/>
  <c r="BG398" i="3"/>
  <c r="BF398" i="3"/>
  <c r="BE398" i="3"/>
  <c r="BD398" i="3"/>
  <c r="BC398" i="3"/>
  <c r="BB398" i="3"/>
  <c r="BA398" i="3"/>
  <c r="AZ398" i="3"/>
  <c r="AY398" i="3"/>
  <c r="AX398" i="3"/>
  <c r="AW398" i="3"/>
  <c r="AV398" i="3"/>
  <c r="AU398" i="3"/>
  <c r="AT398" i="3"/>
  <c r="AS398" i="3"/>
  <c r="AR398" i="3"/>
  <c r="AQ398" i="3"/>
  <c r="AP398" i="3"/>
  <c r="AO398" i="3"/>
  <c r="AN398" i="3"/>
  <c r="AM398" i="3"/>
  <c r="E398" i="3"/>
  <c r="D398" i="3"/>
  <c r="D795" i="3" s="1"/>
  <c r="C398" i="3"/>
  <c r="C795" i="3" s="1"/>
  <c r="B398" i="3"/>
  <c r="B795" i="3" s="1"/>
  <c r="A398" i="3"/>
  <c r="BS397" i="3"/>
  <c r="BR397" i="3"/>
  <c r="BQ397" i="3"/>
  <c r="BP397" i="3"/>
  <c r="BO397" i="3"/>
  <c r="BN397" i="3"/>
  <c r="BM397" i="3"/>
  <c r="BL397" i="3"/>
  <c r="BK397" i="3"/>
  <c r="BJ397" i="3"/>
  <c r="BI397" i="3"/>
  <c r="BH397" i="3"/>
  <c r="BG397" i="3"/>
  <c r="BF397" i="3"/>
  <c r="BE397" i="3"/>
  <c r="BD397" i="3"/>
  <c r="BC397" i="3"/>
  <c r="BB397" i="3"/>
  <c r="BA397" i="3"/>
  <c r="AZ397" i="3"/>
  <c r="AY397" i="3"/>
  <c r="AX397" i="3"/>
  <c r="AW397" i="3"/>
  <c r="AV397" i="3"/>
  <c r="AU397" i="3"/>
  <c r="AT397" i="3"/>
  <c r="AS397" i="3"/>
  <c r="AR397" i="3"/>
  <c r="AQ397" i="3"/>
  <c r="AP397" i="3"/>
  <c r="AO397" i="3"/>
  <c r="AN397" i="3"/>
  <c r="AM397" i="3"/>
  <c r="E397" i="3"/>
  <c r="E794" i="3" s="1"/>
  <c r="D397" i="3"/>
  <c r="D794" i="3" s="1"/>
  <c r="C397" i="3"/>
  <c r="C794" i="3" s="1"/>
  <c r="B397" i="3"/>
  <c r="B794" i="3" s="1"/>
  <c r="A397" i="3"/>
  <c r="A794" i="3" s="1"/>
  <c r="BS396" i="3"/>
  <c r="BR396" i="3"/>
  <c r="BQ396" i="3"/>
  <c r="BP396" i="3"/>
  <c r="BO396" i="3"/>
  <c r="BN396" i="3"/>
  <c r="BM396" i="3"/>
  <c r="BL396" i="3"/>
  <c r="BK396" i="3"/>
  <c r="BJ396" i="3"/>
  <c r="BI396" i="3"/>
  <c r="BH396" i="3"/>
  <c r="BG396" i="3"/>
  <c r="BF396" i="3"/>
  <c r="BE396" i="3"/>
  <c r="BD396" i="3"/>
  <c r="BC396" i="3"/>
  <c r="BB396" i="3"/>
  <c r="BA396" i="3"/>
  <c r="AZ396" i="3"/>
  <c r="AY396" i="3"/>
  <c r="AX396" i="3"/>
  <c r="AW396" i="3"/>
  <c r="AV396" i="3"/>
  <c r="AU396" i="3"/>
  <c r="AT396" i="3"/>
  <c r="AS396" i="3"/>
  <c r="AR396" i="3"/>
  <c r="AQ396" i="3"/>
  <c r="AP396" i="3"/>
  <c r="AO396" i="3"/>
  <c r="AN396" i="3"/>
  <c r="AM396" i="3"/>
  <c r="E396" i="3"/>
  <c r="E793" i="3" s="1"/>
  <c r="D396" i="3"/>
  <c r="D793" i="3" s="1"/>
  <c r="C396" i="3"/>
  <c r="C793" i="3" s="1"/>
  <c r="B396" i="3"/>
  <c r="B793" i="3" s="1"/>
  <c r="A396" i="3"/>
  <c r="A793" i="3" s="1"/>
  <c r="BS395" i="3"/>
  <c r="BR395" i="3"/>
  <c r="BQ395" i="3"/>
  <c r="BP395" i="3"/>
  <c r="BO395" i="3"/>
  <c r="BN395" i="3"/>
  <c r="BM395" i="3"/>
  <c r="BL395" i="3"/>
  <c r="BK395" i="3"/>
  <c r="BJ395" i="3"/>
  <c r="BI395" i="3"/>
  <c r="BH395" i="3"/>
  <c r="BG395" i="3"/>
  <c r="BF395" i="3"/>
  <c r="BE395" i="3"/>
  <c r="BD395" i="3"/>
  <c r="BC395" i="3"/>
  <c r="BB395" i="3"/>
  <c r="BA395" i="3"/>
  <c r="AZ395" i="3"/>
  <c r="AY395" i="3"/>
  <c r="AX395" i="3"/>
  <c r="AW395" i="3"/>
  <c r="AV395" i="3"/>
  <c r="AU395" i="3"/>
  <c r="AT395" i="3"/>
  <c r="AS395" i="3"/>
  <c r="AR395" i="3"/>
  <c r="AQ395" i="3"/>
  <c r="AP395" i="3"/>
  <c r="AO395" i="3"/>
  <c r="AN395" i="3"/>
  <c r="AM395" i="3"/>
  <c r="E395" i="3"/>
  <c r="D395" i="3"/>
  <c r="C395" i="3"/>
  <c r="C792" i="3" s="1"/>
  <c r="B395" i="3"/>
  <c r="B792" i="3" s="1"/>
  <c r="A395" i="3"/>
  <c r="A792" i="3" s="1"/>
  <c r="BS394" i="3"/>
  <c r="BR394" i="3"/>
  <c r="BQ394" i="3"/>
  <c r="BP394" i="3"/>
  <c r="BO394" i="3"/>
  <c r="BN394" i="3"/>
  <c r="BM394" i="3"/>
  <c r="BL394" i="3"/>
  <c r="BK394" i="3"/>
  <c r="BJ394" i="3"/>
  <c r="BI394" i="3"/>
  <c r="BH394" i="3"/>
  <c r="BG394" i="3"/>
  <c r="BF394" i="3"/>
  <c r="BE394" i="3"/>
  <c r="BD394" i="3"/>
  <c r="BC394" i="3"/>
  <c r="BB394" i="3"/>
  <c r="BA394" i="3"/>
  <c r="AZ394" i="3"/>
  <c r="AY394" i="3"/>
  <c r="AX394" i="3"/>
  <c r="AW394" i="3"/>
  <c r="AV394" i="3"/>
  <c r="AU394" i="3"/>
  <c r="AT394" i="3"/>
  <c r="AS394" i="3"/>
  <c r="AR394" i="3"/>
  <c r="AQ394" i="3"/>
  <c r="AP394" i="3"/>
  <c r="AO394" i="3"/>
  <c r="AN394" i="3"/>
  <c r="AM394" i="3"/>
  <c r="E394" i="3"/>
  <c r="E791" i="3" s="1"/>
  <c r="D394" i="3"/>
  <c r="C394" i="3"/>
  <c r="B394" i="3"/>
  <c r="B791" i="3" s="1"/>
  <c r="A394" i="3"/>
  <c r="A791" i="3" s="1"/>
  <c r="BS393" i="3"/>
  <c r="BR393" i="3"/>
  <c r="BQ393" i="3"/>
  <c r="BP393" i="3"/>
  <c r="BO393" i="3"/>
  <c r="BN393" i="3"/>
  <c r="BM393" i="3"/>
  <c r="BL393" i="3"/>
  <c r="BK393" i="3"/>
  <c r="BJ393" i="3"/>
  <c r="BI393" i="3"/>
  <c r="BH393" i="3"/>
  <c r="BG393" i="3"/>
  <c r="BF393" i="3"/>
  <c r="BE393" i="3"/>
  <c r="BD393" i="3"/>
  <c r="BC393" i="3"/>
  <c r="BB393" i="3"/>
  <c r="BA393" i="3"/>
  <c r="AZ393" i="3"/>
  <c r="AY393" i="3"/>
  <c r="AX393" i="3"/>
  <c r="AW393" i="3"/>
  <c r="AV393" i="3"/>
  <c r="AU393" i="3"/>
  <c r="AT393" i="3"/>
  <c r="AS393" i="3"/>
  <c r="AR393" i="3"/>
  <c r="AQ393" i="3"/>
  <c r="AP393" i="3"/>
  <c r="AO393" i="3"/>
  <c r="AN393" i="3"/>
  <c r="AM393" i="3"/>
  <c r="E393" i="3"/>
  <c r="E790" i="3" s="1"/>
  <c r="D393" i="3"/>
  <c r="D790" i="3" s="1"/>
  <c r="C393" i="3"/>
  <c r="C790" i="3" s="1"/>
  <c r="B393" i="3"/>
  <c r="B790" i="3" s="1"/>
  <c r="A393" i="3"/>
  <c r="A790" i="3" s="1"/>
  <c r="BS392" i="3"/>
  <c r="BR392" i="3"/>
  <c r="BQ392" i="3"/>
  <c r="BP392" i="3"/>
  <c r="BO392" i="3"/>
  <c r="BN392" i="3"/>
  <c r="BM392" i="3"/>
  <c r="BL392" i="3"/>
  <c r="BK392" i="3"/>
  <c r="BJ392" i="3"/>
  <c r="BI392" i="3"/>
  <c r="BH392" i="3"/>
  <c r="BG392" i="3"/>
  <c r="BF392" i="3"/>
  <c r="BE392" i="3"/>
  <c r="BD392" i="3"/>
  <c r="BC392" i="3"/>
  <c r="BB392" i="3"/>
  <c r="BA392" i="3"/>
  <c r="AZ392" i="3"/>
  <c r="AY392" i="3"/>
  <c r="AX392" i="3"/>
  <c r="AW392" i="3"/>
  <c r="AV392" i="3"/>
  <c r="AU392" i="3"/>
  <c r="AT392" i="3"/>
  <c r="AS392" i="3"/>
  <c r="AR392" i="3"/>
  <c r="AQ392" i="3"/>
  <c r="AP392" i="3"/>
  <c r="AO392" i="3"/>
  <c r="AN392" i="3"/>
  <c r="AM392" i="3"/>
  <c r="E392" i="3"/>
  <c r="E789" i="3" s="1"/>
  <c r="D392" i="3"/>
  <c r="D789" i="3" s="1"/>
  <c r="C392" i="3"/>
  <c r="C789" i="3" s="1"/>
  <c r="B392" i="3"/>
  <c r="B789" i="3" s="1"/>
  <c r="A392" i="3"/>
  <c r="A789" i="3" s="1"/>
  <c r="BS391" i="3"/>
  <c r="BR391" i="3"/>
  <c r="BQ391" i="3"/>
  <c r="BP391" i="3"/>
  <c r="BO391" i="3"/>
  <c r="BN391" i="3"/>
  <c r="BM391" i="3"/>
  <c r="BL391" i="3"/>
  <c r="BK391" i="3"/>
  <c r="BJ391" i="3"/>
  <c r="BI391" i="3"/>
  <c r="BH391" i="3"/>
  <c r="BG391" i="3"/>
  <c r="BF391" i="3"/>
  <c r="BE391" i="3"/>
  <c r="BD391" i="3"/>
  <c r="BC391" i="3"/>
  <c r="BB391" i="3"/>
  <c r="BA391" i="3"/>
  <c r="AZ391" i="3"/>
  <c r="AY391" i="3"/>
  <c r="AX391" i="3"/>
  <c r="AW391" i="3"/>
  <c r="AV391" i="3"/>
  <c r="AU391" i="3"/>
  <c r="AT391" i="3"/>
  <c r="AS391" i="3"/>
  <c r="AR391" i="3"/>
  <c r="AQ391" i="3"/>
  <c r="AP391" i="3"/>
  <c r="AO391" i="3"/>
  <c r="AN391" i="3"/>
  <c r="AM391" i="3"/>
  <c r="E391" i="3"/>
  <c r="E391" i="2" s="1"/>
  <c r="B391" i="3"/>
  <c r="A391" i="3"/>
  <c r="BS390" i="3"/>
  <c r="BR390" i="3"/>
  <c r="BQ390" i="3"/>
  <c r="BP390" i="3"/>
  <c r="BO390" i="3"/>
  <c r="BN390" i="3"/>
  <c r="BM390" i="3"/>
  <c r="BL390" i="3"/>
  <c r="BK390" i="3"/>
  <c r="BJ390" i="3"/>
  <c r="BI390" i="3"/>
  <c r="BH390" i="3"/>
  <c r="BG390" i="3"/>
  <c r="BF390" i="3"/>
  <c r="BE390" i="3"/>
  <c r="BD390" i="3"/>
  <c r="BC390" i="3"/>
  <c r="BB390" i="3"/>
  <c r="BA390" i="3"/>
  <c r="AZ390" i="3"/>
  <c r="AY390" i="3"/>
  <c r="AX390" i="3"/>
  <c r="AW390" i="3"/>
  <c r="AV390" i="3"/>
  <c r="AU390" i="3"/>
  <c r="AT390" i="3"/>
  <c r="AS390" i="3"/>
  <c r="AR390" i="3"/>
  <c r="AQ390" i="3"/>
  <c r="AP390" i="3"/>
  <c r="AO390" i="3"/>
  <c r="AN390" i="3"/>
  <c r="AM390" i="3"/>
  <c r="E390" i="3"/>
  <c r="E788" i="3" s="1"/>
  <c r="D390" i="3"/>
  <c r="D788" i="3" s="1"/>
  <c r="C390" i="3"/>
  <c r="C788" i="3" s="1"/>
  <c r="B390" i="3"/>
  <c r="A390" i="3"/>
  <c r="BS389" i="3"/>
  <c r="BR389" i="3"/>
  <c r="BQ389" i="3"/>
  <c r="BP389" i="3"/>
  <c r="BO389" i="3"/>
  <c r="BN389" i="3"/>
  <c r="BM389" i="3"/>
  <c r="BL389" i="3"/>
  <c r="BK389" i="3"/>
  <c r="BJ389" i="3"/>
  <c r="BI389" i="3"/>
  <c r="BH389" i="3"/>
  <c r="BG389" i="3"/>
  <c r="BF389" i="3"/>
  <c r="BE389" i="3"/>
  <c r="BD389" i="3"/>
  <c r="BC389" i="3"/>
  <c r="BB389" i="3"/>
  <c r="BA389" i="3"/>
  <c r="AZ389" i="3"/>
  <c r="AY389" i="3"/>
  <c r="AX389" i="3"/>
  <c r="AW389" i="3"/>
  <c r="AV389" i="3"/>
  <c r="AU389" i="3"/>
  <c r="AT389" i="3"/>
  <c r="AS389" i="3"/>
  <c r="AR389" i="3"/>
  <c r="AQ389" i="3"/>
  <c r="AP389" i="3"/>
  <c r="AO389" i="3"/>
  <c r="AN389" i="3"/>
  <c r="AM389" i="3"/>
  <c r="E389" i="3"/>
  <c r="E787" i="3" s="1"/>
  <c r="D389" i="3"/>
  <c r="D787" i="3" s="1"/>
  <c r="C389" i="3"/>
  <c r="C787" i="3" s="1"/>
  <c r="B389" i="3"/>
  <c r="A389" i="3"/>
  <c r="A787" i="3" s="1"/>
  <c r="BS388" i="3"/>
  <c r="BR388" i="3"/>
  <c r="BQ388" i="3"/>
  <c r="BP388" i="3"/>
  <c r="BO388" i="3"/>
  <c r="BN388" i="3"/>
  <c r="BM388" i="3"/>
  <c r="BL388" i="3"/>
  <c r="BK388" i="3"/>
  <c r="BJ388" i="3"/>
  <c r="BI388" i="3"/>
  <c r="BH388" i="3"/>
  <c r="BG388" i="3"/>
  <c r="BF388" i="3"/>
  <c r="BE388" i="3"/>
  <c r="BD388" i="3"/>
  <c r="BC388" i="3"/>
  <c r="BB388" i="3"/>
  <c r="BA388" i="3"/>
  <c r="AZ388" i="3"/>
  <c r="AY388" i="3"/>
  <c r="AX388" i="3"/>
  <c r="AW388" i="3"/>
  <c r="AV388" i="3"/>
  <c r="AU388" i="3"/>
  <c r="AT388" i="3"/>
  <c r="AS388" i="3"/>
  <c r="AR388" i="3"/>
  <c r="AQ388" i="3"/>
  <c r="AP388" i="3"/>
  <c r="AO388" i="3"/>
  <c r="AN388" i="3"/>
  <c r="AM388" i="3"/>
  <c r="E388" i="3"/>
  <c r="E786" i="3" s="1"/>
  <c r="D388" i="3"/>
  <c r="D786" i="3" s="1"/>
  <c r="C388" i="3"/>
  <c r="C786" i="3" s="1"/>
  <c r="B388" i="3"/>
  <c r="B786" i="3" s="1"/>
  <c r="A388" i="3"/>
  <c r="A786" i="3" s="1"/>
  <c r="BS387" i="3"/>
  <c r="BR387" i="3"/>
  <c r="BQ387" i="3"/>
  <c r="BP387" i="3"/>
  <c r="BO387" i="3"/>
  <c r="BN387" i="3"/>
  <c r="BM387" i="3"/>
  <c r="BL387" i="3"/>
  <c r="BK387" i="3"/>
  <c r="BJ387" i="3"/>
  <c r="BI387" i="3"/>
  <c r="BH387" i="3"/>
  <c r="BG387" i="3"/>
  <c r="BF387" i="3"/>
  <c r="BE387" i="3"/>
  <c r="BD387" i="3"/>
  <c r="BC387" i="3"/>
  <c r="BB387" i="3"/>
  <c r="BA387" i="3"/>
  <c r="AZ387" i="3"/>
  <c r="AY387" i="3"/>
  <c r="AX387" i="3"/>
  <c r="AW387" i="3"/>
  <c r="AV387" i="3"/>
  <c r="AU387" i="3"/>
  <c r="AT387" i="3"/>
  <c r="AS387" i="3"/>
  <c r="AR387" i="3"/>
  <c r="AQ387" i="3"/>
  <c r="AP387" i="3"/>
  <c r="AO387" i="3"/>
  <c r="AN387" i="3"/>
  <c r="AM387" i="3"/>
  <c r="E387" i="3"/>
  <c r="E785" i="3" s="1"/>
  <c r="D387" i="3"/>
  <c r="D785" i="3" s="1"/>
  <c r="C387" i="3"/>
  <c r="C785" i="3" s="1"/>
  <c r="B387" i="3"/>
  <c r="B785" i="3" s="1"/>
  <c r="A387" i="3"/>
  <c r="A785" i="3" s="1"/>
  <c r="BS386" i="3"/>
  <c r="BR386" i="3"/>
  <c r="BQ386" i="3"/>
  <c r="BP386" i="3"/>
  <c r="BO386" i="3"/>
  <c r="BN386" i="3"/>
  <c r="BM386" i="3"/>
  <c r="BL386" i="3"/>
  <c r="BK386" i="3"/>
  <c r="BJ386" i="3"/>
  <c r="BI386" i="3"/>
  <c r="BH386" i="3"/>
  <c r="BG386" i="3"/>
  <c r="BF386" i="3"/>
  <c r="BE386" i="3"/>
  <c r="BD386" i="3"/>
  <c r="BC386" i="3"/>
  <c r="BB386" i="3"/>
  <c r="BA386" i="3"/>
  <c r="AZ386" i="3"/>
  <c r="AY386" i="3"/>
  <c r="AX386" i="3"/>
  <c r="AW386" i="3"/>
  <c r="AV386" i="3"/>
  <c r="AU386" i="3"/>
  <c r="AT386" i="3"/>
  <c r="AS386" i="3"/>
  <c r="AR386" i="3"/>
  <c r="AQ386" i="3"/>
  <c r="AP386" i="3"/>
  <c r="AO386" i="3"/>
  <c r="AN386" i="3"/>
  <c r="AM386" i="3"/>
  <c r="E386" i="3"/>
  <c r="D386" i="3"/>
  <c r="D784" i="3" s="1"/>
  <c r="C386" i="3"/>
  <c r="C784" i="3" s="1"/>
  <c r="B386" i="3"/>
  <c r="B784" i="3" s="1"/>
  <c r="A386" i="3"/>
  <c r="A784" i="3" s="1"/>
  <c r="BS385" i="3"/>
  <c r="BR385" i="3"/>
  <c r="BQ385" i="3"/>
  <c r="BP385" i="3"/>
  <c r="BO385" i="3"/>
  <c r="BN385" i="3"/>
  <c r="BM385" i="3"/>
  <c r="BL385" i="3"/>
  <c r="BK385" i="3"/>
  <c r="BJ385" i="3"/>
  <c r="BI385" i="3"/>
  <c r="BH385" i="3"/>
  <c r="BG385" i="3"/>
  <c r="BF385" i="3"/>
  <c r="BE385" i="3"/>
  <c r="BD385" i="3"/>
  <c r="BC385" i="3"/>
  <c r="BB385" i="3"/>
  <c r="BA385" i="3"/>
  <c r="AZ385" i="3"/>
  <c r="AY385" i="3"/>
  <c r="AX385" i="3"/>
  <c r="AW385" i="3"/>
  <c r="AV385" i="3"/>
  <c r="AU385" i="3"/>
  <c r="AT385" i="3"/>
  <c r="AS385" i="3"/>
  <c r="AR385" i="3"/>
  <c r="AQ385" i="3"/>
  <c r="AP385" i="3"/>
  <c r="AO385" i="3"/>
  <c r="AN385" i="3"/>
  <c r="AM385" i="3"/>
  <c r="E385" i="3"/>
  <c r="E783" i="3" s="1"/>
  <c r="D385" i="3"/>
  <c r="D783" i="3" s="1"/>
  <c r="C385" i="3"/>
  <c r="C783" i="3" s="1"/>
  <c r="B385" i="3"/>
  <c r="B783" i="3" s="1"/>
  <c r="A385" i="3"/>
  <c r="A783" i="3" s="1"/>
  <c r="BS384" i="3"/>
  <c r="BR384" i="3"/>
  <c r="BQ384" i="3"/>
  <c r="BP384" i="3"/>
  <c r="BO384" i="3"/>
  <c r="BN384" i="3"/>
  <c r="BM384" i="3"/>
  <c r="BL384" i="3"/>
  <c r="BK384" i="3"/>
  <c r="BJ384" i="3"/>
  <c r="BI384" i="3"/>
  <c r="BH384" i="3"/>
  <c r="BG384" i="3"/>
  <c r="BF384" i="3"/>
  <c r="BE384" i="3"/>
  <c r="BD384" i="3"/>
  <c r="BC384" i="3"/>
  <c r="BB384" i="3"/>
  <c r="BA384" i="3"/>
  <c r="AZ384" i="3"/>
  <c r="AY384" i="3"/>
  <c r="AX384" i="3"/>
  <c r="AW384" i="3"/>
  <c r="AV384" i="3"/>
  <c r="AU384" i="3"/>
  <c r="AT384" i="3"/>
  <c r="AS384" i="3"/>
  <c r="AR384" i="3"/>
  <c r="AQ384" i="3"/>
  <c r="AP384" i="3"/>
  <c r="AO384" i="3"/>
  <c r="AN384" i="3"/>
  <c r="AM384" i="3"/>
  <c r="E384" i="3"/>
  <c r="E782" i="3" s="1"/>
  <c r="D384" i="3"/>
  <c r="D782" i="3" s="1"/>
  <c r="C384" i="3"/>
  <c r="B384" i="3"/>
  <c r="B782" i="3" s="1"/>
  <c r="A384" i="3"/>
  <c r="A782" i="3" s="1"/>
  <c r="BS383" i="3"/>
  <c r="BR383" i="3"/>
  <c r="BQ383" i="3"/>
  <c r="BP383" i="3"/>
  <c r="BO383" i="3"/>
  <c r="BN383" i="3"/>
  <c r="BM383" i="3"/>
  <c r="BL383" i="3"/>
  <c r="BK383" i="3"/>
  <c r="BJ383" i="3"/>
  <c r="BI383" i="3"/>
  <c r="BH383" i="3"/>
  <c r="BG383" i="3"/>
  <c r="BF383" i="3"/>
  <c r="BE383" i="3"/>
  <c r="BD383" i="3"/>
  <c r="BC383" i="3"/>
  <c r="BB383" i="3"/>
  <c r="BA383" i="3"/>
  <c r="AZ383" i="3"/>
  <c r="AY383" i="3"/>
  <c r="AX383" i="3"/>
  <c r="AW383" i="3"/>
  <c r="AV383" i="3"/>
  <c r="AU383" i="3"/>
  <c r="AT383" i="3"/>
  <c r="AS383" i="3"/>
  <c r="AR383" i="3"/>
  <c r="AQ383" i="3"/>
  <c r="AP383" i="3"/>
  <c r="AO383" i="3"/>
  <c r="AN383" i="3"/>
  <c r="AM383" i="3"/>
  <c r="E383" i="3"/>
  <c r="E781" i="3" s="1"/>
  <c r="D383" i="3"/>
  <c r="D781" i="3" s="1"/>
  <c r="C383" i="3"/>
  <c r="C781" i="3" s="1"/>
  <c r="B383" i="3"/>
  <c r="B781" i="3" s="1"/>
  <c r="A383" i="3"/>
  <c r="A781" i="3" s="1"/>
  <c r="BS382" i="3"/>
  <c r="BR382" i="3"/>
  <c r="BQ382" i="3"/>
  <c r="BP382" i="3"/>
  <c r="BO382" i="3"/>
  <c r="BN382" i="3"/>
  <c r="BM382" i="3"/>
  <c r="BL382" i="3"/>
  <c r="BK382" i="3"/>
  <c r="BJ382" i="3"/>
  <c r="BI382" i="3"/>
  <c r="BH382" i="3"/>
  <c r="BG382" i="3"/>
  <c r="BF382" i="3"/>
  <c r="BE382" i="3"/>
  <c r="BD382" i="3"/>
  <c r="BC382" i="3"/>
  <c r="BB382" i="3"/>
  <c r="BA382" i="3"/>
  <c r="AZ382" i="3"/>
  <c r="AY382" i="3"/>
  <c r="AX382" i="3"/>
  <c r="AW382" i="3"/>
  <c r="AV382" i="3"/>
  <c r="AU382" i="3"/>
  <c r="AT382" i="3"/>
  <c r="AS382" i="3"/>
  <c r="AR382" i="3"/>
  <c r="AQ382" i="3"/>
  <c r="AP382" i="3"/>
  <c r="AO382" i="3"/>
  <c r="AN382" i="3"/>
  <c r="AM382" i="3"/>
  <c r="E382" i="3"/>
  <c r="D382" i="3"/>
  <c r="D780" i="3" s="1"/>
  <c r="C382" i="3"/>
  <c r="C780" i="3" s="1"/>
  <c r="B382" i="3"/>
  <c r="B780" i="3" s="1"/>
  <c r="A382" i="3"/>
  <c r="A780" i="3" s="1"/>
  <c r="BS381" i="3"/>
  <c r="BR381" i="3"/>
  <c r="BQ381" i="3"/>
  <c r="BP381" i="3"/>
  <c r="BO381" i="3"/>
  <c r="BN381" i="3"/>
  <c r="BM381" i="3"/>
  <c r="BL381" i="3"/>
  <c r="BK381" i="3"/>
  <c r="BJ381" i="3"/>
  <c r="BI381" i="3"/>
  <c r="BH381" i="3"/>
  <c r="BG381" i="3"/>
  <c r="BF381" i="3"/>
  <c r="BE381" i="3"/>
  <c r="BD381" i="3"/>
  <c r="BC381" i="3"/>
  <c r="BB381" i="3"/>
  <c r="BA381" i="3"/>
  <c r="AZ381" i="3"/>
  <c r="AY381" i="3"/>
  <c r="AX381" i="3"/>
  <c r="AW381" i="3"/>
  <c r="AV381" i="3"/>
  <c r="AU381" i="3"/>
  <c r="AT381" i="3"/>
  <c r="AS381" i="3"/>
  <c r="AR381" i="3"/>
  <c r="AQ381" i="3"/>
  <c r="AP381" i="3"/>
  <c r="AO381" i="3"/>
  <c r="AN381" i="3"/>
  <c r="AM381" i="3"/>
  <c r="E381" i="3"/>
  <c r="E779" i="3" s="1"/>
  <c r="D381" i="3"/>
  <c r="D779" i="3" s="1"/>
  <c r="C381" i="3"/>
  <c r="C779" i="3" s="1"/>
  <c r="B381" i="3"/>
  <c r="B779" i="3" s="1"/>
  <c r="A381" i="3"/>
  <c r="A779" i="3" s="1"/>
  <c r="BS380" i="3"/>
  <c r="BR380" i="3"/>
  <c r="BQ380" i="3"/>
  <c r="BP380" i="3"/>
  <c r="BO380" i="3"/>
  <c r="BN380" i="3"/>
  <c r="BM380" i="3"/>
  <c r="BL380" i="3"/>
  <c r="BK380" i="3"/>
  <c r="BJ380" i="3"/>
  <c r="BI380" i="3"/>
  <c r="BH380" i="3"/>
  <c r="BG380" i="3"/>
  <c r="BF380" i="3"/>
  <c r="BE380" i="3"/>
  <c r="BD380" i="3"/>
  <c r="BC380" i="3"/>
  <c r="BB380" i="3"/>
  <c r="BA380" i="3"/>
  <c r="AZ380" i="3"/>
  <c r="AY380" i="3"/>
  <c r="AX380" i="3"/>
  <c r="AW380" i="3"/>
  <c r="AV380" i="3"/>
  <c r="AU380" i="3"/>
  <c r="AT380" i="3"/>
  <c r="AS380" i="3"/>
  <c r="AR380" i="3"/>
  <c r="AQ380" i="3"/>
  <c r="AP380" i="3"/>
  <c r="AO380" i="3"/>
  <c r="AN380" i="3"/>
  <c r="AM380" i="3"/>
  <c r="E380" i="3"/>
  <c r="E380" i="2" s="1"/>
  <c r="D380" i="3"/>
  <c r="D380" i="2" s="1"/>
  <c r="C380" i="3"/>
  <c r="C778" i="3" s="1"/>
  <c r="B380" i="3"/>
  <c r="B778" i="3" s="1"/>
  <c r="A380" i="3"/>
  <c r="A778" i="3" s="1"/>
  <c r="BS379" i="3"/>
  <c r="BR379" i="3"/>
  <c r="BQ379" i="3"/>
  <c r="BP379" i="3"/>
  <c r="BO379" i="3"/>
  <c r="BN379" i="3"/>
  <c r="BM379" i="3"/>
  <c r="BL379" i="3"/>
  <c r="BK379" i="3"/>
  <c r="BJ379" i="3"/>
  <c r="BI379" i="3"/>
  <c r="BH379" i="3"/>
  <c r="BG379" i="3"/>
  <c r="BF379" i="3"/>
  <c r="BE379" i="3"/>
  <c r="BD379" i="3"/>
  <c r="BC379" i="3"/>
  <c r="BB379" i="3"/>
  <c r="BA379" i="3"/>
  <c r="AZ379" i="3"/>
  <c r="AY379" i="3"/>
  <c r="AX379" i="3"/>
  <c r="AW379" i="3"/>
  <c r="AV379" i="3"/>
  <c r="AU379" i="3"/>
  <c r="AT379" i="3"/>
  <c r="AS379" i="3"/>
  <c r="AR379" i="3"/>
  <c r="AQ379" i="3"/>
  <c r="AP379" i="3"/>
  <c r="AO379" i="3"/>
  <c r="AN379" i="3"/>
  <c r="AM379" i="3"/>
  <c r="E379" i="3"/>
  <c r="E777" i="3" s="1"/>
  <c r="D379" i="3"/>
  <c r="D777" i="3" s="1"/>
  <c r="C379" i="3"/>
  <c r="C777" i="3" s="1"/>
  <c r="B379" i="3"/>
  <c r="B777" i="3" s="1"/>
  <c r="A379" i="3"/>
  <c r="A777" i="3" s="1"/>
  <c r="BS378" i="3"/>
  <c r="BR378" i="3"/>
  <c r="BQ378" i="3"/>
  <c r="BP378" i="3"/>
  <c r="BO378" i="3"/>
  <c r="BN378" i="3"/>
  <c r="BM378" i="3"/>
  <c r="BL378" i="3"/>
  <c r="BK378" i="3"/>
  <c r="BJ378" i="3"/>
  <c r="BI378" i="3"/>
  <c r="BH378" i="3"/>
  <c r="BG378" i="3"/>
  <c r="BF378" i="3"/>
  <c r="BE378" i="3"/>
  <c r="BD378" i="3"/>
  <c r="BC378" i="3"/>
  <c r="BB378" i="3"/>
  <c r="BA378" i="3"/>
  <c r="AZ378" i="3"/>
  <c r="AY378" i="3"/>
  <c r="AX378" i="3"/>
  <c r="AW378" i="3"/>
  <c r="AV378" i="3"/>
  <c r="AU378" i="3"/>
  <c r="AT378" i="3"/>
  <c r="AS378" i="3"/>
  <c r="AR378" i="3"/>
  <c r="AQ378" i="3"/>
  <c r="AP378" i="3"/>
  <c r="AO378" i="3"/>
  <c r="AN378" i="3"/>
  <c r="AM378" i="3"/>
  <c r="E378" i="3"/>
  <c r="D378" i="3"/>
  <c r="D776" i="3" s="1"/>
  <c r="C378" i="3"/>
  <c r="C776" i="3" s="1"/>
  <c r="B378" i="3"/>
  <c r="B776" i="3" s="1"/>
  <c r="A378" i="3"/>
  <c r="A776" i="3" s="1"/>
  <c r="BS377" i="3"/>
  <c r="BR377" i="3"/>
  <c r="BQ377" i="3"/>
  <c r="BP377" i="3"/>
  <c r="BO377" i="3"/>
  <c r="BN377" i="3"/>
  <c r="BM377" i="3"/>
  <c r="BL377" i="3"/>
  <c r="BK377" i="3"/>
  <c r="BJ377" i="3"/>
  <c r="BI377" i="3"/>
  <c r="BH377" i="3"/>
  <c r="BG377" i="3"/>
  <c r="BF377" i="3"/>
  <c r="BE377" i="3"/>
  <c r="BD377" i="3"/>
  <c r="BC377" i="3"/>
  <c r="BB377" i="3"/>
  <c r="BA377" i="3"/>
  <c r="AZ377" i="3"/>
  <c r="AY377" i="3"/>
  <c r="AX377" i="3"/>
  <c r="AW377" i="3"/>
  <c r="AV377" i="3"/>
  <c r="AU377" i="3"/>
  <c r="AT377" i="3"/>
  <c r="AS377" i="3"/>
  <c r="AR377" i="3"/>
  <c r="AQ377" i="3"/>
  <c r="AP377" i="3"/>
  <c r="AO377" i="3"/>
  <c r="AN377" i="3"/>
  <c r="AM377" i="3"/>
  <c r="E377" i="3"/>
  <c r="E775" i="3" s="1"/>
  <c r="D377" i="3"/>
  <c r="D775" i="3" s="1"/>
  <c r="C377" i="3"/>
  <c r="C775" i="3" s="1"/>
  <c r="B377" i="3"/>
  <c r="B775" i="3" s="1"/>
  <c r="A377" i="3"/>
  <c r="A775" i="3" s="1"/>
  <c r="BS376" i="3"/>
  <c r="BR376" i="3"/>
  <c r="BQ376" i="3"/>
  <c r="BP376" i="3"/>
  <c r="BO376" i="3"/>
  <c r="BN376" i="3"/>
  <c r="BM376" i="3"/>
  <c r="BL376" i="3"/>
  <c r="BK376" i="3"/>
  <c r="BJ376" i="3"/>
  <c r="BI376" i="3"/>
  <c r="BH376" i="3"/>
  <c r="BG376" i="3"/>
  <c r="BF376" i="3"/>
  <c r="BE376" i="3"/>
  <c r="BD376" i="3"/>
  <c r="BC376" i="3"/>
  <c r="BB376" i="3"/>
  <c r="BA376" i="3"/>
  <c r="AZ376" i="3"/>
  <c r="AY376" i="3"/>
  <c r="AX376" i="3"/>
  <c r="AW376" i="3"/>
  <c r="AV376" i="3"/>
  <c r="AU376" i="3"/>
  <c r="AT376" i="3"/>
  <c r="AS376" i="3"/>
  <c r="AR376" i="3"/>
  <c r="AQ376" i="3"/>
  <c r="AP376" i="3"/>
  <c r="AO376" i="3"/>
  <c r="AN376" i="3"/>
  <c r="AM376" i="3"/>
  <c r="E376" i="3"/>
  <c r="D376" i="3"/>
  <c r="D774" i="3" s="1"/>
  <c r="C376" i="3"/>
  <c r="C774" i="3" s="1"/>
  <c r="B376" i="3"/>
  <c r="A376" i="3"/>
  <c r="A774" i="3" s="1"/>
  <c r="BS375" i="3"/>
  <c r="BR375" i="3"/>
  <c r="BQ375" i="3"/>
  <c r="BP375" i="3"/>
  <c r="BO375" i="3"/>
  <c r="BN375" i="3"/>
  <c r="BM375" i="3"/>
  <c r="BL375" i="3"/>
  <c r="BK375" i="3"/>
  <c r="BJ375" i="3"/>
  <c r="BI375" i="3"/>
  <c r="BH375" i="3"/>
  <c r="BG375" i="3"/>
  <c r="BF375" i="3"/>
  <c r="BE375" i="3"/>
  <c r="BD375" i="3"/>
  <c r="BC375" i="3"/>
  <c r="BB375" i="3"/>
  <c r="BA375" i="3"/>
  <c r="AZ375" i="3"/>
  <c r="AY375" i="3"/>
  <c r="AX375" i="3"/>
  <c r="AW375" i="3"/>
  <c r="AV375" i="3"/>
  <c r="AU375" i="3"/>
  <c r="AT375" i="3"/>
  <c r="AS375" i="3"/>
  <c r="AR375" i="3"/>
  <c r="AQ375" i="3"/>
  <c r="AP375" i="3"/>
  <c r="AO375" i="3"/>
  <c r="AN375" i="3"/>
  <c r="AM375" i="3"/>
  <c r="E375" i="3"/>
  <c r="E773" i="3" s="1"/>
  <c r="D375" i="3"/>
  <c r="D773" i="3" s="1"/>
  <c r="C375" i="3"/>
  <c r="C773" i="3" s="1"/>
  <c r="B375" i="3"/>
  <c r="A375" i="3"/>
  <c r="A773" i="3" s="1"/>
  <c r="BS374" i="3"/>
  <c r="BR374" i="3"/>
  <c r="BQ374" i="3"/>
  <c r="BP374" i="3"/>
  <c r="BO374" i="3"/>
  <c r="BN374" i="3"/>
  <c r="BM374" i="3"/>
  <c r="BL374" i="3"/>
  <c r="BK374" i="3"/>
  <c r="BJ374" i="3"/>
  <c r="BI374" i="3"/>
  <c r="BH374" i="3"/>
  <c r="BG374" i="3"/>
  <c r="BF374" i="3"/>
  <c r="BE374" i="3"/>
  <c r="BD374" i="3"/>
  <c r="BC374" i="3"/>
  <c r="BB374" i="3"/>
  <c r="BA374" i="3"/>
  <c r="AZ374" i="3"/>
  <c r="AY374" i="3"/>
  <c r="AX374" i="3"/>
  <c r="AW374" i="3"/>
  <c r="AV374" i="3"/>
  <c r="AU374" i="3"/>
  <c r="AT374" i="3"/>
  <c r="AS374" i="3"/>
  <c r="AR374" i="3"/>
  <c r="AQ374" i="3"/>
  <c r="AP374" i="3"/>
  <c r="AO374" i="3"/>
  <c r="AN374" i="3"/>
  <c r="AM374" i="3"/>
  <c r="E374" i="3"/>
  <c r="E772" i="3" s="1"/>
  <c r="D374" i="3"/>
  <c r="C374" i="3"/>
  <c r="C772" i="3" s="1"/>
  <c r="B374" i="3"/>
  <c r="B772" i="3" s="1"/>
  <c r="A374" i="3"/>
  <c r="BS373" i="3"/>
  <c r="BR373" i="3"/>
  <c r="BQ373" i="3"/>
  <c r="BP373" i="3"/>
  <c r="BO373" i="3"/>
  <c r="BN373" i="3"/>
  <c r="BM373" i="3"/>
  <c r="BL373" i="3"/>
  <c r="BK373" i="3"/>
  <c r="BJ373" i="3"/>
  <c r="BI373" i="3"/>
  <c r="BH373" i="3"/>
  <c r="BG373" i="3"/>
  <c r="BF373" i="3"/>
  <c r="BE373" i="3"/>
  <c r="BD373" i="3"/>
  <c r="BC373" i="3"/>
  <c r="BB373" i="3"/>
  <c r="BA373" i="3"/>
  <c r="AZ373" i="3"/>
  <c r="AY373" i="3"/>
  <c r="AX373" i="3"/>
  <c r="AW373" i="3"/>
  <c r="AV373" i="3"/>
  <c r="AU373" i="3"/>
  <c r="AT373" i="3"/>
  <c r="AS373" i="3"/>
  <c r="AR373" i="3"/>
  <c r="AQ373" i="3"/>
  <c r="AP373" i="3"/>
  <c r="AO373" i="3"/>
  <c r="AN373" i="3"/>
  <c r="AM373" i="3"/>
  <c r="E373" i="3"/>
  <c r="D373" i="3"/>
  <c r="D771" i="3" s="1"/>
  <c r="C373" i="3"/>
  <c r="B373" i="3"/>
  <c r="B771" i="3" s="1"/>
  <c r="A373" i="3"/>
  <c r="A771" i="3" s="1"/>
  <c r="BS372" i="3"/>
  <c r="BR372" i="3"/>
  <c r="BQ372" i="3"/>
  <c r="BP372" i="3"/>
  <c r="BO372" i="3"/>
  <c r="BN372" i="3"/>
  <c r="BM372" i="3"/>
  <c r="BL372" i="3"/>
  <c r="BK372" i="3"/>
  <c r="BJ372" i="3"/>
  <c r="BI372" i="3"/>
  <c r="BH372" i="3"/>
  <c r="BG372" i="3"/>
  <c r="BF372" i="3"/>
  <c r="BE372" i="3"/>
  <c r="BD372" i="3"/>
  <c r="BC372" i="3"/>
  <c r="BB372" i="3"/>
  <c r="BA372" i="3"/>
  <c r="AZ372" i="3"/>
  <c r="AY372" i="3"/>
  <c r="AX372" i="3"/>
  <c r="AW372" i="3"/>
  <c r="AV372" i="3"/>
  <c r="AU372" i="3"/>
  <c r="AT372" i="3"/>
  <c r="AS372" i="3"/>
  <c r="AR372" i="3"/>
  <c r="AQ372" i="3"/>
  <c r="AP372" i="3"/>
  <c r="AO372" i="3"/>
  <c r="AN372" i="3"/>
  <c r="AM372" i="3"/>
  <c r="E372" i="3"/>
  <c r="D372" i="3"/>
  <c r="C372" i="3"/>
  <c r="B372" i="3"/>
  <c r="B770" i="3" s="1"/>
  <c r="A372" i="3"/>
  <c r="BS371" i="3"/>
  <c r="BR371" i="3"/>
  <c r="BQ371" i="3"/>
  <c r="BP371" i="3"/>
  <c r="BO371" i="3"/>
  <c r="BN371" i="3"/>
  <c r="BM371" i="3"/>
  <c r="BL371" i="3"/>
  <c r="BK371" i="3"/>
  <c r="BJ371" i="3"/>
  <c r="BI371" i="3"/>
  <c r="BH371" i="3"/>
  <c r="BG371" i="3"/>
  <c r="BF371" i="3"/>
  <c r="BE371" i="3"/>
  <c r="BD371" i="3"/>
  <c r="BC371" i="3"/>
  <c r="BB371" i="3"/>
  <c r="BA371" i="3"/>
  <c r="AZ371" i="3"/>
  <c r="AY371" i="3"/>
  <c r="AX371" i="3"/>
  <c r="AW371" i="3"/>
  <c r="AV371" i="3"/>
  <c r="AU371" i="3"/>
  <c r="AT371" i="3"/>
  <c r="AS371" i="3"/>
  <c r="AR371" i="3"/>
  <c r="AQ371" i="3"/>
  <c r="AP371" i="3"/>
  <c r="AO371" i="3"/>
  <c r="AN371" i="3"/>
  <c r="AM371" i="3"/>
  <c r="E371" i="3"/>
  <c r="E769" i="3" s="1"/>
  <c r="D371" i="3"/>
  <c r="D769" i="3" s="1"/>
  <c r="C371" i="3"/>
  <c r="C769" i="3" s="1"/>
  <c r="B371" i="3"/>
  <c r="A371" i="3"/>
  <c r="BS370" i="3"/>
  <c r="BR370" i="3"/>
  <c r="BQ370" i="3"/>
  <c r="BP370" i="3"/>
  <c r="BO370" i="3"/>
  <c r="BN370" i="3"/>
  <c r="BM370" i="3"/>
  <c r="BL370" i="3"/>
  <c r="BK370" i="3"/>
  <c r="BJ370" i="3"/>
  <c r="BI370" i="3"/>
  <c r="BH370" i="3"/>
  <c r="BG370" i="3"/>
  <c r="BF370" i="3"/>
  <c r="BE370" i="3"/>
  <c r="BD370" i="3"/>
  <c r="BC370" i="3"/>
  <c r="BB370" i="3"/>
  <c r="BA370" i="3"/>
  <c r="AZ370" i="3"/>
  <c r="AY370" i="3"/>
  <c r="AX370" i="3"/>
  <c r="AW370" i="3"/>
  <c r="AV370" i="3"/>
  <c r="AU370" i="3"/>
  <c r="AT370" i="3"/>
  <c r="AS370" i="3"/>
  <c r="AR370" i="3"/>
  <c r="AQ370" i="3"/>
  <c r="AP370" i="3"/>
  <c r="AO370" i="3"/>
  <c r="AN370" i="3"/>
  <c r="AM370" i="3"/>
  <c r="E370" i="3"/>
  <c r="E370" i="2" s="1"/>
  <c r="B370" i="3"/>
  <c r="A370" i="3"/>
  <c r="BS369" i="3"/>
  <c r="BR369" i="3"/>
  <c r="BQ369" i="3"/>
  <c r="BP369" i="3"/>
  <c r="BO369" i="3"/>
  <c r="BN369" i="3"/>
  <c r="BM369" i="3"/>
  <c r="BL369" i="3"/>
  <c r="BK369" i="3"/>
  <c r="BJ369" i="3"/>
  <c r="BI369" i="3"/>
  <c r="BH369" i="3"/>
  <c r="BG369" i="3"/>
  <c r="BF369" i="3"/>
  <c r="BE369" i="3"/>
  <c r="BD369" i="3"/>
  <c r="BC369" i="3"/>
  <c r="BB369" i="3"/>
  <c r="BA369" i="3"/>
  <c r="AZ369" i="3"/>
  <c r="AY369" i="3"/>
  <c r="AX369" i="3"/>
  <c r="AW369" i="3"/>
  <c r="AV369" i="3"/>
  <c r="AU369" i="3"/>
  <c r="AT369" i="3"/>
  <c r="AS369" i="3"/>
  <c r="AR369" i="3"/>
  <c r="AQ369" i="3"/>
  <c r="AP369" i="3"/>
  <c r="AO369" i="3"/>
  <c r="AN369" i="3"/>
  <c r="AM369" i="3"/>
  <c r="E369" i="3"/>
  <c r="E768" i="3" s="1"/>
  <c r="D369" i="3"/>
  <c r="D768" i="3" s="1"/>
  <c r="C369" i="3"/>
  <c r="C768" i="3" s="1"/>
  <c r="B369" i="3"/>
  <c r="B768" i="3" s="1"/>
  <c r="A369" i="3"/>
  <c r="A768" i="3" s="1"/>
  <c r="BS368" i="3"/>
  <c r="BR368" i="3"/>
  <c r="BQ368" i="3"/>
  <c r="BP368" i="3"/>
  <c r="BO368" i="3"/>
  <c r="BN368" i="3"/>
  <c r="BM368" i="3"/>
  <c r="BL368" i="3"/>
  <c r="BK368" i="3"/>
  <c r="BJ368" i="3"/>
  <c r="BI368" i="3"/>
  <c r="BH368" i="3"/>
  <c r="BG368" i="3"/>
  <c r="BF368" i="3"/>
  <c r="BE368" i="3"/>
  <c r="BD368" i="3"/>
  <c r="BC368" i="3"/>
  <c r="BB368" i="3"/>
  <c r="BA368" i="3"/>
  <c r="AZ368" i="3"/>
  <c r="AY368" i="3"/>
  <c r="AX368" i="3"/>
  <c r="AW368" i="3"/>
  <c r="AV368" i="3"/>
  <c r="AU368" i="3"/>
  <c r="AT368" i="3"/>
  <c r="AS368" i="3"/>
  <c r="AR368" i="3"/>
  <c r="AQ368" i="3"/>
  <c r="AP368" i="3"/>
  <c r="AO368" i="3"/>
  <c r="AN368" i="3"/>
  <c r="AM368" i="3"/>
  <c r="E368" i="3"/>
  <c r="E767" i="3" s="1"/>
  <c r="D368" i="3"/>
  <c r="D767" i="3" s="1"/>
  <c r="C368" i="3"/>
  <c r="C767" i="3" s="1"/>
  <c r="B368" i="3"/>
  <c r="B767" i="3" s="1"/>
  <c r="A368" i="3"/>
  <c r="A767" i="3" s="1"/>
  <c r="BS367" i="3"/>
  <c r="BR367" i="3"/>
  <c r="BQ367" i="3"/>
  <c r="BP367" i="3"/>
  <c r="BO367" i="3"/>
  <c r="BN367" i="3"/>
  <c r="BM367" i="3"/>
  <c r="BL367" i="3"/>
  <c r="BK367" i="3"/>
  <c r="BJ367" i="3"/>
  <c r="BI367" i="3"/>
  <c r="BH367" i="3"/>
  <c r="BG367" i="3"/>
  <c r="BF367" i="3"/>
  <c r="BE367" i="3"/>
  <c r="BD367" i="3"/>
  <c r="BC367" i="3"/>
  <c r="BB367" i="3"/>
  <c r="BA367" i="3"/>
  <c r="AZ367" i="3"/>
  <c r="AY367" i="3"/>
  <c r="AX367" i="3"/>
  <c r="AW367" i="3"/>
  <c r="AV367" i="3"/>
  <c r="AU367" i="3"/>
  <c r="AT367" i="3"/>
  <c r="AS367" i="3"/>
  <c r="AR367" i="3"/>
  <c r="AQ367" i="3"/>
  <c r="AP367" i="3"/>
  <c r="AO367" i="3"/>
  <c r="AN367" i="3"/>
  <c r="AM367" i="3"/>
  <c r="E367" i="3"/>
  <c r="E766" i="3" s="1"/>
  <c r="D367" i="3"/>
  <c r="D766" i="3" s="1"/>
  <c r="C367" i="3"/>
  <c r="C766" i="3" s="1"/>
  <c r="B367" i="3"/>
  <c r="B766" i="3" s="1"/>
  <c r="A367" i="3"/>
  <c r="BS366" i="3"/>
  <c r="BR366" i="3"/>
  <c r="BQ366" i="3"/>
  <c r="BP366" i="3"/>
  <c r="BO366" i="3"/>
  <c r="BN366" i="3"/>
  <c r="BM366" i="3"/>
  <c r="BL366" i="3"/>
  <c r="BK366" i="3"/>
  <c r="BJ366" i="3"/>
  <c r="BI366" i="3"/>
  <c r="BH366" i="3"/>
  <c r="BG366" i="3"/>
  <c r="BF366" i="3"/>
  <c r="BE366" i="3"/>
  <c r="BD366" i="3"/>
  <c r="BC366" i="3"/>
  <c r="BB366" i="3"/>
  <c r="BA366" i="3"/>
  <c r="AZ366" i="3"/>
  <c r="AY366" i="3"/>
  <c r="AX366" i="3"/>
  <c r="AW366" i="3"/>
  <c r="AV366" i="3"/>
  <c r="AU366" i="3"/>
  <c r="AT366" i="3"/>
  <c r="AS366" i="3"/>
  <c r="AR366" i="3"/>
  <c r="AQ366" i="3"/>
  <c r="AP366" i="3"/>
  <c r="AO366" i="3"/>
  <c r="AN366" i="3"/>
  <c r="AM366" i="3"/>
  <c r="E366" i="3"/>
  <c r="E765" i="3" s="1"/>
  <c r="D366" i="3"/>
  <c r="D765" i="3" s="1"/>
  <c r="C366" i="3"/>
  <c r="C765" i="3" s="1"/>
  <c r="B366" i="3"/>
  <c r="B765" i="3" s="1"/>
  <c r="A366" i="3"/>
  <c r="A765" i="3" s="1"/>
  <c r="BS365" i="3"/>
  <c r="BR365" i="3"/>
  <c r="BQ365" i="3"/>
  <c r="BP365" i="3"/>
  <c r="BO365" i="3"/>
  <c r="BN365" i="3"/>
  <c r="BM365" i="3"/>
  <c r="BL365" i="3"/>
  <c r="BK365" i="3"/>
  <c r="BJ365" i="3"/>
  <c r="BI365" i="3"/>
  <c r="BH365" i="3"/>
  <c r="BG365" i="3"/>
  <c r="BF365" i="3"/>
  <c r="BE365" i="3"/>
  <c r="BD365" i="3"/>
  <c r="BC365" i="3"/>
  <c r="BB365" i="3"/>
  <c r="BA365" i="3"/>
  <c r="AZ365" i="3"/>
  <c r="AY365" i="3"/>
  <c r="AX365" i="3"/>
  <c r="AW365" i="3"/>
  <c r="AV365" i="3"/>
  <c r="AU365" i="3"/>
  <c r="AT365" i="3"/>
  <c r="AS365" i="3"/>
  <c r="AR365" i="3"/>
  <c r="AQ365" i="3"/>
  <c r="AP365" i="3"/>
  <c r="AO365" i="3"/>
  <c r="AN365" i="3"/>
  <c r="AM365" i="3"/>
  <c r="E365" i="3"/>
  <c r="E764" i="3" s="1"/>
  <c r="D365" i="3"/>
  <c r="D764" i="3" s="1"/>
  <c r="C365" i="3"/>
  <c r="C764" i="3" s="1"/>
  <c r="B365" i="3"/>
  <c r="B764" i="3" s="1"/>
  <c r="A365" i="3"/>
  <c r="A764" i="3" s="1"/>
  <c r="BS364" i="3"/>
  <c r="BR364" i="3"/>
  <c r="BQ364" i="3"/>
  <c r="BP364" i="3"/>
  <c r="BO364" i="3"/>
  <c r="BN364" i="3"/>
  <c r="BM364" i="3"/>
  <c r="BL364" i="3"/>
  <c r="BK364" i="3"/>
  <c r="BJ364" i="3"/>
  <c r="BI364" i="3"/>
  <c r="BH364" i="3"/>
  <c r="BG364" i="3"/>
  <c r="BF364" i="3"/>
  <c r="BE364" i="3"/>
  <c r="BD364" i="3"/>
  <c r="BC364" i="3"/>
  <c r="BB364" i="3"/>
  <c r="BA364" i="3"/>
  <c r="AZ364" i="3"/>
  <c r="AY364" i="3"/>
  <c r="AX364" i="3"/>
  <c r="AW364" i="3"/>
  <c r="AV364" i="3"/>
  <c r="AU364" i="3"/>
  <c r="AT364" i="3"/>
  <c r="AS364" i="3"/>
  <c r="AR364" i="3"/>
  <c r="AQ364" i="3"/>
  <c r="AP364" i="3"/>
  <c r="AO364" i="3"/>
  <c r="AN364" i="3"/>
  <c r="AM364" i="3"/>
  <c r="E364" i="3"/>
  <c r="E763" i="3" s="1"/>
  <c r="D364" i="3"/>
  <c r="C364" i="3"/>
  <c r="B364" i="3"/>
  <c r="B763" i="3" s="1"/>
  <c r="A364" i="3"/>
  <c r="A763" i="3" s="1"/>
  <c r="BS363" i="3"/>
  <c r="BR363" i="3"/>
  <c r="BQ363" i="3"/>
  <c r="BP363" i="3"/>
  <c r="BO363" i="3"/>
  <c r="BN363" i="3"/>
  <c r="BM363" i="3"/>
  <c r="BL363" i="3"/>
  <c r="BK363" i="3"/>
  <c r="BJ363" i="3"/>
  <c r="BI363" i="3"/>
  <c r="BH363" i="3"/>
  <c r="BG363" i="3"/>
  <c r="BF363" i="3"/>
  <c r="BE363" i="3"/>
  <c r="BD363" i="3"/>
  <c r="BC363" i="3"/>
  <c r="BB363" i="3"/>
  <c r="BA363" i="3"/>
  <c r="AZ363" i="3"/>
  <c r="AY363" i="3"/>
  <c r="AX363" i="3"/>
  <c r="AW363" i="3"/>
  <c r="AV363" i="3"/>
  <c r="AU363" i="3"/>
  <c r="AT363" i="3"/>
  <c r="AS363" i="3"/>
  <c r="AR363" i="3"/>
  <c r="AQ363" i="3"/>
  <c r="AP363" i="3"/>
  <c r="AO363" i="3"/>
  <c r="AN363" i="3"/>
  <c r="AM363" i="3"/>
  <c r="E363" i="3"/>
  <c r="E762" i="3" s="1"/>
  <c r="D363" i="3"/>
  <c r="D762" i="3" s="1"/>
  <c r="C363" i="3"/>
  <c r="C762" i="3" s="1"/>
  <c r="B363" i="3"/>
  <c r="B762" i="3" s="1"/>
  <c r="A363" i="3"/>
  <c r="A762" i="3" s="1"/>
  <c r="BS362" i="3"/>
  <c r="BR362" i="3"/>
  <c r="BQ362" i="3"/>
  <c r="BP362" i="3"/>
  <c r="BO362" i="3"/>
  <c r="BN362" i="3"/>
  <c r="BM362" i="3"/>
  <c r="BL362" i="3"/>
  <c r="BK362" i="3"/>
  <c r="BJ362" i="3"/>
  <c r="BI362" i="3"/>
  <c r="BH362" i="3"/>
  <c r="BG362" i="3"/>
  <c r="BF362" i="3"/>
  <c r="BE362" i="3"/>
  <c r="BD362" i="3"/>
  <c r="BC362" i="3"/>
  <c r="BB362" i="3"/>
  <c r="BA362" i="3"/>
  <c r="AZ362" i="3"/>
  <c r="AY362" i="3"/>
  <c r="AX362" i="3"/>
  <c r="AW362" i="3"/>
  <c r="AV362" i="3"/>
  <c r="AU362" i="3"/>
  <c r="AT362" i="3"/>
  <c r="AS362" i="3"/>
  <c r="AR362" i="3"/>
  <c r="AQ362" i="3"/>
  <c r="AP362" i="3"/>
  <c r="AO362" i="3"/>
  <c r="AN362" i="3"/>
  <c r="AM362" i="3"/>
  <c r="E362" i="3"/>
  <c r="E761" i="3" s="1"/>
  <c r="D362" i="3"/>
  <c r="D761" i="3" s="1"/>
  <c r="C362" i="3"/>
  <c r="C761" i="3" s="1"/>
  <c r="B362" i="3"/>
  <c r="B761" i="3" s="1"/>
  <c r="A362" i="3"/>
  <c r="A761" i="3" s="1"/>
  <c r="BS361" i="3"/>
  <c r="BR361" i="3"/>
  <c r="BQ361" i="3"/>
  <c r="BP361" i="3"/>
  <c r="BO361" i="3"/>
  <c r="BN361" i="3"/>
  <c r="BM361" i="3"/>
  <c r="BL361" i="3"/>
  <c r="BK361" i="3"/>
  <c r="BJ361" i="3"/>
  <c r="BI361" i="3"/>
  <c r="BH361" i="3"/>
  <c r="BG361" i="3"/>
  <c r="BF361" i="3"/>
  <c r="BE361" i="3"/>
  <c r="BD361" i="3"/>
  <c r="BC361" i="3"/>
  <c r="BB361" i="3"/>
  <c r="BA361" i="3"/>
  <c r="AZ361" i="3"/>
  <c r="AY361" i="3"/>
  <c r="AX361" i="3"/>
  <c r="AW361" i="3"/>
  <c r="AV361" i="3"/>
  <c r="AU361" i="3"/>
  <c r="AT361" i="3"/>
  <c r="AS361" i="3"/>
  <c r="AR361" i="3"/>
  <c r="AQ361" i="3"/>
  <c r="AP361" i="3"/>
  <c r="AO361" i="3"/>
  <c r="AN361" i="3"/>
  <c r="AM361" i="3"/>
  <c r="E361" i="3"/>
  <c r="E760" i="3" s="1"/>
  <c r="D361" i="3"/>
  <c r="D760" i="3" s="1"/>
  <c r="C361" i="3"/>
  <c r="C760" i="3" s="1"/>
  <c r="B361" i="3"/>
  <c r="B760" i="3" s="1"/>
  <c r="A361" i="3"/>
  <c r="BS360" i="3"/>
  <c r="BR360" i="3"/>
  <c r="BQ360" i="3"/>
  <c r="BP360" i="3"/>
  <c r="BO360" i="3"/>
  <c r="BN360" i="3"/>
  <c r="BM360" i="3"/>
  <c r="BL360" i="3"/>
  <c r="BK360" i="3"/>
  <c r="BJ360" i="3"/>
  <c r="BI360" i="3"/>
  <c r="BH360" i="3"/>
  <c r="BG360" i="3"/>
  <c r="BF360" i="3"/>
  <c r="BE360" i="3"/>
  <c r="BD360" i="3"/>
  <c r="BC360" i="3"/>
  <c r="BB360" i="3"/>
  <c r="BA360" i="3"/>
  <c r="AZ360" i="3"/>
  <c r="AY360" i="3"/>
  <c r="AX360" i="3"/>
  <c r="AW360" i="3"/>
  <c r="AV360" i="3"/>
  <c r="AU360" i="3"/>
  <c r="AT360" i="3"/>
  <c r="AS360" i="3"/>
  <c r="AR360" i="3"/>
  <c r="AQ360" i="3"/>
  <c r="AP360" i="3"/>
  <c r="AO360" i="3"/>
  <c r="AN360" i="3"/>
  <c r="AM360" i="3"/>
  <c r="E360" i="3"/>
  <c r="E759" i="3" s="1"/>
  <c r="D360" i="3"/>
  <c r="C360" i="3"/>
  <c r="B360" i="3"/>
  <c r="B759" i="3" s="1"/>
  <c r="A360" i="3"/>
  <c r="A759" i="3" s="1"/>
  <c r="BS359" i="3"/>
  <c r="BR359" i="3"/>
  <c r="BQ359" i="3"/>
  <c r="BP359" i="3"/>
  <c r="BO359" i="3"/>
  <c r="BN359" i="3"/>
  <c r="BM359" i="3"/>
  <c r="BL359" i="3"/>
  <c r="BK359" i="3"/>
  <c r="BJ359" i="3"/>
  <c r="BI359" i="3"/>
  <c r="BH359" i="3"/>
  <c r="BG359" i="3"/>
  <c r="BF359" i="3"/>
  <c r="BE359" i="3"/>
  <c r="BD359" i="3"/>
  <c r="BC359" i="3"/>
  <c r="BB359" i="3"/>
  <c r="BA359" i="3"/>
  <c r="AZ359" i="3"/>
  <c r="AY359" i="3"/>
  <c r="AX359" i="3"/>
  <c r="AW359" i="3"/>
  <c r="AV359" i="3"/>
  <c r="AU359" i="3"/>
  <c r="AT359" i="3"/>
  <c r="AS359" i="3"/>
  <c r="AR359" i="3"/>
  <c r="AQ359" i="3"/>
  <c r="AP359" i="3"/>
  <c r="AO359" i="3"/>
  <c r="AN359" i="3"/>
  <c r="AM359" i="3"/>
  <c r="E359" i="3"/>
  <c r="E758" i="3" s="1"/>
  <c r="D359" i="3"/>
  <c r="D758" i="3" s="1"/>
  <c r="C359" i="3"/>
  <c r="C758" i="3" s="1"/>
  <c r="B359" i="3"/>
  <c r="B758" i="3" s="1"/>
  <c r="A359" i="3"/>
  <c r="A758" i="3" s="1"/>
  <c r="BS358" i="3"/>
  <c r="BR358" i="3"/>
  <c r="BQ358" i="3"/>
  <c r="BP358" i="3"/>
  <c r="BO358" i="3"/>
  <c r="BN358" i="3"/>
  <c r="BM358" i="3"/>
  <c r="BL358" i="3"/>
  <c r="BK358" i="3"/>
  <c r="BJ358" i="3"/>
  <c r="BI358" i="3"/>
  <c r="BH358" i="3"/>
  <c r="BG358" i="3"/>
  <c r="BF358" i="3"/>
  <c r="BE358" i="3"/>
  <c r="BD358" i="3"/>
  <c r="BC358" i="3"/>
  <c r="BB358" i="3"/>
  <c r="BA358" i="3"/>
  <c r="AZ358" i="3"/>
  <c r="AY358" i="3"/>
  <c r="AX358" i="3"/>
  <c r="AW358" i="3"/>
  <c r="AV358" i="3"/>
  <c r="AU358" i="3"/>
  <c r="AT358" i="3"/>
  <c r="AS358" i="3"/>
  <c r="AR358" i="3"/>
  <c r="AQ358" i="3"/>
  <c r="AP358" i="3"/>
  <c r="AO358" i="3"/>
  <c r="AN358" i="3"/>
  <c r="AM358" i="3"/>
  <c r="E358" i="3"/>
  <c r="E757" i="3" s="1"/>
  <c r="D358" i="3"/>
  <c r="D757" i="3" s="1"/>
  <c r="C358" i="3"/>
  <c r="C757" i="3" s="1"/>
  <c r="B358" i="3"/>
  <c r="B757" i="3" s="1"/>
  <c r="A358" i="3"/>
  <c r="A757" i="3" s="1"/>
  <c r="BS357" i="3"/>
  <c r="BR357" i="3"/>
  <c r="BQ357" i="3"/>
  <c r="BP357" i="3"/>
  <c r="BO357" i="3"/>
  <c r="BN357" i="3"/>
  <c r="BM357" i="3"/>
  <c r="BL357" i="3"/>
  <c r="BK357" i="3"/>
  <c r="BJ357" i="3"/>
  <c r="BI357" i="3"/>
  <c r="BH357" i="3"/>
  <c r="BG357" i="3"/>
  <c r="BF357" i="3"/>
  <c r="BE357" i="3"/>
  <c r="BD357" i="3"/>
  <c r="BC357" i="3"/>
  <c r="BB357" i="3"/>
  <c r="BA357" i="3"/>
  <c r="AZ357" i="3"/>
  <c r="AY357" i="3"/>
  <c r="AX357" i="3"/>
  <c r="AW357" i="3"/>
  <c r="AV357" i="3"/>
  <c r="AU357" i="3"/>
  <c r="AT357" i="3"/>
  <c r="AS357" i="3"/>
  <c r="AR357" i="3"/>
  <c r="AQ357" i="3"/>
  <c r="AP357" i="3"/>
  <c r="AO357" i="3"/>
  <c r="AN357" i="3"/>
  <c r="AM357" i="3"/>
  <c r="E357" i="3"/>
  <c r="E756" i="3" s="1"/>
  <c r="D357" i="3"/>
  <c r="D756" i="3" s="1"/>
  <c r="C357" i="3"/>
  <c r="C756" i="3" s="1"/>
  <c r="B357" i="3"/>
  <c r="B756" i="3" s="1"/>
  <c r="A357" i="3"/>
  <c r="A756" i="3" s="1"/>
  <c r="BS356" i="3"/>
  <c r="BR356" i="3"/>
  <c r="BQ356" i="3"/>
  <c r="BP356" i="3"/>
  <c r="BO356" i="3"/>
  <c r="BN356" i="3"/>
  <c r="BM356" i="3"/>
  <c r="BL356" i="3"/>
  <c r="BK356" i="3"/>
  <c r="BJ356" i="3"/>
  <c r="BI356" i="3"/>
  <c r="BH356" i="3"/>
  <c r="BG356" i="3"/>
  <c r="BF356" i="3"/>
  <c r="BE356" i="3"/>
  <c r="BD356" i="3"/>
  <c r="BC356" i="3"/>
  <c r="BB356" i="3"/>
  <c r="BA356" i="3"/>
  <c r="AZ356" i="3"/>
  <c r="AY356" i="3"/>
  <c r="AX356" i="3"/>
  <c r="AW356" i="3"/>
  <c r="AV356" i="3"/>
  <c r="AU356" i="3"/>
  <c r="AT356" i="3"/>
  <c r="AS356" i="3"/>
  <c r="AR356" i="3"/>
  <c r="AQ356" i="3"/>
  <c r="AP356" i="3"/>
  <c r="AO356" i="3"/>
  <c r="AN356" i="3"/>
  <c r="AM356" i="3"/>
  <c r="E356" i="3"/>
  <c r="E755" i="3" s="1"/>
  <c r="D356" i="3"/>
  <c r="D755" i="3" s="1"/>
  <c r="C356" i="3"/>
  <c r="C755" i="3" s="1"/>
  <c r="B356" i="3"/>
  <c r="B755" i="3" s="1"/>
  <c r="A356" i="3"/>
  <c r="A755" i="3" s="1"/>
  <c r="BS355" i="3"/>
  <c r="BR355" i="3"/>
  <c r="BQ355" i="3"/>
  <c r="BP355" i="3"/>
  <c r="BO355" i="3"/>
  <c r="BN355" i="3"/>
  <c r="BM355" i="3"/>
  <c r="BL355" i="3"/>
  <c r="BK355" i="3"/>
  <c r="BJ355" i="3"/>
  <c r="BI355" i="3"/>
  <c r="BH355" i="3"/>
  <c r="BG355" i="3"/>
  <c r="BF355" i="3"/>
  <c r="BE355" i="3"/>
  <c r="BD355" i="3"/>
  <c r="BC355" i="3"/>
  <c r="BB355" i="3"/>
  <c r="BA355" i="3"/>
  <c r="AZ355" i="3"/>
  <c r="AY355" i="3"/>
  <c r="AX355" i="3"/>
  <c r="AW355" i="3"/>
  <c r="AV355" i="3"/>
  <c r="AU355" i="3"/>
  <c r="AT355" i="3"/>
  <c r="AS355" i="3"/>
  <c r="AR355" i="3"/>
  <c r="AQ355" i="3"/>
  <c r="AP355" i="3"/>
  <c r="AO355" i="3"/>
  <c r="AN355" i="3"/>
  <c r="AM355" i="3"/>
  <c r="E355" i="3"/>
  <c r="E754" i="3" s="1"/>
  <c r="D355" i="3"/>
  <c r="D754" i="3" s="1"/>
  <c r="C355" i="3"/>
  <c r="C754" i="3" s="1"/>
  <c r="B355" i="3"/>
  <c r="B754" i="3" s="1"/>
  <c r="A355" i="3"/>
  <c r="BS354" i="3"/>
  <c r="BR354" i="3"/>
  <c r="BQ354" i="3"/>
  <c r="BP354" i="3"/>
  <c r="BO354" i="3"/>
  <c r="BN354" i="3"/>
  <c r="BM354" i="3"/>
  <c r="BL354" i="3"/>
  <c r="BK354" i="3"/>
  <c r="BJ354" i="3"/>
  <c r="BI354" i="3"/>
  <c r="BH354" i="3"/>
  <c r="BG354" i="3"/>
  <c r="BF354" i="3"/>
  <c r="BE354" i="3"/>
  <c r="BD354" i="3"/>
  <c r="BC354" i="3"/>
  <c r="BB354" i="3"/>
  <c r="BA354" i="3"/>
  <c r="AZ354" i="3"/>
  <c r="AY354" i="3"/>
  <c r="AX354" i="3"/>
  <c r="AW354" i="3"/>
  <c r="AV354" i="3"/>
  <c r="AU354" i="3"/>
  <c r="AT354" i="3"/>
  <c r="AS354" i="3"/>
  <c r="AR354" i="3"/>
  <c r="AQ354" i="3"/>
  <c r="AP354" i="3"/>
  <c r="AO354" i="3"/>
  <c r="AN354" i="3"/>
  <c r="AM354" i="3"/>
  <c r="E354" i="3"/>
  <c r="E753" i="3" s="1"/>
  <c r="D354" i="3"/>
  <c r="D753" i="3" s="1"/>
  <c r="C354" i="3"/>
  <c r="B354" i="3"/>
  <c r="B753" i="3" s="1"/>
  <c r="A354" i="3"/>
  <c r="A753" i="3" s="1"/>
  <c r="BS353" i="3"/>
  <c r="BR353" i="3"/>
  <c r="BQ353" i="3"/>
  <c r="BP353" i="3"/>
  <c r="BO353" i="3"/>
  <c r="BN353" i="3"/>
  <c r="BM353" i="3"/>
  <c r="BL353" i="3"/>
  <c r="BK353" i="3"/>
  <c r="BJ353" i="3"/>
  <c r="BI353" i="3"/>
  <c r="BH353" i="3"/>
  <c r="BG353" i="3"/>
  <c r="BF353" i="3"/>
  <c r="BE353" i="3"/>
  <c r="BD353" i="3"/>
  <c r="BC353" i="3"/>
  <c r="BB353" i="3"/>
  <c r="BA353" i="3"/>
  <c r="AZ353" i="3"/>
  <c r="AY353" i="3"/>
  <c r="AX353" i="3"/>
  <c r="AW353" i="3"/>
  <c r="AV353" i="3"/>
  <c r="AU353" i="3"/>
  <c r="AT353" i="3"/>
  <c r="AS353" i="3"/>
  <c r="AR353" i="3"/>
  <c r="AQ353" i="3"/>
  <c r="AP353" i="3"/>
  <c r="AO353" i="3"/>
  <c r="AN353" i="3"/>
  <c r="AM353" i="3"/>
  <c r="E353" i="3"/>
  <c r="E752" i="3" s="1"/>
  <c r="D353" i="3"/>
  <c r="D752" i="3" s="1"/>
  <c r="C353" i="3"/>
  <c r="C752" i="3" s="1"/>
  <c r="B353" i="3"/>
  <c r="A353" i="3"/>
  <c r="A752" i="3" s="1"/>
  <c r="BS352" i="3"/>
  <c r="BR352" i="3"/>
  <c r="BQ352" i="3"/>
  <c r="BP352" i="3"/>
  <c r="BO352" i="3"/>
  <c r="BN352" i="3"/>
  <c r="BM352" i="3"/>
  <c r="BL352" i="3"/>
  <c r="BK352" i="3"/>
  <c r="BJ352" i="3"/>
  <c r="BI352" i="3"/>
  <c r="BH352" i="3"/>
  <c r="BG352" i="3"/>
  <c r="BF352" i="3"/>
  <c r="BE352" i="3"/>
  <c r="BD352" i="3"/>
  <c r="BC352" i="3"/>
  <c r="BB352" i="3"/>
  <c r="BA352" i="3"/>
  <c r="AZ352" i="3"/>
  <c r="AY352" i="3"/>
  <c r="AX352" i="3"/>
  <c r="AW352" i="3"/>
  <c r="AV352" i="3"/>
  <c r="AU352" i="3"/>
  <c r="AT352" i="3"/>
  <c r="AS352" i="3"/>
  <c r="AR352" i="3"/>
  <c r="AQ352" i="3"/>
  <c r="AP352" i="3"/>
  <c r="AO352" i="3"/>
  <c r="AN352" i="3"/>
  <c r="AM352" i="3"/>
  <c r="E352" i="3"/>
  <c r="E751" i="3" s="1"/>
  <c r="D352" i="3"/>
  <c r="D751" i="3" s="1"/>
  <c r="C352" i="3"/>
  <c r="C751" i="3" s="1"/>
  <c r="B352" i="3"/>
  <c r="B751" i="3" s="1"/>
  <c r="A352" i="3"/>
  <c r="A751" i="3" s="1"/>
  <c r="BS351" i="3"/>
  <c r="BR351" i="3"/>
  <c r="BQ351" i="3"/>
  <c r="BP351" i="3"/>
  <c r="BO351" i="3"/>
  <c r="BN351" i="3"/>
  <c r="BM351" i="3"/>
  <c r="BL351" i="3"/>
  <c r="BK351" i="3"/>
  <c r="BJ351" i="3"/>
  <c r="BI351" i="3"/>
  <c r="BH351" i="3"/>
  <c r="BG351" i="3"/>
  <c r="BF351" i="3"/>
  <c r="BE351" i="3"/>
  <c r="BD351" i="3"/>
  <c r="BC351" i="3"/>
  <c r="BB351" i="3"/>
  <c r="BA351" i="3"/>
  <c r="AZ351" i="3"/>
  <c r="AY351" i="3"/>
  <c r="AX351" i="3"/>
  <c r="AW351" i="3"/>
  <c r="AV351" i="3"/>
  <c r="AU351" i="3"/>
  <c r="AT351" i="3"/>
  <c r="AS351" i="3"/>
  <c r="AR351" i="3"/>
  <c r="AQ351" i="3"/>
  <c r="AP351" i="3"/>
  <c r="AO351" i="3"/>
  <c r="AN351" i="3"/>
  <c r="AM351" i="3"/>
  <c r="E351" i="3"/>
  <c r="E750" i="3" s="1"/>
  <c r="D351" i="3"/>
  <c r="D750" i="3" s="1"/>
  <c r="C351" i="3"/>
  <c r="C750" i="3" s="1"/>
  <c r="B351" i="3"/>
  <c r="B750" i="3" s="1"/>
  <c r="A351" i="3"/>
  <c r="A750" i="3" s="1"/>
  <c r="BS350" i="3"/>
  <c r="BR350" i="3"/>
  <c r="BQ350" i="3"/>
  <c r="BP350" i="3"/>
  <c r="BO350" i="3"/>
  <c r="BN350" i="3"/>
  <c r="BM350" i="3"/>
  <c r="BL350" i="3"/>
  <c r="BK350" i="3"/>
  <c r="BJ350" i="3"/>
  <c r="BI350" i="3"/>
  <c r="BH350" i="3"/>
  <c r="BG350" i="3"/>
  <c r="BF350" i="3"/>
  <c r="BE350" i="3"/>
  <c r="BD350" i="3"/>
  <c r="BC350" i="3"/>
  <c r="BB350" i="3"/>
  <c r="BA350" i="3"/>
  <c r="AZ350" i="3"/>
  <c r="AY350" i="3"/>
  <c r="AX350" i="3"/>
  <c r="AW350" i="3"/>
  <c r="AV350" i="3"/>
  <c r="AU350" i="3"/>
  <c r="AT350" i="3"/>
  <c r="AS350" i="3"/>
  <c r="AR350" i="3"/>
  <c r="AQ350" i="3"/>
  <c r="AP350" i="3"/>
  <c r="AO350" i="3"/>
  <c r="AN350" i="3"/>
  <c r="AM350" i="3"/>
  <c r="E350" i="3"/>
  <c r="E749" i="3" s="1"/>
  <c r="D350" i="3"/>
  <c r="D749" i="3" s="1"/>
  <c r="C350" i="3"/>
  <c r="C749" i="3" s="1"/>
  <c r="B350" i="3"/>
  <c r="B749" i="3" s="1"/>
  <c r="A350" i="3"/>
  <c r="A749" i="3" s="1"/>
  <c r="BS349" i="3"/>
  <c r="BR349" i="3"/>
  <c r="BQ349" i="3"/>
  <c r="BP349" i="3"/>
  <c r="BO349" i="3"/>
  <c r="BN349" i="3"/>
  <c r="BM349" i="3"/>
  <c r="BL349" i="3"/>
  <c r="BK349" i="3"/>
  <c r="BJ349" i="3"/>
  <c r="BI349" i="3"/>
  <c r="BH349" i="3"/>
  <c r="BG349" i="3"/>
  <c r="BF349" i="3"/>
  <c r="BE349" i="3"/>
  <c r="BD349" i="3"/>
  <c r="BC349" i="3"/>
  <c r="BB349" i="3"/>
  <c r="BA349" i="3"/>
  <c r="AZ349" i="3"/>
  <c r="AY349" i="3"/>
  <c r="AX349" i="3"/>
  <c r="AW349" i="3"/>
  <c r="AV349" i="3"/>
  <c r="AU349" i="3"/>
  <c r="AT349" i="3"/>
  <c r="AS349" i="3"/>
  <c r="AR349" i="3"/>
  <c r="AQ349" i="3"/>
  <c r="AP349" i="3"/>
  <c r="AO349" i="3"/>
  <c r="AN349" i="3"/>
  <c r="AM349" i="3"/>
  <c r="E349" i="3"/>
  <c r="B349" i="3"/>
  <c r="A349" i="3"/>
  <c r="BS348" i="3"/>
  <c r="BR348" i="3"/>
  <c r="BQ348" i="3"/>
  <c r="BP348" i="3"/>
  <c r="BO348" i="3"/>
  <c r="BN348" i="3"/>
  <c r="BM348" i="3"/>
  <c r="BL348" i="3"/>
  <c r="BK348" i="3"/>
  <c r="BJ348" i="3"/>
  <c r="BI348" i="3"/>
  <c r="BH348" i="3"/>
  <c r="BG348" i="3"/>
  <c r="BF348" i="3"/>
  <c r="BE348" i="3"/>
  <c r="BD348" i="3"/>
  <c r="BC348" i="3"/>
  <c r="BB348" i="3"/>
  <c r="BA348" i="3"/>
  <c r="AZ348" i="3"/>
  <c r="AY348" i="3"/>
  <c r="AX348" i="3"/>
  <c r="AW348" i="3"/>
  <c r="AV348" i="3"/>
  <c r="AU348" i="3"/>
  <c r="AT348" i="3"/>
  <c r="AS348" i="3"/>
  <c r="AR348" i="3"/>
  <c r="AQ348" i="3"/>
  <c r="AP348" i="3"/>
  <c r="AO348" i="3"/>
  <c r="AN348" i="3"/>
  <c r="AM348" i="3"/>
  <c r="E348" i="3"/>
  <c r="E748" i="3" s="1"/>
  <c r="D348" i="3"/>
  <c r="D748" i="3" s="1"/>
  <c r="C348" i="3"/>
  <c r="C748" i="3" s="1"/>
  <c r="B348" i="3"/>
  <c r="B748" i="3" s="1"/>
  <c r="A348" i="3"/>
  <c r="A748" i="3" s="1"/>
  <c r="BS347" i="3"/>
  <c r="BR347" i="3"/>
  <c r="BQ347" i="3"/>
  <c r="BP347" i="3"/>
  <c r="BO347" i="3"/>
  <c r="BN347" i="3"/>
  <c r="BM347" i="3"/>
  <c r="BL347" i="3"/>
  <c r="BK347" i="3"/>
  <c r="BJ347" i="3"/>
  <c r="BI347" i="3"/>
  <c r="BH347" i="3"/>
  <c r="BG347" i="3"/>
  <c r="BF347" i="3"/>
  <c r="BE347" i="3"/>
  <c r="BD347" i="3"/>
  <c r="BC347" i="3"/>
  <c r="BB347" i="3"/>
  <c r="BA347" i="3"/>
  <c r="AZ347" i="3"/>
  <c r="AY347" i="3"/>
  <c r="AX347" i="3"/>
  <c r="AW347" i="3"/>
  <c r="AV347" i="3"/>
  <c r="AU347" i="3"/>
  <c r="AT347" i="3"/>
  <c r="AS347" i="3"/>
  <c r="AR347" i="3"/>
  <c r="AQ347" i="3"/>
  <c r="AP347" i="3"/>
  <c r="AO347" i="3"/>
  <c r="AN347" i="3"/>
  <c r="AM347" i="3"/>
  <c r="E347" i="3"/>
  <c r="E747" i="3" s="1"/>
  <c r="D347" i="3"/>
  <c r="D747" i="3" s="1"/>
  <c r="C347" i="3"/>
  <c r="C747" i="3" s="1"/>
  <c r="B347" i="3"/>
  <c r="B747" i="3" s="1"/>
  <c r="A347" i="3"/>
  <c r="A747" i="3" s="1"/>
  <c r="BS346" i="3"/>
  <c r="BR346" i="3"/>
  <c r="BQ346" i="3"/>
  <c r="BP346" i="3"/>
  <c r="BO346" i="3"/>
  <c r="BN346" i="3"/>
  <c r="BM346" i="3"/>
  <c r="BL346" i="3"/>
  <c r="BK346" i="3"/>
  <c r="BJ346" i="3"/>
  <c r="BI346" i="3"/>
  <c r="BH346" i="3"/>
  <c r="BG346" i="3"/>
  <c r="BF346" i="3"/>
  <c r="BE346" i="3"/>
  <c r="BD346" i="3"/>
  <c r="BC346" i="3"/>
  <c r="BB346" i="3"/>
  <c r="BA346" i="3"/>
  <c r="AZ346" i="3"/>
  <c r="AY346" i="3"/>
  <c r="AX346" i="3"/>
  <c r="AW346" i="3"/>
  <c r="AV346" i="3"/>
  <c r="AU346" i="3"/>
  <c r="AT346" i="3"/>
  <c r="AS346" i="3"/>
  <c r="AR346" i="3"/>
  <c r="AQ346" i="3"/>
  <c r="AP346" i="3"/>
  <c r="AO346" i="3"/>
  <c r="AN346" i="3"/>
  <c r="AM346" i="3"/>
  <c r="E346" i="3"/>
  <c r="E746" i="3" s="1"/>
  <c r="D346" i="3"/>
  <c r="D746" i="3" s="1"/>
  <c r="C346" i="3"/>
  <c r="C746" i="3" s="1"/>
  <c r="B346" i="3"/>
  <c r="B746" i="3" s="1"/>
  <c r="A346" i="3"/>
  <c r="A746" i="3" s="1"/>
  <c r="BS345" i="3"/>
  <c r="BR345" i="3"/>
  <c r="BQ345" i="3"/>
  <c r="BP345" i="3"/>
  <c r="BO345" i="3"/>
  <c r="BN345" i="3"/>
  <c r="BM345" i="3"/>
  <c r="BL345" i="3"/>
  <c r="BK345" i="3"/>
  <c r="BJ345" i="3"/>
  <c r="BI345" i="3"/>
  <c r="BH345" i="3"/>
  <c r="BG345" i="3"/>
  <c r="BF345" i="3"/>
  <c r="BE345" i="3"/>
  <c r="BD345" i="3"/>
  <c r="BC345" i="3"/>
  <c r="BB345" i="3"/>
  <c r="BA345" i="3"/>
  <c r="AZ345" i="3"/>
  <c r="AY345" i="3"/>
  <c r="AX345" i="3"/>
  <c r="AW345" i="3"/>
  <c r="AV345" i="3"/>
  <c r="AU345" i="3"/>
  <c r="AT345" i="3"/>
  <c r="AS345" i="3"/>
  <c r="AR345" i="3"/>
  <c r="AQ345" i="3"/>
  <c r="AP345" i="3"/>
  <c r="AO345" i="3"/>
  <c r="AN345" i="3"/>
  <c r="AM345" i="3"/>
  <c r="E345" i="3"/>
  <c r="E745" i="3" s="1"/>
  <c r="D345" i="3"/>
  <c r="D745" i="3" s="1"/>
  <c r="C345" i="3"/>
  <c r="C745" i="3" s="1"/>
  <c r="B345" i="3"/>
  <c r="A345" i="3"/>
  <c r="BS344" i="3"/>
  <c r="BR344" i="3"/>
  <c r="BQ344" i="3"/>
  <c r="BP344" i="3"/>
  <c r="BO344" i="3"/>
  <c r="BN344" i="3"/>
  <c r="BM344" i="3"/>
  <c r="BL344" i="3"/>
  <c r="BK344" i="3"/>
  <c r="BJ344" i="3"/>
  <c r="BI344" i="3"/>
  <c r="BH344" i="3"/>
  <c r="BG344" i="3"/>
  <c r="BF344" i="3"/>
  <c r="BE344" i="3"/>
  <c r="BD344" i="3"/>
  <c r="BC344" i="3"/>
  <c r="BB344" i="3"/>
  <c r="BA344" i="3"/>
  <c r="AZ344" i="3"/>
  <c r="AY344" i="3"/>
  <c r="AX344" i="3"/>
  <c r="AW344" i="3"/>
  <c r="AV344" i="3"/>
  <c r="AU344" i="3"/>
  <c r="AT344" i="3"/>
  <c r="AS344" i="3"/>
  <c r="AR344" i="3"/>
  <c r="AQ344" i="3"/>
  <c r="AP344" i="3"/>
  <c r="AO344" i="3"/>
  <c r="AN344" i="3"/>
  <c r="AM344" i="3"/>
  <c r="E344" i="3"/>
  <c r="E744" i="3" s="1"/>
  <c r="D344" i="3"/>
  <c r="D744" i="3" s="1"/>
  <c r="C344" i="3"/>
  <c r="C744" i="3" s="1"/>
  <c r="B344" i="3"/>
  <c r="B744" i="3" s="1"/>
  <c r="A344" i="3"/>
  <c r="BS343" i="3"/>
  <c r="BR343" i="3"/>
  <c r="BQ343" i="3"/>
  <c r="BP343" i="3"/>
  <c r="BO343" i="3"/>
  <c r="BN343" i="3"/>
  <c r="BM343" i="3"/>
  <c r="BL343" i="3"/>
  <c r="BK343" i="3"/>
  <c r="BJ343" i="3"/>
  <c r="BI343" i="3"/>
  <c r="BH343" i="3"/>
  <c r="BG343" i="3"/>
  <c r="BF343" i="3"/>
  <c r="BE343" i="3"/>
  <c r="BD343" i="3"/>
  <c r="BC343" i="3"/>
  <c r="BB343" i="3"/>
  <c r="BA343" i="3"/>
  <c r="AZ343" i="3"/>
  <c r="AY343" i="3"/>
  <c r="AX343" i="3"/>
  <c r="AW343" i="3"/>
  <c r="AV343" i="3"/>
  <c r="AU343" i="3"/>
  <c r="AT343" i="3"/>
  <c r="AS343" i="3"/>
  <c r="AR343" i="3"/>
  <c r="AQ343" i="3"/>
  <c r="AP343" i="3"/>
  <c r="AO343" i="3"/>
  <c r="AN343" i="3"/>
  <c r="AM343" i="3"/>
  <c r="E343" i="3"/>
  <c r="E743" i="3" s="1"/>
  <c r="D343" i="3"/>
  <c r="D743" i="3" s="1"/>
  <c r="C343" i="3"/>
  <c r="C743" i="3" s="1"/>
  <c r="B343" i="3"/>
  <c r="B743" i="3" s="1"/>
  <c r="A343" i="3"/>
  <c r="A743" i="3" s="1"/>
  <c r="BS342" i="3"/>
  <c r="BR342" i="3"/>
  <c r="BQ342" i="3"/>
  <c r="BP342" i="3"/>
  <c r="BO342" i="3"/>
  <c r="BN342" i="3"/>
  <c r="BM342" i="3"/>
  <c r="BL342" i="3"/>
  <c r="BK342" i="3"/>
  <c r="BJ342" i="3"/>
  <c r="BI342" i="3"/>
  <c r="BH342" i="3"/>
  <c r="BG342" i="3"/>
  <c r="BF342" i="3"/>
  <c r="BE342" i="3"/>
  <c r="BD342" i="3"/>
  <c r="BC342" i="3"/>
  <c r="BB342" i="3"/>
  <c r="BA342" i="3"/>
  <c r="AZ342" i="3"/>
  <c r="AY342" i="3"/>
  <c r="AX342" i="3"/>
  <c r="AW342" i="3"/>
  <c r="AV342" i="3"/>
  <c r="AU342" i="3"/>
  <c r="AT342" i="3"/>
  <c r="AS342" i="3"/>
  <c r="AR342" i="3"/>
  <c r="AQ342" i="3"/>
  <c r="AP342" i="3"/>
  <c r="AO342" i="3"/>
  <c r="AN342" i="3"/>
  <c r="AM342" i="3"/>
  <c r="E342" i="3"/>
  <c r="E742" i="3" s="1"/>
  <c r="D342" i="3"/>
  <c r="D742" i="3" s="1"/>
  <c r="C342" i="3"/>
  <c r="C742" i="3" s="1"/>
  <c r="B342" i="3"/>
  <c r="B742" i="3" s="1"/>
  <c r="A342" i="3"/>
  <c r="A742" i="3" s="1"/>
  <c r="BS341" i="3"/>
  <c r="BR341" i="3"/>
  <c r="BQ341" i="3"/>
  <c r="BP341" i="3"/>
  <c r="BO341" i="3"/>
  <c r="BN341" i="3"/>
  <c r="BM341" i="3"/>
  <c r="BL341" i="3"/>
  <c r="BK341" i="3"/>
  <c r="BJ341" i="3"/>
  <c r="BI341" i="3"/>
  <c r="BH341" i="3"/>
  <c r="BG341" i="3"/>
  <c r="BF341" i="3"/>
  <c r="BE341" i="3"/>
  <c r="BD341" i="3"/>
  <c r="BC341" i="3"/>
  <c r="BB341" i="3"/>
  <c r="BA341" i="3"/>
  <c r="AZ341" i="3"/>
  <c r="AY341" i="3"/>
  <c r="AX341" i="3"/>
  <c r="AW341" i="3"/>
  <c r="AV341" i="3"/>
  <c r="AU341" i="3"/>
  <c r="AT341" i="3"/>
  <c r="AS341" i="3"/>
  <c r="AR341" i="3"/>
  <c r="AQ341" i="3"/>
  <c r="AP341" i="3"/>
  <c r="AO341" i="3"/>
  <c r="AN341" i="3"/>
  <c r="AM341" i="3"/>
  <c r="E341" i="3"/>
  <c r="D341" i="3"/>
  <c r="D741" i="3" s="1"/>
  <c r="C341" i="3"/>
  <c r="C741" i="3" s="1"/>
  <c r="B341" i="3"/>
  <c r="B741" i="3" s="1"/>
  <c r="A341" i="3"/>
  <c r="A741" i="3" s="1"/>
  <c r="BS340" i="3"/>
  <c r="BR340" i="3"/>
  <c r="BQ340" i="3"/>
  <c r="BP340" i="3"/>
  <c r="BO340" i="3"/>
  <c r="BN340" i="3"/>
  <c r="BM340" i="3"/>
  <c r="BL340" i="3"/>
  <c r="BK340" i="3"/>
  <c r="BJ340" i="3"/>
  <c r="BI340" i="3"/>
  <c r="BH340" i="3"/>
  <c r="BG340" i="3"/>
  <c r="BF340" i="3"/>
  <c r="BE340" i="3"/>
  <c r="BD340" i="3"/>
  <c r="BC340" i="3"/>
  <c r="BB340" i="3"/>
  <c r="BA340" i="3"/>
  <c r="AZ340" i="3"/>
  <c r="AY340" i="3"/>
  <c r="AX340" i="3"/>
  <c r="AW340" i="3"/>
  <c r="AV340" i="3"/>
  <c r="AU340" i="3"/>
  <c r="AT340" i="3"/>
  <c r="AS340" i="3"/>
  <c r="AR340" i="3"/>
  <c r="AQ340" i="3"/>
  <c r="AP340" i="3"/>
  <c r="AO340" i="3"/>
  <c r="AN340" i="3"/>
  <c r="AM340" i="3"/>
  <c r="E340" i="3"/>
  <c r="D340" i="3"/>
  <c r="C340" i="3"/>
  <c r="C740" i="3" s="1"/>
  <c r="B340" i="3"/>
  <c r="B740" i="3" s="1"/>
  <c r="A340" i="3"/>
  <c r="BS339" i="3"/>
  <c r="BR339" i="3"/>
  <c r="BQ339" i="3"/>
  <c r="BP339" i="3"/>
  <c r="BO339" i="3"/>
  <c r="BN339" i="3"/>
  <c r="BM339" i="3"/>
  <c r="BL339" i="3"/>
  <c r="BK339" i="3"/>
  <c r="BJ339" i="3"/>
  <c r="BI339" i="3"/>
  <c r="BH339" i="3"/>
  <c r="BG339" i="3"/>
  <c r="BF339" i="3"/>
  <c r="BE339" i="3"/>
  <c r="BD339" i="3"/>
  <c r="BC339" i="3"/>
  <c r="BB339" i="3"/>
  <c r="BA339" i="3"/>
  <c r="AZ339" i="3"/>
  <c r="AY339" i="3"/>
  <c r="AX339" i="3"/>
  <c r="AW339" i="3"/>
  <c r="AV339" i="3"/>
  <c r="AU339" i="3"/>
  <c r="AT339" i="3"/>
  <c r="AS339" i="3"/>
  <c r="AR339" i="3"/>
  <c r="AQ339" i="3"/>
  <c r="AP339" i="3"/>
  <c r="AO339" i="3"/>
  <c r="AN339" i="3"/>
  <c r="AM339" i="3"/>
  <c r="E339" i="3"/>
  <c r="E739" i="3" s="1"/>
  <c r="D339" i="3"/>
  <c r="D739" i="3" s="1"/>
  <c r="C339" i="3"/>
  <c r="C739" i="3" s="1"/>
  <c r="B339" i="3"/>
  <c r="B739" i="3" s="1"/>
  <c r="A339" i="3"/>
  <c r="A739" i="3" s="1"/>
  <c r="BS338" i="3"/>
  <c r="BR338" i="3"/>
  <c r="BQ338" i="3"/>
  <c r="BP338" i="3"/>
  <c r="BO338" i="3"/>
  <c r="BN338" i="3"/>
  <c r="BM338" i="3"/>
  <c r="BL338" i="3"/>
  <c r="BK338" i="3"/>
  <c r="BJ338" i="3"/>
  <c r="BI338" i="3"/>
  <c r="BH338" i="3"/>
  <c r="BG338" i="3"/>
  <c r="BF338" i="3"/>
  <c r="BE338" i="3"/>
  <c r="BD338" i="3"/>
  <c r="BC338" i="3"/>
  <c r="BB338" i="3"/>
  <c r="BA338" i="3"/>
  <c r="AZ338" i="3"/>
  <c r="AY338" i="3"/>
  <c r="AX338" i="3"/>
  <c r="AW338" i="3"/>
  <c r="AV338" i="3"/>
  <c r="AU338" i="3"/>
  <c r="AT338" i="3"/>
  <c r="AS338" i="3"/>
  <c r="AR338" i="3"/>
  <c r="AQ338" i="3"/>
  <c r="AP338" i="3"/>
  <c r="AO338" i="3"/>
  <c r="AN338" i="3"/>
  <c r="AM338" i="3"/>
  <c r="E338" i="3"/>
  <c r="E738" i="3" s="1"/>
  <c r="D338" i="3"/>
  <c r="D738" i="3" s="1"/>
  <c r="C338" i="3"/>
  <c r="C738" i="3" s="1"/>
  <c r="B338" i="3"/>
  <c r="B738" i="3" s="1"/>
  <c r="A338" i="3"/>
  <c r="A738" i="3" s="1"/>
  <c r="BS337" i="3"/>
  <c r="BR337" i="3"/>
  <c r="BQ337" i="3"/>
  <c r="BP337" i="3"/>
  <c r="BO337" i="3"/>
  <c r="BN337" i="3"/>
  <c r="BM337" i="3"/>
  <c r="BL337" i="3"/>
  <c r="BK337" i="3"/>
  <c r="BJ337" i="3"/>
  <c r="BI337" i="3"/>
  <c r="BH337" i="3"/>
  <c r="BG337" i="3"/>
  <c r="BF337" i="3"/>
  <c r="BE337" i="3"/>
  <c r="BD337" i="3"/>
  <c r="BC337" i="3"/>
  <c r="BB337" i="3"/>
  <c r="BA337" i="3"/>
  <c r="AZ337" i="3"/>
  <c r="AY337" i="3"/>
  <c r="AX337" i="3"/>
  <c r="AW337" i="3"/>
  <c r="AV337" i="3"/>
  <c r="AU337" i="3"/>
  <c r="AT337" i="3"/>
  <c r="AS337" i="3"/>
  <c r="AR337" i="3"/>
  <c r="AQ337" i="3"/>
  <c r="AP337" i="3"/>
  <c r="AO337" i="3"/>
  <c r="AN337" i="3"/>
  <c r="AM337" i="3"/>
  <c r="E337" i="3"/>
  <c r="E737" i="3" s="1"/>
  <c r="D337" i="3"/>
  <c r="D737" i="3" s="1"/>
  <c r="C337" i="3"/>
  <c r="C737" i="3" s="1"/>
  <c r="B337" i="3"/>
  <c r="B737" i="3" s="1"/>
  <c r="A337" i="3"/>
  <c r="A737" i="3" s="1"/>
  <c r="BS336" i="3"/>
  <c r="BR336" i="3"/>
  <c r="BQ336" i="3"/>
  <c r="BP336" i="3"/>
  <c r="BO336" i="3"/>
  <c r="BN336" i="3"/>
  <c r="BM336" i="3"/>
  <c r="BL336" i="3"/>
  <c r="BK336" i="3"/>
  <c r="BJ336" i="3"/>
  <c r="BI336" i="3"/>
  <c r="BH336" i="3"/>
  <c r="BG336" i="3"/>
  <c r="BF336" i="3"/>
  <c r="BE336" i="3"/>
  <c r="BD336" i="3"/>
  <c r="BC336" i="3"/>
  <c r="BB336" i="3"/>
  <c r="BA336" i="3"/>
  <c r="AZ336" i="3"/>
  <c r="AY336" i="3"/>
  <c r="AX336" i="3"/>
  <c r="AW336" i="3"/>
  <c r="AV336" i="3"/>
  <c r="AU336" i="3"/>
  <c r="AT336" i="3"/>
  <c r="AS336" i="3"/>
  <c r="AR336" i="3"/>
  <c r="AQ336" i="3"/>
  <c r="AP336" i="3"/>
  <c r="AO336" i="3"/>
  <c r="AN336" i="3"/>
  <c r="AM336" i="3"/>
  <c r="E336" i="3"/>
  <c r="E736" i="3" s="1"/>
  <c r="D336" i="3"/>
  <c r="D736" i="3" s="1"/>
  <c r="C336" i="3"/>
  <c r="C736" i="3" s="1"/>
  <c r="B336" i="3"/>
  <c r="A336" i="3"/>
  <c r="BS335" i="3"/>
  <c r="BR335" i="3"/>
  <c r="BQ335" i="3"/>
  <c r="BP335" i="3"/>
  <c r="BO335" i="3"/>
  <c r="BN335" i="3"/>
  <c r="BM335" i="3"/>
  <c r="BL335" i="3"/>
  <c r="BK335" i="3"/>
  <c r="BJ335" i="3"/>
  <c r="BI335" i="3"/>
  <c r="BH335" i="3"/>
  <c r="BG335" i="3"/>
  <c r="BF335" i="3"/>
  <c r="BE335" i="3"/>
  <c r="BD335" i="3"/>
  <c r="BC335" i="3"/>
  <c r="BB335" i="3"/>
  <c r="BA335" i="3"/>
  <c r="AZ335" i="3"/>
  <c r="AY335" i="3"/>
  <c r="AX335" i="3"/>
  <c r="AW335" i="3"/>
  <c r="AV335" i="3"/>
  <c r="AU335" i="3"/>
  <c r="AT335" i="3"/>
  <c r="AS335" i="3"/>
  <c r="AR335" i="3"/>
  <c r="AQ335" i="3"/>
  <c r="AP335" i="3"/>
  <c r="AO335" i="3"/>
  <c r="AN335" i="3"/>
  <c r="AM335" i="3"/>
  <c r="E335" i="3"/>
  <c r="E735" i="3" s="1"/>
  <c r="D335" i="3"/>
  <c r="D735" i="3" s="1"/>
  <c r="C335" i="3"/>
  <c r="C735" i="3" s="1"/>
  <c r="B335" i="3"/>
  <c r="B735" i="3" s="1"/>
  <c r="A335" i="3"/>
  <c r="A735" i="3" s="1"/>
  <c r="BS334" i="3"/>
  <c r="BR334" i="3"/>
  <c r="BQ334" i="3"/>
  <c r="BP334" i="3"/>
  <c r="BO334" i="3"/>
  <c r="BN334" i="3"/>
  <c r="BM334" i="3"/>
  <c r="BL334" i="3"/>
  <c r="BK334" i="3"/>
  <c r="BJ334" i="3"/>
  <c r="BI334" i="3"/>
  <c r="BH334" i="3"/>
  <c r="BG334" i="3"/>
  <c r="BF334" i="3"/>
  <c r="BE334" i="3"/>
  <c r="BD334" i="3"/>
  <c r="BC334" i="3"/>
  <c r="BB334" i="3"/>
  <c r="BA334" i="3"/>
  <c r="AZ334" i="3"/>
  <c r="AY334" i="3"/>
  <c r="AX334" i="3"/>
  <c r="AW334" i="3"/>
  <c r="AV334" i="3"/>
  <c r="AU334" i="3"/>
  <c r="AT334" i="3"/>
  <c r="AS334" i="3"/>
  <c r="AR334" i="3"/>
  <c r="AQ334" i="3"/>
  <c r="AP334" i="3"/>
  <c r="AO334" i="3"/>
  <c r="AN334" i="3"/>
  <c r="AM334" i="3"/>
  <c r="E334" i="3"/>
  <c r="D334" i="3"/>
  <c r="C334" i="3"/>
  <c r="C734" i="3" s="1"/>
  <c r="B334" i="3"/>
  <c r="B734" i="3" s="1"/>
  <c r="A334" i="3"/>
  <c r="A734" i="3" s="1"/>
  <c r="BS333" i="3"/>
  <c r="BR333" i="3"/>
  <c r="BQ333" i="3"/>
  <c r="BP333" i="3"/>
  <c r="BO333" i="3"/>
  <c r="BN333" i="3"/>
  <c r="BM333" i="3"/>
  <c r="BL333" i="3"/>
  <c r="BK333" i="3"/>
  <c r="BJ333" i="3"/>
  <c r="BI333" i="3"/>
  <c r="BH333" i="3"/>
  <c r="BG333" i="3"/>
  <c r="BF333" i="3"/>
  <c r="BE333" i="3"/>
  <c r="BD333" i="3"/>
  <c r="BC333" i="3"/>
  <c r="BB333" i="3"/>
  <c r="BA333" i="3"/>
  <c r="AZ333" i="3"/>
  <c r="AY333" i="3"/>
  <c r="AX333" i="3"/>
  <c r="AW333" i="3"/>
  <c r="AV333" i="3"/>
  <c r="AU333" i="3"/>
  <c r="AT333" i="3"/>
  <c r="AS333" i="3"/>
  <c r="AR333" i="3"/>
  <c r="AQ333" i="3"/>
  <c r="AP333" i="3"/>
  <c r="AO333" i="3"/>
  <c r="AN333" i="3"/>
  <c r="AM333" i="3"/>
  <c r="E333" i="3"/>
  <c r="E733" i="3" s="1"/>
  <c r="D333" i="3"/>
  <c r="D733" i="3" s="1"/>
  <c r="C333" i="3"/>
  <c r="B333" i="3"/>
  <c r="A333" i="3"/>
  <c r="A733" i="3" s="1"/>
  <c r="BS332" i="3"/>
  <c r="BR332" i="3"/>
  <c r="BQ332" i="3"/>
  <c r="BP332" i="3"/>
  <c r="BO332" i="3"/>
  <c r="BN332" i="3"/>
  <c r="BM332" i="3"/>
  <c r="BL332" i="3"/>
  <c r="BK332" i="3"/>
  <c r="BJ332" i="3"/>
  <c r="BI332" i="3"/>
  <c r="BH332" i="3"/>
  <c r="BG332" i="3"/>
  <c r="BF332" i="3"/>
  <c r="BE332" i="3"/>
  <c r="BD332" i="3"/>
  <c r="BC332" i="3"/>
  <c r="BB332" i="3"/>
  <c r="BA332" i="3"/>
  <c r="AZ332" i="3"/>
  <c r="AY332" i="3"/>
  <c r="AX332" i="3"/>
  <c r="AW332" i="3"/>
  <c r="AV332" i="3"/>
  <c r="AU332" i="3"/>
  <c r="AT332" i="3"/>
  <c r="AS332" i="3"/>
  <c r="AR332" i="3"/>
  <c r="AQ332" i="3"/>
  <c r="AP332" i="3"/>
  <c r="AO332" i="3"/>
  <c r="AN332" i="3"/>
  <c r="AM332" i="3"/>
  <c r="E332" i="3"/>
  <c r="E732" i="3" s="1"/>
  <c r="D332" i="3"/>
  <c r="D732" i="3" s="1"/>
  <c r="C332" i="3"/>
  <c r="C732" i="3" s="1"/>
  <c r="B332" i="3"/>
  <c r="B732" i="3" s="1"/>
  <c r="A332" i="3"/>
  <c r="A732" i="3" s="1"/>
  <c r="BS331" i="3"/>
  <c r="BR331" i="3"/>
  <c r="BQ331" i="3"/>
  <c r="BP331" i="3"/>
  <c r="BO331" i="3"/>
  <c r="BN331" i="3"/>
  <c r="BM331" i="3"/>
  <c r="BL331" i="3"/>
  <c r="BK331" i="3"/>
  <c r="BJ331" i="3"/>
  <c r="BI331" i="3"/>
  <c r="BH331" i="3"/>
  <c r="BG331" i="3"/>
  <c r="BF331" i="3"/>
  <c r="BE331" i="3"/>
  <c r="BD331" i="3"/>
  <c r="BC331" i="3"/>
  <c r="BB331" i="3"/>
  <c r="BA331" i="3"/>
  <c r="AZ331" i="3"/>
  <c r="AY331" i="3"/>
  <c r="AX331" i="3"/>
  <c r="AW331" i="3"/>
  <c r="AV331" i="3"/>
  <c r="AU331" i="3"/>
  <c r="AT331" i="3"/>
  <c r="AS331" i="3"/>
  <c r="AR331" i="3"/>
  <c r="AQ331" i="3"/>
  <c r="AP331" i="3"/>
  <c r="AO331" i="3"/>
  <c r="AN331" i="3"/>
  <c r="AM331" i="3"/>
  <c r="E331" i="3"/>
  <c r="E731" i="3" s="1"/>
  <c r="D331" i="3"/>
  <c r="D731" i="3" s="1"/>
  <c r="C331" i="3"/>
  <c r="C731" i="3" s="1"/>
  <c r="B331" i="3"/>
  <c r="B731" i="3" s="1"/>
  <c r="A331" i="3"/>
  <c r="A731" i="3" s="1"/>
  <c r="BS330" i="3"/>
  <c r="BR330" i="3"/>
  <c r="BQ330" i="3"/>
  <c r="BP330" i="3"/>
  <c r="BO330" i="3"/>
  <c r="BN330" i="3"/>
  <c r="BM330" i="3"/>
  <c r="BL330" i="3"/>
  <c r="BK330" i="3"/>
  <c r="BJ330" i="3"/>
  <c r="BI330" i="3"/>
  <c r="BH330" i="3"/>
  <c r="BG330" i="3"/>
  <c r="BF330" i="3"/>
  <c r="BE330" i="3"/>
  <c r="BD330" i="3"/>
  <c r="BC330" i="3"/>
  <c r="BB330" i="3"/>
  <c r="BA330" i="3"/>
  <c r="AZ330" i="3"/>
  <c r="AY330" i="3"/>
  <c r="AX330" i="3"/>
  <c r="AW330" i="3"/>
  <c r="AV330" i="3"/>
  <c r="AU330" i="3"/>
  <c r="AT330" i="3"/>
  <c r="AS330" i="3"/>
  <c r="AR330" i="3"/>
  <c r="AQ330" i="3"/>
  <c r="AP330" i="3"/>
  <c r="AO330" i="3"/>
  <c r="AN330" i="3"/>
  <c r="AM330" i="3"/>
  <c r="E330" i="3"/>
  <c r="D330" i="3"/>
  <c r="C330" i="3"/>
  <c r="C730" i="3" s="1"/>
  <c r="B330" i="3"/>
  <c r="B730" i="3" s="1"/>
  <c r="A330" i="3"/>
  <c r="A730" i="3" s="1"/>
  <c r="BS329" i="3"/>
  <c r="BR329" i="3"/>
  <c r="BQ329" i="3"/>
  <c r="BP329" i="3"/>
  <c r="BO329" i="3"/>
  <c r="BN329" i="3"/>
  <c r="BM329" i="3"/>
  <c r="BL329" i="3"/>
  <c r="BK329" i="3"/>
  <c r="BJ329" i="3"/>
  <c r="BI329" i="3"/>
  <c r="BH329" i="3"/>
  <c r="BG329" i="3"/>
  <c r="BF329" i="3"/>
  <c r="BE329" i="3"/>
  <c r="BD329" i="3"/>
  <c r="BC329" i="3"/>
  <c r="BB329" i="3"/>
  <c r="BA329" i="3"/>
  <c r="AZ329" i="3"/>
  <c r="AY329" i="3"/>
  <c r="AX329" i="3"/>
  <c r="AW329" i="3"/>
  <c r="AV329" i="3"/>
  <c r="AU329" i="3"/>
  <c r="AT329" i="3"/>
  <c r="AS329" i="3"/>
  <c r="AR329" i="3"/>
  <c r="AQ329" i="3"/>
  <c r="AP329" i="3"/>
  <c r="AO329" i="3"/>
  <c r="AN329" i="3"/>
  <c r="AM329" i="3"/>
  <c r="E329" i="3"/>
  <c r="E729" i="3" s="1"/>
  <c r="D329" i="3"/>
  <c r="D729" i="3" s="1"/>
  <c r="C329" i="3"/>
  <c r="C729" i="3" s="1"/>
  <c r="B329" i="3"/>
  <c r="B729" i="3" s="1"/>
  <c r="A329" i="3"/>
  <c r="BS328" i="3"/>
  <c r="BR328" i="3"/>
  <c r="BQ328" i="3"/>
  <c r="BP328" i="3"/>
  <c r="BO328" i="3"/>
  <c r="BN328" i="3"/>
  <c r="BM328" i="3"/>
  <c r="BL328" i="3"/>
  <c r="BK328" i="3"/>
  <c r="BJ328" i="3"/>
  <c r="BI328" i="3"/>
  <c r="BH328" i="3"/>
  <c r="BG328" i="3"/>
  <c r="BF328" i="3"/>
  <c r="BE328" i="3"/>
  <c r="BD328" i="3"/>
  <c r="BC328" i="3"/>
  <c r="BB328" i="3"/>
  <c r="BA328" i="3"/>
  <c r="AZ328" i="3"/>
  <c r="AY328" i="3"/>
  <c r="AX328" i="3"/>
  <c r="AW328" i="3"/>
  <c r="AV328" i="3"/>
  <c r="AU328" i="3"/>
  <c r="AT328" i="3"/>
  <c r="AS328" i="3"/>
  <c r="AR328" i="3"/>
  <c r="AQ328" i="3"/>
  <c r="AP328" i="3"/>
  <c r="AO328" i="3"/>
  <c r="AN328" i="3"/>
  <c r="AM328" i="3"/>
  <c r="E328" i="3"/>
  <c r="B328" i="3"/>
  <c r="A328" i="3"/>
  <c r="A328" i="2" s="1"/>
  <c r="BS327" i="3"/>
  <c r="BR327" i="3"/>
  <c r="BQ327" i="3"/>
  <c r="BP327" i="3"/>
  <c r="BO327" i="3"/>
  <c r="BN327" i="3"/>
  <c r="BM327" i="3"/>
  <c r="BL327" i="3"/>
  <c r="BK327" i="3"/>
  <c r="BJ327" i="3"/>
  <c r="BI327" i="3"/>
  <c r="BH327" i="3"/>
  <c r="BG327" i="3"/>
  <c r="BF327" i="3"/>
  <c r="BE327" i="3"/>
  <c r="BD327" i="3"/>
  <c r="BC327" i="3"/>
  <c r="BB327" i="3"/>
  <c r="BA327" i="3"/>
  <c r="AZ327" i="3"/>
  <c r="AY327" i="3"/>
  <c r="AX327" i="3"/>
  <c r="AW327" i="3"/>
  <c r="AV327" i="3"/>
  <c r="AU327" i="3"/>
  <c r="AT327" i="3"/>
  <c r="AS327" i="3"/>
  <c r="AR327" i="3"/>
  <c r="AQ327" i="3"/>
  <c r="AP327" i="3"/>
  <c r="AO327" i="3"/>
  <c r="AN327" i="3"/>
  <c r="AM327" i="3"/>
  <c r="E327" i="3"/>
  <c r="E728" i="3" s="1"/>
  <c r="D327" i="3"/>
  <c r="D728" i="3" s="1"/>
  <c r="C327" i="3"/>
  <c r="C728" i="3" s="1"/>
  <c r="B327" i="3"/>
  <c r="A327" i="3"/>
  <c r="A728" i="3" s="1"/>
  <c r="BS326" i="3"/>
  <c r="BR326" i="3"/>
  <c r="BQ326" i="3"/>
  <c r="BP326" i="3"/>
  <c r="BO326" i="3"/>
  <c r="BN326" i="3"/>
  <c r="BM326" i="3"/>
  <c r="BL326" i="3"/>
  <c r="BK326" i="3"/>
  <c r="BJ326" i="3"/>
  <c r="BI326" i="3"/>
  <c r="BH326" i="3"/>
  <c r="BG326" i="3"/>
  <c r="BF326" i="3"/>
  <c r="BE326" i="3"/>
  <c r="BD326" i="3"/>
  <c r="BC326" i="3"/>
  <c r="BB326" i="3"/>
  <c r="BA326" i="3"/>
  <c r="AZ326" i="3"/>
  <c r="AY326" i="3"/>
  <c r="AX326" i="3"/>
  <c r="AW326" i="3"/>
  <c r="AV326" i="3"/>
  <c r="AU326" i="3"/>
  <c r="AT326" i="3"/>
  <c r="AS326" i="3"/>
  <c r="AR326" i="3"/>
  <c r="AQ326" i="3"/>
  <c r="AP326" i="3"/>
  <c r="AO326" i="3"/>
  <c r="AN326" i="3"/>
  <c r="AM326" i="3"/>
  <c r="E326" i="3"/>
  <c r="E727" i="3" s="1"/>
  <c r="D326" i="3"/>
  <c r="D727" i="3" s="1"/>
  <c r="C326" i="3"/>
  <c r="C727" i="3" s="1"/>
  <c r="B326" i="3"/>
  <c r="B727" i="3" s="1"/>
  <c r="A326" i="3"/>
  <c r="A727" i="3" s="1"/>
  <c r="BS325" i="3"/>
  <c r="BR325" i="3"/>
  <c r="BQ325" i="3"/>
  <c r="BP325" i="3"/>
  <c r="BO325" i="3"/>
  <c r="BN325" i="3"/>
  <c r="BM325" i="3"/>
  <c r="BL325" i="3"/>
  <c r="BK325" i="3"/>
  <c r="BJ325" i="3"/>
  <c r="BI325" i="3"/>
  <c r="BH325" i="3"/>
  <c r="BG325" i="3"/>
  <c r="BF325" i="3"/>
  <c r="BE325" i="3"/>
  <c r="BD325" i="3"/>
  <c r="BC325" i="3"/>
  <c r="BB325" i="3"/>
  <c r="BA325" i="3"/>
  <c r="AZ325" i="3"/>
  <c r="AY325" i="3"/>
  <c r="AX325" i="3"/>
  <c r="AW325" i="3"/>
  <c r="AV325" i="3"/>
  <c r="AU325" i="3"/>
  <c r="AT325" i="3"/>
  <c r="AS325" i="3"/>
  <c r="AR325" i="3"/>
  <c r="AQ325" i="3"/>
  <c r="AP325" i="3"/>
  <c r="AO325" i="3"/>
  <c r="AN325" i="3"/>
  <c r="AM325" i="3"/>
  <c r="E325" i="3"/>
  <c r="E726" i="3" s="1"/>
  <c r="D325" i="3"/>
  <c r="D726" i="3" s="1"/>
  <c r="C325" i="3"/>
  <c r="C726" i="3" s="1"/>
  <c r="B325" i="3"/>
  <c r="B726" i="3" s="1"/>
  <c r="A325" i="3"/>
  <c r="BS324" i="3"/>
  <c r="BR324" i="3"/>
  <c r="BQ324" i="3"/>
  <c r="BP324" i="3"/>
  <c r="BO324" i="3"/>
  <c r="BN324" i="3"/>
  <c r="BM324" i="3"/>
  <c r="BL324" i="3"/>
  <c r="BK324" i="3"/>
  <c r="BJ324" i="3"/>
  <c r="BI324" i="3"/>
  <c r="BH324" i="3"/>
  <c r="BG324" i="3"/>
  <c r="BF324" i="3"/>
  <c r="BE324" i="3"/>
  <c r="BD324" i="3"/>
  <c r="BC324" i="3"/>
  <c r="BB324" i="3"/>
  <c r="BA324" i="3"/>
  <c r="AZ324" i="3"/>
  <c r="AY324" i="3"/>
  <c r="AX324" i="3"/>
  <c r="AW324" i="3"/>
  <c r="AV324" i="3"/>
  <c r="AU324" i="3"/>
  <c r="AT324" i="3"/>
  <c r="AS324" i="3"/>
  <c r="AR324" i="3"/>
  <c r="AQ324" i="3"/>
  <c r="AP324" i="3"/>
  <c r="AO324" i="3"/>
  <c r="AN324" i="3"/>
  <c r="AM324" i="3"/>
  <c r="E324" i="3"/>
  <c r="E725" i="3" s="1"/>
  <c r="D324" i="3"/>
  <c r="D725" i="3" s="1"/>
  <c r="C324" i="3"/>
  <c r="C725" i="3" s="1"/>
  <c r="B324" i="3"/>
  <c r="B725" i="3" s="1"/>
  <c r="A324" i="3"/>
  <c r="A725" i="3" s="1"/>
  <c r="BS323" i="3"/>
  <c r="BR323" i="3"/>
  <c r="BQ323" i="3"/>
  <c r="BP323" i="3"/>
  <c r="BO323" i="3"/>
  <c r="BN323" i="3"/>
  <c r="BM323" i="3"/>
  <c r="BL323" i="3"/>
  <c r="BK323" i="3"/>
  <c r="BJ323" i="3"/>
  <c r="BI323" i="3"/>
  <c r="BH323" i="3"/>
  <c r="BG323" i="3"/>
  <c r="BF323" i="3"/>
  <c r="BE323" i="3"/>
  <c r="BD323" i="3"/>
  <c r="BC323" i="3"/>
  <c r="BB323" i="3"/>
  <c r="BA323" i="3"/>
  <c r="AZ323" i="3"/>
  <c r="AY323" i="3"/>
  <c r="AX323" i="3"/>
  <c r="AW323" i="3"/>
  <c r="AV323" i="3"/>
  <c r="AU323" i="3"/>
  <c r="AT323" i="3"/>
  <c r="AS323" i="3"/>
  <c r="AR323" i="3"/>
  <c r="AQ323" i="3"/>
  <c r="AP323" i="3"/>
  <c r="AO323" i="3"/>
  <c r="AN323" i="3"/>
  <c r="AM323" i="3"/>
  <c r="E323" i="3"/>
  <c r="D323" i="3"/>
  <c r="D724" i="3" s="1"/>
  <c r="C323" i="3"/>
  <c r="B323" i="3"/>
  <c r="B724" i="3" s="1"/>
  <c r="A323" i="3"/>
  <c r="A724" i="3" s="1"/>
  <c r="BS322" i="3"/>
  <c r="BR322" i="3"/>
  <c r="BQ322" i="3"/>
  <c r="BP322" i="3"/>
  <c r="BO322" i="3"/>
  <c r="BN322" i="3"/>
  <c r="BM322" i="3"/>
  <c r="BL322" i="3"/>
  <c r="BK322" i="3"/>
  <c r="BJ322" i="3"/>
  <c r="BI322" i="3"/>
  <c r="BH322" i="3"/>
  <c r="BG322" i="3"/>
  <c r="BF322" i="3"/>
  <c r="BE322" i="3"/>
  <c r="BD322" i="3"/>
  <c r="BC322" i="3"/>
  <c r="BB322" i="3"/>
  <c r="BA322" i="3"/>
  <c r="AZ322" i="3"/>
  <c r="AY322" i="3"/>
  <c r="AX322" i="3"/>
  <c r="AW322" i="3"/>
  <c r="AV322" i="3"/>
  <c r="AU322" i="3"/>
  <c r="AT322" i="3"/>
  <c r="AS322" i="3"/>
  <c r="AR322" i="3"/>
  <c r="AQ322" i="3"/>
  <c r="AP322" i="3"/>
  <c r="AO322" i="3"/>
  <c r="AN322" i="3"/>
  <c r="AM322" i="3"/>
  <c r="E322" i="3"/>
  <c r="E723" i="3" s="1"/>
  <c r="D322" i="3"/>
  <c r="D723" i="3" s="1"/>
  <c r="C322" i="3"/>
  <c r="C723" i="3" s="1"/>
  <c r="B322" i="3"/>
  <c r="B723" i="3" s="1"/>
  <c r="A322" i="3"/>
  <c r="A723" i="3" s="1"/>
  <c r="BS321" i="3"/>
  <c r="BR321" i="3"/>
  <c r="BQ321" i="3"/>
  <c r="BP321" i="3"/>
  <c r="BO321" i="3"/>
  <c r="BN321" i="3"/>
  <c r="BM321" i="3"/>
  <c r="BL321" i="3"/>
  <c r="BK321" i="3"/>
  <c r="BJ321" i="3"/>
  <c r="BI321" i="3"/>
  <c r="BH321" i="3"/>
  <c r="BG321" i="3"/>
  <c r="BF321" i="3"/>
  <c r="BE321" i="3"/>
  <c r="BD321" i="3"/>
  <c r="BC321" i="3"/>
  <c r="BB321" i="3"/>
  <c r="BA321" i="3"/>
  <c r="AZ321" i="3"/>
  <c r="AY321" i="3"/>
  <c r="AX321" i="3"/>
  <c r="AW321" i="3"/>
  <c r="AV321" i="3"/>
  <c r="AU321" i="3"/>
  <c r="AT321" i="3"/>
  <c r="AS321" i="3"/>
  <c r="AR321" i="3"/>
  <c r="AQ321" i="3"/>
  <c r="AP321" i="3"/>
  <c r="AO321" i="3"/>
  <c r="AN321" i="3"/>
  <c r="AM321" i="3"/>
  <c r="E321" i="3"/>
  <c r="E722" i="3" s="1"/>
  <c r="D321" i="3"/>
  <c r="D722" i="3" s="1"/>
  <c r="C321" i="3"/>
  <c r="C722" i="3" s="1"/>
  <c r="B321" i="3"/>
  <c r="B722" i="3" s="1"/>
  <c r="A321" i="3"/>
  <c r="A722" i="3" s="1"/>
  <c r="BS320" i="3"/>
  <c r="BR320" i="3"/>
  <c r="BQ320" i="3"/>
  <c r="BP320" i="3"/>
  <c r="BO320" i="3"/>
  <c r="BN320" i="3"/>
  <c r="BM320" i="3"/>
  <c r="BL320" i="3"/>
  <c r="BK320" i="3"/>
  <c r="BJ320" i="3"/>
  <c r="BI320" i="3"/>
  <c r="BH320" i="3"/>
  <c r="BG320" i="3"/>
  <c r="BF320" i="3"/>
  <c r="BE320" i="3"/>
  <c r="BD320" i="3"/>
  <c r="BC320" i="3"/>
  <c r="BB320" i="3"/>
  <c r="BA320" i="3"/>
  <c r="AZ320" i="3"/>
  <c r="AY320" i="3"/>
  <c r="AX320" i="3"/>
  <c r="AW320" i="3"/>
  <c r="AV320" i="3"/>
  <c r="AU320" i="3"/>
  <c r="AT320" i="3"/>
  <c r="AS320" i="3"/>
  <c r="AR320" i="3"/>
  <c r="AQ320" i="3"/>
  <c r="AP320" i="3"/>
  <c r="AO320" i="3"/>
  <c r="AN320" i="3"/>
  <c r="AM320" i="3"/>
  <c r="E320" i="3"/>
  <c r="E721" i="3" s="1"/>
  <c r="D320" i="3"/>
  <c r="D721" i="3" s="1"/>
  <c r="C320" i="3"/>
  <c r="C721" i="3" s="1"/>
  <c r="B320" i="3"/>
  <c r="B721" i="3" s="1"/>
  <c r="A320" i="3"/>
  <c r="A721" i="3" s="1"/>
  <c r="BS319" i="3"/>
  <c r="BR319" i="3"/>
  <c r="BQ319" i="3"/>
  <c r="BP319" i="3"/>
  <c r="BO319" i="3"/>
  <c r="BN319" i="3"/>
  <c r="BM319" i="3"/>
  <c r="BL319" i="3"/>
  <c r="BK319" i="3"/>
  <c r="BJ319" i="3"/>
  <c r="BI319" i="3"/>
  <c r="BH319" i="3"/>
  <c r="BG319" i="3"/>
  <c r="BF319" i="3"/>
  <c r="BE319" i="3"/>
  <c r="BD319" i="3"/>
  <c r="BC319" i="3"/>
  <c r="BB319" i="3"/>
  <c r="BA319" i="3"/>
  <c r="AZ319" i="3"/>
  <c r="AY319" i="3"/>
  <c r="AX319" i="3"/>
  <c r="AW319" i="3"/>
  <c r="AV319" i="3"/>
  <c r="AU319" i="3"/>
  <c r="AT319" i="3"/>
  <c r="AS319" i="3"/>
  <c r="AR319" i="3"/>
  <c r="AQ319" i="3"/>
  <c r="AP319" i="3"/>
  <c r="AO319" i="3"/>
  <c r="AN319" i="3"/>
  <c r="AM319" i="3"/>
  <c r="E319" i="3"/>
  <c r="E720" i="3" s="1"/>
  <c r="D319" i="3"/>
  <c r="D720" i="3" s="1"/>
  <c r="C319" i="3"/>
  <c r="C720" i="3" s="1"/>
  <c r="B319" i="3"/>
  <c r="B720" i="3" s="1"/>
  <c r="A319" i="3"/>
  <c r="A720" i="3" s="1"/>
  <c r="BS318" i="3"/>
  <c r="BR318" i="3"/>
  <c r="BQ318" i="3"/>
  <c r="BP318" i="3"/>
  <c r="BO318" i="3"/>
  <c r="BN318" i="3"/>
  <c r="BM318" i="3"/>
  <c r="BL318" i="3"/>
  <c r="BK318" i="3"/>
  <c r="BJ318" i="3"/>
  <c r="BI318" i="3"/>
  <c r="BH318" i="3"/>
  <c r="BG318" i="3"/>
  <c r="BF318" i="3"/>
  <c r="BE318" i="3"/>
  <c r="BD318" i="3"/>
  <c r="BC318" i="3"/>
  <c r="BB318" i="3"/>
  <c r="BA318" i="3"/>
  <c r="AZ318" i="3"/>
  <c r="AY318" i="3"/>
  <c r="AX318" i="3"/>
  <c r="AW318" i="3"/>
  <c r="AV318" i="3"/>
  <c r="AU318" i="3"/>
  <c r="AT318" i="3"/>
  <c r="AS318" i="3"/>
  <c r="AR318" i="3"/>
  <c r="AQ318" i="3"/>
  <c r="AP318" i="3"/>
  <c r="AO318" i="3"/>
  <c r="AN318" i="3"/>
  <c r="AM318" i="3"/>
  <c r="E318" i="3"/>
  <c r="D318" i="3"/>
  <c r="D719" i="3" s="1"/>
  <c r="C318" i="3"/>
  <c r="C719" i="3" s="1"/>
  <c r="B318" i="3"/>
  <c r="B719" i="3" s="1"/>
  <c r="A318" i="3"/>
  <c r="A719" i="3" s="1"/>
  <c r="BS317" i="3"/>
  <c r="BR317" i="3"/>
  <c r="BQ317" i="3"/>
  <c r="BP317" i="3"/>
  <c r="BO317" i="3"/>
  <c r="BN317" i="3"/>
  <c r="BM317" i="3"/>
  <c r="BL317" i="3"/>
  <c r="BK317" i="3"/>
  <c r="BJ317" i="3"/>
  <c r="BI317" i="3"/>
  <c r="BH317" i="3"/>
  <c r="BG317" i="3"/>
  <c r="BF317" i="3"/>
  <c r="BE317" i="3"/>
  <c r="BD317" i="3"/>
  <c r="BC317" i="3"/>
  <c r="BB317" i="3"/>
  <c r="BA317" i="3"/>
  <c r="AZ317" i="3"/>
  <c r="AY317" i="3"/>
  <c r="AX317" i="3"/>
  <c r="AW317" i="3"/>
  <c r="AV317" i="3"/>
  <c r="AU317" i="3"/>
  <c r="AT317" i="3"/>
  <c r="AS317" i="3"/>
  <c r="AR317" i="3"/>
  <c r="AQ317" i="3"/>
  <c r="AP317" i="3"/>
  <c r="AO317" i="3"/>
  <c r="AN317" i="3"/>
  <c r="AM317" i="3"/>
  <c r="E317" i="3"/>
  <c r="E718" i="3" s="1"/>
  <c r="D317" i="3"/>
  <c r="D718" i="3" s="1"/>
  <c r="C317" i="3"/>
  <c r="C718" i="3" s="1"/>
  <c r="B317" i="3"/>
  <c r="B718" i="3" s="1"/>
  <c r="A317" i="3"/>
  <c r="A718" i="3" s="1"/>
  <c r="BS316" i="3"/>
  <c r="BR316" i="3"/>
  <c r="BQ316" i="3"/>
  <c r="BP316" i="3"/>
  <c r="BO316" i="3"/>
  <c r="BN316" i="3"/>
  <c r="BM316" i="3"/>
  <c r="BL316" i="3"/>
  <c r="BK316" i="3"/>
  <c r="BJ316" i="3"/>
  <c r="BI316" i="3"/>
  <c r="BH316" i="3"/>
  <c r="BG316" i="3"/>
  <c r="BF316" i="3"/>
  <c r="BE316" i="3"/>
  <c r="BD316" i="3"/>
  <c r="BC316" i="3"/>
  <c r="BB316" i="3"/>
  <c r="BA316" i="3"/>
  <c r="AZ316" i="3"/>
  <c r="AY316" i="3"/>
  <c r="AX316" i="3"/>
  <c r="AW316" i="3"/>
  <c r="AV316" i="3"/>
  <c r="AU316" i="3"/>
  <c r="AT316" i="3"/>
  <c r="AS316" i="3"/>
  <c r="AR316" i="3"/>
  <c r="AQ316" i="3"/>
  <c r="AP316" i="3"/>
  <c r="AO316" i="3"/>
  <c r="AN316" i="3"/>
  <c r="AM316" i="3"/>
  <c r="E316" i="3"/>
  <c r="E717" i="3" s="1"/>
  <c r="D316" i="3"/>
  <c r="D717" i="3" s="1"/>
  <c r="C316" i="3"/>
  <c r="C717" i="3" s="1"/>
  <c r="B316" i="3"/>
  <c r="B717" i="3" s="1"/>
  <c r="A316" i="3"/>
  <c r="A717" i="3" s="1"/>
  <c r="BS315" i="3"/>
  <c r="BR315" i="3"/>
  <c r="BQ315" i="3"/>
  <c r="BP315" i="3"/>
  <c r="BO315" i="3"/>
  <c r="BN315" i="3"/>
  <c r="BM315" i="3"/>
  <c r="BL315" i="3"/>
  <c r="BK315" i="3"/>
  <c r="BJ315" i="3"/>
  <c r="BI315" i="3"/>
  <c r="BH315" i="3"/>
  <c r="BG315" i="3"/>
  <c r="BF315" i="3"/>
  <c r="BE315" i="3"/>
  <c r="BD315" i="3"/>
  <c r="BC315" i="3"/>
  <c r="BB315" i="3"/>
  <c r="BA315" i="3"/>
  <c r="AZ315" i="3"/>
  <c r="AY315" i="3"/>
  <c r="AX315" i="3"/>
  <c r="AW315" i="3"/>
  <c r="AV315" i="3"/>
  <c r="AU315" i="3"/>
  <c r="AT315" i="3"/>
  <c r="AS315" i="3"/>
  <c r="AR315" i="3"/>
  <c r="AQ315" i="3"/>
  <c r="AP315" i="3"/>
  <c r="AO315" i="3"/>
  <c r="AN315" i="3"/>
  <c r="AM315" i="3"/>
  <c r="E315" i="3"/>
  <c r="E716" i="3" s="1"/>
  <c r="D315" i="3"/>
  <c r="C315" i="3"/>
  <c r="B315" i="3"/>
  <c r="B716" i="3" s="1"/>
  <c r="A315" i="3"/>
  <c r="A716" i="3" s="1"/>
  <c r="BS314" i="3"/>
  <c r="BR314" i="3"/>
  <c r="BQ314" i="3"/>
  <c r="BP314" i="3"/>
  <c r="BO314" i="3"/>
  <c r="BN314" i="3"/>
  <c r="BM314" i="3"/>
  <c r="BL314" i="3"/>
  <c r="BK314" i="3"/>
  <c r="BJ314" i="3"/>
  <c r="BI314" i="3"/>
  <c r="BH314" i="3"/>
  <c r="BG314" i="3"/>
  <c r="BF314" i="3"/>
  <c r="BE314" i="3"/>
  <c r="BD314" i="3"/>
  <c r="BC314" i="3"/>
  <c r="BB314" i="3"/>
  <c r="BA314" i="3"/>
  <c r="AZ314" i="3"/>
  <c r="AY314" i="3"/>
  <c r="AX314" i="3"/>
  <c r="AW314" i="3"/>
  <c r="AV314" i="3"/>
  <c r="AU314" i="3"/>
  <c r="AT314" i="3"/>
  <c r="AS314" i="3"/>
  <c r="AR314" i="3"/>
  <c r="AQ314" i="3"/>
  <c r="AP314" i="3"/>
  <c r="AO314" i="3"/>
  <c r="AN314" i="3"/>
  <c r="AM314" i="3"/>
  <c r="E314" i="3"/>
  <c r="E715" i="3" s="1"/>
  <c r="D314" i="3"/>
  <c r="D715" i="3" s="1"/>
  <c r="C314" i="3"/>
  <c r="C715" i="3" s="1"/>
  <c r="B314" i="3"/>
  <c r="B715" i="3" s="1"/>
  <c r="A314" i="3"/>
  <c r="BS313" i="3"/>
  <c r="BR313" i="3"/>
  <c r="BQ313" i="3"/>
  <c r="BP313" i="3"/>
  <c r="BO313" i="3"/>
  <c r="BN313" i="3"/>
  <c r="BM313" i="3"/>
  <c r="BL313" i="3"/>
  <c r="BK313" i="3"/>
  <c r="BJ313" i="3"/>
  <c r="BI313" i="3"/>
  <c r="BH313" i="3"/>
  <c r="BG313" i="3"/>
  <c r="BF313" i="3"/>
  <c r="BE313" i="3"/>
  <c r="BD313" i="3"/>
  <c r="BC313" i="3"/>
  <c r="BB313" i="3"/>
  <c r="BA313" i="3"/>
  <c r="AZ313" i="3"/>
  <c r="AY313" i="3"/>
  <c r="AX313" i="3"/>
  <c r="AW313" i="3"/>
  <c r="AV313" i="3"/>
  <c r="AU313" i="3"/>
  <c r="AT313" i="3"/>
  <c r="AS313" i="3"/>
  <c r="AR313" i="3"/>
  <c r="AQ313" i="3"/>
  <c r="AP313" i="3"/>
  <c r="AO313" i="3"/>
  <c r="AN313" i="3"/>
  <c r="AM313" i="3"/>
  <c r="E313" i="3"/>
  <c r="E714" i="3" s="1"/>
  <c r="D313" i="3"/>
  <c r="D714" i="3" s="1"/>
  <c r="C313" i="3"/>
  <c r="C714" i="3" s="1"/>
  <c r="B313" i="3"/>
  <c r="B714" i="3" s="1"/>
  <c r="A313" i="3"/>
  <c r="BS312" i="3"/>
  <c r="BR312" i="3"/>
  <c r="BQ312" i="3"/>
  <c r="BP312" i="3"/>
  <c r="BO312" i="3"/>
  <c r="BN312" i="3"/>
  <c r="BM312" i="3"/>
  <c r="BL312" i="3"/>
  <c r="BK312" i="3"/>
  <c r="BJ312" i="3"/>
  <c r="BI312" i="3"/>
  <c r="BH312" i="3"/>
  <c r="BG312" i="3"/>
  <c r="BF312" i="3"/>
  <c r="BE312" i="3"/>
  <c r="BD312" i="3"/>
  <c r="BC312" i="3"/>
  <c r="BB312" i="3"/>
  <c r="BA312" i="3"/>
  <c r="AZ312" i="3"/>
  <c r="AY312" i="3"/>
  <c r="AX312" i="3"/>
  <c r="AW312" i="3"/>
  <c r="AV312" i="3"/>
  <c r="AU312" i="3"/>
  <c r="AT312" i="3"/>
  <c r="AS312" i="3"/>
  <c r="AR312" i="3"/>
  <c r="AQ312" i="3"/>
  <c r="AP312" i="3"/>
  <c r="AO312" i="3"/>
  <c r="AN312" i="3"/>
  <c r="AM312" i="3"/>
  <c r="E312" i="3"/>
  <c r="E713" i="3" s="1"/>
  <c r="D312" i="3"/>
  <c r="D713" i="3" s="1"/>
  <c r="C312" i="3"/>
  <c r="C713" i="3" s="1"/>
  <c r="B312" i="3"/>
  <c r="B713" i="3" s="1"/>
  <c r="A312" i="3"/>
  <c r="BS311" i="3"/>
  <c r="BR311" i="3"/>
  <c r="BQ311" i="3"/>
  <c r="BP311" i="3"/>
  <c r="BO311" i="3"/>
  <c r="BN311" i="3"/>
  <c r="BM311" i="3"/>
  <c r="BL311" i="3"/>
  <c r="BK311" i="3"/>
  <c r="BJ311" i="3"/>
  <c r="BI311" i="3"/>
  <c r="BH311" i="3"/>
  <c r="BG311" i="3"/>
  <c r="BF311" i="3"/>
  <c r="BE311" i="3"/>
  <c r="BD311" i="3"/>
  <c r="BC311" i="3"/>
  <c r="BB311" i="3"/>
  <c r="BA311" i="3"/>
  <c r="AZ311" i="3"/>
  <c r="AY311" i="3"/>
  <c r="AX311" i="3"/>
  <c r="AW311" i="3"/>
  <c r="AV311" i="3"/>
  <c r="AU311" i="3"/>
  <c r="AT311" i="3"/>
  <c r="AS311" i="3"/>
  <c r="AR311" i="3"/>
  <c r="AQ311" i="3"/>
  <c r="AP311" i="3"/>
  <c r="AO311" i="3"/>
  <c r="AN311" i="3"/>
  <c r="AM311" i="3"/>
  <c r="E311" i="3"/>
  <c r="D311" i="3"/>
  <c r="D712" i="3" s="1"/>
  <c r="C311" i="3"/>
  <c r="C712" i="3" s="1"/>
  <c r="B311" i="3"/>
  <c r="B712" i="3" s="1"/>
  <c r="A311" i="3"/>
  <c r="A712" i="3" s="1"/>
  <c r="BS310" i="3"/>
  <c r="BR310" i="3"/>
  <c r="BQ310" i="3"/>
  <c r="BP310" i="3"/>
  <c r="BO310" i="3"/>
  <c r="BN310" i="3"/>
  <c r="BM310" i="3"/>
  <c r="BL310" i="3"/>
  <c r="BK310" i="3"/>
  <c r="BJ310" i="3"/>
  <c r="BI310" i="3"/>
  <c r="BH310" i="3"/>
  <c r="BG310" i="3"/>
  <c r="BF310" i="3"/>
  <c r="BE310" i="3"/>
  <c r="BD310" i="3"/>
  <c r="BC310" i="3"/>
  <c r="BB310" i="3"/>
  <c r="BA310" i="3"/>
  <c r="AZ310" i="3"/>
  <c r="AY310" i="3"/>
  <c r="AX310" i="3"/>
  <c r="AW310" i="3"/>
  <c r="AV310" i="3"/>
  <c r="AU310" i="3"/>
  <c r="AT310" i="3"/>
  <c r="AS310" i="3"/>
  <c r="AR310" i="3"/>
  <c r="AQ310" i="3"/>
  <c r="AP310" i="3"/>
  <c r="AO310" i="3"/>
  <c r="AN310" i="3"/>
  <c r="AM310" i="3"/>
  <c r="E310" i="3"/>
  <c r="E711" i="3" s="1"/>
  <c r="D310" i="3"/>
  <c r="D711" i="3" s="1"/>
  <c r="C310" i="3"/>
  <c r="B310" i="3"/>
  <c r="B711" i="3" s="1"/>
  <c r="A310" i="3"/>
  <c r="BS309" i="3"/>
  <c r="BR309" i="3"/>
  <c r="BQ309" i="3"/>
  <c r="BP309" i="3"/>
  <c r="BO309" i="3"/>
  <c r="BN309" i="3"/>
  <c r="BM309" i="3"/>
  <c r="BL309" i="3"/>
  <c r="BK309" i="3"/>
  <c r="BJ309" i="3"/>
  <c r="BI309" i="3"/>
  <c r="BH309" i="3"/>
  <c r="BG309" i="3"/>
  <c r="BF309" i="3"/>
  <c r="BE309" i="3"/>
  <c r="BD309" i="3"/>
  <c r="BC309" i="3"/>
  <c r="BB309" i="3"/>
  <c r="BA309" i="3"/>
  <c r="AZ309" i="3"/>
  <c r="AY309" i="3"/>
  <c r="AX309" i="3"/>
  <c r="AW309" i="3"/>
  <c r="AV309" i="3"/>
  <c r="AU309" i="3"/>
  <c r="AT309" i="3"/>
  <c r="AS309" i="3"/>
  <c r="AR309" i="3"/>
  <c r="AQ309" i="3"/>
  <c r="AP309" i="3"/>
  <c r="AO309" i="3"/>
  <c r="AN309" i="3"/>
  <c r="AM309" i="3"/>
  <c r="E309" i="3"/>
  <c r="D309" i="3"/>
  <c r="D710" i="3" s="1"/>
  <c r="C309" i="3"/>
  <c r="C710" i="3" s="1"/>
  <c r="B309" i="3"/>
  <c r="B710" i="3" s="1"/>
  <c r="A309" i="3"/>
  <c r="A710" i="3" s="1"/>
  <c r="BS308" i="3"/>
  <c r="BR308" i="3"/>
  <c r="BQ308" i="3"/>
  <c r="BP308" i="3"/>
  <c r="BO308" i="3"/>
  <c r="BN308" i="3"/>
  <c r="BM308" i="3"/>
  <c r="BL308" i="3"/>
  <c r="BK308" i="3"/>
  <c r="BJ308" i="3"/>
  <c r="BI308" i="3"/>
  <c r="BH308" i="3"/>
  <c r="BG308" i="3"/>
  <c r="BF308" i="3"/>
  <c r="BE308" i="3"/>
  <c r="BD308" i="3"/>
  <c r="BC308" i="3"/>
  <c r="BB308" i="3"/>
  <c r="BA308" i="3"/>
  <c r="AZ308" i="3"/>
  <c r="AY308" i="3"/>
  <c r="AX308" i="3"/>
  <c r="AW308" i="3"/>
  <c r="AV308" i="3"/>
  <c r="AU308" i="3"/>
  <c r="AT308" i="3"/>
  <c r="AS308" i="3"/>
  <c r="AR308" i="3"/>
  <c r="AQ308" i="3"/>
  <c r="AP308" i="3"/>
  <c r="AO308" i="3"/>
  <c r="AN308" i="3"/>
  <c r="AM308" i="3"/>
  <c r="E308" i="3"/>
  <c r="E709" i="3" s="1"/>
  <c r="D308" i="3"/>
  <c r="D709" i="3" s="1"/>
  <c r="C308" i="3"/>
  <c r="C709" i="3" s="1"/>
  <c r="B308" i="3"/>
  <c r="B709" i="3" s="1"/>
  <c r="A308" i="3"/>
  <c r="A709" i="3" s="1"/>
  <c r="BS307" i="3"/>
  <c r="BR307" i="3"/>
  <c r="BQ307" i="3"/>
  <c r="BP307" i="3"/>
  <c r="BO307" i="3"/>
  <c r="BN307" i="3"/>
  <c r="BM307" i="3"/>
  <c r="BL307" i="3"/>
  <c r="BK307" i="3"/>
  <c r="BJ307" i="3"/>
  <c r="BI307" i="3"/>
  <c r="BH307" i="3"/>
  <c r="BG307" i="3"/>
  <c r="BF307" i="3"/>
  <c r="BE307" i="3"/>
  <c r="BD307" i="3"/>
  <c r="BC307" i="3"/>
  <c r="BB307" i="3"/>
  <c r="BA307" i="3"/>
  <c r="AZ307" i="3"/>
  <c r="AY307" i="3"/>
  <c r="AX307" i="3"/>
  <c r="AW307" i="3"/>
  <c r="AV307" i="3"/>
  <c r="AU307" i="3"/>
  <c r="AT307" i="3"/>
  <c r="AS307" i="3"/>
  <c r="AR307" i="3"/>
  <c r="AQ307" i="3"/>
  <c r="AP307" i="3"/>
  <c r="AO307" i="3"/>
  <c r="AN307" i="3"/>
  <c r="AM307" i="3"/>
  <c r="E307" i="3"/>
  <c r="B307" i="3"/>
  <c r="A307" i="3"/>
  <c r="BS306" i="3"/>
  <c r="BR306" i="3"/>
  <c r="BQ306" i="3"/>
  <c r="BP306" i="3"/>
  <c r="BO306" i="3"/>
  <c r="BN306" i="3"/>
  <c r="BM306" i="3"/>
  <c r="BL306" i="3"/>
  <c r="BK306" i="3"/>
  <c r="BJ306" i="3"/>
  <c r="BI306" i="3"/>
  <c r="BH306" i="3"/>
  <c r="BG306" i="3"/>
  <c r="BF306" i="3"/>
  <c r="BE306" i="3"/>
  <c r="BD306" i="3"/>
  <c r="BC306" i="3"/>
  <c r="BB306" i="3"/>
  <c r="BA306" i="3"/>
  <c r="AZ306" i="3"/>
  <c r="AY306" i="3"/>
  <c r="AX306" i="3"/>
  <c r="AW306" i="3"/>
  <c r="AV306" i="3"/>
  <c r="AU306" i="3"/>
  <c r="AT306" i="3"/>
  <c r="AS306" i="3"/>
  <c r="AR306" i="3"/>
  <c r="AQ306" i="3"/>
  <c r="AP306" i="3"/>
  <c r="AO306" i="3"/>
  <c r="AN306" i="3"/>
  <c r="AM306" i="3"/>
  <c r="E306" i="3"/>
  <c r="E708" i="3" s="1"/>
  <c r="D306" i="3"/>
  <c r="D708" i="3" s="1"/>
  <c r="C306" i="3"/>
  <c r="C708" i="3" s="1"/>
  <c r="B306" i="3"/>
  <c r="B708" i="3" s="1"/>
  <c r="A306" i="3"/>
  <c r="A708" i="3" s="1"/>
  <c r="BS305" i="3"/>
  <c r="BR305" i="3"/>
  <c r="BQ305" i="3"/>
  <c r="BP305" i="3"/>
  <c r="BO305" i="3"/>
  <c r="BN305" i="3"/>
  <c r="BM305" i="3"/>
  <c r="BL305" i="3"/>
  <c r="BK305" i="3"/>
  <c r="BJ305" i="3"/>
  <c r="BI305" i="3"/>
  <c r="BH305" i="3"/>
  <c r="BG305" i="3"/>
  <c r="BF305" i="3"/>
  <c r="BE305" i="3"/>
  <c r="BD305" i="3"/>
  <c r="BC305" i="3"/>
  <c r="BB305" i="3"/>
  <c r="BA305" i="3"/>
  <c r="AZ305" i="3"/>
  <c r="AY305" i="3"/>
  <c r="AX305" i="3"/>
  <c r="AW305" i="3"/>
  <c r="AV305" i="3"/>
  <c r="AU305" i="3"/>
  <c r="AT305" i="3"/>
  <c r="AS305" i="3"/>
  <c r="AR305" i="3"/>
  <c r="AQ305" i="3"/>
  <c r="AP305" i="3"/>
  <c r="AO305" i="3"/>
  <c r="AN305" i="3"/>
  <c r="AM305" i="3"/>
  <c r="E305" i="3"/>
  <c r="E707" i="3" s="1"/>
  <c r="D305" i="3"/>
  <c r="D707" i="3" s="1"/>
  <c r="C305" i="3"/>
  <c r="C707" i="3" s="1"/>
  <c r="B305" i="3"/>
  <c r="B707" i="3" s="1"/>
  <c r="A305" i="3"/>
  <c r="A707" i="3" s="1"/>
  <c r="BS304" i="3"/>
  <c r="BR304" i="3"/>
  <c r="BQ304" i="3"/>
  <c r="BP304" i="3"/>
  <c r="BO304" i="3"/>
  <c r="BN304" i="3"/>
  <c r="BM304" i="3"/>
  <c r="BL304" i="3"/>
  <c r="BK304" i="3"/>
  <c r="BJ304" i="3"/>
  <c r="BI304" i="3"/>
  <c r="BH304" i="3"/>
  <c r="BG304" i="3"/>
  <c r="BF304" i="3"/>
  <c r="BE304" i="3"/>
  <c r="BD304" i="3"/>
  <c r="BC304" i="3"/>
  <c r="BB304" i="3"/>
  <c r="BA304" i="3"/>
  <c r="AZ304" i="3"/>
  <c r="AY304" i="3"/>
  <c r="AX304" i="3"/>
  <c r="AW304" i="3"/>
  <c r="AV304" i="3"/>
  <c r="AU304" i="3"/>
  <c r="AT304" i="3"/>
  <c r="AS304" i="3"/>
  <c r="AR304" i="3"/>
  <c r="AQ304" i="3"/>
  <c r="AP304" i="3"/>
  <c r="AO304" i="3"/>
  <c r="AN304" i="3"/>
  <c r="AM304" i="3"/>
  <c r="E304" i="3"/>
  <c r="E706" i="3" s="1"/>
  <c r="D304" i="3"/>
  <c r="D706" i="3" s="1"/>
  <c r="C304" i="3"/>
  <c r="C706" i="3" s="1"/>
  <c r="B304" i="3"/>
  <c r="B706" i="3" s="1"/>
  <c r="A304" i="3"/>
  <c r="A706" i="3" s="1"/>
  <c r="BS303" i="3"/>
  <c r="BR303" i="3"/>
  <c r="BQ303" i="3"/>
  <c r="BP303" i="3"/>
  <c r="BO303" i="3"/>
  <c r="BN303" i="3"/>
  <c r="BM303" i="3"/>
  <c r="BL303" i="3"/>
  <c r="BK303" i="3"/>
  <c r="BJ303" i="3"/>
  <c r="BI303" i="3"/>
  <c r="BH303" i="3"/>
  <c r="BG303" i="3"/>
  <c r="BF303" i="3"/>
  <c r="BE303" i="3"/>
  <c r="BD303" i="3"/>
  <c r="BC303" i="3"/>
  <c r="BB303" i="3"/>
  <c r="BA303" i="3"/>
  <c r="AZ303" i="3"/>
  <c r="AY303" i="3"/>
  <c r="AX303" i="3"/>
  <c r="AW303" i="3"/>
  <c r="AV303" i="3"/>
  <c r="AU303" i="3"/>
  <c r="AT303" i="3"/>
  <c r="AS303" i="3"/>
  <c r="AR303" i="3"/>
  <c r="AQ303" i="3"/>
  <c r="AP303" i="3"/>
  <c r="AO303" i="3"/>
  <c r="AN303" i="3"/>
  <c r="AM303" i="3"/>
  <c r="E303" i="3"/>
  <c r="E705" i="3" s="1"/>
  <c r="D303" i="3"/>
  <c r="D705" i="3" s="1"/>
  <c r="C303" i="3"/>
  <c r="C705" i="3" s="1"/>
  <c r="B303" i="3"/>
  <c r="B705" i="3" s="1"/>
  <c r="A303" i="3"/>
  <c r="A705" i="3" s="1"/>
  <c r="BS302" i="3"/>
  <c r="BR302" i="3"/>
  <c r="BQ302" i="3"/>
  <c r="BP302" i="3"/>
  <c r="BO302" i="3"/>
  <c r="BN302" i="3"/>
  <c r="BM302" i="3"/>
  <c r="BL302" i="3"/>
  <c r="BK302" i="3"/>
  <c r="BJ302" i="3"/>
  <c r="BI302" i="3"/>
  <c r="BH302" i="3"/>
  <c r="BG302" i="3"/>
  <c r="BF302" i="3"/>
  <c r="BE302" i="3"/>
  <c r="BD302" i="3"/>
  <c r="BC302" i="3"/>
  <c r="BB302" i="3"/>
  <c r="BA302" i="3"/>
  <c r="AZ302" i="3"/>
  <c r="AY302" i="3"/>
  <c r="AX302" i="3"/>
  <c r="AW302" i="3"/>
  <c r="AV302" i="3"/>
  <c r="AU302" i="3"/>
  <c r="AT302" i="3"/>
  <c r="AS302" i="3"/>
  <c r="AR302" i="3"/>
  <c r="AQ302" i="3"/>
  <c r="AP302" i="3"/>
  <c r="AO302" i="3"/>
  <c r="AN302" i="3"/>
  <c r="AM302" i="3"/>
  <c r="E302" i="3"/>
  <c r="D302" i="3"/>
  <c r="D704" i="3" s="1"/>
  <c r="C302" i="3"/>
  <c r="C704" i="3" s="1"/>
  <c r="B302" i="3"/>
  <c r="B704" i="3" s="1"/>
  <c r="A302" i="3"/>
  <c r="A704" i="3" s="1"/>
  <c r="BS301" i="3"/>
  <c r="BR301" i="3"/>
  <c r="BQ301" i="3"/>
  <c r="BP301" i="3"/>
  <c r="BO301" i="3"/>
  <c r="BN301" i="3"/>
  <c r="BM301" i="3"/>
  <c r="BL301" i="3"/>
  <c r="BK301" i="3"/>
  <c r="BJ301" i="3"/>
  <c r="BI301" i="3"/>
  <c r="BH301" i="3"/>
  <c r="BG301" i="3"/>
  <c r="BF301" i="3"/>
  <c r="BE301" i="3"/>
  <c r="BD301" i="3"/>
  <c r="BC301" i="3"/>
  <c r="BB301" i="3"/>
  <c r="BA301" i="3"/>
  <c r="AZ301" i="3"/>
  <c r="AY301" i="3"/>
  <c r="AX301" i="3"/>
  <c r="AW301" i="3"/>
  <c r="AV301" i="3"/>
  <c r="AU301" i="3"/>
  <c r="AT301" i="3"/>
  <c r="AS301" i="3"/>
  <c r="AR301" i="3"/>
  <c r="AQ301" i="3"/>
  <c r="AP301" i="3"/>
  <c r="AO301" i="3"/>
  <c r="AN301" i="3"/>
  <c r="AM301" i="3"/>
  <c r="E301" i="3"/>
  <c r="E703" i="3" s="1"/>
  <c r="D301" i="3"/>
  <c r="C301" i="3"/>
  <c r="B301" i="3"/>
  <c r="A301" i="3"/>
  <c r="A703" i="3" s="1"/>
  <c r="BS300" i="3"/>
  <c r="BR300" i="3"/>
  <c r="BQ300" i="3"/>
  <c r="BP300" i="3"/>
  <c r="BO300" i="3"/>
  <c r="BN300" i="3"/>
  <c r="BM300" i="3"/>
  <c r="BL300" i="3"/>
  <c r="BK300" i="3"/>
  <c r="BJ300" i="3"/>
  <c r="BI300" i="3"/>
  <c r="BH300" i="3"/>
  <c r="BG300" i="3"/>
  <c r="BF300" i="3"/>
  <c r="BE300" i="3"/>
  <c r="BD300" i="3"/>
  <c r="BC300" i="3"/>
  <c r="BB300" i="3"/>
  <c r="BA300" i="3"/>
  <c r="AZ300" i="3"/>
  <c r="AY300" i="3"/>
  <c r="AX300" i="3"/>
  <c r="AW300" i="3"/>
  <c r="AV300" i="3"/>
  <c r="AU300" i="3"/>
  <c r="AT300" i="3"/>
  <c r="AS300" i="3"/>
  <c r="AR300" i="3"/>
  <c r="AQ300" i="3"/>
  <c r="AP300" i="3"/>
  <c r="AO300" i="3"/>
  <c r="AN300" i="3"/>
  <c r="AM300" i="3"/>
  <c r="E300" i="3"/>
  <c r="E702" i="3" s="1"/>
  <c r="D300" i="3"/>
  <c r="D702" i="3" s="1"/>
  <c r="C300" i="3"/>
  <c r="C702" i="3" s="1"/>
  <c r="B300" i="3"/>
  <c r="B702" i="3" s="1"/>
  <c r="A300" i="3"/>
  <c r="BS299" i="3"/>
  <c r="BR299" i="3"/>
  <c r="BQ299" i="3"/>
  <c r="BP299" i="3"/>
  <c r="BO299" i="3"/>
  <c r="BN299" i="3"/>
  <c r="BM299" i="3"/>
  <c r="BL299" i="3"/>
  <c r="BK299" i="3"/>
  <c r="BJ299" i="3"/>
  <c r="BI299" i="3"/>
  <c r="BH299" i="3"/>
  <c r="BG299" i="3"/>
  <c r="BF299" i="3"/>
  <c r="BE299" i="3"/>
  <c r="BD299" i="3"/>
  <c r="BC299" i="3"/>
  <c r="BB299" i="3"/>
  <c r="BA299" i="3"/>
  <c r="AZ299" i="3"/>
  <c r="AY299" i="3"/>
  <c r="AX299" i="3"/>
  <c r="AW299" i="3"/>
  <c r="AV299" i="3"/>
  <c r="AU299" i="3"/>
  <c r="AT299" i="3"/>
  <c r="AS299" i="3"/>
  <c r="AR299" i="3"/>
  <c r="AQ299" i="3"/>
  <c r="AP299" i="3"/>
  <c r="AO299" i="3"/>
  <c r="AN299" i="3"/>
  <c r="AM299" i="3"/>
  <c r="E299" i="3"/>
  <c r="E701" i="3" s="1"/>
  <c r="D299" i="3"/>
  <c r="D701" i="3" s="1"/>
  <c r="C299" i="3"/>
  <c r="C701" i="3" s="1"/>
  <c r="B299" i="3"/>
  <c r="B701" i="3" s="1"/>
  <c r="A299" i="3"/>
  <c r="BS298" i="3"/>
  <c r="BR298" i="3"/>
  <c r="BQ298" i="3"/>
  <c r="BP298" i="3"/>
  <c r="BO298" i="3"/>
  <c r="BN298" i="3"/>
  <c r="BM298" i="3"/>
  <c r="BL298" i="3"/>
  <c r="BK298" i="3"/>
  <c r="BJ298" i="3"/>
  <c r="BI298" i="3"/>
  <c r="BH298" i="3"/>
  <c r="BG298" i="3"/>
  <c r="BF298" i="3"/>
  <c r="BE298" i="3"/>
  <c r="BD298" i="3"/>
  <c r="BC298" i="3"/>
  <c r="BB298" i="3"/>
  <c r="BA298" i="3"/>
  <c r="AZ298" i="3"/>
  <c r="AY298" i="3"/>
  <c r="AX298" i="3"/>
  <c r="AW298" i="3"/>
  <c r="AV298" i="3"/>
  <c r="AU298" i="3"/>
  <c r="AT298" i="3"/>
  <c r="AS298" i="3"/>
  <c r="AR298" i="3"/>
  <c r="AQ298" i="3"/>
  <c r="AP298" i="3"/>
  <c r="AO298" i="3"/>
  <c r="AN298" i="3"/>
  <c r="AM298" i="3"/>
  <c r="E298" i="3"/>
  <c r="E700" i="3" s="1"/>
  <c r="D298" i="3"/>
  <c r="D700" i="3" s="1"/>
  <c r="C298" i="3"/>
  <c r="C700" i="3" s="1"/>
  <c r="B298" i="3"/>
  <c r="B700" i="3" s="1"/>
  <c r="A298" i="3"/>
  <c r="A700" i="3" s="1"/>
  <c r="BS297" i="3"/>
  <c r="BR297" i="3"/>
  <c r="BQ297" i="3"/>
  <c r="BP297" i="3"/>
  <c r="BO297" i="3"/>
  <c r="BN297" i="3"/>
  <c r="BM297" i="3"/>
  <c r="BL297" i="3"/>
  <c r="BK297" i="3"/>
  <c r="BJ297" i="3"/>
  <c r="BI297" i="3"/>
  <c r="BH297" i="3"/>
  <c r="BG297" i="3"/>
  <c r="BF297" i="3"/>
  <c r="BE297" i="3"/>
  <c r="BD297" i="3"/>
  <c r="BC297" i="3"/>
  <c r="BB297" i="3"/>
  <c r="BA297" i="3"/>
  <c r="AZ297" i="3"/>
  <c r="AY297" i="3"/>
  <c r="AX297" i="3"/>
  <c r="AW297" i="3"/>
  <c r="AV297" i="3"/>
  <c r="AU297" i="3"/>
  <c r="AT297" i="3"/>
  <c r="AS297" i="3"/>
  <c r="AR297" i="3"/>
  <c r="AQ297" i="3"/>
  <c r="AP297" i="3"/>
  <c r="AO297" i="3"/>
  <c r="AN297" i="3"/>
  <c r="AM297" i="3"/>
  <c r="E297" i="3"/>
  <c r="E699" i="3" s="1"/>
  <c r="D297" i="3"/>
  <c r="C297" i="3"/>
  <c r="B297" i="3"/>
  <c r="B699" i="3" s="1"/>
  <c r="A297" i="3"/>
  <c r="A699" i="3" s="1"/>
  <c r="BS296" i="3"/>
  <c r="BR296" i="3"/>
  <c r="BQ296" i="3"/>
  <c r="BP296" i="3"/>
  <c r="BO296" i="3"/>
  <c r="BN296" i="3"/>
  <c r="BM296" i="3"/>
  <c r="BL296" i="3"/>
  <c r="BK296" i="3"/>
  <c r="BJ296" i="3"/>
  <c r="BI296" i="3"/>
  <c r="BH296" i="3"/>
  <c r="BG296" i="3"/>
  <c r="BF296" i="3"/>
  <c r="BE296" i="3"/>
  <c r="BD296" i="3"/>
  <c r="BC296" i="3"/>
  <c r="BB296" i="3"/>
  <c r="BA296" i="3"/>
  <c r="AZ296" i="3"/>
  <c r="AY296" i="3"/>
  <c r="AX296" i="3"/>
  <c r="AW296" i="3"/>
  <c r="AV296" i="3"/>
  <c r="AU296" i="3"/>
  <c r="AT296" i="3"/>
  <c r="AS296" i="3"/>
  <c r="AR296" i="3"/>
  <c r="AQ296" i="3"/>
  <c r="AP296" i="3"/>
  <c r="AO296" i="3"/>
  <c r="AN296" i="3"/>
  <c r="AM296" i="3"/>
  <c r="E296" i="3"/>
  <c r="D296" i="3"/>
  <c r="C296" i="3"/>
  <c r="C698" i="3" s="1"/>
  <c r="B296" i="3"/>
  <c r="A296" i="3"/>
  <c r="A698" i="3" s="1"/>
  <c r="BS295" i="3"/>
  <c r="BR295" i="3"/>
  <c r="BQ295" i="3"/>
  <c r="BP295" i="3"/>
  <c r="BO295" i="3"/>
  <c r="BN295" i="3"/>
  <c r="BM295" i="3"/>
  <c r="BL295" i="3"/>
  <c r="BK295" i="3"/>
  <c r="BJ295" i="3"/>
  <c r="BI295" i="3"/>
  <c r="BH295" i="3"/>
  <c r="BG295" i="3"/>
  <c r="BF295" i="3"/>
  <c r="BE295" i="3"/>
  <c r="BD295" i="3"/>
  <c r="BC295" i="3"/>
  <c r="BB295" i="3"/>
  <c r="BA295" i="3"/>
  <c r="AZ295" i="3"/>
  <c r="AY295" i="3"/>
  <c r="AX295" i="3"/>
  <c r="AW295" i="3"/>
  <c r="AV295" i="3"/>
  <c r="AU295" i="3"/>
  <c r="AT295" i="3"/>
  <c r="AS295" i="3"/>
  <c r="AR295" i="3"/>
  <c r="AQ295" i="3"/>
  <c r="AP295" i="3"/>
  <c r="AO295" i="3"/>
  <c r="AN295" i="3"/>
  <c r="AM295" i="3"/>
  <c r="E295" i="3"/>
  <c r="E697" i="3" s="1"/>
  <c r="D295" i="3"/>
  <c r="D697" i="3" s="1"/>
  <c r="C295" i="3"/>
  <c r="C697" i="3" s="1"/>
  <c r="B295" i="3"/>
  <c r="A295" i="3"/>
  <c r="A697" i="3" s="1"/>
  <c r="BS294" i="3"/>
  <c r="BR294" i="3"/>
  <c r="BQ294" i="3"/>
  <c r="BP294" i="3"/>
  <c r="BO294" i="3"/>
  <c r="BN294" i="3"/>
  <c r="BM294" i="3"/>
  <c r="BL294" i="3"/>
  <c r="BK294" i="3"/>
  <c r="BJ294" i="3"/>
  <c r="BI294" i="3"/>
  <c r="BH294" i="3"/>
  <c r="BG294" i="3"/>
  <c r="BF294" i="3"/>
  <c r="BE294" i="3"/>
  <c r="BD294" i="3"/>
  <c r="BC294" i="3"/>
  <c r="BB294" i="3"/>
  <c r="BA294" i="3"/>
  <c r="AZ294" i="3"/>
  <c r="AY294" i="3"/>
  <c r="AX294" i="3"/>
  <c r="AW294" i="3"/>
  <c r="AV294" i="3"/>
  <c r="AU294" i="3"/>
  <c r="AT294" i="3"/>
  <c r="AS294" i="3"/>
  <c r="AR294" i="3"/>
  <c r="AQ294" i="3"/>
  <c r="AP294" i="3"/>
  <c r="AO294" i="3"/>
  <c r="AN294" i="3"/>
  <c r="AM294" i="3"/>
  <c r="E294" i="3"/>
  <c r="E696" i="3" s="1"/>
  <c r="D294" i="3"/>
  <c r="D696" i="3" s="1"/>
  <c r="C294" i="3"/>
  <c r="C696" i="3" s="1"/>
  <c r="B294" i="3"/>
  <c r="B696" i="3" s="1"/>
  <c r="A294" i="3"/>
  <c r="A696" i="3" s="1"/>
  <c r="BS293" i="3"/>
  <c r="BR293" i="3"/>
  <c r="BQ293" i="3"/>
  <c r="BP293" i="3"/>
  <c r="BO293" i="3"/>
  <c r="BN293" i="3"/>
  <c r="BM293" i="3"/>
  <c r="BL293" i="3"/>
  <c r="BK293" i="3"/>
  <c r="BJ293" i="3"/>
  <c r="BI293" i="3"/>
  <c r="BH293" i="3"/>
  <c r="BG293" i="3"/>
  <c r="BF293" i="3"/>
  <c r="BE293" i="3"/>
  <c r="BD293" i="3"/>
  <c r="BC293" i="3"/>
  <c r="BB293" i="3"/>
  <c r="BA293" i="3"/>
  <c r="AZ293" i="3"/>
  <c r="AY293" i="3"/>
  <c r="AX293" i="3"/>
  <c r="AW293" i="3"/>
  <c r="AV293" i="3"/>
  <c r="AU293" i="3"/>
  <c r="AT293" i="3"/>
  <c r="AS293" i="3"/>
  <c r="AR293" i="3"/>
  <c r="AQ293" i="3"/>
  <c r="AP293" i="3"/>
  <c r="AO293" i="3"/>
  <c r="AN293" i="3"/>
  <c r="AM293" i="3"/>
  <c r="E293" i="3"/>
  <c r="E695" i="3" s="1"/>
  <c r="D293" i="3"/>
  <c r="D695" i="3" s="1"/>
  <c r="C293" i="3"/>
  <c r="C695" i="3" s="1"/>
  <c r="B293" i="3"/>
  <c r="B695" i="3" s="1"/>
  <c r="A293" i="3"/>
  <c r="BS292" i="3"/>
  <c r="BR292" i="3"/>
  <c r="BQ292" i="3"/>
  <c r="BP292" i="3"/>
  <c r="BO292" i="3"/>
  <c r="BN292" i="3"/>
  <c r="BM292" i="3"/>
  <c r="BL292" i="3"/>
  <c r="BK292" i="3"/>
  <c r="BJ292" i="3"/>
  <c r="BI292" i="3"/>
  <c r="BH292" i="3"/>
  <c r="BG292" i="3"/>
  <c r="BF292" i="3"/>
  <c r="BE292" i="3"/>
  <c r="BD292" i="3"/>
  <c r="BC292" i="3"/>
  <c r="BB292" i="3"/>
  <c r="BA292" i="3"/>
  <c r="AZ292" i="3"/>
  <c r="AY292" i="3"/>
  <c r="AX292" i="3"/>
  <c r="AW292" i="3"/>
  <c r="AV292" i="3"/>
  <c r="AU292" i="3"/>
  <c r="AT292" i="3"/>
  <c r="AS292" i="3"/>
  <c r="AR292" i="3"/>
  <c r="AQ292" i="3"/>
  <c r="AP292" i="3"/>
  <c r="AO292" i="3"/>
  <c r="AN292" i="3"/>
  <c r="AM292" i="3"/>
  <c r="E292" i="3"/>
  <c r="E694" i="3" s="1"/>
  <c r="D292" i="3"/>
  <c r="C292" i="3"/>
  <c r="C694" i="3" s="1"/>
  <c r="B292" i="3"/>
  <c r="B694" i="3" s="1"/>
  <c r="A292" i="3"/>
  <c r="BS291" i="3"/>
  <c r="BR291" i="3"/>
  <c r="BQ291" i="3"/>
  <c r="BP291" i="3"/>
  <c r="BO291" i="3"/>
  <c r="BN291" i="3"/>
  <c r="BM291" i="3"/>
  <c r="BL291" i="3"/>
  <c r="BK291" i="3"/>
  <c r="BJ291" i="3"/>
  <c r="BI291" i="3"/>
  <c r="BH291" i="3"/>
  <c r="BG291" i="3"/>
  <c r="BF291" i="3"/>
  <c r="BE291" i="3"/>
  <c r="BD291" i="3"/>
  <c r="BC291" i="3"/>
  <c r="BB291" i="3"/>
  <c r="BA291" i="3"/>
  <c r="AZ291" i="3"/>
  <c r="AY291" i="3"/>
  <c r="AX291" i="3"/>
  <c r="AW291" i="3"/>
  <c r="AV291" i="3"/>
  <c r="AU291" i="3"/>
  <c r="AT291" i="3"/>
  <c r="AS291" i="3"/>
  <c r="AR291" i="3"/>
  <c r="AQ291" i="3"/>
  <c r="AP291" i="3"/>
  <c r="AO291" i="3"/>
  <c r="AN291" i="3"/>
  <c r="AM291" i="3"/>
  <c r="E291" i="3"/>
  <c r="E693" i="3" s="1"/>
  <c r="D291" i="3"/>
  <c r="D693" i="3" s="1"/>
  <c r="C291" i="3"/>
  <c r="C693" i="3" s="1"/>
  <c r="B291" i="3"/>
  <c r="B693" i="3" s="1"/>
  <c r="A291" i="3"/>
  <c r="A693" i="3" s="1"/>
  <c r="BS290" i="3"/>
  <c r="BR290" i="3"/>
  <c r="BQ290" i="3"/>
  <c r="BP290" i="3"/>
  <c r="BO290" i="3"/>
  <c r="BN290" i="3"/>
  <c r="BM290" i="3"/>
  <c r="BL290" i="3"/>
  <c r="BK290" i="3"/>
  <c r="BJ290" i="3"/>
  <c r="BI290" i="3"/>
  <c r="BH290" i="3"/>
  <c r="BG290" i="3"/>
  <c r="BF290" i="3"/>
  <c r="BE290" i="3"/>
  <c r="BD290" i="3"/>
  <c r="BC290" i="3"/>
  <c r="BB290" i="3"/>
  <c r="BA290" i="3"/>
  <c r="AZ290" i="3"/>
  <c r="AY290" i="3"/>
  <c r="AX290" i="3"/>
  <c r="AW290" i="3"/>
  <c r="AV290" i="3"/>
  <c r="AU290" i="3"/>
  <c r="AT290" i="3"/>
  <c r="AS290" i="3"/>
  <c r="AR290" i="3"/>
  <c r="AQ290" i="3"/>
  <c r="AP290" i="3"/>
  <c r="AO290" i="3"/>
  <c r="AN290" i="3"/>
  <c r="AM290" i="3"/>
  <c r="E290" i="3"/>
  <c r="E692" i="3" s="1"/>
  <c r="D290" i="3"/>
  <c r="D692" i="3" s="1"/>
  <c r="C290" i="3"/>
  <c r="B290" i="3"/>
  <c r="A290" i="3"/>
  <c r="A692" i="3" s="1"/>
  <c r="BS289" i="3"/>
  <c r="BR289" i="3"/>
  <c r="BQ289" i="3"/>
  <c r="BP289" i="3"/>
  <c r="BO289" i="3"/>
  <c r="BN289" i="3"/>
  <c r="BM289" i="3"/>
  <c r="BL289" i="3"/>
  <c r="BK289" i="3"/>
  <c r="BJ289" i="3"/>
  <c r="BI289" i="3"/>
  <c r="BH289" i="3"/>
  <c r="BG289" i="3"/>
  <c r="BF289" i="3"/>
  <c r="BE289" i="3"/>
  <c r="BD289" i="3"/>
  <c r="BC289" i="3"/>
  <c r="BB289" i="3"/>
  <c r="BA289" i="3"/>
  <c r="AZ289" i="3"/>
  <c r="AY289" i="3"/>
  <c r="AX289" i="3"/>
  <c r="AW289" i="3"/>
  <c r="AV289" i="3"/>
  <c r="AU289" i="3"/>
  <c r="AT289" i="3"/>
  <c r="AS289" i="3"/>
  <c r="AR289" i="3"/>
  <c r="AQ289" i="3"/>
  <c r="AP289" i="3"/>
  <c r="AO289" i="3"/>
  <c r="AN289" i="3"/>
  <c r="AM289" i="3"/>
  <c r="E289" i="3"/>
  <c r="E691" i="3" s="1"/>
  <c r="D289" i="3"/>
  <c r="D691" i="3" s="1"/>
  <c r="C289" i="3"/>
  <c r="C691" i="3" s="1"/>
  <c r="B289" i="3"/>
  <c r="A289" i="3"/>
  <c r="BS288" i="3"/>
  <c r="BR288" i="3"/>
  <c r="BQ288" i="3"/>
  <c r="BP288" i="3"/>
  <c r="BO288" i="3"/>
  <c r="BN288" i="3"/>
  <c r="BM288" i="3"/>
  <c r="BL288" i="3"/>
  <c r="BK288" i="3"/>
  <c r="BJ288" i="3"/>
  <c r="BI288" i="3"/>
  <c r="BH288" i="3"/>
  <c r="BG288" i="3"/>
  <c r="BF288" i="3"/>
  <c r="BE288" i="3"/>
  <c r="BD288" i="3"/>
  <c r="BC288" i="3"/>
  <c r="BB288" i="3"/>
  <c r="BA288" i="3"/>
  <c r="AZ288" i="3"/>
  <c r="AY288" i="3"/>
  <c r="AX288" i="3"/>
  <c r="AW288" i="3"/>
  <c r="AV288" i="3"/>
  <c r="AU288" i="3"/>
  <c r="AT288" i="3"/>
  <c r="AS288" i="3"/>
  <c r="AR288" i="3"/>
  <c r="AQ288" i="3"/>
  <c r="AP288" i="3"/>
  <c r="AO288" i="3"/>
  <c r="AN288" i="3"/>
  <c r="AM288" i="3"/>
  <c r="E288" i="3"/>
  <c r="E690" i="3" s="1"/>
  <c r="D288" i="3"/>
  <c r="C288" i="3"/>
  <c r="C690" i="3" s="1"/>
  <c r="B288" i="3"/>
  <c r="B690" i="3" s="1"/>
  <c r="A288" i="3"/>
  <c r="BS287" i="3"/>
  <c r="BR287" i="3"/>
  <c r="BQ287" i="3"/>
  <c r="BP287" i="3"/>
  <c r="BO287" i="3"/>
  <c r="BN287" i="3"/>
  <c r="BM287" i="3"/>
  <c r="BL287" i="3"/>
  <c r="BK287" i="3"/>
  <c r="BJ287" i="3"/>
  <c r="BI287" i="3"/>
  <c r="BH287" i="3"/>
  <c r="BG287" i="3"/>
  <c r="BF287" i="3"/>
  <c r="BE287" i="3"/>
  <c r="BD287" i="3"/>
  <c r="BC287" i="3"/>
  <c r="BB287" i="3"/>
  <c r="BA287" i="3"/>
  <c r="AZ287" i="3"/>
  <c r="AY287" i="3"/>
  <c r="AX287" i="3"/>
  <c r="AW287" i="3"/>
  <c r="AV287" i="3"/>
  <c r="AU287" i="3"/>
  <c r="AT287" i="3"/>
  <c r="AS287" i="3"/>
  <c r="AR287" i="3"/>
  <c r="AQ287" i="3"/>
  <c r="AP287" i="3"/>
  <c r="AO287" i="3"/>
  <c r="AN287" i="3"/>
  <c r="AM287" i="3"/>
  <c r="E287" i="3"/>
  <c r="E689" i="3" s="1"/>
  <c r="D287" i="3"/>
  <c r="D689" i="3" s="1"/>
  <c r="C287" i="3"/>
  <c r="C689" i="3" s="1"/>
  <c r="B287" i="3"/>
  <c r="B689" i="3" s="1"/>
  <c r="A287" i="3"/>
  <c r="A689" i="3" s="1"/>
  <c r="BS286" i="3"/>
  <c r="BR286" i="3"/>
  <c r="BQ286" i="3"/>
  <c r="BP286" i="3"/>
  <c r="BO286" i="3"/>
  <c r="BN286" i="3"/>
  <c r="BM286" i="3"/>
  <c r="BL286" i="3"/>
  <c r="BK286" i="3"/>
  <c r="BJ286" i="3"/>
  <c r="BI286" i="3"/>
  <c r="BH286" i="3"/>
  <c r="BG286" i="3"/>
  <c r="BF286" i="3"/>
  <c r="BE286" i="3"/>
  <c r="BD286" i="3"/>
  <c r="BC286" i="3"/>
  <c r="BB286" i="3"/>
  <c r="BA286" i="3"/>
  <c r="AZ286" i="3"/>
  <c r="AY286" i="3"/>
  <c r="AX286" i="3"/>
  <c r="AW286" i="3"/>
  <c r="AV286" i="3"/>
  <c r="AU286" i="3"/>
  <c r="AT286" i="3"/>
  <c r="AS286" i="3"/>
  <c r="AR286" i="3"/>
  <c r="AQ286" i="3"/>
  <c r="AP286" i="3"/>
  <c r="AO286" i="3"/>
  <c r="AN286" i="3"/>
  <c r="AM286" i="3"/>
  <c r="E286" i="3"/>
  <c r="E286" i="2" s="1"/>
  <c r="B286" i="3"/>
  <c r="A286" i="3"/>
  <c r="BS285" i="3"/>
  <c r="BR285" i="3"/>
  <c r="BQ285" i="3"/>
  <c r="BP285" i="3"/>
  <c r="BO285" i="3"/>
  <c r="BN285" i="3"/>
  <c r="BM285" i="3"/>
  <c r="BL285" i="3"/>
  <c r="BK285" i="3"/>
  <c r="BJ285" i="3"/>
  <c r="BI285" i="3"/>
  <c r="BH285" i="3"/>
  <c r="BG285" i="3"/>
  <c r="BF285" i="3"/>
  <c r="BE285" i="3"/>
  <c r="BD285" i="3"/>
  <c r="BC285" i="3"/>
  <c r="BB285" i="3"/>
  <c r="BA285" i="3"/>
  <c r="AZ285" i="3"/>
  <c r="AY285" i="3"/>
  <c r="AX285" i="3"/>
  <c r="AW285" i="3"/>
  <c r="AV285" i="3"/>
  <c r="AU285" i="3"/>
  <c r="AT285" i="3"/>
  <c r="AS285" i="3"/>
  <c r="AR285" i="3"/>
  <c r="AQ285" i="3"/>
  <c r="AP285" i="3"/>
  <c r="AO285" i="3"/>
  <c r="AN285" i="3"/>
  <c r="AM285" i="3"/>
  <c r="E285" i="3"/>
  <c r="E688" i="3" s="1"/>
  <c r="D285" i="3"/>
  <c r="C285" i="3"/>
  <c r="C688" i="3" s="1"/>
  <c r="B285" i="3"/>
  <c r="B688" i="3" s="1"/>
  <c r="A285" i="3"/>
  <c r="A688" i="3" s="1"/>
  <c r="BS284" i="3"/>
  <c r="BR284" i="3"/>
  <c r="BQ284" i="3"/>
  <c r="BP284" i="3"/>
  <c r="BO284" i="3"/>
  <c r="BN284" i="3"/>
  <c r="BM284" i="3"/>
  <c r="BL284" i="3"/>
  <c r="BK284" i="3"/>
  <c r="BJ284" i="3"/>
  <c r="BI284" i="3"/>
  <c r="BH284" i="3"/>
  <c r="BG284" i="3"/>
  <c r="BF284" i="3"/>
  <c r="BE284" i="3"/>
  <c r="BD284" i="3"/>
  <c r="BC284" i="3"/>
  <c r="BB284" i="3"/>
  <c r="BA284" i="3"/>
  <c r="AZ284" i="3"/>
  <c r="AY284" i="3"/>
  <c r="AX284" i="3"/>
  <c r="AW284" i="3"/>
  <c r="AV284" i="3"/>
  <c r="AU284" i="3"/>
  <c r="AT284" i="3"/>
  <c r="AS284" i="3"/>
  <c r="AR284" i="3"/>
  <c r="AQ284" i="3"/>
  <c r="AP284" i="3"/>
  <c r="AO284" i="3"/>
  <c r="AN284" i="3"/>
  <c r="AM284" i="3"/>
  <c r="E284" i="3"/>
  <c r="E687" i="3" s="1"/>
  <c r="D284" i="3"/>
  <c r="D687" i="3" s="1"/>
  <c r="C284" i="3"/>
  <c r="C687" i="3" s="1"/>
  <c r="B284" i="3"/>
  <c r="B687" i="3" s="1"/>
  <c r="A284" i="3"/>
  <c r="A687" i="3" s="1"/>
  <c r="BS283" i="3"/>
  <c r="BR283" i="3"/>
  <c r="BQ283" i="3"/>
  <c r="BP283" i="3"/>
  <c r="BO283" i="3"/>
  <c r="BN283" i="3"/>
  <c r="BM283" i="3"/>
  <c r="BL283" i="3"/>
  <c r="BK283" i="3"/>
  <c r="BJ283" i="3"/>
  <c r="BI283" i="3"/>
  <c r="BH283" i="3"/>
  <c r="BG283" i="3"/>
  <c r="BF283" i="3"/>
  <c r="BE283" i="3"/>
  <c r="BD283" i="3"/>
  <c r="BC283" i="3"/>
  <c r="BB283" i="3"/>
  <c r="BA283" i="3"/>
  <c r="AZ283" i="3"/>
  <c r="AY283" i="3"/>
  <c r="AX283" i="3"/>
  <c r="AW283" i="3"/>
  <c r="AV283" i="3"/>
  <c r="AU283" i="3"/>
  <c r="AT283" i="3"/>
  <c r="AS283" i="3"/>
  <c r="AR283" i="3"/>
  <c r="AQ283" i="3"/>
  <c r="AP283" i="3"/>
  <c r="AO283" i="3"/>
  <c r="AN283" i="3"/>
  <c r="AM283" i="3"/>
  <c r="E283" i="3"/>
  <c r="E686" i="3" s="1"/>
  <c r="D283" i="3"/>
  <c r="D686" i="3" s="1"/>
  <c r="C283" i="3"/>
  <c r="C686" i="3" s="1"/>
  <c r="B283" i="3"/>
  <c r="B686" i="3" s="1"/>
  <c r="A283" i="3"/>
  <c r="A686" i="3" s="1"/>
  <c r="BS282" i="3"/>
  <c r="BR282" i="3"/>
  <c r="BQ282" i="3"/>
  <c r="BP282" i="3"/>
  <c r="BO282" i="3"/>
  <c r="BN282" i="3"/>
  <c r="BM282" i="3"/>
  <c r="BL282" i="3"/>
  <c r="BK282" i="3"/>
  <c r="BJ282" i="3"/>
  <c r="BI282" i="3"/>
  <c r="BH282" i="3"/>
  <c r="BG282" i="3"/>
  <c r="BF282" i="3"/>
  <c r="BE282" i="3"/>
  <c r="BD282" i="3"/>
  <c r="BC282" i="3"/>
  <c r="BB282" i="3"/>
  <c r="BA282" i="3"/>
  <c r="AZ282" i="3"/>
  <c r="AY282" i="3"/>
  <c r="AX282" i="3"/>
  <c r="AW282" i="3"/>
  <c r="AV282" i="3"/>
  <c r="AU282" i="3"/>
  <c r="AT282" i="3"/>
  <c r="AS282" i="3"/>
  <c r="AR282" i="3"/>
  <c r="AQ282" i="3"/>
  <c r="AP282" i="3"/>
  <c r="AO282" i="3"/>
  <c r="AN282" i="3"/>
  <c r="AM282" i="3"/>
  <c r="E282" i="3"/>
  <c r="E282" i="2" s="1"/>
  <c r="D282" i="3"/>
  <c r="D685" i="3" s="1"/>
  <c r="C282" i="3"/>
  <c r="C685" i="3" s="1"/>
  <c r="B282" i="3"/>
  <c r="B685" i="3" s="1"/>
  <c r="A282" i="3"/>
  <c r="A685" i="3" s="1"/>
  <c r="BS281" i="3"/>
  <c r="BR281" i="3"/>
  <c r="BQ281" i="3"/>
  <c r="BP281" i="3"/>
  <c r="BO281" i="3"/>
  <c r="BN281" i="3"/>
  <c r="BM281" i="3"/>
  <c r="BL281" i="3"/>
  <c r="BK281" i="3"/>
  <c r="BJ281" i="3"/>
  <c r="BI281" i="3"/>
  <c r="BH281" i="3"/>
  <c r="BG281" i="3"/>
  <c r="BF281" i="3"/>
  <c r="BE281" i="3"/>
  <c r="BD281" i="3"/>
  <c r="BC281" i="3"/>
  <c r="BB281" i="3"/>
  <c r="BA281" i="3"/>
  <c r="AZ281" i="3"/>
  <c r="AY281" i="3"/>
  <c r="AX281" i="3"/>
  <c r="AW281" i="3"/>
  <c r="AV281" i="3"/>
  <c r="AU281" i="3"/>
  <c r="AT281" i="3"/>
  <c r="AS281" i="3"/>
  <c r="AR281" i="3"/>
  <c r="AQ281" i="3"/>
  <c r="AP281" i="3"/>
  <c r="AO281" i="3"/>
  <c r="AN281" i="3"/>
  <c r="AM281" i="3"/>
  <c r="E281" i="3"/>
  <c r="E684" i="3" s="1"/>
  <c r="D281" i="3"/>
  <c r="D684" i="3" s="1"/>
  <c r="C281" i="3"/>
  <c r="B281" i="3"/>
  <c r="B684" i="3" s="1"/>
  <c r="A281" i="3"/>
  <c r="A684" i="3" s="1"/>
  <c r="BS280" i="3"/>
  <c r="BR280" i="3"/>
  <c r="BQ280" i="3"/>
  <c r="BP280" i="3"/>
  <c r="BO280" i="3"/>
  <c r="BN280" i="3"/>
  <c r="BM280" i="3"/>
  <c r="BL280" i="3"/>
  <c r="BK280" i="3"/>
  <c r="BJ280" i="3"/>
  <c r="BI280" i="3"/>
  <c r="BH280" i="3"/>
  <c r="BG280" i="3"/>
  <c r="BF280" i="3"/>
  <c r="BE280" i="3"/>
  <c r="BD280" i="3"/>
  <c r="BC280" i="3"/>
  <c r="BB280" i="3"/>
  <c r="BA280" i="3"/>
  <c r="AZ280" i="3"/>
  <c r="AY280" i="3"/>
  <c r="AX280" i="3"/>
  <c r="AW280" i="3"/>
  <c r="AV280" i="3"/>
  <c r="AU280" i="3"/>
  <c r="AT280" i="3"/>
  <c r="AS280" i="3"/>
  <c r="AR280" i="3"/>
  <c r="AQ280" i="3"/>
  <c r="AP280" i="3"/>
  <c r="AO280" i="3"/>
  <c r="AN280" i="3"/>
  <c r="AM280" i="3"/>
  <c r="E280" i="3"/>
  <c r="E683" i="3" s="1"/>
  <c r="D280" i="3"/>
  <c r="D683" i="3" s="1"/>
  <c r="C280" i="3"/>
  <c r="C683" i="3" s="1"/>
  <c r="B280" i="3"/>
  <c r="B683" i="3" s="1"/>
  <c r="A280" i="3"/>
  <c r="A683" i="3" s="1"/>
  <c r="BS279" i="3"/>
  <c r="BR279" i="3"/>
  <c r="BQ279" i="3"/>
  <c r="BP279" i="3"/>
  <c r="BO279" i="3"/>
  <c r="BN279" i="3"/>
  <c r="BM279" i="3"/>
  <c r="BL279" i="3"/>
  <c r="BK279" i="3"/>
  <c r="BJ279" i="3"/>
  <c r="BI279" i="3"/>
  <c r="BH279" i="3"/>
  <c r="BG279" i="3"/>
  <c r="BF279" i="3"/>
  <c r="BE279" i="3"/>
  <c r="BD279" i="3"/>
  <c r="BC279" i="3"/>
  <c r="BB279" i="3"/>
  <c r="BA279" i="3"/>
  <c r="AZ279" i="3"/>
  <c r="AY279" i="3"/>
  <c r="AX279" i="3"/>
  <c r="AW279" i="3"/>
  <c r="AV279" i="3"/>
  <c r="AU279" i="3"/>
  <c r="AT279" i="3"/>
  <c r="AS279" i="3"/>
  <c r="AR279" i="3"/>
  <c r="AQ279" i="3"/>
  <c r="AP279" i="3"/>
  <c r="AO279" i="3"/>
  <c r="AN279" i="3"/>
  <c r="AM279" i="3"/>
  <c r="E279" i="3"/>
  <c r="E682" i="3" s="1"/>
  <c r="D279" i="3"/>
  <c r="D682" i="3" s="1"/>
  <c r="C279" i="3"/>
  <c r="C682" i="3" s="1"/>
  <c r="B279" i="3"/>
  <c r="B682" i="3" s="1"/>
  <c r="A279" i="3"/>
  <c r="A682" i="3" s="1"/>
  <c r="BS278" i="3"/>
  <c r="BR278" i="3"/>
  <c r="BQ278" i="3"/>
  <c r="BP278" i="3"/>
  <c r="BO278" i="3"/>
  <c r="BN278" i="3"/>
  <c r="BM278" i="3"/>
  <c r="BL278" i="3"/>
  <c r="BK278" i="3"/>
  <c r="BJ278" i="3"/>
  <c r="BI278" i="3"/>
  <c r="BH278" i="3"/>
  <c r="BG278" i="3"/>
  <c r="BF278" i="3"/>
  <c r="BE278" i="3"/>
  <c r="BD278" i="3"/>
  <c r="BC278" i="3"/>
  <c r="BB278" i="3"/>
  <c r="BA278" i="3"/>
  <c r="AZ278" i="3"/>
  <c r="AY278" i="3"/>
  <c r="AX278" i="3"/>
  <c r="AW278" i="3"/>
  <c r="AV278" i="3"/>
  <c r="AU278" i="3"/>
  <c r="AT278" i="3"/>
  <c r="AS278" i="3"/>
  <c r="AR278" i="3"/>
  <c r="AQ278" i="3"/>
  <c r="AP278" i="3"/>
  <c r="AO278" i="3"/>
  <c r="AN278" i="3"/>
  <c r="AM278" i="3"/>
  <c r="E278" i="3"/>
  <c r="E681" i="3" s="1"/>
  <c r="D278" i="3"/>
  <c r="D681" i="3" s="1"/>
  <c r="C278" i="3"/>
  <c r="C681" i="3" s="1"/>
  <c r="B278" i="3"/>
  <c r="A278" i="3"/>
  <c r="BS277" i="3"/>
  <c r="BR277" i="3"/>
  <c r="BQ277" i="3"/>
  <c r="BP277" i="3"/>
  <c r="BO277" i="3"/>
  <c r="BN277" i="3"/>
  <c r="BM277" i="3"/>
  <c r="BL277" i="3"/>
  <c r="BK277" i="3"/>
  <c r="BJ277" i="3"/>
  <c r="BI277" i="3"/>
  <c r="BH277" i="3"/>
  <c r="BG277" i="3"/>
  <c r="BF277" i="3"/>
  <c r="BE277" i="3"/>
  <c r="BD277" i="3"/>
  <c r="BC277" i="3"/>
  <c r="BB277" i="3"/>
  <c r="BA277" i="3"/>
  <c r="AZ277" i="3"/>
  <c r="AY277" i="3"/>
  <c r="AX277" i="3"/>
  <c r="AW277" i="3"/>
  <c r="AV277" i="3"/>
  <c r="AU277" i="3"/>
  <c r="AT277" i="3"/>
  <c r="AS277" i="3"/>
  <c r="AR277" i="3"/>
  <c r="AQ277" i="3"/>
  <c r="AP277" i="3"/>
  <c r="AO277" i="3"/>
  <c r="AN277" i="3"/>
  <c r="AM277" i="3"/>
  <c r="E277" i="3"/>
  <c r="E680" i="3" s="1"/>
  <c r="D277" i="3"/>
  <c r="D680" i="3" s="1"/>
  <c r="C277" i="3"/>
  <c r="C680" i="3" s="1"/>
  <c r="B277" i="3"/>
  <c r="B680" i="3" s="1"/>
  <c r="A277" i="3"/>
  <c r="A680" i="3" s="1"/>
  <c r="BS276" i="3"/>
  <c r="BR276" i="3"/>
  <c r="BQ276" i="3"/>
  <c r="BP276" i="3"/>
  <c r="BO276" i="3"/>
  <c r="BN276" i="3"/>
  <c r="BM276" i="3"/>
  <c r="BL276" i="3"/>
  <c r="BK276" i="3"/>
  <c r="BJ276" i="3"/>
  <c r="BI276" i="3"/>
  <c r="BH276" i="3"/>
  <c r="BG276" i="3"/>
  <c r="BF276" i="3"/>
  <c r="BE276" i="3"/>
  <c r="BD276" i="3"/>
  <c r="BC276" i="3"/>
  <c r="BB276" i="3"/>
  <c r="BA276" i="3"/>
  <c r="AZ276" i="3"/>
  <c r="AY276" i="3"/>
  <c r="AX276" i="3"/>
  <c r="AW276" i="3"/>
  <c r="AV276" i="3"/>
  <c r="AU276" i="3"/>
  <c r="AT276" i="3"/>
  <c r="AS276" i="3"/>
  <c r="AR276" i="3"/>
  <c r="AQ276" i="3"/>
  <c r="AP276" i="3"/>
  <c r="AO276" i="3"/>
  <c r="AN276" i="3"/>
  <c r="AM276" i="3"/>
  <c r="E276" i="3"/>
  <c r="D276" i="3"/>
  <c r="D679" i="3" s="1"/>
  <c r="C276" i="3"/>
  <c r="C679" i="3" s="1"/>
  <c r="B276" i="3"/>
  <c r="B679" i="3" s="1"/>
  <c r="A276" i="3"/>
  <c r="A679" i="3" s="1"/>
  <c r="BS275" i="3"/>
  <c r="BR275" i="3"/>
  <c r="BQ275" i="3"/>
  <c r="BP275" i="3"/>
  <c r="BO275" i="3"/>
  <c r="BN275" i="3"/>
  <c r="BM275" i="3"/>
  <c r="BL275" i="3"/>
  <c r="BK275" i="3"/>
  <c r="BJ275" i="3"/>
  <c r="BI275" i="3"/>
  <c r="BH275" i="3"/>
  <c r="BG275" i="3"/>
  <c r="BF275" i="3"/>
  <c r="BE275" i="3"/>
  <c r="BD275" i="3"/>
  <c r="BC275" i="3"/>
  <c r="BB275" i="3"/>
  <c r="BA275" i="3"/>
  <c r="AZ275" i="3"/>
  <c r="AY275" i="3"/>
  <c r="AX275" i="3"/>
  <c r="AW275" i="3"/>
  <c r="AV275" i="3"/>
  <c r="AU275" i="3"/>
  <c r="AT275" i="3"/>
  <c r="AS275" i="3"/>
  <c r="AR275" i="3"/>
  <c r="AQ275" i="3"/>
  <c r="AP275" i="3"/>
  <c r="AO275" i="3"/>
  <c r="AN275" i="3"/>
  <c r="AM275" i="3"/>
  <c r="E275" i="3"/>
  <c r="E678" i="3" s="1"/>
  <c r="D275" i="3"/>
  <c r="D678" i="3" s="1"/>
  <c r="C275" i="3"/>
  <c r="C678" i="3" s="1"/>
  <c r="B275" i="3"/>
  <c r="B678" i="3" s="1"/>
  <c r="A275" i="3"/>
  <c r="A678" i="3" s="1"/>
  <c r="BS274" i="3"/>
  <c r="BR274" i="3"/>
  <c r="BQ274" i="3"/>
  <c r="BP274" i="3"/>
  <c r="BO274" i="3"/>
  <c r="BN274" i="3"/>
  <c r="BM274" i="3"/>
  <c r="BL274" i="3"/>
  <c r="BK274" i="3"/>
  <c r="BJ274" i="3"/>
  <c r="BI274" i="3"/>
  <c r="BH274" i="3"/>
  <c r="BG274" i="3"/>
  <c r="BF274" i="3"/>
  <c r="BE274" i="3"/>
  <c r="BD274" i="3"/>
  <c r="BC274" i="3"/>
  <c r="BB274" i="3"/>
  <c r="BA274" i="3"/>
  <c r="AZ274" i="3"/>
  <c r="AY274" i="3"/>
  <c r="AX274" i="3"/>
  <c r="AW274" i="3"/>
  <c r="AV274" i="3"/>
  <c r="AU274" i="3"/>
  <c r="AT274" i="3"/>
  <c r="AS274" i="3"/>
  <c r="AR274" i="3"/>
  <c r="AQ274" i="3"/>
  <c r="AP274" i="3"/>
  <c r="AO274" i="3"/>
  <c r="AN274" i="3"/>
  <c r="AM274" i="3"/>
  <c r="E274" i="3"/>
  <c r="E677" i="3" s="1"/>
  <c r="D274" i="3"/>
  <c r="D677" i="3" s="1"/>
  <c r="C274" i="3"/>
  <c r="C677" i="3" s="1"/>
  <c r="B274" i="3"/>
  <c r="B677" i="3" s="1"/>
  <c r="A274" i="3"/>
  <c r="A677" i="3" s="1"/>
  <c r="BS273" i="3"/>
  <c r="BR273" i="3"/>
  <c r="BQ273" i="3"/>
  <c r="BP273" i="3"/>
  <c r="BO273" i="3"/>
  <c r="BN273" i="3"/>
  <c r="BM273" i="3"/>
  <c r="BL273" i="3"/>
  <c r="BK273" i="3"/>
  <c r="BJ273" i="3"/>
  <c r="BI273" i="3"/>
  <c r="BH273" i="3"/>
  <c r="BG273" i="3"/>
  <c r="BF273" i="3"/>
  <c r="BE273" i="3"/>
  <c r="BD273" i="3"/>
  <c r="BC273" i="3"/>
  <c r="BB273" i="3"/>
  <c r="BA273" i="3"/>
  <c r="AZ273" i="3"/>
  <c r="AY273" i="3"/>
  <c r="AX273" i="3"/>
  <c r="AW273" i="3"/>
  <c r="AV273" i="3"/>
  <c r="AU273" i="3"/>
  <c r="AT273" i="3"/>
  <c r="AS273" i="3"/>
  <c r="AR273" i="3"/>
  <c r="AQ273" i="3"/>
  <c r="AP273" i="3"/>
  <c r="AO273" i="3"/>
  <c r="AN273" i="3"/>
  <c r="AM273" i="3"/>
  <c r="E273" i="3"/>
  <c r="E676" i="3" s="1"/>
  <c r="D273" i="3"/>
  <c r="D676" i="3" s="1"/>
  <c r="C273" i="3"/>
  <c r="C676" i="3" s="1"/>
  <c r="B273" i="3"/>
  <c r="B676" i="3" s="1"/>
  <c r="A273" i="3"/>
  <c r="A676" i="3" s="1"/>
  <c r="BS272" i="3"/>
  <c r="BR272" i="3"/>
  <c r="BQ272" i="3"/>
  <c r="BP272" i="3"/>
  <c r="BO272" i="3"/>
  <c r="BN272" i="3"/>
  <c r="BM272" i="3"/>
  <c r="BL272" i="3"/>
  <c r="BK272" i="3"/>
  <c r="BJ272" i="3"/>
  <c r="BI272" i="3"/>
  <c r="BH272" i="3"/>
  <c r="BG272" i="3"/>
  <c r="BF272" i="3"/>
  <c r="BE272" i="3"/>
  <c r="BD272" i="3"/>
  <c r="BC272" i="3"/>
  <c r="BB272" i="3"/>
  <c r="BA272" i="3"/>
  <c r="AZ272" i="3"/>
  <c r="AY272" i="3"/>
  <c r="AX272" i="3"/>
  <c r="AW272" i="3"/>
  <c r="AV272" i="3"/>
  <c r="AU272" i="3"/>
  <c r="AT272" i="3"/>
  <c r="AS272" i="3"/>
  <c r="AR272" i="3"/>
  <c r="AQ272" i="3"/>
  <c r="AP272" i="3"/>
  <c r="AO272" i="3"/>
  <c r="AN272" i="3"/>
  <c r="AM272" i="3"/>
  <c r="E272" i="3"/>
  <c r="E675" i="3" s="1"/>
  <c r="D272" i="3"/>
  <c r="D675" i="3" s="1"/>
  <c r="C272" i="3"/>
  <c r="C675" i="3" s="1"/>
  <c r="B272" i="3"/>
  <c r="B675" i="3" s="1"/>
  <c r="A272" i="3"/>
  <c r="A675" i="3" s="1"/>
  <c r="BS271" i="3"/>
  <c r="BR271" i="3"/>
  <c r="BQ271" i="3"/>
  <c r="BP271" i="3"/>
  <c r="BO271" i="3"/>
  <c r="BN271" i="3"/>
  <c r="BM271" i="3"/>
  <c r="BL271" i="3"/>
  <c r="BK271" i="3"/>
  <c r="BJ271" i="3"/>
  <c r="BI271" i="3"/>
  <c r="BH271" i="3"/>
  <c r="BG271" i="3"/>
  <c r="BF271" i="3"/>
  <c r="BE271" i="3"/>
  <c r="BD271" i="3"/>
  <c r="BC271" i="3"/>
  <c r="BB271" i="3"/>
  <c r="BA271" i="3"/>
  <c r="AZ271" i="3"/>
  <c r="AY271" i="3"/>
  <c r="AX271" i="3"/>
  <c r="AW271" i="3"/>
  <c r="AV271" i="3"/>
  <c r="AU271" i="3"/>
  <c r="AT271" i="3"/>
  <c r="AS271" i="3"/>
  <c r="AR271" i="3"/>
  <c r="AQ271" i="3"/>
  <c r="AP271" i="3"/>
  <c r="AO271" i="3"/>
  <c r="AN271" i="3"/>
  <c r="AM271" i="3"/>
  <c r="E271" i="3"/>
  <c r="E674" i="3" s="1"/>
  <c r="D271" i="3"/>
  <c r="D674" i="3" s="1"/>
  <c r="C271" i="3"/>
  <c r="B271" i="3"/>
  <c r="B674" i="3" s="1"/>
  <c r="A271" i="3"/>
  <c r="A674" i="3" s="1"/>
  <c r="BS270" i="3"/>
  <c r="BR270" i="3"/>
  <c r="BQ270" i="3"/>
  <c r="BP270" i="3"/>
  <c r="BO270" i="3"/>
  <c r="BN270" i="3"/>
  <c r="BM270" i="3"/>
  <c r="BL270" i="3"/>
  <c r="BK270" i="3"/>
  <c r="BJ270" i="3"/>
  <c r="BI270" i="3"/>
  <c r="BH270" i="3"/>
  <c r="BG270" i="3"/>
  <c r="BF270" i="3"/>
  <c r="BE270" i="3"/>
  <c r="BD270" i="3"/>
  <c r="BC270" i="3"/>
  <c r="BB270" i="3"/>
  <c r="BA270" i="3"/>
  <c r="AZ270" i="3"/>
  <c r="AY270" i="3"/>
  <c r="AX270" i="3"/>
  <c r="AW270" i="3"/>
  <c r="AV270" i="3"/>
  <c r="AU270" i="3"/>
  <c r="AT270" i="3"/>
  <c r="AS270" i="3"/>
  <c r="AR270" i="3"/>
  <c r="AQ270" i="3"/>
  <c r="AP270" i="3"/>
  <c r="AO270" i="3"/>
  <c r="AN270" i="3"/>
  <c r="AM270" i="3"/>
  <c r="E270" i="3"/>
  <c r="E673" i="3" s="1"/>
  <c r="D270" i="3"/>
  <c r="D673" i="3" s="1"/>
  <c r="C270" i="3"/>
  <c r="C673" i="3" s="1"/>
  <c r="B270" i="3"/>
  <c r="B673" i="3" s="1"/>
  <c r="A270" i="3"/>
  <c r="A673" i="3" s="1"/>
  <c r="BS269" i="3"/>
  <c r="BR269" i="3"/>
  <c r="BQ269" i="3"/>
  <c r="BP269" i="3"/>
  <c r="BO269" i="3"/>
  <c r="BN269" i="3"/>
  <c r="BM269" i="3"/>
  <c r="BL269" i="3"/>
  <c r="BK269" i="3"/>
  <c r="BJ269" i="3"/>
  <c r="BI269" i="3"/>
  <c r="BH269" i="3"/>
  <c r="BG269" i="3"/>
  <c r="BF269" i="3"/>
  <c r="BE269" i="3"/>
  <c r="BD269" i="3"/>
  <c r="BC269" i="3"/>
  <c r="BB269" i="3"/>
  <c r="BA269" i="3"/>
  <c r="AZ269" i="3"/>
  <c r="AY269" i="3"/>
  <c r="AX269" i="3"/>
  <c r="AW269" i="3"/>
  <c r="AV269" i="3"/>
  <c r="AU269" i="3"/>
  <c r="AT269" i="3"/>
  <c r="AS269" i="3"/>
  <c r="AR269" i="3"/>
  <c r="AQ269" i="3"/>
  <c r="AP269" i="3"/>
  <c r="AO269" i="3"/>
  <c r="AN269" i="3"/>
  <c r="AM269" i="3"/>
  <c r="E269" i="3"/>
  <c r="E672" i="3" s="1"/>
  <c r="D269" i="3"/>
  <c r="D672" i="3" s="1"/>
  <c r="C269" i="3"/>
  <c r="C672" i="3" s="1"/>
  <c r="B269" i="3"/>
  <c r="B672" i="3" s="1"/>
  <c r="A269" i="3"/>
  <c r="A672" i="3" s="1"/>
  <c r="BS268" i="3"/>
  <c r="BR268" i="3"/>
  <c r="BQ268" i="3"/>
  <c r="BP268" i="3"/>
  <c r="BO268" i="3"/>
  <c r="BN268" i="3"/>
  <c r="BM268" i="3"/>
  <c r="BL268" i="3"/>
  <c r="BK268" i="3"/>
  <c r="BJ268" i="3"/>
  <c r="BI268" i="3"/>
  <c r="BH268" i="3"/>
  <c r="BG268" i="3"/>
  <c r="BF268" i="3"/>
  <c r="BE268" i="3"/>
  <c r="BD268" i="3"/>
  <c r="BC268" i="3"/>
  <c r="BB268" i="3"/>
  <c r="BA268" i="3"/>
  <c r="AZ268" i="3"/>
  <c r="AY268" i="3"/>
  <c r="AX268" i="3"/>
  <c r="AW268" i="3"/>
  <c r="AV268" i="3"/>
  <c r="AU268" i="3"/>
  <c r="AT268" i="3"/>
  <c r="AS268" i="3"/>
  <c r="AR268" i="3"/>
  <c r="AQ268" i="3"/>
  <c r="AP268" i="3"/>
  <c r="AO268" i="3"/>
  <c r="AN268" i="3"/>
  <c r="AM268" i="3"/>
  <c r="E268" i="3"/>
  <c r="E671" i="3" s="1"/>
  <c r="D268" i="3"/>
  <c r="D671" i="3" s="1"/>
  <c r="C268" i="3"/>
  <c r="C671" i="3" s="1"/>
  <c r="B268" i="3"/>
  <c r="B671" i="3" s="1"/>
  <c r="A268" i="3"/>
  <c r="A671" i="3" s="1"/>
  <c r="BS267" i="3"/>
  <c r="BR267" i="3"/>
  <c r="BQ267" i="3"/>
  <c r="BP267" i="3"/>
  <c r="BO267" i="3"/>
  <c r="BN267" i="3"/>
  <c r="BM267" i="3"/>
  <c r="BL267" i="3"/>
  <c r="BK267" i="3"/>
  <c r="BJ267" i="3"/>
  <c r="BI267" i="3"/>
  <c r="BH267" i="3"/>
  <c r="BG267" i="3"/>
  <c r="BF267" i="3"/>
  <c r="BE267" i="3"/>
  <c r="BD267" i="3"/>
  <c r="BC267" i="3"/>
  <c r="BB267" i="3"/>
  <c r="BA267" i="3"/>
  <c r="AZ267" i="3"/>
  <c r="AY267" i="3"/>
  <c r="AX267" i="3"/>
  <c r="AW267" i="3"/>
  <c r="AV267" i="3"/>
  <c r="AU267" i="3"/>
  <c r="AT267" i="3"/>
  <c r="AS267" i="3"/>
  <c r="AR267" i="3"/>
  <c r="AQ267" i="3"/>
  <c r="AP267" i="3"/>
  <c r="AO267" i="3"/>
  <c r="AN267" i="3"/>
  <c r="AM267" i="3"/>
  <c r="E267" i="3"/>
  <c r="E670" i="3" s="1"/>
  <c r="D267" i="3"/>
  <c r="D670" i="3" s="1"/>
  <c r="C267" i="3"/>
  <c r="C670" i="3" s="1"/>
  <c r="B267" i="3"/>
  <c r="B670" i="3" s="1"/>
  <c r="A267" i="3"/>
  <c r="A670" i="3" s="1"/>
  <c r="BS266" i="3"/>
  <c r="BR266" i="3"/>
  <c r="BQ266" i="3"/>
  <c r="BP266" i="3"/>
  <c r="BO266" i="3"/>
  <c r="BN266" i="3"/>
  <c r="BM266" i="3"/>
  <c r="BL266" i="3"/>
  <c r="BK266" i="3"/>
  <c r="BJ266" i="3"/>
  <c r="BI266" i="3"/>
  <c r="BH266" i="3"/>
  <c r="BG266" i="3"/>
  <c r="BF266" i="3"/>
  <c r="BE266" i="3"/>
  <c r="BD266" i="3"/>
  <c r="BC266" i="3"/>
  <c r="BB266" i="3"/>
  <c r="BA266" i="3"/>
  <c r="AZ266" i="3"/>
  <c r="AY266" i="3"/>
  <c r="AX266" i="3"/>
  <c r="AW266" i="3"/>
  <c r="AV266" i="3"/>
  <c r="AU266" i="3"/>
  <c r="AT266" i="3"/>
  <c r="AS266" i="3"/>
  <c r="AR266" i="3"/>
  <c r="AQ266" i="3"/>
  <c r="AP266" i="3"/>
  <c r="AO266" i="3"/>
  <c r="AN266" i="3"/>
  <c r="AM266" i="3"/>
  <c r="E266" i="3"/>
  <c r="E669" i="3" s="1"/>
  <c r="D266" i="3"/>
  <c r="C266" i="3"/>
  <c r="B266" i="3"/>
  <c r="A266" i="3"/>
  <c r="A669" i="3" s="1"/>
  <c r="BS265" i="3"/>
  <c r="BR265" i="3"/>
  <c r="BQ265" i="3"/>
  <c r="BP265" i="3"/>
  <c r="BO265" i="3"/>
  <c r="BN265" i="3"/>
  <c r="BM265" i="3"/>
  <c r="BL265" i="3"/>
  <c r="BK265" i="3"/>
  <c r="BJ265" i="3"/>
  <c r="BI265" i="3"/>
  <c r="BH265" i="3"/>
  <c r="BG265" i="3"/>
  <c r="BF265" i="3"/>
  <c r="BE265" i="3"/>
  <c r="BD265" i="3"/>
  <c r="BC265" i="3"/>
  <c r="BB265" i="3"/>
  <c r="BA265" i="3"/>
  <c r="AZ265" i="3"/>
  <c r="AY265" i="3"/>
  <c r="AX265" i="3"/>
  <c r="AW265" i="3"/>
  <c r="AV265" i="3"/>
  <c r="AU265" i="3"/>
  <c r="AT265" i="3"/>
  <c r="AS265" i="3"/>
  <c r="AR265" i="3"/>
  <c r="AQ265" i="3"/>
  <c r="AP265" i="3"/>
  <c r="AO265" i="3"/>
  <c r="AN265" i="3"/>
  <c r="AM265" i="3"/>
  <c r="E265" i="3"/>
  <c r="B265" i="3"/>
  <c r="B265" i="2" s="1"/>
  <c r="A265" i="3"/>
  <c r="BS264" i="3"/>
  <c r="BR264" i="3"/>
  <c r="BQ264" i="3"/>
  <c r="BP264" i="3"/>
  <c r="BO264" i="3"/>
  <c r="BN264" i="3"/>
  <c r="BM264" i="3"/>
  <c r="BL264" i="3"/>
  <c r="BK264" i="3"/>
  <c r="BJ264" i="3"/>
  <c r="BI264" i="3"/>
  <c r="BH264" i="3"/>
  <c r="BG264" i="3"/>
  <c r="BF264" i="3"/>
  <c r="BE264" i="3"/>
  <c r="BD264" i="3"/>
  <c r="BC264" i="3"/>
  <c r="BB264" i="3"/>
  <c r="BA264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M264" i="3"/>
  <c r="E264" i="3"/>
  <c r="B264" i="3"/>
  <c r="A264" i="3"/>
  <c r="BS263" i="3"/>
  <c r="BR263" i="3"/>
  <c r="BQ263" i="3"/>
  <c r="BP263" i="3"/>
  <c r="BO263" i="3"/>
  <c r="BN263" i="3"/>
  <c r="BM263" i="3"/>
  <c r="BL263" i="3"/>
  <c r="BK263" i="3"/>
  <c r="BJ263" i="3"/>
  <c r="BI263" i="3"/>
  <c r="BH263" i="3"/>
  <c r="BG263" i="3"/>
  <c r="BF263" i="3"/>
  <c r="BE263" i="3"/>
  <c r="BD263" i="3"/>
  <c r="BC263" i="3"/>
  <c r="BB263" i="3"/>
  <c r="BA263" i="3"/>
  <c r="AZ263" i="3"/>
  <c r="AY263" i="3"/>
  <c r="AX263" i="3"/>
  <c r="AW263" i="3"/>
  <c r="AV263" i="3"/>
  <c r="AU263" i="3"/>
  <c r="AT263" i="3"/>
  <c r="AS263" i="3"/>
  <c r="AR263" i="3"/>
  <c r="AQ263" i="3"/>
  <c r="AP263" i="3"/>
  <c r="AO263" i="3"/>
  <c r="AN263" i="3"/>
  <c r="AM263" i="3"/>
  <c r="E263" i="3"/>
  <c r="E668" i="3" s="1"/>
  <c r="D263" i="3"/>
  <c r="D668" i="3" s="1"/>
  <c r="C263" i="3"/>
  <c r="C668" i="3" s="1"/>
  <c r="B263" i="3"/>
  <c r="B668" i="3" s="1"/>
  <c r="A263" i="3"/>
  <c r="A668" i="3" s="1"/>
  <c r="BS262" i="3"/>
  <c r="BR262" i="3"/>
  <c r="BQ262" i="3"/>
  <c r="BP262" i="3"/>
  <c r="BO262" i="3"/>
  <c r="BN262" i="3"/>
  <c r="BM262" i="3"/>
  <c r="BL262" i="3"/>
  <c r="BK262" i="3"/>
  <c r="BJ262" i="3"/>
  <c r="BI262" i="3"/>
  <c r="BH262" i="3"/>
  <c r="BG262" i="3"/>
  <c r="BF262" i="3"/>
  <c r="BE262" i="3"/>
  <c r="BD262" i="3"/>
  <c r="BC262" i="3"/>
  <c r="BB262" i="3"/>
  <c r="BA262" i="3"/>
  <c r="AZ262" i="3"/>
  <c r="AY262" i="3"/>
  <c r="AX262" i="3"/>
  <c r="AW262" i="3"/>
  <c r="AV262" i="3"/>
  <c r="AU262" i="3"/>
  <c r="AT262" i="3"/>
  <c r="AS262" i="3"/>
  <c r="AR262" i="3"/>
  <c r="AQ262" i="3"/>
  <c r="AP262" i="3"/>
  <c r="AO262" i="3"/>
  <c r="AN262" i="3"/>
  <c r="AM262" i="3"/>
  <c r="E262" i="3"/>
  <c r="E667" i="3" s="1"/>
  <c r="D262" i="3"/>
  <c r="D667" i="3" s="1"/>
  <c r="C262" i="3"/>
  <c r="C667" i="3" s="1"/>
  <c r="B262" i="3"/>
  <c r="B667" i="3" s="1"/>
  <c r="A262" i="3"/>
  <c r="A667" i="3" s="1"/>
  <c r="BS261" i="3"/>
  <c r="BR261" i="3"/>
  <c r="BQ261" i="3"/>
  <c r="BP261" i="3"/>
  <c r="BO261" i="3"/>
  <c r="BN261" i="3"/>
  <c r="BM261" i="3"/>
  <c r="BL261" i="3"/>
  <c r="BK261" i="3"/>
  <c r="BJ261" i="3"/>
  <c r="BI261" i="3"/>
  <c r="BH261" i="3"/>
  <c r="BG261" i="3"/>
  <c r="BF261" i="3"/>
  <c r="BE261" i="3"/>
  <c r="BD261" i="3"/>
  <c r="BC261" i="3"/>
  <c r="BB261" i="3"/>
  <c r="BA261" i="3"/>
  <c r="AZ261" i="3"/>
  <c r="AY261" i="3"/>
  <c r="AX261" i="3"/>
  <c r="AW261" i="3"/>
  <c r="AV261" i="3"/>
  <c r="AU261" i="3"/>
  <c r="AT261" i="3"/>
  <c r="AS261" i="3"/>
  <c r="AR261" i="3"/>
  <c r="AQ261" i="3"/>
  <c r="AP261" i="3"/>
  <c r="AO261" i="3"/>
  <c r="AN261" i="3"/>
  <c r="AM261" i="3"/>
  <c r="E261" i="3"/>
  <c r="D261" i="3"/>
  <c r="D666" i="3" s="1"/>
  <c r="C261" i="3"/>
  <c r="B261" i="3"/>
  <c r="B666" i="3" s="1"/>
  <c r="A261" i="3"/>
  <c r="A666" i="3" s="1"/>
  <c r="BS260" i="3"/>
  <c r="BR260" i="3"/>
  <c r="BQ260" i="3"/>
  <c r="BP260" i="3"/>
  <c r="BO260" i="3"/>
  <c r="BN260" i="3"/>
  <c r="BM260" i="3"/>
  <c r="BL260" i="3"/>
  <c r="BK260" i="3"/>
  <c r="BJ260" i="3"/>
  <c r="BI260" i="3"/>
  <c r="BH260" i="3"/>
  <c r="BG260" i="3"/>
  <c r="BF260" i="3"/>
  <c r="BE260" i="3"/>
  <c r="BD260" i="3"/>
  <c r="BC260" i="3"/>
  <c r="BB260" i="3"/>
  <c r="BA260" i="3"/>
  <c r="AZ260" i="3"/>
  <c r="AY260" i="3"/>
  <c r="AX260" i="3"/>
  <c r="AW260" i="3"/>
  <c r="AV260" i="3"/>
  <c r="AU260" i="3"/>
  <c r="AT260" i="3"/>
  <c r="AS260" i="3"/>
  <c r="AR260" i="3"/>
  <c r="AQ260" i="3"/>
  <c r="AP260" i="3"/>
  <c r="AO260" i="3"/>
  <c r="AN260" i="3"/>
  <c r="AM260" i="3"/>
  <c r="E260" i="3"/>
  <c r="E665" i="3" s="1"/>
  <c r="D260" i="3"/>
  <c r="D665" i="3" s="1"/>
  <c r="C260" i="3"/>
  <c r="C665" i="3" s="1"/>
  <c r="B260" i="3"/>
  <c r="B665" i="3" s="1"/>
  <c r="A260" i="3"/>
  <c r="A665" i="3" s="1"/>
  <c r="BS259" i="3"/>
  <c r="BR259" i="3"/>
  <c r="BQ259" i="3"/>
  <c r="BP259" i="3"/>
  <c r="BO259" i="3"/>
  <c r="BN259" i="3"/>
  <c r="BM259" i="3"/>
  <c r="BL259" i="3"/>
  <c r="BK259" i="3"/>
  <c r="BJ259" i="3"/>
  <c r="BI259" i="3"/>
  <c r="BH259" i="3"/>
  <c r="BG259" i="3"/>
  <c r="BF259" i="3"/>
  <c r="BE259" i="3"/>
  <c r="BD259" i="3"/>
  <c r="BC259" i="3"/>
  <c r="BB259" i="3"/>
  <c r="BA259" i="3"/>
  <c r="AZ259" i="3"/>
  <c r="AY259" i="3"/>
  <c r="AX259" i="3"/>
  <c r="AW259" i="3"/>
  <c r="AV259" i="3"/>
  <c r="AU259" i="3"/>
  <c r="AT259" i="3"/>
  <c r="AS259" i="3"/>
  <c r="AR259" i="3"/>
  <c r="AQ259" i="3"/>
  <c r="AP259" i="3"/>
  <c r="AO259" i="3"/>
  <c r="AN259" i="3"/>
  <c r="AM259" i="3"/>
  <c r="E259" i="3"/>
  <c r="E664" i="3" s="1"/>
  <c r="D259" i="3"/>
  <c r="D664" i="3" s="1"/>
  <c r="C259" i="3"/>
  <c r="B259" i="3"/>
  <c r="A259" i="3"/>
  <c r="BS258" i="3"/>
  <c r="BR258" i="3"/>
  <c r="BQ258" i="3"/>
  <c r="BP258" i="3"/>
  <c r="BO258" i="3"/>
  <c r="BN258" i="3"/>
  <c r="BM258" i="3"/>
  <c r="BL258" i="3"/>
  <c r="BK258" i="3"/>
  <c r="BJ258" i="3"/>
  <c r="BI258" i="3"/>
  <c r="BH258" i="3"/>
  <c r="BG258" i="3"/>
  <c r="BF258" i="3"/>
  <c r="BE258" i="3"/>
  <c r="BD258" i="3"/>
  <c r="BC258" i="3"/>
  <c r="BB258" i="3"/>
  <c r="BA258" i="3"/>
  <c r="AZ258" i="3"/>
  <c r="AY258" i="3"/>
  <c r="AX258" i="3"/>
  <c r="AW258" i="3"/>
  <c r="AV258" i="3"/>
  <c r="AU258" i="3"/>
  <c r="AT258" i="3"/>
  <c r="AS258" i="3"/>
  <c r="AR258" i="3"/>
  <c r="AQ258" i="3"/>
  <c r="AP258" i="3"/>
  <c r="AO258" i="3"/>
  <c r="AN258" i="3"/>
  <c r="AM258" i="3"/>
  <c r="E258" i="3"/>
  <c r="E663" i="3" s="1"/>
  <c r="D258" i="3"/>
  <c r="D663" i="3" s="1"/>
  <c r="C258" i="3"/>
  <c r="C663" i="3" s="1"/>
  <c r="B258" i="3"/>
  <c r="B663" i="3" s="1"/>
  <c r="A258" i="3"/>
  <c r="A663" i="3" s="1"/>
  <c r="BS257" i="3"/>
  <c r="BR257" i="3"/>
  <c r="BQ257" i="3"/>
  <c r="BP257" i="3"/>
  <c r="BO257" i="3"/>
  <c r="BN257" i="3"/>
  <c r="BM257" i="3"/>
  <c r="BL257" i="3"/>
  <c r="BK257" i="3"/>
  <c r="BJ257" i="3"/>
  <c r="BI257" i="3"/>
  <c r="BH257" i="3"/>
  <c r="BG257" i="3"/>
  <c r="BF257" i="3"/>
  <c r="BE257" i="3"/>
  <c r="BD257" i="3"/>
  <c r="BC257" i="3"/>
  <c r="BB257" i="3"/>
  <c r="BA257" i="3"/>
  <c r="AZ257" i="3"/>
  <c r="AY257" i="3"/>
  <c r="AX257" i="3"/>
  <c r="AW257" i="3"/>
  <c r="AV257" i="3"/>
  <c r="AU257" i="3"/>
  <c r="AT257" i="3"/>
  <c r="AS257" i="3"/>
  <c r="AR257" i="3"/>
  <c r="AQ257" i="3"/>
  <c r="AP257" i="3"/>
  <c r="AO257" i="3"/>
  <c r="AN257" i="3"/>
  <c r="AM257" i="3"/>
  <c r="E257" i="3"/>
  <c r="D257" i="3"/>
  <c r="C257" i="3"/>
  <c r="C662" i="3" s="1"/>
  <c r="B257" i="3"/>
  <c r="B662" i="3" s="1"/>
  <c r="A257" i="3"/>
  <c r="A662" i="3" s="1"/>
  <c r="BS256" i="3"/>
  <c r="BR256" i="3"/>
  <c r="BQ256" i="3"/>
  <c r="BP256" i="3"/>
  <c r="BO256" i="3"/>
  <c r="BN256" i="3"/>
  <c r="BM256" i="3"/>
  <c r="BL256" i="3"/>
  <c r="BK256" i="3"/>
  <c r="BJ256" i="3"/>
  <c r="BI256" i="3"/>
  <c r="BH256" i="3"/>
  <c r="BG256" i="3"/>
  <c r="BF256" i="3"/>
  <c r="BE256" i="3"/>
  <c r="BD256" i="3"/>
  <c r="BC256" i="3"/>
  <c r="BB256" i="3"/>
  <c r="BA256" i="3"/>
  <c r="AZ256" i="3"/>
  <c r="AY256" i="3"/>
  <c r="AX256" i="3"/>
  <c r="AW256" i="3"/>
  <c r="AV256" i="3"/>
  <c r="AU256" i="3"/>
  <c r="AT256" i="3"/>
  <c r="AS256" i="3"/>
  <c r="AR256" i="3"/>
  <c r="AQ256" i="3"/>
  <c r="AP256" i="3"/>
  <c r="AO256" i="3"/>
  <c r="AN256" i="3"/>
  <c r="AM256" i="3"/>
  <c r="E256" i="3"/>
  <c r="E661" i="3" s="1"/>
  <c r="D256" i="3"/>
  <c r="D661" i="3" s="1"/>
  <c r="C256" i="3"/>
  <c r="C661" i="3" s="1"/>
  <c r="B256" i="3"/>
  <c r="B661" i="3" s="1"/>
  <c r="A256" i="3"/>
  <c r="A661" i="3" s="1"/>
  <c r="BS255" i="3"/>
  <c r="BR255" i="3"/>
  <c r="BQ255" i="3"/>
  <c r="BP255" i="3"/>
  <c r="BO255" i="3"/>
  <c r="BN255" i="3"/>
  <c r="BM255" i="3"/>
  <c r="BL255" i="3"/>
  <c r="BK255" i="3"/>
  <c r="BJ255" i="3"/>
  <c r="BI255" i="3"/>
  <c r="BH255" i="3"/>
  <c r="BG255" i="3"/>
  <c r="BF255" i="3"/>
  <c r="BE255" i="3"/>
  <c r="BD255" i="3"/>
  <c r="BC255" i="3"/>
  <c r="BB255" i="3"/>
  <c r="BA255" i="3"/>
  <c r="AZ255" i="3"/>
  <c r="AY255" i="3"/>
  <c r="AX255" i="3"/>
  <c r="AW255" i="3"/>
  <c r="AV255" i="3"/>
  <c r="AU255" i="3"/>
  <c r="AT255" i="3"/>
  <c r="AS255" i="3"/>
  <c r="AR255" i="3"/>
  <c r="AQ255" i="3"/>
  <c r="AP255" i="3"/>
  <c r="AO255" i="3"/>
  <c r="AN255" i="3"/>
  <c r="AM255" i="3"/>
  <c r="E255" i="3"/>
  <c r="E660" i="3" s="1"/>
  <c r="D255" i="3"/>
  <c r="D660" i="3" s="1"/>
  <c r="C255" i="3"/>
  <c r="C660" i="3" s="1"/>
  <c r="B255" i="3"/>
  <c r="B660" i="3" s="1"/>
  <c r="A255" i="3"/>
  <c r="A660" i="3" s="1"/>
  <c r="BS254" i="3"/>
  <c r="BR254" i="3"/>
  <c r="BQ254" i="3"/>
  <c r="BP254" i="3"/>
  <c r="BO254" i="3"/>
  <c r="BN254" i="3"/>
  <c r="BM254" i="3"/>
  <c r="BL254" i="3"/>
  <c r="BK254" i="3"/>
  <c r="BJ254" i="3"/>
  <c r="BI254" i="3"/>
  <c r="BH254" i="3"/>
  <c r="BG254" i="3"/>
  <c r="BF254" i="3"/>
  <c r="BE254" i="3"/>
  <c r="BD254" i="3"/>
  <c r="BC254" i="3"/>
  <c r="BB254" i="3"/>
  <c r="BA254" i="3"/>
  <c r="AZ254" i="3"/>
  <c r="AY254" i="3"/>
  <c r="AX254" i="3"/>
  <c r="AW254" i="3"/>
  <c r="AV254" i="3"/>
  <c r="AU254" i="3"/>
  <c r="AT254" i="3"/>
  <c r="AS254" i="3"/>
  <c r="AR254" i="3"/>
  <c r="AQ254" i="3"/>
  <c r="AP254" i="3"/>
  <c r="AO254" i="3"/>
  <c r="AN254" i="3"/>
  <c r="AM254" i="3"/>
  <c r="E254" i="3"/>
  <c r="E659" i="3" s="1"/>
  <c r="D254" i="3"/>
  <c r="D659" i="3" s="1"/>
  <c r="C254" i="3"/>
  <c r="C659" i="3" s="1"/>
  <c r="B254" i="3"/>
  <c r="B659" i="3" s="1"/>
  <c r="A254" i="3"/>
  <c r="A659" i="3" s="1"/>
  <c r="BS253" i="3"/>
  <c r="BR253" i="3"/>
  <c r="BQ253" i="3"/>
  <c r="BP253" i="3"/>
  <c r="BO253" i="3"/>
  <c r="BN253" i="3"/>
  <c r="BM253" i="3"/>
  <c r="BL253" i="3"/>
  <c r="BK253" i="3"/>
  <c r="BJ253" i="3"/>
  <c r="BI253" i="3"/>
  <c r="BH253" i="3"/>
  <c r="BG253" i="3"/>
  <c r="BF253" i="3"/>
  <c r="BE253" i="3"/>
  <c r="BD253" i="3"/>
  <c r="BC253" i="3"/>
  <c r="BB253" i="3"/>
  <c r="BA253" i="3"/>
  <c r="AZ253" i="3"/>
  <c r="AY253" i="3"/>
  <c r="AX253" i="3"/>
  <c r="AW253" i="3"/>
  <c r="AV253" i="3"/>
  <c r="AU253" i="3"/>
  <c r="AT253" i="3"/>
  <c r="AS253" i="3"/>
  <c r="AR253" i="3"/>
  <c r="AQ253" i="3"/>
  <c r="AP253" i="3"/>
  <c r="AO253" i="3"/>
  <c r="AN253" i="3"/>
  <c r="AM253" i="3"/>
  <c r="E253" i="3"/>
  <c r="D253" i="3"/>
  <c r="D658" i="3" s="1"/>
  <c r="C253" i="3"/>
  <c r="C658" i="3" s="1"/>
  <c r="B253" i="3"/>
  <c r="B658" i="3" s="1"/>
  <c r="A253" i="3"/>
  <c r="A658" i="3" s="1"/>
  <c r="BS252" i="3"/>
  <c r="BR252" i="3"/>
  <c r="BQ252" i="3"/>
  <c r="BP252" i="3"/>
  <c r="BO252" i="3"/>
  <c r="BN252" i="3"/>
  <c r="BM252" i="3"/>
  <c r="BL252" i="3"/>
  <c r="BK252" i="3"/>
  <c r="BJ252" i="3"/>
  <c r="BI252" i="3"/>
  <c r="BH252" i="3"/>
  <c r="BG252" i="3"/>
  <c r="BF252" i="3"/>
  <c r="BE252" i="3"/>
  <c r="BD252" i="3"/>
  <c r="BC252" i="3"/>
  <c r="BB252" i="3"/>
  <c r="BA252" i="3"/>
  <c r="AZ252" i="3"/>
  <c r="AY252" i="3"/>
  <c r="AX252" i="3"/>
  <c r="AW252" i="3"/>
  <c r="AV252" i="3"/>
  <c r="AU252" i="3"/>
  <c r="AT252" i="3"/>
  <c r="AS252" i="3"/>
  <c r="AR252" i="3"/>
  <c r="AQ252" i="3"/>
  <c r="AP252" i="3"/>
  <c r="AO252" i="3"/>
  <c r="AN252" i="3"/>
  <c r="AM252" i="3"/>
  <c r="E252" i="3"/>
  <c r="E657" i="3" s="1"/>
  <c r="D252" i="3"/>
  <c r="C252" i="3"/>
  <c r="B252" i="3"/>
  <c r="A252" i="3"/>
  <c r="A657" i="3" s="1"/>
  <c r="BS251" i="3"/>
  <c r="BR251" i="3"/>
  <c r="BQ251" i="3"/>
  <c r="BP251" i="3"/>
  <c r="BO251" i="3"/>
  <c r="BN251" i="3"/>
  <c r="BM251" i="3"/>
  <c r="BL251" i="3"/>
  <c r="BK251" i="3"/>
  <c r="BJ251" i="3"/>
  <c r="BI251" i="3"/>
  <c r="BH251" i="3"/>
  <c r="BG251" i="3"/>
  <c r="BF251" i="3"/>
  <c r="BE251" i="3"/>
  <c r="BD251" i="3"/>
  <c r="BC251" i="3"/>
  <c r="BB251" i="3"/>
  <c r="BA251" i="3"/>
  <c r="AZ251" i="3"/>
  <c r="AY251" i="3"/>
  <c r="AX251" i="3"/>
  <c r="AW251" i="3"/>
  <c r="AV251" i="3"/>
  <c r="AU251" i="3"/>
  <c r="AT251" i="3"/>
  <c r="AS251" i="3"/>
  <c r="AR251" i="3"/>
  <c r="AQ251" i="3"/>
  <c r="AP251" i="3"/>
  <c r="AO251" i="3"/>
  <c r="AN251" i="3"/>
  <c r="AM251" i="3"/>
  <c r="E251" i="3"/>
  <c r="E656" i="3" s="1"/>
  <c r="D251" i="3"/>
  <c r="D656" i="3" s="1"/>
  <c r="C251" i="3"/>
  <c r="C656" i="3" s="1"/>
  <c r="B251" i="3"/>
  <c r="B656" i="3" s="1"/>
  <c r="A251" i="3"/>
  <c r="BS250" i="3"/>
  <c r="BR250" i="3"/>
  <c r="BQ250" i="3"/>
  <c r="BP250" i="3"/>
  <c r="BO250" i="3"/>
  <c r="BN250" i="3"/>
  <c r="BM250" i="3"/>
  <c r="BL250" i="3"/>
  <c r="BK250" i="3"/>
  <c r="BJ250" i="3"/>
  <c r="BI250" i="3"/>
  <c r="BH250" i="3"/>
  <c r="BG250" i="3"/>
  <c r="BF250" i="3"/>
  <c r="BE250" i="3"/>
  <c r="BD250" i="3"/>
  <c r="BC250" i="3"/>
  <c r="BB250" i="3"/>
  <c r="BA250" i="3"/>
  <c r="AZ250" i="3"/>
  <c r="AY250" i="3"/>
  <c r="AX250" i="3"/>
  <c r="AW250" i="3"/>
  <c r="AV250" i="3"/>
  <c r="AU250" i="3"/>
  <c r="AT250" i="3"/>
  <c r="AS250" i="3"/>
  <c r="AR250" i="3"/>
  <c r="AQ250" i="3"/>
  <c r="AP250" i="3"/>
  <c r="AO250" i="3"/>
  <c r="AN250" i="3"/>
  <c r="AM250" i="3"/>
  <c r="E250" i="3"/>
  <c r="D250" i="3"/>
  <c r="D655" i="3" s="1"/>
  <c r="C250" i="3"/>
  <c r="C655" i="3" s="1"/>
  <c r="B250" i="3"/>
  <c r="B655" i="3" s="1"/>
  <c r="A250" i="3"/>
  <c r="A655" i="3" s="1"/>
  <c r="BS249" i="3"/>
  <c r="BR249" i="3"/>
  <c r="BQ249" i="3"/>
  <c r="BP249" i="3"/>
  <c r="BO249" i="3"/>
  <c r="BN249" i="3"/>
  <c r="BM249" i="3"/>
  <c r="BL249" i="3"/>
  <c r="BK249" i="3"/>
  <c r="BJ249" i="3"/>
  <c r="BI249" i="3"/>
  <c r="BH249" i="3"/>
  <c r="BG249" i="3"/>
  <c r="BF249" i="3"/>
  <c r="BE249" i="3"/>
  <c r="BD249" i="3"/>
  <c r="BC249" i="3"/>
  <c r="BB249" i="3"/>
  <c r="BA249" i="3"/>
  <c r="AZ249" i="3"/>
  <c r="AY249" i="3"/>
  <c r="AX249" i="3"/>
  <c r="AW249" i="3"/>
  <c r="AV249" i="3"/>
  <c r="AU249" i="3"/>
  <c r="AT249" i="3"/>
  <c r="AS249" i="3"/>
  <c r="AR249" i="3"/>
  <c r="AQ249" i="3"/>
  <c r="AP249" i="3"/>
  <c r="AO249" i="3"/>
  <c r="AN249" i="3"/>
  <c r="AM249" i="3"/>
  <c r="E249" i="3"/>
  <c r="E654" i="3" s="1"/>
  <c r="D249" i="3"/>
  <c r="D654" i="3" s="1"/>
  <c r="C249" i="3"/>
  <c r="C654" i="3" s="1"/>
  <c r="B249" i="3"/>
  <c r="B654" i="3" s="1"/>
  <c r="A249" i="3"/>
  <c r="A654" i="3" s="1"/>
  <c r="BS248" i="3"/>
  <c r="BR248" i="3"/>
  <c r="BQ248" i="3"/>
  <c r="BP248" i="3"/>
  <c r="BO248" i="3"/>
  <c r="BN248" i="3"/>
  <c r="BM248" i="3"/>
  <c r="BL248" i="3"/>
  <c r="BK248" i="3"/>
  <c r="BJ248" i="3"/>
  <c r="BI248" i="3"/>
  <c r="BH248" i="3"/>
  <c r="BG248" i="3"/>
  <c r="BF248" i="3"/>
  <c r="BE248" i="3"/>
  <c r="BD248" i="3"/>
  <c r="BC248" i="3"/>
  <c r="BB248" i="3"/>
  <c r="BA248" i="3"/>
  <c r="AZ248" i="3"/>
  <c r="AY248" i="3"/>
  <c r="AX248" i="3"/>
  <c r="AW248" i="3"/>
  <c r="AV248" i="3"/>
  <c r="AU248" i="3"/>
  <c r="AT248" i="3"/>
  <c r="AS248" i="3"/>
  <c r="AR248" i="3"/>
  <c r="AQ248" i="3"/>
  <c r="AP248" i="3"/>
  <c r="AO248" i="3"/>
  <c r="AN248" i="3"/>
  <c r="AM248" i="3"/>
  <c r="E248" i="3"/>
  <c r="E653" i="3" s="1"/>
  <c r="D248" i="3"/>
  <c r="D653" i="3" s="1"/>
  <c r="C248" i="3"/>
  <c r="C653" i="3" s="1"/>
  <c r="B248" i="3"/>
  <c r="B653" i="3" s="1"/>
  <c r="A248" i="3"/>
  <c r="A653" i="3" s="1"/>
  <c r="BS247" i="3"/>
  <c r="BR247" i="3"/>
  <c r="BQ247" i="3"/>
  <c r="BP247" i="3"/>
  <c r="BO247" i="3"/>
  <c r="BN247" i="3"/>
  <c r="BM247" i="3"/>
  <c r="BL247" i="3"/>
  <c r="BK247" i="3"/>
  <c r="BJ247" i="3"/>
  <c r="BI247" i="3"/>
  <c r="BH247" i="3"/>
  <c r="BG247" i="3"/>
  <c r="BF247" i="3"/>
  <c r="BE247" i="3"/>
  <c r="BD247" i="3"/>
  <c r="BC247" i="3"/>
  <c r="BB247" i="3"/>
  <c r="BA247" i="3"/>
  <c r="AZ247" i="3"/>
  <c r="AY247" i="3"/>
  <c r="AX247" i="3"/>
  <c r="AW247" i="3"/>
  <c r="AV247" i="3"/>
  <c r="AU247" i="3"/>
  <c r="AT247" i="3"/>
  <c r="AS247" i="3"/>
  <c r="AR247" i="3"/>
  <c r="AQ247" i="3"/>
  <c r="AP247" i="3"/>
  <c r="AO247" i="3"/>
  <c r="AN247" i="3"/>
  <c r="AM247" i="3"/>
  <c r="E247" i="3"/>
  <c r="E652" i="3" s="1"/>
  <c r="D247" i="3"/>
  <c r="D652" i="3" s="1"/>
  <c r="C247" i="3"/>
  <c r="C652" i="3" s="1"/>
  <c r="B247" i="3"/>
  <c r="B652" i="3" s="1"/>
  <c r="A247" i="3"/>
  <c r="A652" i="3" s="1"/>
  <c r="BS246" i="3"/>
  <c r="BR246" i="3"/>
  <c r="BQ246" i="3"/>
  <c r="BP246" i="3"/>
  <c r="BO246" i="3"/>
  <c r="BN246" i="3"/>
  <c r="BM246" i="3"/>
  <c r="BL246" i="3"/>
  <c r="BK246" i="3"/>
  <c r="BJ246" i="3"/>
  <c r="BI246" i="3"/>
  <c r="BH246" i="3"/>
  <c r="BG246" i="3"/>
  <c r="BF246" i="3"/>
  <c r="BE246" i="3"/>
  <c r="BD246" i="3"/>
  <c r="BC246" i="3"/>
  <c r="BB246" i="3"/>
  <c r="BA246" i="3"/>
  <c r="AZ246" i="3"/>
  <c r="AY246" i="3"/>
  <c r="AX246" i="3"/>
  <c r="AW246" i="3"/>
  <c r="AV246" i="3"/>
  <c r="AU246" i="3"/>
  <c r="AT246" i="3"/>
  <c r="AS246" i="3"/>
  <c r="AR246" i="3"/>
  <c r="AQ246" i="3"/>
  <c r="AP246" i="3"/>
  <c r="AO246" i="3"/>
  <c r="AN246" i="3"/>
  <c r="AM246" i="3"/>
  <c r="E246" i="3"/>
  <c r="E651" i="3" s="1"/>
  <c r="D246" i="3"/>
  <c r="D651" i="3" s="1"/>
  <c r="C246" i="3"/>
  <c r="C651" i="3" s="1"/>
  <c r="B246" i="3"/>
  <c r="B651" i="3" s="1"/>
  <c r="A246" i="3"/>
  <c r="BS245" i="3"/>
  <c r="BR245" i="3"/>
  <c r="BQ245" i="3"/>
  <c r="BP245" i="3"/>
  <c r="BO245" i="3"/>
  <c r="BN245" i="3"/>
  <c r="BM245" i="3"/>
  <c r="BL245" i="3"/>
  <c r="BK245" i="3"/>
  <c r="BJ245" i="3"/>
  <c r="BI245" i="3"/>
  <c r="BH245" i="3"/>
  <c r="BG245" i="3"/>
  <c r="BF245" i="3"/>
  <c r="BE245" i="3"/>
  <c r="BD245" i="3"/>
  <c r="BC245" i="3"/>
  <c r="BB245" i="3"/>
  <c r="BA245" i="3"/>
  <c r="AZ245" i="3"/>
  <c r="AY245" i="3"/>
  <c r="AX245" i="3"/>
  <c r="AW245" i="3"/>
  <c r="AV245" i="3"/>
  <c r="AU245" i="3"/>
  <c r="AT245" i="3"/>
  <c r="AS245" i="3"/>
  <c r="AR245" i="3"/>
  <c r="AQ245" i="3"/>
  <c r="AP245" i="3"/>
  <c r="AO245" i="3"/>
  <c r="AN245" i="3"/>
  <c r="AM245" i="3"/>
  <c r="E245" i="3"/>
  <c r="E650" i="3" s="1"/>
  <c r="D245" i="3"/>
  <c r="D650" i="3" s="1"/>
  <c r="C245" i="3"/>
  <c r="C650" i="3" s="1"/>
  <c r="B245" i="3"/>
  <c r="B650" i="3" s="1"/>
  <c r="A245" i="3"/>
  <c r="A650" i="3" s="1"/>
  <c r="BS244" i="3"/>
  <c r="BR244" i="3"/>
  <c r="BQ244" i="3"/>
  <c r="BP244" i="3"/>
  <c r="BO244" i="3"/>
  <c r="BN244" i="3"/>
  <c r="BM244" i="3"/>
  <c r="BL244" i="3"/>
  <c r="BK244" i="3"/>
  <c r="BJ244" i="3"/>
  <c r="BI244" i="3"/>
  <c r="BH244" i="3"/>
  <c r="BG244" i="3"/>
  <c r="BF244" i="3"/>
  <c r="BE244" i="3"/>
  <c r="BD244" i="3"/>
  <c r="BC244" i="3"/>
  <c r="BB244" i="3"/>
  <c r="BA244" i="3"/>
  <c r="AZ244" i="3"/>
  <c r="AY244" i="3"/>
  <c r="AX244" i="3"/>
  <c r="AW244" i="3"/>
  <c r="AV244" i="3"/>
  <c r="AU244" i="3"/>
  <c r="AT244" i="3"/>
  <c r="AS244" i="3"/>
  <c r="AR244" i="3"/>
  <c r="AQ244" i="3"/>
  <c r="AP244" i="3"/>
  <c r="AO244" i="3"/>
  <c r="AN244" i="3"/>
  <c r="AM244" i="3"/>
  <c r="E244" i="3"/>
  <c r="E649" i="3" s="1"/>
  <c r="D244" i="3"/>
  <c r="D649" i="3" s="1"/>
  <c r="C244" i="3"/>
  <c r="C649" i="3" s="1"/>
  <c r="B244" i="3"/>
  <c r="B649" i="3" s="1"/>
  <c r="A244" i="3"/>
  <c r="BS243" i="3"/>
  <c r="BR243" i="3"/>
  <c r="BQ243" i="3"/>
  <c r="BP243" i="3"/>
  <c r="BO243" i="3"/>
  <c r="BN243" i="3"/>
  <c r="BM243" i="3"/>
  <c r="BL243" i="3"/>
  <c r="BK243" i="3"/>
  <c r="BJ243" i="3"/>
  <c r="BI243" i="3"/>
  <c r="BH243" i="3"/>
  <c r="BG243" i="3"/>
  <c r="BF243" i="3"/>
  <c r="BE243" i="3"/>
  <c r="BD243" i="3"/>
  <c r="BC243" i="3"/>
  <c r="BB243" i="3"/>
  <c r="BA243" i="3"/>
  <c r="AZ243" i="3"/>
  <c r="AY243" i="3"/>
  <c r="AX243" i="3"/>
  <c r="AW243" i="3"/>
  <c r="AV243" i="3"/>
  <c r="AU243" i="3"/>
  <c r="AT243" i="3"/>
  <c r="AS243" i="3"/>
  <c r="AR243" i="3"/>
  <c r="AQ243" i="3"/>
  <c r="AP243" i="3"/>
  <c r="AO243" i="3"/>
  <c r="AN243" i="3"/>
  <c r="AM243" i="3"/>
  <c r="E243" i="3"/>
  <c r="B243" i="3"/>
  <c r="A243" i="3"/>
  <c r="BS242" i="3"/>
  <c r="BR242" i="3"/>
  <c r="BQ242" i="3"/>
  <c r="BP242" i="3"/>
  <c r="BO242" i="3"/>
  <c r="BN242" i="3"/>
  <c r="BM242" i="3"/>
  <c r="BL242" i="3"/>
  <c r="BK242" i="3"/>
  <c r="BJ242" i="3"/>
  <c r="BI242" i="3"/>
  <c r="BH242" i="3"/>
  <c r="BG242" i="3"/>
  <c r="BF242" i="3"/>
  <c r="BE242" i="3"/>
  <c r="BD242" i="3"/>
  <c r="BC242" i="3"/>
  <c r="BB242" i="3"/>
  <c r="BA242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N242" i="3"/>
  <c r="AM242" i="3"/>
  <c r="E242" i="3"/>
  <c r="B242" i="3"/>
  <c r="A242" i="3"/>
  <c r="BS241" i="3"/>
  <c r="BR241" i="3"/>
  <c r="BQ241" i="3"/>
  <c r="BP241" i="3"/>
  <c r="BO241" i="3"/>
  <c r="BN241" i="3"/>
  <c r="BM241" i="3"/>
  <c r="BL241" i="3"/>
  <c r="BK241" i="3"/>
  <c r="BJ241" i="3"/>
  <c r="BI241" i="3"/>
  <c r="BH241" i="3"/>
  <c r="BG241" i="3"/>
  <c r="BF241" i="3"/>
  <c r="BE241" i="3"/>
  <c r="BD241" i="3"/>
  <c r="BC241" i="3"/>
  <c r="BB241" i="3"/>
  <c r="BA241" i="3"/>
  <c r="AZ241" i="3"/>
  <c r="AY241" i="3"/>
  <c r="AX241" i="3"/>
  <c r="AW241" i="3"/>
  <c r="AV241" i="3"/>
  <c r="AU241" i="3"/>
  <c r="AT241" i="3"/>
  <c r="AS241" i="3"/>
  <c r="AR241" i="3"/>
  <c r="AQ241" i="3"/>
  <c r="AP241" i="3"/>
  <c r="AO241" i="3"/>
  <c r="AN241" i="3"/>
  <c r="AM241" i="3"/>
  <c r="E241" i="3"/>
  <c r="E648" i="3" s="1"/>
  <c r="D241" i="3"/>
  <c r="D648" i="3" s="1"/>
  <c r="C241" i="3"/>
  <c r="C648" i="3" s="1"/>
  <c r="B241" i="3"/>
  <c r="B648" i="3" s="1"/>
  <c r="A241" i="3"/>
  <c r="A648" i="3" s="1"/>
  <c r="BS240" i="3"/>
  <c r="BR240" i="3"/>
  <c r="BQ240" i="3"/>
  <c r="BP240" i="3"/>
  <c r="BO240" i="3"/>
  <c r="BN240" i="3"/>
  <c r="BM240" i="3"/>
  <c r="BL240" i="3"/>
  <c r="BK240" i="3"/>
  <c r="BJ240" i="3"/>
  <c r="BI240" i="3"/>
  <c r="BH240" i="3"/>
  <c r="BG240" i="3"/>
  <c r="BF240" i="3"/>
  <c r="BE240" i="3"/>
  <c r="BD240" i="3"/>
  <c r="BC240" i="3"/>
  <c r="BB240" i="3"/>
  <c r="BA240" i="3"/>
  <c r="AZ240" i="3"/>
  <c r="AY240" i="3"/>
  <c r="AX240" i="3"/>
  <c r="AW240" i="3"/>
  <c r="AV240" i="3"/>
  <c r="AU240" i="3"/>
  <c r="AT240" i="3"/>
  <c r="AS240" i="3"/>
  <c r="AR240" i="3"/>
  <c r="AQ240" i="3"/>
  <c r="AP240" i="3"/>
  <c r="AO240" i="3"/>
  <c r="AN240" i="3"/>
  <c r="AM240" i="3"/>
  <c r="E240" i="3"/>
  <c r="D240" i="3"/>
  <c r="D647" i="3" s="1"/>
  <c r="C240" i="3"/>
  <c r="C647" i="3" s="1"/>
  <c r="B240" i="3"/>
  <c r="B647" i="3" s="1"/>
  <c r="A240" i="3"/>
  <c r="A647" i="3" s="1"/>
  <c r="BS239" i="3"/>
  <c r="BR239" i="3"/>
  <c r="BQ239" i="3"/>
  <c r="BP239" i="3"/>
  <c r="BO239" i="3"/>
  <c r="BN239" i="3"/>
  <c r="BM239" i="3"/>
  <c r="BL239" i="3"/>
  <c r="BK239" i="3"/>
  <c r="BJ239" i="3"/>
  <c r="BI239" i="3"/>
  <c r="BH239" i="3"/>
  <c r="BG239" i="3"/>
  <c r="BF239" i="3"/>
  <c r="BE239" i="3"/>
  <c r="BD239" i="3"/>
  <c r="BC239" i="3"/>
  <c r="BB239" i="3"/>
  <c r="BA239" i="3"/>
  <c r="AZ239" i="3"/>
  <c r="AY239" i="3"/>
  <c r="AX239" i="3"/>
  <c r="AW239" i="3"/>
  <c r="AV239" i="3"/>
  <c r="AU239" i="3"/>
  <c r="AT239" i="3"/>
  <c r="AS239" i="3"/>
  <c r="AR239" i="3"/>
  <c r="AQ239" i="3"/>
  <c r="AP239" i="3"/>
  <c r="AO239" i="3"/>
  <c r="AN239" i="3"/>
  <c r="AM239" i="3"/>
  <c r="E239" i="3"/>
  <c r="D239" i="3"/>
  <c r="D646" i="3" s="1"/>
  <c r="C239" i="3"/>
  <c r="C646" i="3" s="1"/>
  <c r="B239" i="3"/>
  <c r="A239" i="3"/>
  <c r="A646" i="3" s="1"/>
  <c r="BS238" i="3"/>
  <c r="BR238" i="3"/>
  <c r="BQ238" i="3"/>
  <c r="BP238" i="3"/>
  <c r="BO238" i="3"/>
  <c r="BN238" i="3"/>
  <c r="BM238" i="3"/>
  <c r="BL238" i="3"/>
  <c r="BK238" i="3"/>
  <c r="BJ238" i="3"/>
  <c r="BI238" i="3"/>
  <c r="BH238" i="3"/>
  <c r="BG238" i="3"/>
  <c r="BF238" i="3"/>
  <c r="BE238" i="3"/>
  <c r="BD238" i="3"/>
  <c r="BC238" i="3"/>
  <c r="BB238" i="3"/>
  <c r="BA238" i="3"/>
  <c r="AZ238" i="3"/>
  <c r="AY238" i="3"/>
  <c r="AX238" i="3"/>
  <c r="AW238" i="3"/>
  <c r="AV238" i="3"/>
  <c r="AU238" i="3"/>
  <c r="AT238" i="3"/>
  <c r="AS238" i="3"/>
  <c r="AR238" i="3"/>
  <c r="AQ238" i="3"/>
  <c r="AP238" i="3"/>
  <c r="AO238" i="3"/>
  <c r="AN238" i="3"/>
  <c r="AM238" i="3"/>
  <c r="E238" i="3"/>
  <c r="E645" i="3" s="1"/>
  <c r="D238" i="3"/>
  <c r="D645" i="3" s="1"/>
  <c r="C238" i="3"/>
  <c r="C645" i="3" s="1"/>
  <c r="B238" i="3"/>
  <c r="B645" i="3" s="1"/>
  <c r="A238" i="3"/>
  <c r="BS237" i="3"/>
  <c r="BR237" i="3"/>
  <c r="BQ237" i="3"/>
  <c r="BP237" i="3"/>
  <c r="BO237" i="3"/>
  <c r="BN237" i="3"/>
  <c r="BM237" i="3"/>
  <c r="BL237" i="3"/>
  <c r="BK237" i="3"/>
  <c r="BJ237" i="3"/>
  <c r="BI237" i="3"/>
  <c r="BH237" i="3"/>
  <c r="BG237" i="3"/>
  <c r="BF237" i="3"/>
  <c r="BE237" i="3"/>
  <c r="BD237" i="3"/>
  <c r="BC237" i="3"/>
  <c r="BB237" i="3"/>
  <c r="BA237" i="3"/>
  <c r="AZ237" i="3"/>
  <c r="AY237" i="3"/>
  <c r="AX237" i="3"/>
  <c r="AW237" i="3"/>
  <c r="AV237" i="3"/>
  <c r="AU237" i="3"/>
  <c r="AT237" i="3"/>
  <c r="AS237" i="3"/>
  <c r="AR237" i="3"/>
  <c r="AQ237" i="3"/>
  <c r="AP237" i="3"/>
  <c r="AO237" i="3"/>
  <c r="AN237" i="3"/>
  <c r="AM237" i="3"/>
  <c r="E237" i="3"/>
  <c r="E644" i="3" s="1"/>
  <c r="D237" i="3"/>
  <c r="D644" i="3" s="1"/>
  <c r="C237" i="3"/>
  <c r="C644" i="3" s="1"/>
  <c r="B237" i="3"/>
  <c r="B644" i="3" s="1"/>
  <c r="A237" i="3"/>
  <c r="A644" i="3" s="1"/>
  <c r="BS236" i="3"/>
  <c r="BR236" i="3"/>
  <c r="BQ236" i="3"/>
  <c r="BP236" i="3"/>
  <c r="BO236" i="3"/>
  <c r="BN236" i="3"/>
  <c r="BM236" i="3"/>
  <c r="BL236" i="3"/>
  <c r="BK236" i="3"/>
  <c r="BJ236" i="3"/>
  <c r="BI236" i="3"/>
  <c r="BH236" i="3"/>
  <c r="BG236" i="3"/>
  <c r="BF236" i="3"/>
  <c r="BE236" i="3"/>
  <c r="BD236" i="3"/>
  <c r="BC236" i="3"/>
  <c r="BB236" i="3"/>
  <c r="BA236" i="3"/>
  <c r="AZ236" i="3"/>
  <c r="AY236" i="3"/>
  <c r="AX236" i="3"/>
  <c r="AW236" i="3"/>
  <c r="AV236" i="3"/>
  <c r="AU236" i="3"/>
  <c r="AT236" i="3"/>
  <c r="AS236" i="3"/>
  <c r="AR236" i="3"/>
  <c r="AQ236" i="3"/>
  <c r="AP236" i="3"/>
  <c r="AO236" i="3"/>
  <c r="AN236" i="3"/>
  <c r="AM236" i="3"/>
  <c r="E236" i="3"/>
  <c r="E643" i="3" s="1"/>
  <c r="D236" i="3"/>
  <c r="C236" i="3"/>
  <c r="B236" i="3"/>
  <c r="B643" i="3" s="1"/>
  <c r="A236" i="3"/>
  <c r="A643" i="3" s="1"/>
  <c r="BS235" i="3"/>
  <c r="BR235" i="3"/>
  <c r="BQ235" i="3"/>
  <c r="BP235" i="3"/>
  <c r="BO235" i="3"/>
  <c r="BN235" i="3"/>
  <c r="BM235" i="3"/>
  <c r="BL235" i="3"/>
  <c r="BK235" i="3"/>
  <c r="BJ235" i="3"/>
  <c r="BI235" i="3"/>
  <c r="BH235" i="3"/>
  <c r="BG235" i="3"/>
  <c r="BF235" i="3"/>
  <c r="BE235" i="3"/>
  <c r="BD235" i="3"/>
  <c r="BC235" i="3"/>
  <c r="BB235" i="3"/>
  <c r="BA235" i="3"/>
  <c r="AZ235" i="3"/>
  <c r="AY235" i="3"/>
  <c r="AX235" i="3"/>
  <c r="AW235" i="3"/>
  <c r="AV235" i="3"/>
  <c r="AU235" i="3"/>
  <c r="AT235" i="3"/>
  <c r="AS235" i="3"/>
  <c r="AR235" i="3"/>
  <c r="AQ235" i="3"/>
  <c r="AP235" i="3"/>
  <c r="AO235" i="3"/>
  <c r="AN235" i="3"/>
  <c r="AM235" i="3"/>
  <c r="E235" i="3"/>
  <c r="E642" i="3" s="1"/>
  <c r="D235" i="3"/>
  <c r="D642" i="3" s="1"/>
  <c r="C235" i="3"/>
  <c r="C642" i="3" s="1"/>
  <c r="B235" i="3"/>
  <c r="B642" i="3" s="1"/>
  <c r="A235" i="3"/>
  <c r="A642" i="3" s="1"/>
  <c r="BS234" i="3"/>
  <c r="BR234" i="3"/>
  <c r="BQ234" i="3"/>
  <c r="BP234" i="3"/>
  <c r="BO234" i="3"/>
  <c r="BN234" i="3"/>
  <c r="BM234" i="3"/>
  <c r="BL234" i="3"/>
  <c r="BK234" i="3"/>
  <c r="BJ234" i="3"/>
  <c r="BI234" i="3"/>
  <c r="BH234" i="3"/>
  <c r="BG234" i="3"/>
  <c r="BF234" i="3"/>
  <c r="BE234" i="3"/>
  <c r="BD234" i="3"/>
  <c r="BC234" i="3"/>
  <c r="BB234" i="3"/>
  <c r="BA234" i="3"/>
  <c r="AZ234" i="3"/>
  <c r="AY234" i="3"/>
  <c r="AX234" i="3"/>
  <c r="AW234" i="3"/>
  <c r="AV234" i="3"/>
  <c r="AU234" i="3"/>
  <c r="AT234" i="3"/>
  <c r="AS234" i="3"/>
  <c r="AR234" i="3"/>
  <c r="AQ234" i="3"/>
  <c r="AP234" i="3"/>
  <c r="AO234" i="3"/>
  <c r="AN234" i="3"/>
  <c r="AM234" i="3"/>
  <c r="E234" i="3"/>
  <c r="E641" i="3" s="1"/>
  <c r="D234" i="3"/>
  <c r="D641" i="3" s="1"/>
  <c r="C234" i="3"/>
  <c r="C641" i="3" s="1"/>
  <c r="B234" i="3"/>
  <c r="B641" i="3" s="1"/>
  <c r="A234" i="3"/>
  <c r="A641" i="3" s="1"/>
  <c r="BS233" i="3"/>
  <c r="BR233" i="3"/>
  <c r="BQ233" i="3"/>
  <c r="BP233" i="3"/>
  <c r="BO233" i="3"/>
  <c r="BN233" i="3"/>
  <c r="BM233" i="3"/>
  <c r="BL233" i="3"/>
  <c r="BK233" i="3"/>
  <c r="BJ233" i="3"/>
  <c r="BI233" i="3"/>
  <c r="BH233" i="3"/>
  <c r="BG233" i="3"/>
  <c r="BF233" i="3"/>
  <c r="BE233" i="3"/>
  <c r="BD233" i="3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E233" i="3"/>
  <c r="E640" i="3" s="1"/>
  <c r="D233" i="3"/>
  <c r="D640" i="3" s="1"/>
  <c r="C233" i="3"/>
  <c r="C640" i="3" s="1"/>
  <c r="B233" i="3"/>
  <c r="B640" i="3" s="1"/>
  <c r="A233" i="3"/>
  <c r="A640" i="3" s="1"/>
  <c r="BS232" i="3"/>
  <c r="BR232" i="3"/>
  <c r="BQ232" i="3"/>
  <c r="BP232" i="3"/>
  <c r="BO232" i="3"/>
  <c r="BN232" i="3"/>
  <c r="BM232" i="3"/>
  <c r="BL232" i="3"/>
  <c r="BK232" i="3"/>
  <c r="BJ232" i="3"/>
  <c r="BI232" i="3"/>
  <c r="BH232" i="3"/>
  <c r="BG232" i="3"/>
  <c r="BF232" i="3"/>
  <c r="BE232" i="3"/>
  <c r="BD232" i="3"/>
  <c r="BC232" i="3"/>
  <c r="BB232" i="3"/>
  <c r="BA232" i="3"/>
  <c r="AZ232" i="3"/>
  <c r="AY232" i="3"/>
  <c r="AX232" i="3"/>
  <c r="AW232" i="3"/>
  <c r="AV232" i="3"/>
  <c r="AU232" i="3"/>
  <c r="AT232" i="3"/>
  <c r="AS232" i="3"/>
  <c r="AR232" i="3"/>
  <c r="AQ232" i="3"/>
  <c r="AP232" i="3"/>
  <c r="AO232" i="3"/>
  <c r="AN232" i="3"/>
  <c r="AM232" i="3"/>
  <c r="E232" i="3"/>
  <c r="E639" i="3" s="1"/>
  <c r="D232" i="3"/>
  <c r="D639" i="3" s="1"/>
  <c r="C232" i="3"/>
  <c r="C639" i="3" s="1"/>
  <c r="B232" i="3"/>
  <c r="B639" i="3" s="1"/>
  <c r="A232" i="3"/>
  <c r="A639" i="3" s="1"/>
  <c r="BS231" i="3"/>
  <c r="BR231" i="3"/>
  <c r="BQ231" i="3"/>
  <c r="BP231" i="3"/>
  <c r="BO231" i="3"/>
  <c r="BN231" i="3"/>
  <c r="BM231" i="3"/>
  <c r="BL231" i="3"/>
  <c r="BK231" i="3"/>
  <c r="BJ231" i="3"/>
  <c r="BI231" i="3"/>
  <c r="BH231" i="3"/>
  <c r="BG231" i="3"/>
  <c r="BF231" i="3"/>
  <c r="BE231" i="3"/>
  <c r="BD231" i="3"/>
  <c r="BC231" i="3"/>
  <c r="BB231" i="3"/>
  <c r="BA231" i="3"/>
  <c r="AZ231" i="3"/>
  <c r="AY231" i="3"/>
  <c r="AX231" i="3"/>
  <c r="AW231" i="3"/>
  <c r="AV231" i="3"/>
  <c r="AU231" i="3"/>
  <c r="AT231" i="3"/>
  <c r="AS231" i="3"/>
  <c r="AR231" i="3"/>
  <c r="AQ231" i="3"/>
  <c r="AP231" i="3"/>
  <c r="AO231" i="3"/>
  <c r="AN231" i="3"/>
  <c r="AM231" i="3"/>
  <c r="E231" i="3"/>
  <c r="D231" i="3"/>
  <c r="C231" i="3"/>
  <c r="C638" i="3" s="1"/>
  <c r="B231" i="3"/>
  <c r="B638" i="3" s="1"/>
  <c r="A231" i="3"/>
  <c r="A638" i="3" s="1"/>
  <c r="BS230" i="3"/>
  <c r="BR230" i="3"/>
  <c r="BQ230" i="3"/>
  <c r="BP230" i="3"/>
  <c r="BO230" i="3"/>
  <c r="BN230" i="3"/>
  <c r="BM230" i="3"/>
  <c r="BL230" i="3"/>
  <c r="BK230" i="3"/>
  <c r="BJ230" i="3"/>
  <c r="BI230" i="3"/>
  <c r="BH230" i="3"/>
  <c r="BG230" i="3"/>
  <c r="BF230" i="3"/>
  <c r="BE230" i="3"/>
  <c r="BD230" i="3"/>
  <c r="BC230" i="3"/>
  <c r="BB230" i="3"/>
  <c r="BA230" i="3"/>
  <c r="AZ230" i="3"/>
  <c r="AY230" i="3"/>
  <c r="AX230" i="3"/>
  <c r="AW230" i="3"/>
  <c r="AV230" i="3"/>
  <c r="AU230" i="3"/>
  <c r="AT230" i="3"/>
  <c r="AS230" i="3"/>
  <c r="AR230" i="3"/>
  <c r="AQ230" i="3"/>
  <c r="AP230" i="3"/>
  <c r="AO230" i="3"/>
  <c r="AN230" i="3"/>
  <c r="AM230" i="3"/>
  <c r="E230" i="3"/>
  <c r="E637" i="3" s="1"/>
  <c r="D230" i="3"/>
  <c r="D637" i="3" s="1"/>
  <c r="C230" i="3"/>
  <c r="C637" i="3" s="1"/>
  <c r="B230" i="3"/>
  <c r="B637" i="3" s="1"/>
  <c r="A230" i="3"/>
  <c r="A637" i="3" s="1"/>
  <c r="BS229" i="3"/>
  <c r="BR229" i="3"/>
  <c r="BQ229" i="3"/>
  <c r="BP229" i="3"/>
  <c r="BO229" i="3"/>
  <c r="BN229" i="3"/>
  <c r="BM229" i="3"/>
  <c r="BL229" i="3"/>
  <c r="BK229" i="3"/>
  <c r="BJ229" i="3"/>
  <c r="BI229" i="3"/>
  <c r="BH229" i="3"/>
  <c r="BG229" i="3"/>
  <c r="BF229" i="3"/>
  <c r="BE229" i="3"/>
  <c r="BD229" i="3"/>
  <c r="BC229" i="3"/>
  <c r="BB229" i="3"/>
  <c r="BA229" i="3"/>
  <c r="AZ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E229" i="3"/>
  <c r="E636" i="3" s="1"/>
  <c r="D229" i="3"/>
  <c r="D636" i="3" s="1"/>
  <c r="C229" i="3"/>
  <c r="C636" i="3" s="1"/>
  <c r="B229" i="3"/>
  <c r="A229" i="3"/>
  <c r="A636" i="3" s="1"/>
  <c r="BS228" i="3"/>
  <c r="BR228" i="3"/>
  <c r="BQ228" i="3"/>
  <c r="BP228" i="3"/>
  <c r="BO228" i="3"/>
  <c r="BN228" i="3"/>
  <c r="BM228" i="3"/>
  <c r="BL228" i="3"/>
  <c r="BK228" i="3"/>
  <c r="BJ228" i="3"/>
  <c r="BI228" i="3"/>
  <c r="BH228" i="3"/>
  <c r="BG228" i="3"/>
  <c r="BF228" i="3"/>
  <c r="BE228" i="3"/>
  <c r="BD228" i="3"/>
  <c r="BC228" i="3"/>
  <c r="BB228" i="3"/>
  <c r="BA228" i="3"/>
  <c r="AZ228" i="3"/>
  <c r="AY228" i="3"/>
  <c r="AX228" i="3"/>
  <c r="AW228" i="3"/>
  <c r="AV228" i="3"/>
  <c r="AU228" i="3"/>
  <c r="AT228" i="3"/>
  <c r="AS228" i="3"/>
  <c r="AR228" i="3"/>
  <c r="AQ228" i="3"/>
  <c r="AP228" i="3"/>
  <c r="AO228" i="3"/>
  <c r="AN228" i="3"/>
  <c r="AM228" i="3"/>
  <c r="E228" i="3"/>
  <c r="D228" i="3"/>
  <c r="C228" i="3"/>
  <c r="C635" i="3" s="1"/>
  <c r="B228" i="3"/>
  <c r="B635" i="3" s="1"/>
  <c r="A228" i="3"/>
  <c r="A635" i="3" s="1"/>
  <c r="BS227" i="3"/>
  <c r="BR227" i="3"/>
  <c r="BQ227" i="3"/>
  <c r="BP227" i="3"/>
  <c r="BO227" i="3"/>
  <c r="BN227" i="3"/>
  <c r="BM227" i="3"/>
  <c r="BL227" i="3"/>
  <c r="BK227" i="3"/>
  <c r="BJ227" i="3"/>
  <c r="BI227" i="3"/>
  <c r="BH227" i="3"/>
  <c r="BG227" i="3"/>
  <c r="BF227" i="3"/>
  <c r="BE227" i="3"/>
  <c r="BD227" i="3"/>
  <c r="BC227" i="3"/>
  <c r="BB227" i="3"/>
  <c r="BA227" i="3"/>
  <c r="AZ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E227" i="3"/>
  <c r="E634" i="3" s="1"/>
  <c r="D227" i="3"/>
  <c r="D634" i="3" s="1"/>
  <c r="C227" i="3"/>
  <c r="C634" i="3" s="1"/>
  <c r="B227" i="3"/>
  <c r="B634" i="3" s="1"/>
  <c r="A227" i="3"/>
  <c r="A634" i="3" s="1"/>
  <c r="BS226" i="3"/>
  <c r="BR226" i="3"/>
  <c r="BQ226" i="3"/>
  <c r="BP226" i="3"/>
  <c r="BO226" i="3"/>
  <c r="BN226" i="3"/>
  <c r="BM226" i="3"/>
  <c r="BL226" i="3"/>
  <c r="BK226" i="3"/>
  <c r="BJ226" i="3"/>
  <c r="BI226" i="3"/>
  <c r="BH226" i="3"/>
  <c r="BG226" i="3"/>
  <c r="BF226" i="3"/>
  <c r="BE226" i="3"/>
  <c r="BD226" i="3"/>
  <c r="BC226" i="3"/>
  <c r="BB226" i="3"/>
  <c r="BA226" i="3"/>
  <c r="AZ226" i="3"/>
  <c r="AY226" i="3"/>
  <c r="AX226" i="3"/>
  <c r="AW226" i="3"/>
  <c r="AV226" i="3"/>
  <c r="AU226" i="3"/>
  <c r="AT226" i="3"/>
  <c r="AS226" i="3"/>
  <c r="AR226" i="3"/>
  <c r="AQ226" i="3"/>
  <c r="AP226" i="3"/>
  <c r="AO226" i="3"/>
  <c r="AN226" i="3"/>
  <c r="AM226" i="3"/>
  <c r="E226" i="3"/>
  <c r="E633" i="3" s="1"/>
  <c r="D226" i="3"/>
  <c r="D633" i="3" s="1"/>
  <c r="C226" i="3"/>
  <c r="C633" i="3" s="1"/>
  <c r="B226" i="3"/>
  <c r="A226" i="3"/>
  <c r="A633" i="3" s="1"/>
  <c r="BS225" i="3"/>
  <c r="BR225" i="3"/>
  <c r="BQ225" i="3"/>
  <c r="BP225" i="3"/>
  <c r="BO225" i="3"/>
  <c r="BN225" i="3"/>
  <c r="BM225" i="3"/>
  <c r="BL225" i="3"/>
  <c r="BK225" i="3"/>
  <c r="BJ225" i="3"/>
  <c r="BI225" i="3"/>
  <c r="BH225" i="3"/>
  <c r="BG225" i="3"/>
  <c r="BF225" i="3"/>
  <c r="BE225" i="3"/>
  <c r="BD225" i="3"/>
  <c r="BC225" i="3"/>
  <c r="BB225" i="3"/>
  <c r="BA225" i="3"/>
  <c r="AZ225" i="3"/>
  <c r="AY225" i="3"/>
  <c r="AX225" i="3"/>
  <c r="AW225" i="3"/>
  <c r="AV225" i="3"/>
  <c r="AU225" i="3"/>
  <c r="AT225" i="3"/>
  <c r="AS225" i="3"/>
  <c r="AR225" i="3"/>
  <c r="AQ225" i="3"/>
  <c r="AP225" i="3"/>
  <c r="AO225" i="3"/>
  <c r="AN225" i="3"/>
  <c r="AM225" i="3"/>
  <c r="E225" i="3"/>
  <c r="D225" i="3"/>
  <c r="D632" i="3" s="1"/>
  <c r="C225" i="3"/>
  <c r="C632" i="3" s="1"/>
  <c r="B225" i="3"/>
  <c r="A225" i="3"/>
  <c r="A632" i="3" s="1"/>
  <c r="BS224" i="3"/>
  <c r="BR224" i="3"/>
  <c r="BQ224" i="3"/>
  <c r="BP224" i="3"/>
  <c r="BO224" i="3"/>
  <c r="BN224" i="3"/>
  <c r="BM224" i="3"/>
  <c r="BL224" i="3"/>
  <c r="BK224" i="3"/>
  <c r="BJ224" i="3"/>
  <c r="BI224" i="3"/>
  <c r="BH224" i="3"/>
  <c r="BG224" i="3"/>
  <c r="BF224" i="3"/>
  <c r="BE224" i="3"/>
  <c r="BD224" i="3"/>
  <c r="BC224" i="3"/>
  <c r="BB224" i="3"/>
  <c r="BA224" i="3"/>
  <c r="AZ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M224" i="3"/>
  <c r="E224" i="3"/>
  <c r="E631" i="3" s="1"/>
  <c r="D224" i="3"/>
  <c r="D631" i="3" s="1"/>
  <c r="C224" i="3"/>
  <c r="B224" i="3"/>
  <c r="B631" i="3" s="1"/>
  <c r="A224" i="3"/>
  <c r="A631" i="3" s="1"/>
  <c r="BS223" i="3"/>
  <c r="BR223" i="3"/>
  <c r="BQ223" i="3"/>
  <c r="BP223" i="3"/>
  <c r="BO223" i="3"/>
  <c r="BN223" i="3"/>
  <c r="BM223" i="3"/>
  <c r="BL223" i="3"/>
  <c r="BK223" i="3"/>
  <c r="BJ223" i="3"/>
  <c r="BI223" i="3"/>
  <c r="BH223" i="3"/>
  <c r="BG223" i="3"/>
  <c r="BF223" i="3"/>
  <c r="BE223" i="3"/>
  <c r="BD223" i="3"/>
  <c r="BC223" i="3"/>
  <c r="BB223" i="3"/>
  <c r="BA223" i="3"/>
  <c r="AZ223" i="3"/>
  <c r="AY223" i="3"/>
  <c r="AX223" i="3"/>
  <c r="AW223" i="3"/>
  <c r="AV223" i="3"/>
  <c r="AU223" i="3"/>
  <c r="AT223" i="3"/>
  <c r="AS223" i="3"/>
  <c r="AR223" i="3"/>
  <c r="AQ223" i="3"/>
  <c r="AP223" i="3"/>
  <c r="AO223" i="3"/>
  <c r="AN223" i="3"/>
  <c r="AM223" i="3"/>
  <c r="E223" i="3"/>
  <c r="E630" i="3" s="1"/>
  <c r="D223" i="3"/>
  <c r="D630" i="3" s="1"/>
  <c r="C223" i="3"/>
  <c r="B223" i="3"/>
  <c r="B630" i="3" s="1"/>
  <c r="A223" i="3"/>
  <c r="A630" i="3" s="1"/>
  <c r="BS222" i="3"/>
  <c r="BR222" i="3"/>
  <c r="BQ222" i="3"/>
  <c r="BP222" i="3"/>
  <c r="BO222" i="3"/>
  <c r="BN222" i="3"/>
  <c r="BM222" i="3"/>
  <c r="BL222" i="3"/>
  <c r="BK222" i="3"/>
  <c r="BJ222" i="3"/>
  <c r="BI222" i="3"/>
  <c r="BH222" i="3"/>
  <c r="BG222" i="3"/>
  <c r="BF222" i="3"/>
  <c r="BE222" i="3"/>
  <c r="BD222" i="3"/>
  <c r="BC222" i="3"/>
  <c r="BB222" i="3"/>
  <c r="BA222" i="3"/>
  <c r="AZ222" i="3"/>
  <c r="AY222" i="3"/>
  <c r="AX222" i="3"/>
  <c r="AW222" i="3"/>
  <c r="AV222" i="3"/>
  <c r="AU222" i="3"/>
  <c r="AT222" i="3"/>
  <c r="AS222" i="3"/>
  <c r="AR222" i="3"/>
  <c r="AQ222" i="3"/>
  <c r="AP222" i="3"/>
  <c r="AO222" i="3"/>
  <c r="AN222" i="3"/>
  <c r="AM222" i="3"/>
  <c r="E222" i="3"/>
  <c r="D222" i="3"/>
  <c r="D629" i="3" s="1"/>
  <c r="C222" i="3"/>
  <c r="C629" i="3" s="1"/>
  <c r="B222" i="3"/>
  <c r="B629" i="3" s="1"/>
  <c r="A222" i="3"/>
  <c r="A629" i="3" s="1"/>
  <c r="BS221" i="3"/>
  <c r="BR221" i="3"/>
  <c r="BQ221" i="3"/>
  <c r="BP221" i="3"/>
  <c r="BO221" i="3"/>
  <c r="BN221" i="3"/>
  <c r="BM221" i="3"/>
  <c r="BL221" i="3"/>
  <c r="BK221" i="3"/>
  <c r="BJ221" i="3"/>
  <c r="BI221" i="3"/>
  <c r="BH221" i="3"/>
  <c r="BG221" i="3"/>
  <c r="BF221" i="3"/>
  <c r="BE221" i="3"/>
  <c r="BD221" i="3"/>
  <c r="BC221" i="3"/>
  <c r="BB221" i="3"/>
  <c r="BA221" i="3"/>
  <c r="AZ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E221" i="3"/>
  <c r="B221" i="3"/>
  <c r="A221" i="3"/>
  <c r="BS220" i="3"/>
  <c r="BR220" i="3"/>
  <c r="BQ220" i="3"/>
  <c r="BP220" i="3"/>
  <c r="BO220" i="3"/>
  <c r="BN220" i="3"/>
  <c r="BM220" i="3"/>
  <c r="BL220" i="3"/>
  <c r="BK220" i="3"/>
  <c r="BJ220" i="3"/>
  <c r="BI220" i="3"/>
  <c r="BH220" i="3"/>
  <c r="BG220" i="3"/>
  <c r="BF220" i="3"/>
  <c r="BE220" i="3"/>
  <c r="BD220" i="3"/>
  <c r="BC220" i="3"/>
  <c r="BB220" i="3"/>
  <c r="BA220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E220" i="3"/>
  <c r="D220" i="3"/>
  <c r="D628" i="3" s="1"/>
  <c r="C220" i="3"/>
  <c r="C628" i="3" s="1"/>
  <c r="B220" i="3"/>
  <c r="B628" i="3" s="1"/>
  <c r="A220" i="3"/>
  <c r="A628" i="3" s="1"/>
  <c r="BS219" i="3"/>
  <c r="BR219" i="3"/>
  <c r="BQ219" i="3"/>
  <c r="BP219" i="3"/>
  <c r="BO219" i="3"/>
  <c r="BN219" i="3"/>
  <c r="BM219" i="3"/>
  <c r="BL219" i="3"/>
  <c r="BK219" i="3"/>
  <c r="BJ219" i="3"/>
  <c r="BI219" i="3"/>
  <c r="BH219" i="3"/>
  <c r="BG219" i="3"/>
  <c r="BF219" i="3"/>
  <c r="BE219" i="3"/>
  <c r="BD219" i="3"/>
  <c r="BC219" i="3"/>
  <c r="BB219" i="3"/>
  <c r="BA219" i="3"/>
  <c r="AZ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E219" i="3"/>
  <c r="E627" i="3" s="1"/>
  <c r="D219" i="3"/>
  <c r="D627" i="3" s="1"/>
  <c r="C219" i="3"/>
  <c r="C627" i="3" s="1"/>
  <c r="B219" i="3"/>
  <c r="B627" i="3" s="1"/>
  <c r="A219" i="3"/>
  <c r="A627" i="3" s="1"/>
  <c r="BS218" i="3"/>
  <c r="BR218" i="3"/>
  <c r="BQ218" i="3"/>
  <c r="BP218" i="3"/>
  <c r="BO218" i="3"/>
  <c r="BN218" i="3"/>
  <c r="BM218" i="3"/>
  <c r="BL218" i="3"/>
  <c r="BK218" i="3"/>
  <c r="BJ218" i="3"/>
  <c r="BI218" i="3"/>
  <c r="BH218" i="3"/>
  <c r="BG218" i="3"/>
  <c r="BF218" i="3"/>
  <c r="BE218" i="3"/>
  <c r="BD218" i="3"/>
  <c r="BC218" i="3"/>
  <c r="BB218" i="3"/>
  <c r="BA218" i="3"/>
  <c r="AZ218" i="3"/>
  <c r="AY218" i="3"/>
  <c r="AX218" i="3"/>
  <c r="AW218" i="3"/>
  <c r="AV218" i="3"/>
  <c r="AU218" i="3"/>
  <c r="AT218" i="3"/>
  <c r="AS218" i="3"/>
  <c r="AR218" i="3"/>
  <c r="AQ218" i="3"/>
  <c r="AP218" i="3"/>
  <c r="AO218" i="3"/>
  <c r="AN218" i="3"/>
  <c r="AM218" i="3"/>
  <c r="E218" i="3"/>
  <c r="D218" i="3"/>
  <c r="C218" i="3"/>
  <c r="C626" i="3" s="1"/>
  <c r="B218" i="3"/>
  <c r="B626" i="3" s="1"/>
  <c r="A218" i="3"/>
  <c r="A626" i="3" s="1"/>
  <c r="BS217" i="3"/>
  <c r="BR217" i="3"/>
  <c r="BQ217" i="3"/>
  <c r="BP217" i="3"/>
  <c r="BO217" i="3"/>
  <c r="BN217" i="3"/>
  <c r="BM217" i="3"/>
  <c r="BL217" i="3"/>
  <c r="BK217" i="3"/>
  <c r="BJ217" i="3"/>
  <c r="BI217" i="3"/>
  <c r="BH217" i="3"/>
  <c r="BG217" i="3"/>
  <c r="BF217" i="3"/>
  <c r="BE217" i="3"/>
  <c r="BD217" i="3"/>
  <c r="BC217" i="3"/>
  <c r="BB217" i="3"/>
  <c r="BA217" i="3"/>
  <c r="AZ217" i="3"/>
  <c r="AY217" i="3"/>
  <c r="AX217" i="3"/>
  <c r="AW217" i="3"/>
  <c r="AV217" i="3"/>
  <c r="AU217" i="3"/>
  <c r="AT217" i="3"/>
  <c r="AS217" i="3"/>
  <c r="AR217" i="3"/>
  <c r="AQ217" i="3"/>
  <c r="AP217" i="3"/>
  <c r="AO217" i="3"/>
  <c r="AN217" i="3"/>
  <c r="AM217" i="3"/>
  <c r="E217" i="3"/>
  <c r="D217" i="3"/>
  <c r="D625" i="3" s="1"/>
  <c r="C217" i="3"/>
  <c r="C625" i="3" s="1"/>
  <c r="B217" i="3"/>
  <c r="B625" i="3" s="1"/>
  <c r="A217" i="3"/>
  <c r="A625" i="3" s="1"/>
  <c r="BS216" i="3"/>
  <c r="BR216" i="3"/>
  <c r="BQ216" i="3"/>
  <c r="BP216" i="3"/>
  <c r="BO216" i="3"/>
  <c r="BN216" i="3"/>
  <c r="BM216" i="3"/>
  <c r="BL216" i="3"/>
  <c r="BK216" i="3"/>
  <c r="BJ216" i="3"/>
  <c r="BI216" i="3"/>
  <c r="BH216" i="3"/>
  <c r="BG216" i="3"/>
  <c r="BF216" i="3"/>
  <c r="BE216" i="3"/>
  <c r="BD216" i="3"/>
  <c r="BC216" i="3"/>
  <c r="BB216" i="3"/>
  <c r="BA216" i="3"/>
  <c r="AZ216" i="3"/>
  <c r="AY216" i="3"/>
  <c r="AX216" i="3"/>
  <c r="AW216" i="3"/>
  <c r="AV216" i="3"/>
  <c r="AU216" i="3"/>
  <c r="AT216" i="3"/>
  <c r="AS216" i="3"/>
  <c r="AR216" i="3"/>
  <c r="AQ216" i="3"/>
  <c r="AP216" i="3"/>
  <c r="AO216" i="3"/>
  <c r="AN216" i="3"/>
  <c r="AM216" i="3"/>
  <c r="E216" i="3"/>
  <c r="D216" i="3"/>
  <c r="C216" i="3"/>
  <c r="C624" i="3" s="1"/>
  <c r="B216" i="3"/>
  <c r="B624" i="3" s="1"/>
  <c r="A216" i="3"/>
  <c r="A624" i="3" s="1"/>
  <c r="BS215" i="3"/>
  <c r="BR215" i="3"/>
  <c r="BQ215" i="3"/>
  <c r="BP215" i="3"/>
  <c r="BO215" i="3"/>
  <c r="BN215" i="3"/>
  <c r="BM215" i="3"/>
  <c r="BL215" i="3"/>
  <c r="BK215" i="3"/>
  <c r="BJ215" i="3"/>
  <c r="BI215" i="3"/>
  <c r="BH215" i="3"/>
  <c r="BG215" i="3"/>
  <c r="BF215" i="3"/>
  <c r="BE215" i="3"/>
  <c r="BD215" i="3"/>
  <c r="BC215" i="3"/>
  <c r="BB215" i="3"/>
  <c r="BA215" i="3"/>
  <c r="AZ215" i="3"/>
  <c r="AY215" i="3"/>
  <c r="AX215" i="3"/>
  <c r="AW215" i="3"/>
  <c r="AV215" i="3"/>
  <c r="AU215" i="3"/>
  <c r="AT215" i="3"/>
  <c r="AS215" i="3"/>
  <c r="AR215" i="3"/>
  <c r="AQ215" i="3"/>
  <c r="AP215" i="3"/>
  <c r="AO215" i="3"/>
  <c r="AN215" i="3"/>
  <c r="AM215" i="3"/>
  <c r="E215" i="3"/>
  <c r="E623" i="3" s="1"/>
  <c r="D215" i="3"/>
  <c r="D623" i="3" s="1"/>
  <c r="C215" i="3"/>
  <c r="C623" i="3" s="1"/>
  <c r="B215" i="3"/>
  <c r="B623" i="3" s="1"/>
  <c r="A215" i="3"/>
  <c r="A623" i="3" s="1"/>
  <c r="BS214" i="3"/>
  <c r="BR214" i="3"/>
  <c r="BQ214" i="3"/>
  <c r="BP214" i="3"/>
  <c r="BO214" i="3"/>
  <c r="BN214" i="3"/>
  <c r="BM214" i="3"/>
  <c r="BL214" i="3"/>
  <c r="BK214" i="3"/>
  <c r="BJ214" i="3"/>
  <c r="BI214" i="3"/>
  <c r="BH214" i="3"/>
  <c r="BG214" i="3"/>
  <c r="BF214" i="3"/>
  <c r="BE214" i="3"/>
  <c r="BD214" i="3"/>
  <c r="BC214" i="3"/>
  <c r="BB214" i="3"/>
  <c r="BA214" i="3"/>
  <c r="AZ214" i="3"/>
  <c r="AY214" i="3"/>
  <c r="AX214" i="3"/>
  <c r="AW214" i="3"/>
  <c r="AV214" i="3"/>
  <c r="AU214" i="3"/>
  <c r="AT214" i="3"/>
  <c r="AS214" i="3"/>
  <c r="AR214" i="3"/>
  <c r="AQ214" i="3"/>
  <c r="AP214" i="3"/>
  <c r="AO214" i="3"/>
  <c r="AN214" i="3"/>
  <c r="AM214" i="3"/>
  <c r="E214" i="3"/>
  <c r="E622" i="3" s="1"/>
  <c r="D214" i="3"/>
  <c r="D622" i="3" s="1"/>
  <c r="C214" i="3"/>
  <c r="C622" i="3" s="1"/>
  <c r="B214" i="3"/>
  <c r="B622" i="3" s="1"/>
  <c r="A214" i="3"/>
  <c r="A622" i="3" s="1"/>
  <c r="BS213" i="3"/>
  <c r="BR213" i="3"/>
  <c r="BQ213" i="3"/>
  <c r="BP213" i="3"/>
  <c r="BO213" i="3"/>
  <c r="BN213" i="3"/>
  <c r="BM213" i="3"/>
  <c r="BL213" i="3"/>
  <c r="BK213" i="3"/>
  <c r="BJ213" i="3"/>
  <c r="BI213" i="3"/>
  <c r="BH213" i="3"/>
  <c r="BG213" i="3"/>
  <c r="BF213" i="3"/>
  <c r="BE213" i="3"/>
  <c r="BD213" i="3"/>
  <c r="BC213" i="3"/>
  <c r="BB213" i="3"/>
  <c r="BA213" i="3"/>
  <c r="AZ213" i="3"/>
  <c r="AY213" i="3"/>
  <c r="AX213" i="3"/>
  <c r="AW213" i="3"/>
  <c r="AV213" i="3"/>
  <c r="AU213" i="3"/>
  <c r="AT213" i="3"/>
  <c r="AS213" i="3"/>
  <c r="AR213" i="3"/>
  <c r="AQ213" i="3"/>
  <c r="AP213" i="3"/>
  <c r="AO213" i="3"/>
  <c r="AN213" i="3"/>
  <c r="AM213" i="3"/>
  <c r="E213" i="3"/>
  <c r="E621" i="3" s="1"/>
  <c r="D213" i="3"/>
  <c r="D621" i="3" s="1"/>
  <c r="C213" i="3"/>
  <c r="C621" i="3" s="1"/>
  <c r="B213" i="3"/>
  <c r="A213" i="3"/>
  <c r="BS212" i="3"/>
  <c r="BR212" i="3"/>
  <c r="BQ212" i="3"/>
  <c r="BP212" i="3"/>
  <c r="BO212" i="3"/>
  <c r="BN212" i="3"/>
  <c r="BM212" i="3"/>
  <c r="BL212" i="3"/>
  <c r="BK212" i="3"/>
  <c r="BJ212" i="3"/>
  <c r="BI212" i="3"/>
  <c r="BH212" i="3"/>
  <c r="BG212" i="3"/>
  <c r="BF212" i="3"/>
  <c r="BE212" i="3"/>
  <c r="BD212" i="3"/>
  <c r="BC212" i="3"/>
  <c r="BB212" i="3"/>
  <c r="BA212" i="3"/>
  <c r="AZ212" i="3"/>
  <c r="AY212" i="3"/>
  <c r="AX212" i="3"/>
  <c r="AW212" i="3"/>
  <c r="AV212" i="3"/>
  <c r="AU212" i="3"/>
  <c r="AT212" i="3"/>
  <c r="AS212" i="3"/>
  <c r="AR212" i="3"/>
  <c r="AQ212" i="3"/>
  <c r="AP212" i="3"/>
  <c r="AO212" i="3"/>
  <c r="AN212" i="3"/>
  <c r="AM212" i="3"/>
  <c r="E212" i="3"/>
  <c r="E620" i="3" s="1"/>
  <c r="D212" i="3"/>
  <c r="D620" i="3" s="1"/>
  <c r="C212" i="3"/>
  <c r="C620" i="3" s="1"/>
  <c r="B212" i="3"/>
  <c r="B620" i="3" s="1"/>
  <c r="A212" i="3"/>
  <c r="A620" i="3" s="1"/>
  <c r="BS211" i="3"/>
  <c r="BR211" i="3"/>
  <c r="BQ211" i="3"/>
  <c r="BP211" i="3"/>
  <c r="BO211" i="3"/>
  <c r="BN211" i="3"/>
  <c r="BM211" i="3"/>
  <c r="BL211" i="3"/>
  <c r="BK211" i="3"/>
  <c r="BJ211" i="3"/>
  <c r="BI211" i="3"/>
  <c r="BH211" i="3"/>
  <c r="BG211" i="3"/>
  <c r="BF211" i="3"/>
  <c r="BE211" i="3"/>
  <c r="BD211" i="3"/>
  <c r="BC211" i="3"/>
  <c r="BB211" i="3"/>
  <c r="BA211" i="3"/>
  <c r="AZ211" i="3"/>
  <c r="AY211" i="3"/>
  <c r="AX211" i="3"/>
  <c r="AW211" i="3"/>
  <c r="AV211" i="3"/>
  <c r="AU211" i="3"/>
  <c r="AT211" i="3"/>
  <c r="AS211" i="3"/>
  <c r="AR211" i="3"/>
  <c r="AQ211" i="3"/>
  <c r="AP211" i="3"/>
  <c r="AO211" i="3"/>
  <c r="AN211" i="3"/>
  <c r="AM211" i="3"/>
  <c r="E211" i="3"/>
  <c r="D211" i="3"/>
  <c r="C211" i="3"/>
  <c r="B211" i="3"/>
  <c r="B619" i="3" s="1"/>
  <c r="A211" i="3"/>
  <c r="A619" i="3" s="1"/>
  <c r="BS210" i="3"/>
  <c r="BR210" i="3"/>
  <c r="BQ210" i="3"/>
  <c r="BP210" i="3"/>
  <c r="BO210" i="3"/>
  <c r="BN210" i="3"/>
  <c r="BM210" i="3"/>
  <c r="BL210" i="3"/>
  <c r="BK210" i="3"/>
  <c r="BJ210" i="3"/>
  <c r="BI210" i="3"/>
  <c r="BH210" i="3"/>
  <c r="BG210" i="3"/>
  <c r="BF210" i="3"/>
  <c r="BE210" i="3"/>
  <c r="BD210" i="3"/>
  <c r="BC210" i="3"/>
  <c r="BB210" i="3"/>
  <c r="BA210" i="3"/>
  <c r="AZ210" i="3"/>
  <c r="AY210" i="3"/>
  <c r="AX210" i="3"/>
  <c r="AW210" i="3"/>
  <c r="AV210" i="3"/>
  <c r="AU210" i="3"/>
  <c r="AT210" i="3"/>
  <c r="AS210" i="3"/>
  <c r="AR210" i="3"/>
  <c r="AQ210" i="3"/>
  <c r="AP210" i="3"/>
  <c r="AO210" i="3"/>
  <c r="AN210" i="3"/>
  <c r="AM210" i="3"/>
  <c r="E210" i="3"/>
  <c r="E618" i="3" s="1"/>
  <c r="D210" i="3"/>
  <c r="D618" i="3" s="1"/>
  <c r="C210" i="3"/>
  <c r="B210" i="3"/>
  <c r="B618" i="3" s="1"/>
  <c r="A210" i="3"/>
  <c r="A618" i="3" s="1"/>
  <c r="BS209" i="3"/>
  <c r="BR209" i="3"/>
  <c r="BQ209" i="3"/>
  <c r="BP209" i="3"/>
  <c r="BO209" i="3"/>
  <c r="BN209" i="3"/>
  <c r="BM209" i="3"/>
  <c r="BL209" i="3"/>
  <c r="BK209" i="3"/>
  <c r="BJ209" i="3"/>
  <c r="BI209" i="3"/>
  <c r="BH209" i="3"/>
  <c r="BG209" i="3"/>
  <c r="BF209" i="3"/>
  <c r="BE209" i="3"/>
  <c r="BD209" i="3"/>
  <c r="BC209" i="3"/>
  <c r="BB209" i="3"/>
  <c r="BA209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E209" i="3"/>
  <c r="E617" i="3" s="1"/>
  <c r="D209" i="3"/>
  <c r="D617" i="3" s="1"/>
  <c r="C209" i="3"/>
  <c r="C617" i="3" s="1"/>
  <c r="B209" i="3"/>
  <c r="B617" i="3" s="1"/>
  <c r="A209" i="3"/>
  <c r="BS208" i="3"/>
  <c r="BR208" i="3"/>
  <c r="BQ208" i="3"/>
  <c r="BP208" i="3"/>
  <c r="BO208" i="3"/>
  <c r="BN208" i="3"/>
  <c r="BM208" i="3"/>
  <c r="BL208" i="3"/>
  <c r="BK208" i="3"/>
  <c r="BJ208" i="3"/>
  <c r="BI208" i="3"/>
  <c r="BH208" i="3"/>
  <c r="BG208" i="3"/>
  <c r="BF208" i="3"/>
  <c r="BE208" i="3"/>
  <c r="BD208" i="3"/>
  <c r="BC208" i="3"/>
  <c r="BB208" i="3"/>
  <c r="BA208" i="3"/>
  <c r="AZ208" i="3"/>
  <c r="AY208" i="3"/>
  <c r="AX208" i="3"/>
  <c r="AW208" i="3"/>
  <c r="AV208" i="3"/>
  <c r="AU208" i="3"/>
  <c r="AT208" i="3"/>
  <c r="AS208" i="3"/>
  <c r="AR208" i="3"/>
  <c r="AQ208" i="3"/>
  <c r="AP208" i="3"/>
  <c r="AO208" i="3"/>
  <c r="AN208" i="3"/>
  <c r="AM208" i="3"/>
  <c r="E208" i="3"/>
  <c r="E616" i="3" s="1"/>
  <c r="D208" i="3"/>
  <c r="D616" i="3" s="1"/>
  <c r="C208" i="3"/>
  <c r="C616" i="3" s="1"/>
  <c r="B208" i="3"/>
  <c r="B616" i="3" s="1"/>
  <c r="A208" i="3"/>
  <c r="BS207" i="3"/>
  <c r="BR207" i="3"/>
  <c r="BQ207" i="3"/>
  <c r="BP207" i="3"/>
  <c r="BO207" i="3"/>
  <c r="BN207" i="3"/>
  <c r="BM207" i="3"/>
  <c r="BL207" i="3"/>
  <c r="BK207" i="3"/>
  <c r="BJ207" i="3"/>
  <c r="BI207" i="3"/>
  <c r="BH207" i="3"/>
  <c r="BG207" i="3"/>
  <c r="BF207" i="3"/>
  <c r="BE207" i="3"/>
  <c r="BD207" i="3"/>
  <c r="BC207" i="3"/>
  <c r="BB207" i="3"/>
  <c r="BA207" i="3"/>
  <c r="AZ207" i="3"/>
  <c r="AY207" i="3"/>
  <c r="AX207" i="3"/>
  <c r="AW207" i="3"/>
  <c r="AV207" i="3"/>
  <c r="AU207" i="3"/>
  <c r="AT207" i="3"/>
  <c r="AS207" i="3"/>
  <c r="AR207" i="3"/>
  <c r="AQ207" i="3"/>
  <c r="AP207" i="3"/>
  <c r="AO207" i="3"/>
  <c r="AN207" i="3"/>
  <c r="AM207" i="3"/>
  <c r="E207" i="3"/>
  <c r="E615" i="3" s="1"/>
  <c r="D207" i="3"/>
  <c r="D615" i="3" s="1"/>
  <c r="C207" i="3"/>
  <c r="C615" i="3" s="1"/>
  <c r="B207" i="3"/>
  <c r="B615" i="3" s="1"/>
  <c r="A207" i="3"/>
  <c r="BS206" i="3"/>
  <c r="BR206" i="3"/>
  <c r="BQ206" i="3"/>
  <c r="BP206" i="3"/>
  <c r="BO206" i="3"/>
  <c r="BN206" i="3"/>
  <c r="BM206" i="3"/>
  <c r="BL206" i="3"/>
  <c r="BK206" i="3"/>
  <c r="BJ206" i="3"/>
  <c r="BI206" i="3"/>
  <c r="BH206" i="3"/>
  <c r="BG206" i="3"/>
  <c r="BF206" i="3"/>
  <c r="BE206" i="3"/>
  <c r="BD206" i="3"/>
  <c r="BC206" i="3"/>
  <c r="BB206" i="3"/>
  <c r="BA206" i="3"/>
  <c r="AZ206" i="3"/>
  <c r="AY206" i="3"/>
  <c r="AX206" i="3"/>
  <c r="AW206" i="3"/>
  <c r="AV206" i="3"/>
  <c r="AU206" i="3"/>
  <c r="AT206" i="3"/>
  <c r="AS206" i="3"/>
  <c r="AR206" i="3"/>
  <c r="AQ206" i="3"/>
  <c r="AP206" i="3"/>
  <c r="AO206" i="3"/>
  <c r="AN206" i="3"/>
  <c r="AM206" i="3"/>
  <c r="E206" i="3"/>
  <c r="E614" i="3" s="1"/>
  <c r="D206" i="3"/>
  <c r="D614" i="3" s="1"/>
  <c r="C206" i="3"/>
  <c r="C614" i="3" s="1"/>
  <c r="B206" i="3"/>
  <c r="B614" i="3" s="1"/>
  <c r="A206" i="3"/>
  <c r="A614" i="3" s="1"/>
  <c r="BS205" i="3"/>
  <c r="BR205" i="3"/>
  <c r="BQ205" i="3"/>
  <c r="BP205" i="3"/>
  <c r="BO205" i="3"/>
  <c r="BN205" i="3"/>
  <c r="BM205" i="3"/>
  <c r="BL205" i="3"/>
  <c r="BK205" i="3"/>
  <c r="BJ205" i="3"/>
  <c r="BI205" i="3"/>
  <c r="BH205" i="3"/>
  <c r="BG205" i="3"/>
  <c r="BF205" i="3"/>
  <c r="BE205" i="3"/>
  <c r="BD205" i="3"/>
  <c r="BC205" i="3"/>
  <c r="BB205" i="3"/>
  <c r="BA205" i="3"/>
  <c r="AZ205" i="3"/>
  <c r="AY205" i="3"/>
  <c r="AX205" i="3"/>
  <c r="AW205" i="3"/>
  <c r="AV205" i="3"/>
  <c r="AU205" i="3"/>
  <c r="AT205" i="3"/>
  <c r="AS205" i="3"/>
  <c r="AR205" i="3"/>
  <c r="AQ205" i="3"/>
  <c r="AP205" i="3"/>
  <c r="AO205" i="3"/>
  <c r="AN205" i="3"/>
  <c r="AM205" i="3"/>
  <c r="E205" i="3"/>
  <c r="E613" i="3" s="1"/>
  <c r="D205" i="3"/>
  <c r="D613" i="3" s="1"/>
  <c r="C205" i="3"/>
  <c r="C613" i="3" s="1"/>
  <c r="B205" i="3"/>
  <c r="B613" i="3" s="1"/>
  <c r="A205" i="3"/>
  <c r="BS204" i="3"/>
  <c r="BR204" i="3"/>
  <c r="BQ204" i="3"/>
  <c r="BP204" i="3"/>
  <c r="BO204" i="3"/>
  <c r="BN204" i="3"/>
  <c r="BM204" i="3"/>
  <c r="BL204" i="3"/>
  <c r="BK204" i="3"/>
  <c r="BJ204" i="3"/>
  <c r="BI204" i="3"/>
  <c r="BH204" i="3"/>
  <c r="BG204" i="3"/>
  <c r="BF204" i="3"/>
  <c r="BE204" i="3"/>
  <c r="BD204" i="3"/>
  <c r="BC204" i="3"/>
  <c r="BB204" i="3"/>
  <c r="BA204" i="3"/>
  <c r="AZ204" i="3"/>
  <c r="AY204" i="3"/>
  <c r="AX204" i="3"/>
  <c r="AW204" i="3"/>
  <c r="AV204" i="3"/>
  <c r="AU204" i="3"/>
  <c r="AT204" i="3"/>
  <c r="AS204" i="3"/>
  <c r="AR204" i="3"/>
  <c r="AQ204" i="3"/>
  <c r="AP204" i="3"/>
  <c r="AO204" i="3"/>
  <c r="AN204" i="3"/>
  <c r="AM204" i="3"/>
  <c r="E204" i="3"/>
  <c r="E612" i="3" s="1"/>
  <c r="D204" i="3"/>
  <c r="D612" i="3" s="1"/>
  <c r="C204" i="3"/>
  <c r="C612" i="3" s="1"/>
  <c r="B204" i="3"/>
  <c r="B612" i="3" s="1"/>
  <c r="A204" i="3"/>
  <c r="BS203" i="3"/>
  <c r="BR203" i="3"/>
  <c r="BQ203" i="3"/>
  <c r="BP203" i="3"/>
  <c r="BO203" i="3"/>
  <c r="BN203" i="3"/>
  <c r="BM203" i="3"/>
  <c r="BL203" i="3"/>
  <c r="BK203" i="3"/>
  <c r="BJ203" i="3"/>
  <c r="BI203" i="3"/>
  <c r="BH203" i="3"/>
  <c r="BG203" i="3"/>
  <c r="BF203" i="3"/>
  <c r="BE203" i="3"/>
  <c r="BD203" i="3"/>
  <c r="BC203" i="3"/>
  <c r="BB203" i="3"/>
  <c r="BA203" i="3"/>
  <c r="AZ203" i="3"/>
  <c r="AY203" i="3"/>
  <c r="AX203" i="3"/>
  <c r="AW203" i="3"/>
  <c r="AV203" i="3"/>
  <c r="AU203" i="3"/>
  <c r="AT203" i="3"/>
  <c r="AS203" i="3"/>
  <c r="AR203" i="3"/>
  <c r="AQ203" i="3"/>
  <c r="AP203" i="3"/>
  <c r="AO203" i="3"/>
  <c r="AN203" i="3"/>
  <c r="AM203" i="3"/>
  <c r="E203" i="3"/>
  <c r="E611" i="3" s="1"/>
  <c r="D203" i="3"/>
  <c r="D611" i="3" s="1"/>
  <c r="C203" i="3"/>
  <c r="C611" i="3" s="1"/>
  <c r="B203" i="3"/>
  <c r="A203" i="3"/>
  <c r="BS202" i="3"/>
  <c r="BR202" i="3"/>
  <c r="BQ202" i="3"/>
  <c r="BP202" i="3"/>
  <c r="BO202" i="3"/>
  <c r="BN202" i="3"/>
  <c r="BM202" i="3"/>
  <c r="BL202" i="3"/>
  <c r="BK202" i="3"/>
  <c r="BJ202" i="3"/>
  <c r="BI202" i="3"/>
  <c r="BH202" i="3"/>
  <c r="BG202" i="3"/>
  <c r="BF202" i="3"/>
  <c r="BE202" i="3"/>
  <c r="BD202" i="3"/>
  <c r="BC202" i="3"/>
  <c r="BB202" i="3"/>
  <c r="BA202" i="3"/>
  <c r="AZ202" i="3"/>
  <c r="AY202" i="3"/>
  <c r="AX202" i="3"/>
  <c r="AW202" i="3"/>
  <c r="AV202" i="3"/>
  <c r="AU202" i="3"/>
  <c r="AT202" i="3"/>
  <c r="AS202" i="3"/>
  <c r="AR202" i="3"/>
  <c r="AQ202" i="3"/>
  <c r="AP202" i="3"/>
  <c r="AO202" i="3"/>
  <c r="AN202" i="3"/>
  <c r="AM202" i="3"/>
  <c r="E202" i="3"/>
  <c r="E610" i="3" s="1"/>
  <c r="D202" i="3"/>
  <c r="D610" i="3" s="1"/>
  <c r="C202" i="3"/>
  <c r="B202" i="3"/>
  <c r="B610" i="3" s="1"/>
  <c r="A202" i="3"/>
  <c r="BS201" i="3"/>
  <c r="BR201" i="3"/>
  <c r="BQ201" i="3"/>
  <c r="BP201" i="3"/>
  <c r="BO201" i="3"/>
  <c r="BN201" i="3"/>
  <c r="BM201" i="3"/>
  <c r="BL201" i="3"/>
  <c r="BK201" i="3"/>
  <c r="BJ201" i="3"/>
  <c r="BI201" i="3"/>
  <c r="BH201" i="3"/>
  <c r="BG201" i="3"/>
  <c r="BF201" i="3"/>
  <c r="BE201" i="3"/>
  <c r="BD201" i="3"/>
  <c r="BC201" i="3"/>
  <c r="BB201" i="3"/>
  <c r="BA201" i="3"/>
  <c r="AZ201" i="3"/>
  <c r="AY201" i="3"/>
  <c r="AX201" i="3"/>
  <c r="AW201" i="3"/>
  <c r="AV201" i="3"/>
  <c r="AU201" i="3"/>
  <c r="AT201" i="3"/>
  <c r="AS201" i="3"/>
  <c r="AR201" i="3"/>
  <c r="AQ201" i="3"/>
  <c r="AP201" i="3"/>
  <c r="AO201" i="3"/>
  <c r="AN201" i="3"/>
  <c r="AM201" i="3"/>
  <c r="E201" i="3"/>
  <c r="E609" i="3" s="1"/>
  <c r="D201" i="3"/>
  <c r="D609" i="3" s="1"/>
  <c r="C201" i="3"/>
  <c r="C609" i="3" s="1"/>
  <c r="B201" i="3"/>
  <c r="B609" i="3" s="1"/>
  <c r="A201" i="3"/>
  <c r="A609" i="3" s="1"/>
  <c r="BS200" i="3"/>
  <c r="BR200" i="3"/>
  <c r="BQ200" i="3"/>
  <c r="BP200" i="3"/>
  <c r="BO200" i="3"/>
  <c r="BN200" i="3"/>
  <c r="BM200" i="3"/>
  <c r="BL200" i="3"/>
  <c r="BK200" i="3"/>
  <c r="BJ200" i="3"/>
  <c r="BI200" i="3"/>
  <c r="BH200" i="3"/>
  <c r="BG200" i="3"/>
  <c r="BF200" i="3"/>
  <c r="BE200" i="3"/>
  <c r="BD200" i="3"/>
  <c r="BC200" i="3"/>
  <c r="BB200" i="3"/>
  <c r="BA200" i="3"/>
  <c r="AZ200" i="3"/>
  <c r="AY200" i="3"/>
  <c r="AX200" i="3"/>
  <c r="AW200" i="3"/>
  <c r="AV200" i="3"/>
  <c r="AU200" i="3"/>
  <c r="AT200" i="3"/>
  <c r="AS200" i="3"/>
  <c r="AR200" i="3"/>
  <c r="AQ200" i="3"/>
  <c r="AP200" i="3"/>
  <c r="AO200" i="3"/>
  <c r="AN200" i="3"/>
  <c r="AM200" i="3"/>
  <c r="E200" i="3"/>
  <c r="B200" i="3"/>
  <c r="A200" i="3"/>
  <c r="BS199" i="3"/>
  <c r="BR199" i="3"/>
  <c r="BQ199" i="3"/>
  <c r="BP199" i="3"/>
  <c r="BO199" i="3"/>
  <c r="BN199" i="3"/>
  <c r="BM199" i="3"/>
  <c r="BL199" i="3"/>
  <c r="BK199" i="3"/>
  <c r="BJ199" i="3"/>
  <c r="BI199" i="3"/>
  <c r="BH199" i="3"/>
  <c r="BG199" i="3"/>
  <c r="BF199" i="3"/>
  <c r="BE199" i="3"/>
  <c r="BD199" i="3"/>
  <c r="BC199" i="3"/>
  <c r="BB199" i="3"/>
  <c r="BA199" i="3"/>
  <c r="AZ199" i="3"/>
  <c r="AY199" i="3"/>
  <c r="AX199" i="3"/>
  <c r="AW199" i="3"/>
  <c r="AV199" i="3"/>
  <c r="AU199" i="3"/>
  <c r="AT199" i="3"/>
  <c r="AS199" i="3"/>
  <c r="AR199" i="3"/>
  <c r="AQ199" i="3"/>
  <c r="AP199" i="3"/>
  <c r="AO199" i="3"/>
  <c r="AN199" i="3"/>
  <c r="AM199" i="3"/>
  <c r="E199" i="3"/>
  <c r="E199" i="2" s="1"/>
  <c r="B199" i="3"/>
  <c r="A199" i="3"/>
  <c r="A199" i="2" s="1"/>
  <c r="BS198" i="3"/>
  <c r="BR198" i="3"/>
  <c r="BQ198" i="3"/>
  <c r="BP198" i="3"/>
  <c r="BO198" i="3"/>
  <c r="BN198" i="3"/>
  <c r="BM198" i="3"/>
  <c r="BL198" i="3"/>
  <c r="BK198" i="3"/>
  <c r="BJ198" i="3"/>
  <c r="BI198" i="3"/>
  <c r="BH198" i="3"/>
  <c r="BG198" i="3"/>
  <c r="BF198" i="3"/>
  <c r="BE198" i="3"/>
  <c r="BD198" i="3"/>
  <c r="BC198" i="3"/>
  <c r="BB198" i="3"/>
  <c r="BA198" i="3"/>
  <c r="AZ198" i="3"/>
  <c r="AY198" i="3"/>
  <c r="AX198" i="3"/>
  <c r="AW198" i="3"/>
  <c r="AV198" i="3"/>
  <c r="AU198" i="3"/>
  <c r="AT198" i="3"/>
  <c r="AS198" i="3"/>
  <c r="AR198" i="3"/>
  <c r="AQ198" i="3"/>
  <c r="AP198" i="3"/>
  <c r="AO198" i="3"/>
  <c r="AN198" i="3"/>
  <c r="AM198" i="3"/>
  <c r="E198" i="3"/>
  <c r="D198" i="3"/>
  <c r="C198" i="3"/>
  <c r="C608" i="3" s="1"/>
  <c r="B198" i="3"/>
  <c r="B608" i="3" s="1"/>
  <c r="A198" i="3"/>
  <c r="A608" i="3" s="1"/>
  <c r="BS197" i="3"/>
  <c r="BR197" i="3"/>
  <c r="BQ197" i="3"/>
  <c r="BP197" i="3"/>
  <c r="BO197" i="3"/>
  <c r="BN197" i="3"/>
  <c r="BM197" i="3"/>
  <c r="BL197" i="3"/>
  <c r="BK197" i="3"/>
  <c r="BJ197" i="3"/>
  <c r="BI197" i="3"/>
  <c r="BH197" i="3"/>
  <c r="BG197" i="3"/>
  <c r="BF197" i="3"/>
  <c r="BE197" i="3"/>
  <c r="BD197" i="3"/>
  <c r="BC197" i="3"/>
  <c r="BB197" i="3"/>
  <c r="BA197" i="3"/>
  <c r="AZ197" i="3"/>
  <c r="AY197" i="3"/>
  <c r="AX197" i="3"/>
  <c r="AW197" i="3"/>
  <c r="AV197" i="3"/>
  <c r="AU197" i="3"/>
  <c r="AT197" i="3"/>
  <c r="AS197" i="3"/>
  <c r="AR197" i="3"/>
  <c r="AQ197" i="3"/>
  <c r="AP197" i="3"/>
  <c r="AO197" i="3"/>
  <c r="AN197" i="3"/>
  <c r="AM197" i="3"/>
  <c r="E197" i="3"/>
  <c r="E607" i="3" s="1"/>
  <c r="D197" i="3"/>
  <c r="D607" i="3" s="1"/>
  <c r="C197" i="3"/>
  <c r="C607" i="3" s="1"/>
  <c r="B197" i="3"/>
  <c r="B607" i="3" s="1"/>
  <c r="A197" i="3"/>
  <c r="A607" i="3" s="1"/>
  <c r="BS196" i="3"/>
  <c r="BR196" i="3"/>
  <c r="BQ196" i="3"/>
  <c r="BP196" i="3"/>
  <c r="BO196" i="3"/>
  <c r="BN196" i="3"/>
  <c r="BM196" i="3"/>
  <c r="BL196" i="3"/>
  <c r="BK196" i="3"/>
  <c r="BJ196" i="3"/>
  <c r="BI196" i="3"/>
  <c r="BH196" i="3"/>
  <c r="BG196" i="3"/>
  <c r="BF196" i="3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AS196" i="3"/>
  <c r="AR196" i="3"/>
  <c r="AQ196" i="3"/>
  <c r="AP196" i="3"/>
  <c r="AO196" i="3"/>
  <c r="AN196" i="3"/>
  <c r="AM196" i="3"/>
  <c r="E196" i="3"/>
  <c r="E606" i="3" s="1"/>
  <c r="D196" i="3"/>
  <c r="D606" i="3" s="1"/>
  <c r="C196" i="3"/>
  <c r="C606" i="3" s="1"/>
  <c r="B196" i="3"/>
  <c r="B606" i="3" s="1"/>
  <c r="A196" i="3"/>
  <c r="A606" i="3" s="1"/>
  <c r="BS195" i="3"/>
  <c r="BR195" i="3"/>
  <c r="BQ195" i="3"/>
  <c r="BP195" i="3"/>
  <c r="BO195" i="3"/>
  <c r="BN195" i="3"/>
  <c r="BM195" i="3"/>
  <c r="BL195" i="3"/>
  <c r="BK195" i="3"/>
  <c r="BJ195" i="3"/>
  <c r="BI195" i="3"/>
  <c r="BH195" i="3"/>
  <c r="BG195" i="3"/>
  <c r="BF195" i="3"/>
  <c r="BE195" i="3"/>
  <c r="BD195" i="3"/>
  <c r="BC195" i="3"/>
  <c r="BB195" i="3"/>
  <c r="BA195" i="3"/>
  <c r="AZ195" i="3"/>
  <c r="AY195" i="3"/>
  <c r="AX195" i="3"/>
  <c r="AW195" i="3"/>
  <c r="AV195" i="3"/>
  <c r="AU195" i="3"/>
  <c r="AT195" i="3"/>
  <c r="AS195" i="3"/>
  <c r="AR195" i="3"/>
  <c r="AQ195" i="3"/>
  <c r="AP195" i="3"/>
  <c r="AO195" i="3"/>
  <c r="AN195" i="3"/>
  <c r="AM195" i="3"/>
  <c r="E195" i="3"/>
  <c r="D195" i="3"/>
  <c r="D605" i="3" s="1"/>
  <c r="C195" i="3"/>
  <c r="C605" i="3" s="1"/>
  <c r="B195" i="3"/>
  <c r="B605" i="3" s="1"/>
  <c r="A195" i="3"/>
  <c r="A605" i="3" s="1"/>
  <c r="BS194" i="3"/>
  <c r="BR194" i="3"/>
  <c r="BQ194" i="3"/>
  <c r="BP194" i="3"/>
  <c r="BO194" i="3"/>
  <c r="BN194" i="3"/>
  <c r="BM194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E194" i="3"/>
  <c r="E604" i="3" s="1"/>
  <c r="D194" i="3"/>
  <c r="D604" i="3" s="1"/>
  <c r="C194" i="3"/>
  <c r="C604" i="3" s="1"/>
  <c r="B194" i="3"/>
  <c r="B604" i="3" s="1"/>
  <c r="A194" i="3"/>
  <c r="A604" i="3" s="1"/>
  <c r="BS193" i="3"/>
  <c r="BR193" i="3"/>
  <c r="BQ193" i="3"/>
  <c r="BP193" i="3"/>
  <c r="BO193" i="3"/>
  <c r="BN193" i="3"/>
  <c r="BM193" i="3"/>
  <c r="BL193" i="3"/>
  <c r="BK193" i="3"/>
  <c r="BJ193" i="3"/>
  <c r="BI193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N193" i="3"/>
  <c r="AM193" i="3"/>
  <c r="E193" i="3"/>
  <c r="E603" i="3" s="1"/>
  <c r="D193" i="3"/>
  <c r="D603" i="3" s="1"/>
  <c r="C193" i="3"/>
  <c r="C603" i="3" s="1"/>
  <c r="B193" i="3"/>
  <c r="B603" i="3" s="1"/>
  <c r="A193" i="3"/>
  <c r="A603" i="3" s="1"/>
  <c r="BS192" i="3"/>
  <c r="BR192" i="3"/>
  <c r="BQ192" i="3"/>
  <c r="BP192" i="3"/>
  <c r="BO192" i="3"/>
  <c r="BN192" i="3"/>
  <c r="BM192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E192" i="3"/>
  <c r="E602" i="3" s="1"/>
  <c r="D192" i="3"/>
  <c r="D602" i="3" s="1"/>
  <c r="C192" i="3"/>
  <c r="C602" i="3" s="1"/>
  <c r="B192" i="3"/>
  <c r="A192" i="3"/>
  <c r="A602" i="3" s="1"/>
  <c r="BS191" i="3"/>
  <c r="BR191" i="3"/>
  <c r="BQ191" i="3"/>
  <c r="BP191" i="3"/>
  <c r="BO191" i="3"/>
  <c r="BN191" i="3"/>
  <c r="BM191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E191" i="3"/>
  <c r="E601" i="3" s="1"/>
  <c r="D191" i="3"/>
  <c r="D601" i="3" s="1"/>
  <c r="C191" i="3"/>
  <c r="C601" i="3" s="1"/>
  <c r="B191" i="3"/>
  <c r="B601" i="3" s="1"/>
  <c r="A191" i="3"/>
  <c r="A601" i="3" s="1"/>
  <c r="BS190" i="3"/>
  <c r="BR190" i="3"/>
  <c r="BQ190" i="3"/>
  <c r="BP190" i="3"/>
  <c r="BO190" i="3"/>
  <c r="BN190" i="3"/>
  <c r="BM190" i="3"/>
  <c r="BL190" i="3"/>
  <c r="BK190" i="3"/>
  <c r="BJ190" i="3"/>
  <c r="BI190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E190" i="3"/>
  <c r="E600" i="3" s="1"/>
  <c r="D190" i="3"/>
  <c r="C190" i="3"/>
  <c r="C600" i="3" s="1"/>
  <c r="B190" i="3"/>
  <c r="B600" i="3" s="1"/>
  <c r="A190" i="3"/>
  <c r="A600" i="3" s="1"/>
  <c r="BS189" i="3"/>
  <c r="BR189" i="3"/>
  <c r="BQ189" i="3"/>
  <c r="BP189" i="3"/>
  <c r="BO189" i="3"/>
  <c r="BN189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E189" i="3"/>
  <c r="E599" i="3" s="1"/>
  <c r="D189" i="3"/>
  <c r="D599" i="3" s="1"/>
  <c r="C189" i="3"/>
  <c r="C599" i="3" s="1"/>
  <c r="B189" i="3"/>
  <c r="B599" i="3" s="1"/>
  <c r="A189" i="3"/>
  <c r="A599" i="3" s="1"/>
  <c r="BS188" i="3"/>
  <c r="BR188" i="3"/>
  <c r="BQ188" i="3"/>
  <c r="BP188" i="3"/>
  <c r="BO188" i="3"/>
  <c r="BN188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E188" i="3"/>
  <c r="E598" i="3" s="1"/>
  <c r="D188" i="3"/>
  <c r="D598" i="3" s="1"/>
  <c r="C188" i="3"/>
  <c r="C598" i="3" s="1"/>
  <c r="B188" i="3"/>
  <c r="B598" i="3" s="1"/>
  <c r="A188" i="3"/>
  <c r="A598" i="3" s="1"/>
  <c r="BS187" i="3"/>
  <c r="BR187" i="3"/>
  <c r="BQ187" i="3"/>
  <c r="BP187" i="3"/>
  <c r="BO187" i="3"/>
  <c r="BN187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E187" i="3"/>
  <c r="E597" i="3" s="1"/>
  <c r="D187" i="3"/>
  <c r="D597" i="3" s="1"/>
  <c r="C187" i="3"/>
  <c r="C597" i="3" s="1"/>
  <c r="B187" i="3"/>
  <c r="B597" i="3" s="1"/>
  <c r="A187" i="3"/>
  <c r="A597" i="3" s="1"/>
  <c r="BS186" i="3"/>
  <c r="BR186" i="3"/>
  <c r="BQ186" i="3"/>
  <c r="BP186" i="3"/>
  <c r="BO186" i="3"/>
  <c r="BN186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E186" i="3"/>
  <c r="E596" i="3" s="1"/>
  <c r="D186" i="3"/>
  <c r="C186" i="3"/>
  <c r="C596" i="3" s="1"/>
  <c r="B186" i="3"/>
  <c r="B596" i="3" s="1"/>
  <c r="A186" i="3"/>
  <c r="A596" i="3" s="1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E185" i="3"/>
  <c r="E595" i="3" s="1"/>
  <c r="D185" i="3"/>
  <c r="D595" i="3" s="1"/>
  <c r="C185" i="3"/>
  <c r="C595" i="3" s="1"/>
  <c r="B185" i="3"/>
  <c r="B595" i="3" s="1"/>
  <c r="A185" i="3"/>
  <c r="A595" i="3" s="1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E184" i="3"/>
  <c r="E594" i="3" s="1"/>
  <c r="D184" i="3"/>
  <c r="D594" i="3" s="1"/>
  <c r="C184" i="3"/>
  <c r="C594" i="3" s="1"/>
  <c r="B184" i="3"/>
  <c r="B594" i="3" s="1"/>
  <c r="A184" i="3"/>
  <c r="A594" i="3" s="1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E183" i="3"/>
  <c r="E593" i="3" s="1"/>
  <c r="D183" i="3"/>
  <c r="D593" i="3" s="1"/>
  <c r="C183" i="3"/>
  <c r="C593" i="3" s="1"/>
  <c r="B183" i="3"/>
  <c r="B593" i="3" s="1"/>
  <c r="A183" i="3"/>
  <c r="A593" i="3" s="1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E182" i="3"/>
  <c r="E592" i="3" s="1"/>
  <c r="D182" i="3"/>
  <c r="D592" i="3" s="1"/>
  <c r="C182" i="3"/>
  <c r="C592" i="3" s="1"/>
  <c r="B182" i="3"/>
  <c r="B592" i="3" s="1"/>
  <c r="A182" i="3"/>
  <c r="A592" i="3" s="1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E181" i="3"/>
  <c r="D181" i="3"/>
  <c r="C181" i="3"/>
  <c r="B181" i="3"/>
  <c r="A181" i="3"/>
  <c r="A591" i="3" s="1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E180" i="3"/>
  <c r="E590" i="3" s="1"/>
  <c r="D180" i="3"/>
  <c r="D590" i="3" s="1"/>
  <c r="C180" i="3"/>
  <c r="C590" i="3" s="1"/>
  <c r="B180" i="3"/>
  <c r="B590" i="3" s="1"/>
  <c r="A180" i="3"/>
  <c r="A590" i="3" s="1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E179" i="3"/>
  <c r="D179" i="3"/>
  <c r="C179" i="3"/>
  <c r="C589" i="3" s="1"/>
  <c r="B179" i="3"/>
  <c r="B589" i="3" s="1"/>
  <c r="A179" i="3"/>
  <c r="A589" i="3" s="1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E178" i="3"/>
  <c r="B178" i="3"/>
  <c r="A178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E177" i="3"/>
  <c r="B177" i="3"/>
  <c r="B177" i="2" s="1"/>
  <c r="A177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E176" i="3"/>
  <c r="B176" i="3"/>
  <c r="A176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E175" i="3"/>
  <c r="D175" i="3"/>
  <c r="D588" i="3" s="1"/>
  <c r="C175" i="3"/>
  <c r="C588" i="3" s="1"/>
  <c r="B175" i="3"/>
  <c r="B588" i="3" s="1"/>
  <c r="A175" i="3"/>
  <c r="A588" i="3" s="1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E174" i="3"/>
  <c r="D174" i="3"/>
  <c r="C174" i="3"/>
  <c r="C587" i="3" s="1"/>
  <c r="B174" i="3"/>
  <c r="B587" i="3" s="1"/>
  <c r="A174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E173" i="3"/>
  <c r="E586" i="3" s="1"/>
  <c r="D173" i="3"/>
  <c r="D586" i="3" s="1"/>
  <c r="C173" i="3"/>
  <c r="B173" i="3"/>
  <c r="B586" i="3" s="1"/>
  <c r="A173" i="3"/>
  <c r="A586" i="3" s="1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E172" i="3"/>
  <c r="E585" i="3" s="1"/>
  <c r="D172" i="3"/>
  <c r="C172" i="3"/>
  <c r="C585" i="3" s="1"/>
  <c r="B172" i="3"/>
  <c r="B585" i="3" s="1"/>
  <c r="A172" i="3"/>
  <c r="A585" i="3" s="1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E171" i="3"/>
  <c r="D171" i="3"/>
  <c r="D584" i="3" s="1"/>
  <c r="C171" i="3"/>
  <c r="C584" i="3" s="1"/>
  <c r="B171" i="3"/>
  <c r="B584" i="3" s="1"/>
  <c r="A171" i="3"/>
  <c r="A584" i="3" s="1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E170" i="3"/>
  <c r="D170" i="3"/>
  <c r="C170" i="3"/>
  <c r="B170" i="3"/>
  <c r="B583" i="3" s="1"/>
  <c r="A170" i="3"/>
  <c r="A583" i="3" s="1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E169" i="3"/>
  <c r="E582" i="3" s="1"/>
  <c r="D169" i="3"/>
  <c r="D582" i="3" s="1"/>
  <c r="C169" i="3"/>
  <c r="C582" i="3" s="1"/>
  <c r="B169" i="3"/>
  <c r="B582" i="3" s="1"/>
  <c r="A169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E168" i="3"/>
  <c r="E581" i="3" s="1"/>
  <c r="D168" i="3"/>
  <c r="D581" i="3" s="1"/>
  <c r="C168" i="3"/>
  <c r="C581" i="3" s="1"/>
  <c r="B168" i="3"/>
  <c r="B581" i="3" s="1"/>
  <c r="A168" i="3"/>
  <c r="A581" i="3" s="1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E167" i="3"/>
  <c r="E580" i="3" s="1"/>
  <c r="D167" i="3"/>
  <c r="D580" i="3" s="1"/>
  <c r="C167" i="3"/>
  <c r="C580" i="3" s="1"/>
  <c r="B167" i="3"/>
  <c r="B580" i="3" s="1"/>
  <c r="A167" i="3"/>
  <c r="A580" i="3" s="1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E166" i="3"/>
  <c r="D166" i="3"/>
  <c r="D579" i="3" s="1"/>
  <c r="C166" i="3"/>
  <c r="C579" i="3" s="1"/>
  <c r="B166" i="3"/>
  <c r="B579" i="3" s="1"/>
  <c r="A166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E165" i="3"/>
  <c r="E578" i="3" s="1"/>
  <c r="D165" i="3"/>
  <c r="D578" i="3" s="1"/>
  <c r="C165" i="3"/>
  <c r="C578" i="3" s="1"/>
  <c r="B165" i="3"/>
  <c r="B578" i="3" s="1"/>
  <c r="A165" i="3"/>
  <c r="A578" i="3" s="1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E164" i="3"/>
  <c r="D164" i="3"/>
  <c r="D577" i="3" s="1"/>
  <c r="C164" i="3"/>
  <c r="C577" i="3" s="1"/>
  <c r="B164" i="3"/>
  <c r="B577" i="3" s="1"/>
  <c r="A164" i="3"/>
  <c r="A577" i="3" s="1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E163" i="3"/>
  <c r="E576" i="3" s="1"/>
  <c r="D163" i="3"/>
  <c r="D576" i="3" s="1"/>
  <c r="C163" i="3"/>
  <c r="B163" i="3"/>
  <c r="B576" i="3" s="1"/>
  <c r="A163" i="3"/>
  <c r="A576" i="3" s="1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E162" i="3"/>
  <c r="E575" i="3" s="1"/>
  <c r="D162" i="3"/>
  <c r="D575" i="3" s="1"/>
  <c r="C162" i="3"/>
  <c r="C575" i="3" s="1"/>
  <c r="B162" i="3"/>
  <c r="B575" i="3" s="1"/>
  <c r="A162" i="3"/>
  <c r="A575" i="3" s="1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E161" i="3"/>
  <c r="E574" i="3" s="1"/>
  <c r="D161" i="3"/>
  <c r="C161" i="3"/>
  <c r="B161" i="3"/>
  <c r="A161" i="3"/>
  <c r="A574" i="3" s="1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E160" i="3"/>
  <c r="E573" i="3" s="1"/>
  <c r="D160" i="3"/>
  <c r="D573" i="3" s="1"/>
  <c r="C160" i="3"/>
  <c r="C573" i="3" s="1"/>
  <c r="B160" i="3"/>
  <c r="B573" i="3" s="1"/>
  <c r="A160" i="3"/>
  <c r="A573" i="3" s="1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E159" i="3"/>
  <c r="E572" i="3" s="1"/>
  <c r="D159" i="3"/>
  <c r="C159" i="3"/>
  <c r="C572" i="3" s="1"/>
  <c r="B159" i="3"/>
  <c r="A159" i="3"/>
  <c r="A572" i="3" s="1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E158" i="3"/>
  <c r="E571" i="3" s="1"/>
  <c r="D158" i="3"/>
  <c r="D571" i="3" s="1"/>
  <c r="C158" i="3"/>
  <c r="C571" i="3" s="1"/>
  <c r="B158" i="3"/>
  <c r="B571" i="3" s="1"/>
  <c r="A158" i="3"/>
  <c r="A571" i="3" s="1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E157" i="3"/>
  <c r="E570" i="3" s="1"/>
  <c r="D157" i="3"/>
  <c r="D570" i="3" s="1"/>
  <c r="C157" i="3"/>
  <c r="C570" i="3" s="1"/>
  <c r="B157" i="3"/>
  <c r="B570" i="3" s="1"/>
  <c r="A157" i="3"/>
  <c r="A570" i="3" s="1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E156" i="3"/>
  <c r="D156" i="3"/>
  <c r="D569" i="3" s="1"/>
  <c r="C156" i="3"/>
  <c r="C569" i="3" s="1"/>
  <c r="B156" i="3"/>
  <c r="B569" i="3" s="1"/>
  <c r="A156" i="3"/>
  <c r="A569" i="3" s="1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E155" i="3"/>
  <c r="B155" i="3"/>
  <c r="A155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E154" i="3"/>
  <c r="B154" i="3"/>
  <c r="A154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E153" i="3"/>
  <c r="E568" i="3" s="1"/>
  <c r="D153" i="3"/>
  <c r="D568" i="3" s="1"/>
  <c r="C153" i="3"/>
  <c r="C568" i="3" s="1"/>
  <c r="B153" i="3"/>
  <c r="B568" i="3" s="1"/>
  <c r="A153" i="3"/>
  <c r="A568" i="3" s="1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E152" i="3"/>
  <c r="E567" i="3" s="1"/>
  <c r="D152" i="3"/>
  <c r="D567" i="3" s="1"/>
  <c r="C152" i="3"/>
  <c r="C567" i="3" s="1"/>
  <c r="B152" i="3"/>
  <c r="B567" i="3" s="1"/>
  <c r="A152" i="3"/>
  <c r="A567" i="3" s="1"/>
  <c r="BS151" i="3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E151" i="3"/>
  <c r="E566" i="3" s="1"/>
  <c r="D151" i="3"/>
  <c r="D566" i="3" s="1"/>
  <c r="C151" i="3"/>
  <c r="C566" i="3" s="1"/>
  <c r="B151" i="3"/>
  <c r="A151" i="3"/>
  <c r="A566" i="3" s="1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E150" i="3"/>
  <c r="E565" i="3" s="1"/>
  <c r="D150" i="3"/>
  <c r="C150" i="3"/>
  <c r="C565" i="3" s="1"/>
  <c r="B150" i="3"/>
  <c r="A150" i="3"/>
  <c r="A565" i="3" s="1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E149" i="3"/>
  <c r="E564" i="3" s="1"/>
  <c r="D149" i="3"/>
  <c r="D564" i="3" s="1"/>
  <c r="C149" i="3"/>
  <c r="C564" i="3" s="1"/>
  <c r="B149" i="3"/>
  <c r="B564" i="3" s="1"/>
  <c r="A149" i="3"/>
  <c r="A564" i="3" s="1"/>
  <c r="BS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E148" i="3"/>
  <c r="E563" i="3" s="1"/>
  <c r="D148" i="3"/>
  <c r="D563" i="3" s="1"/>
  <c r="C148" i="3"/>
  <c r="B148" i="3"/>
  <c r="B563" i="3" s="1"/>
  <c r="A148" i="3"/>
  <c r="A563" i="3" s="1"/>
  <c r="BS147" i="3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E147" i="3"/>
  <c r="E562" i="3" s="1"/>
  <c r="D147" i="3"/>
  <c r="D562" i="3" s="1"/>
  <c r="C147" i="3"/>
  <c r="C562" i="3" s="1"/>
  <c r="B147" i="3"/>
  <c r="B562" i="3" s="1"/>
  <c r="A147" i="3"/>
  <c r="A562" i="3" s="1"/>
  <c r="BS146" i="3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E146" i="3"/>
  <c r="E561" i="3" s="1"/>
  <c r="D146" i="3"/>
  <c r="D561" i="3" s="1"/>
  <c r="C146" i="3"/>
  <c r="C561" i="3" s="1"/>
  <c r="B146" i="3"/>
  <c r="B561" i="3" s="1"/>
  <c r="A146" i="3"/>
  <c r="A561" i="3" s="1"/>
  <c r="BS145" i="3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E145" i="3"/>
  <c r="E560" i="3" s="1"/>
  <c r="D145" i="3"/>
  <c r="D560" i="3" s="1"/>
  <c r="C145" i="3"/>
  <c r="C560" i="3" s="1"/>
  <c r="B145" i="3"/>
  <c r="B560" i="3" s="1"/>
  <c r="A145" i="3"/>
  <c r="A560" i="3" s="1"/>
  <c r="BS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E144" i="3"/>
  <c r="E559" i="3" s="1"/>
  <c r="D144" i="3"/>
  <c r="D559" i="3" s="1"/>
  <c r="C144" i="3"/>
  <c r="C559" i="3" s="1"/>
  <c r="B144" i="3"/>
  <c r="B559" i="3" s="1"/>
  <c r="A144" i="3"/>
  <c r="A559" i="3" s="1"/>
  <c r="BS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E143" i="3"/>
  <c r="E558" i="3" s="1"/>
  <c r="D143" i="3"/>
  <c r="D558" i="3" s="1"/>
  <c r="C143" i="3"/>
  <c r="B143" i="3"/>
  <c r="A143" i="3"/>
  <c r="BS142" i="3"/>
  <c r="BR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E142" i="3"/>
  <c r="E557" i="3" s="1"/>
  <c r="D142" i="3"/>
  <c r="D557" i="3" s="1"/>
  <c r="C142" i="3"/>
  <c r="C557" i="3" s="1"/>
  <c r="B142" i="3"/>
  <c r="B557" i="3" s="1"/>
  <c r="A142" i="3"/>
  <c r="A557" i="3" s="1"/>
  <c r="BS141" i="3"/>
  <c r="BR141" i="3"/>
  <c r="BQ141" i="3"/>
  <c r="BP141" i="3"/>
  <c r="BO141" i="3"/>
  <c r="BN141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E141" i="3"/>
  <c r="D141" i="3"/>
  <c r="D556" i="3" s="1"/>
  <c r="C141" i="3"/>
  <c r="C556" i="3" s="1"/>
  <c r="B141" i="3"/>
  <c r="B556" i="3" s="1"/>
  <c r="A141" i="3"/>
  <c r="A556" i="3" s="1"/>
  <c r="BS140" i="3"/>
  <c r="BR140" i="3"/>
  <c r="BQ140" i="3"/>
  <c r="BP140" i="3"/>
  <c r="BO140" i="3"/>
  <c r="BN140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E140" i="3"/>
  <c r="E555" i="3" s="1"/>
  <c r="D140" i="3"/>
  <c r="C140" i="3"/>
  <c r="C555" i="3" s="1"/>
  <c r="B140" i="3"/>
  <c r="B555" i="3" s="1"/>
  <c r="A140" i="3"/>
  <c r="BS139" i="3"/>
  <c r="BR139" i="3"/>
  <c r="BQ139" i="3"/>
  <c r="BP139" i="3"/>
  <c r="BO139" i="3"/>
  <c r="BN139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E139" i="3"/>
  <c r="E554" i="3" s="1"/>
  <c r="D139" i="3"/>
  <c r="D554" i="3" s="1"/>
  <c r="C139" i="3"/>
  <c r="C554" i="3" s="1"/>
  <c r="B139" i="3"/>
  <c r="B554" i="3" s="1"/>
  <c r="A139" i="3"/>
  <c r="A554" i="3" s="1"/>
  <c r="BS138" i="3"/>
  <c r="BR138" i="3"/>
  <c r="BQ138" i="3"/>
  <c r="BP138" i="3"/>
  <c r="BO138" i="3"/>
  <c r="BN138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E138" i="3"/>
  <c r="E553" i="3" s="1"/>
  <c r="D138" i="3"/>
  <c r="D553" i="3" s="1"/>
  <c r="C138" i="3"/>
  <c r="C553" i="3" s="1"/>
  <c r="B138" i="3"/>
  <c r="B553" i="3" s="1"/>
  <c r="A138" i="3"/>
  <c r="A553" i="3" s="1"/>
  <c r="BS137" i="3"/>
  <c r="BR137" i="3"/>
  <c r="BQ137" i="3"/>
  <c r="BP137" i="3"/>
  <c r="BO137" i="3"/>
  <c r="BN137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E137" i="3"/>
  <c r="D137" i="3"/>
  <c r="D552" i="3" s="1"/>
  <c r="C137" i="3"/>
  <c r="B137" i="3"/>
  <c r="B552" i="3" s="1"/>
  <c r="A137" i="3"/>
  <c r="A552" i="3" s="1"/>
  <c r="BS136" i="3"/>
  <c r="BR136" i="3"/>
  <c r="BQ136" i="3"/>
  <c r="BP136" i="3"/>
  <c r="BO136" i="3"/>
  <c r="BN136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E136" i="3"/>
  <c r="E551" i="3" s="1"/>
  <c r="D136" i="3"/>
  <c r="D551" i="3" s="1"/>
  <c r="C136" i="3"/>
  <c r="C551" i="3" s="1"/>
  <c r="B136" i="3"/>
  <c r="B551" i="3" s="1"/>
  <c r="A136" i="3"/>
  <c r="A551" i="3" s="1"/>
  <c r="BS135" i="3"/>
  <c r="BR135" i="3"/>
  <c r="BQ135" i="3"/>
  <c r="BP135" i="3"/>
  <c r="BO135" i="3"/>
  <c r="BN135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E135" i="3"/>
  <c r="E550" i="3" s="1"/>
  <c r="D135" i="3"/>
  <c r="D550" i="3" s="1"/>
  <c r="C135" i="3"/>
  <c r="C550" i="3" s="1"/>
  <c r="B135" i="3"/>
  <c r="B550" i="3" s="1"/>
  <c r="A135" i="3"/>
  <c r="A550" i="3" s="1"/>
  <c r="BS134" i="3"/>
  <c r="BR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E134" i="3"/>
  <c r="E549" i="3" s="1"/>
  <c r="D134" i="3"/>
  <c r="D549" i="3" s="1"/>
  <c r="C134" i="3"/>
  <c r="C549" i="3" s="1"/>
  <c r="B134" i="3"/>
  <c r="B549" i="3" s="1"/>
  <c r="A134" i="3"/>
  <c r="A549" i="3" s="1"/>
  <c r="BS133" i="3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E133" i="3"/>
  <c r="B133" i="3"/>
  <c r="A133" i="3"/>
  <c r="BS132" i="3"/>
  <c r="BR132" i="3"/>
  <c r="BQ132" i="3"/>
  <c r="BP132" i="3"/>
  <c r="BO132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E132" i="3"/>
  <c r="E548" i="3" s="1"/>
  <c r="D132" i="3"/>
  <c r="C132" i="3"/>
  <c r="B132" i="3"/>
  <c r="A132" i="3"/>
  <c r="A548" i="3" s="1"/>
  <c r="BS131" i="3"/>
  <c r="BR131" i="3"/>
  <c r="BQ131" i="3"/>
  <c r="BP131" i="3"/>
  <c r="BO131" i="3"/>
  <c r="BN131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E131" i="3"/>
  <c r="D131" i="3"/>
  <c r="C131" i="3"/>
  <c r="B131" i="3"/>
  <c r="B547" i="3" s="1"/>
  <c r="A131" i="3"/>
  <c r="A547" i="3" s="1"/>
  <c r="BS130" i="3"/>
  <c r="BR130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E130" i="3"/>
  <c r="D130" i="3"/>
  <c r="D546" i="3" s="1"/>
  <c r="C130" i="3"/>
  <c r="C546" i="3" s="1"/>
  <c r="B130" i="3"/>
  <c r="B546" i="3" s="1"/>
  <c r="A130" i="3"/>
  <c r="A546" i="3" s="1"/>
  <c r="BS129" i="3"/>
  <c r="BR129" i="3"/>
  <c r="BQ129" i="3"/>
  <c r="BP129" i="3"/>
  <c r="BO12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E129" i="3"/>
  <c r="E545" i="3" s="1"/>
  <c r="D129" i="3"/>
  <c r="D545" i="3" s="1"/>
  <c r="C129" i="3"/>
  <c r="C545" i="3" s="1"/>
  <c r="B129" i="3"/>
  <c r="B545" i="3" s="1"/>
  <c r="A129" i="3"/>
  <c r="A545" i="3" s="1"/>
  <c r="BS128" i="3"/>
  <c r="BR128" i="3"/>
  <c r="BQ128" i="3"/>
  <c r="BP128" i="3"/>
  <c r="BO128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E128" i="3"/>
  <c r="E544" i="3" s="1"/>
  <c r="D128" i="3"/>
  <c r="D544" i="3" s="1"/>
  <c r="C128" i="3"/>
  <c r="C544" i="3" s="1"/>
  <c r="B128" i="3"/>
  <c r="B544" i="3" s="1"/>
  <c r="A128" i="3"/>
  <c r="A544" i="3" s="1"/>
  <c r="BS127" i="3"/>
  <c r="BR127" i="3"/>
  <c r="BQ127" i="3"/>
  <c r="BP127" i="3"/>
  <c r="BO127" i="3"/>
  <c r="BN127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E127" i="3"/>
  <c r="E543" i="3" s="1"/>
  <c r="D127" i="3"/>
  <c r="C127" i="3"/>
  <c r="B127" i="3"/>
  <c r="B543" i="3" s="1"/>
  <c r="A127" i="3"/>
  <c r="A543" i="3" s="1"/>
  <c r="BS126" i="3"/>
  <c r="BR126" i="3"/>
  <c r="BQ126" i="3"/>
  <c r="BP126" i="3"/>
  <c r="BO126" i="3"/>
  <c r="BN126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E126" i="3"/>
  <c r="E542" i="3" s="1"/>
  <c r="D126" i="3"/>
  <c r="D542" i="3" s="1"/>
  <c r="C126" i="3"/>
  <c r="C542" i="3" s="1"/>
  <c r="B126" i="3"/>
  <c r="A126" i="3"/>
  <c r="A542" i="3" s="1"/>
  <c r="BS125" i="3"/>
  <c r="BR125" i="3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E125" i="3"/>
  <c r="E541" i="3" s="1"/>
  <c r="D125" i="3"/>
  <c r="D541" i="3" s="1"/>
  <c r="C125" i="3"/>
  <c r="C541" i="3" s="1"/>
  <c r="B125" i="3"/>
  <c r="A125" i="3"/>
  <c r="A541" i="3" s="1"/>
  <c r="BS124" i="3"/>
  <c r="BR124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E124" i="3"/>
  <c r="E540" i="3" s="1"/>
  <c r="D124" i="3"/>
  <c r="D540" i="3" s="1"/>
  <c r="C124" i="3"/>
  <c r="B124" i="3"/>
  <c r="B540" i="3" s="1"/>
  <c r="A124" i="3"/>
  <c r="A540" i="3" s="1"/>
  <c r="BS123" i="3"/>
  <c r="BR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E123" i="3"/>
  <c r="E539" i="3" s="1"/>
  <c r="D123" i="3"/>
  <c r="D539" i="3" s="1"/>
  <c r="C123" i="3"/>
  <c r="C539" i="3" s="1"/>
  <c r="B123" i="3"/>
  <c r="B539" i="3" s="1"/>
  <c r="A123" i="3"/>
  <c r="A539" i="3" s="1"/>
  <c r="BS122" i="3"/>
  <c r="BR122" i="3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E122" i="3"/>
  <c r="E538" i="3" s="1"/>
  <c r="D122" i="3"/>
  <c r="D538" i="3" s="1"/>
  <c r="C122" i="3"/>
  <c r="C538" i="3" s="1"/>
  <c r="B122" i="3"/>
  <c r="B538" i="3" s="1"/>
  <c r="A122" i="3"/>
  <c r="A538" i="3" s="1"/>
  <c r="BS121" i="3"/>
  <c r="BR121" i="3"/>
  <c r="BQ121" i="3"/>
  <c r="BP121" i="3"/>
  <c r="BO121" i="3"/>
  <c r="BN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E121" i="3"/>
  <c r="E537" i="3" s="1"/>
  <c r="D121" i="3"/>
  <c r="D537" i="3" s="1"/>
  <c r="C121" i="3"/>
  <c r="C537" i="3" s="1"/>
  <c r="B121" i="3"/>
  <c r="B537" i="3" s="1"/>
  <c r="A121" i="3"/>
  <c r="A537" i="3" s="1"/>
  <c r="BS120" i="3"/>
  <c r="BR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E120" i="3"/>
  <c r="E536" i="3" s="1"/>
  <c r="D120" i="3"/>
  <c r="D536" i="3" s="1"/>
  <c r="C120" i="3"/>
  <c r="C536" i="3" s="1"/>
  <c r="B120" i="3"/>
  <c r="A120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E119" i="3"/>
  <c r="E535" i="3" s="1"/>
  <c r="D119" i="3"/>
  <c r="D535" i="3" s="1"/>
  <c r="C119" i="3"/>
  <c r="C535" i="3" s="1"/>
  <c r="B119" i="3"/>
  <c r="B535" i="3" s="1"/>
  <c r="A119" i="3"/>
  <c r="BS118" i="3"/>
  <c r="BR118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E118" i="3"/>
  <c r="E534" i="3" s="1"/>
  <c r="D118" i="3"/>
  <c r="C118" i="3"/>
  <c r="C534" i="3" s="1"/>
  <c r="B118" i="3"/>
  <c r="B534" i="3" s="1"/>
  <c r="A118" i="3"/>
  <c r="A534" i="3" s="1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E117" i="3"/>
  <c r="D117" i="3"/>
  <c r="D533" i="3" s="1"/>
  <c r="C117" i="3"/>
  <c r="C533" i="3" s="1"/>
  <c r="B117" i="3"/>
  <c r="B533" i="3" s="1"/>
  <c r="A117" i="3"/>
  <c r="A533" i="3" s="1"/>
  <c r="BS116" i="3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E116" i="3"/>
  <c r="E532" i="3" s="1"/>
  <c r="D116" i="3"/>
  <c r="D532" i="3" s="1"/>
  <c r="C116" i="3"/>
  <c r="C532" i="3" s="1"/>
  <c r="B116" i="3"/>
  <c r="B532" i="3" s="1"/>
  <c r="A116" i="3"/>
  <c r="A532" i="3" s="1"/>
  <c r="BS115" i="3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E115" i="3"/>
  <c r="E531" i="3" s="1"/>
  <c r="D115" i="3"/>
  <c r="D531" i="3" s="1"/>
  <c r="C115" i="3"/>
  <c r="C531" i="3" s="1"/>
  <c r="B115" i="3"/>
  <c r="B531" i="3" s="1"/>
  <c r="A115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E114" i="3"/>
  <c r="E530" i="3" s="1"/>
  <c r="D114" i="3"/>
  <c r="D530" i="3" s="1"/>
  <c r="C114" i="3"/>
  <c r="B114" i="3"/>
  <c r="A114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E113" i="3"/>
  <c r="E529" i="3" s="1"/>
  <c r="D113" i="3"/>
  <c r="D529" i="3" s="1"/>
  <c r="C113" i="3"/>
  <c r="C529" i="3" s="1"/>
  <c r="B113" i="3"/>
  <c r="B529" i="3" s="1"/>
  <c r="A113" i="3"/>
  <c r="A529" i="3" s="1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E112" i="3"/>
  <c r="E112" i="2" s="1"/>
  <c r="B112" i="3"/>
  <c r="A112" i="3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E111" i="3"/>
  <c r="E528" i="3" s="1"/>
  <c r="D111" i="3"/>
  <c r="D528" i="3" s="1"/>
  <c r="C111" i="3"/>
  <c r="C528" i="3" s="1"/>
  <c r="B111" i="3"/>
  <c r="B528" i="3" s="1"/>
  <c r="A111" i="3"/>
  <c r="A528" i="3" s="1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E110" i="3"/>
  <c r="E527" i="3" s="1"/>
  <c r="D110" i="3"/>
  <c r="C110" i="3"/>
  <c r="B110" i="3"/>
  <c r="A110" i="3"/>
  <c r="A527" i="3" s="1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E109" i="3"/>
  <c r="E526" i="3" s="1"/>
  <c r="D109" i="3"/>
  <c r="D526" i="3" s="1"/>
  <c r="C109" i="3"/>
  <c r="C526" i="3" s="1"/>
  <c r="B109" i="3"/>
  <c r="B526" i="3" s="1"/>
  <c r="A109" i="3"/>
  <c r="A526" i="3" s="1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E108" i="3"/>
  <c r="E525" i="3" s="1"/>
  <c r="D108" i="3"/>
  <c r="D525" i="3" s="1"/>
  <c r="C108" i="3"/>
  <c r="C525" i="3" s="1"/>
  <c r="B108" i="3"/>
  <c r="B525" i="3" s="1"/>
  <c r="A108" i="3"/>
  <c r="A525" i="3" s="1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E107" i="3"/>
  <c r="E524" i="3" s="1"/>
  <c r="D107" i="3"/>
  <c r="D524" i="3" s="1"/>
  <c r="C107" i="3"/>
  <c r="C524" i="3" s="1"/>
  <c r="B107" i="3"/>
  <c r="B524" i="3" s="1"/>
  <c r="A107" i="3"/>
  <c r="A524" i="3" s="1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E106" i="3"/>
  <c r="E523" i="3" s="1"/>
  <c r="D106" i="3"/>
  <c r="D523" i="3" s="1"/>
  <c r="C106" i="3"/>
  <c r="C523" i="3" s="1"/>
  <c r="B106" i="3"/>
  <c r="B523" i="3" s="1"/>
  <c r="A106" i="3"/>
  <c r="A523" i="3" s="1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E105" i="3"/>
  <c r="D105" i="3"/>
  <c r="C105" i="3"/>
  <c r="C522" i="3" s="1"/>
  <c r="B105" i="3"/>
  <c r="B522" i="3" s="1"/>
  <c r="A105" i="3"/>
  <c r="A522" i="3" s="1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E104" i="3"/>
  <c r="E521" i="3" s="1"/>
  <c r="D104" i="3"/>
  <c r="D521" i="3" s="1"/>
  <c r="C104" i="3"/>
  <c r="C521" i="3" s="1"/>
  <c r="B104" i="3"/>
  <c r="B521" i="3" s="1"/>
  <c r="A104" i="3"/>
  <c r="A521" i="3" s="1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E103" i="3"/>
  <c r="E520" i="3" s="1"/>
  <c r="D103" i="3"/>
  <c r="D520" i="3" s="1"/>
  <c r="C103" i="3"/>
  <c r="C520" i="3" s="1"/>
  <c r="B103" i="3"/>
  <c r="B520" i="3" s="1"/>
  <c r="A103" i="3"/>
  <c r="A520" i="3" s="1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E102" i="3"/>
  <c r="D102" i="3"/>
  <c r="C102" i="3"/>
  <c r="C519" i="3" s="1"/>
  <c r="B102" i="3"/>
  <c r="B519" i="3" s="1"/>
  <c r="A102" i="3"/>
  <c r="A519" i="3" s="1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E101" i="3"/>
  <c r="D101" i="3"/>
  <c r="C101" i="3"/>
  <c r="C518" i="3" s="1"/>
  <c r="B101" i="3"/>
  <c r="B518" i="3" s="1"/>
  <c r="A101" i="3"/>
  <c r="A518" i="3" s="1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E100" i="3"/>
  <c r="D100" i="3"/>
  <c r="D517" i="3" s="1"/>
  <c r="C100" i="3"/>
  <c r="C517" i="3" s="1"/>
  <c r="B100" i="3"/>
  <c r="B517" i="3" s="1"/>
  <c r="A100" i="3"/>
  <c r="A517" i="3" s="1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E99" i="3"/>
  <c r="E516" i="3" s="1"/>
  <c r="D99" i="3"/>
  <c r="D516" i="3" s="1"/>
  <c r="C99" i="3"/>
  <c r="B99" i="3"/>
  <c r="B516" i="3" s="1"/>
  <c r="A99" i="3"/>
  <c r="A516" i="3" s="1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E98" i="3"/>
  <c r="E515" i="3" s="1"/>
  <c r="D98" i="3"/>
  <c r="D515" i="3" s="1"/>
  <c r="C98" i="3"/>
  <c r="C515" i="3" s="1"/>
  <c r="B98" i="3"/>
  <c r="B515" i="3" s="1"/>
  <c r="A98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E97" i="3"/>
  <c r="E514" i="3" s="1"/>
  <c r="D97" i="3"/>
  <c r="D514" i="3" s="1"/>
  <c r="C97" i="3"/>
  <c r="C514" i="3" s="1"/>
  <c r="B97" i="3"/>
  <c r="B514" i="3" s="1"/>
  <c r="A97" i="3"/>
  <c r="A514" i="3" s="1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E96" i="3"/>
  <c r="E513" i="3" s="1"/>
  <c r="D96" i="3"/>
  <c r="D513" i="3" s="1"/>
  <c r="C96" i="3"/>
  <c r="C513" i="3" s="1"/>
  <c r="B96" i="3"/>
  <c r="B513" i="3" s="1"/>
  <c r="A96" i="3"/>
  <c r="A513" i="3" s="1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E95" i="3"/>
  <c r="E512" i="3" s="1"/>
  <c r="D95" i="3"/>
  <c r="D512" i="3" s="1"/>
  <c r="C95" i="3"/>
  <c r="C512" i="3" s="1"/>
  <c r="B95" i="3"/>
  <c r="B512" i="3" s="1"/>
  <c r="A95" i="3"/>
  <c r="A512" i="3" s="1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E94" i="3"/>
  <c r="E511" i="3" s="1"/>
  <c r="D94" i="3"/>
  <c r="D511" i="3" s="1"/>
  <c r="C94" i="3"/>
  <c r="C511" i="3" s="1"/>
  <c r="B94" i="3"/>
  <c r="B511" i="3" s="1"/>
  <c r="A94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E93" i="3"/>
  <c r="E510" i="3" s="1"/>
  <c r="D93" i="3"/>
  <c r="C93" i="3"/>
  <c r="B93" i="3"/>
  <c r="A93" i="3"/>
  <c r="A510" i="3" s="1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E92" i="3"/>
  <c r="E509" i="3" s="1"/>
  <c r="D92" i="3"/>
  <c r="D509" i="3" s="1"/>
  <c r="C92" i="3"/>
  <c r="C509" i="3" s="1"/>
  <c r="B92" i="3"/>
  <c r="B509" i="3" s="1"/>
  <c r="A92" i="3"/>
  <c r="A509" i="3" s="1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E91" i="3"/>
  <c r="B91" i="3"/>
  <c r="A91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E90" i="3"/>
  <c r="B90" i="3"/>
  <c r="A90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E89" i="3"/>
  <c r="E508" i="3" s="1"/>
  <c r="D89" i="3"/>
  <c r="D508" i="3" s="1"/>
  <c r="C89" i="3"/>
  <c r="C508" i="3" s="1"/>
  <c r="B89" i="3"/>
  <c r="B508" i="3" s="1"/>
  <c r="A89" i="3"/>
  <c r="A508" i="3" s="1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E88" i="3"/>
  <c r="E507" i="3" s="1"/>
  <c r="D88" i="3"/>
  <c r="D507" i="3" s="1"/>
  <c r="C88" i="3"/>
  <c r="C507" i="3" s="1"/>
  <c r="B88" i="3"/>
  <c r="B507" i="3" s="1"/>
  <c r="A88" i="3"/>
  <c r="A507" i="3" s="1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E87" i="3"/>
  <c r="E506" i="3" s="1"/>
  <c r="D87" i="3"/>
  <c r="D506" i="3" s="1"/>
  <c r="C87" i="3"/>
  <c r="C506" i="3" s="1"/>
  <c r="B87" i="3"/>
  <c r="B506" i="3" s="1"/>
  <c r="A87" i="3"/>
  <c r="A506" i="3" s="1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E86" i="3"/>
  <c r="D86" i="3"/>
  <c r="C86" i="3"/>
  <c r="C505" i="3" s="1"/>
  <c r="B86" i="3"/>
  <c r="B505" i="3" s="1"/>
  <c r="A86" i="3"/>
  <c r="A505" i="3" s="1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E85" i="3"/>
  <c r="E504" i="3" s="1"/>
  <c r="D85" i="3"/>
  <c r="D504" i="3" s="1"/>
  <c r="C85" i="3"/>
  <c r="C504" i="3" s="1"/>
  <c r="B85" i="3"/>
  <c r="B504" i="3" s="1"/>
  <c r="A85" i="3"/>
  <c r="A504" i="3" s="1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E84" i="3"/>
  <c r="E503" i="3" s="1"/>
  <c r="D84" i="3"/>
  <c r="D503" i="3" s="1"/>
  <c r="C84" i="3"/>
  <c r="B84" i="3"/>
  <c r="B503" i="3" s="1"/>
  <c r="A84" i="3"/>
  <c r="A503" i="3" s="1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E83" i="3"/>
  <c r="E502" i="3" s="1"/>
  <c r="D83" i="3"/>
  <c r="D502" i="3" s="1"/>
  <c r="C83" i="3"/>
  <c r="C502" i="3" s="1"/>
  <c r="B83" i="3"/>
  <c r="B502" i="3" s="1"/>
  <c r="A83" i="3"/>
  <c r="A502" i="3" s="1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E82" i="3"/>
  <c r="E501" i="3" s="1"/>
  <c r="D82" i="3"/>
  <c r="D501" i="3" s="1"/>
  <c r="C82" i="3"/>
  <c r="C501" i="3" s="1"/>
  <c r="B82" i="3"/>
  <c r="B501" i="3" s="1"/>
  <c r="A82" i="3"/>
  <c r="A501" i="3" s="1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E81" i="3"/>
  <c r="D81" i="3"/>
  <c r="D500" i="3" s="1"/>
  <c r="C81" i="3"/>
  <c r="C500" i="3" s="1"/>
  <c r="B81" i="3"/>
  <c r="B500" i="3" s="1"/>
  <c r="A81" i="3"/>
  <c r="A500" i="3" s="1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E80" i="3"/>
  <c r="E499" i="3" s="1"/>
  <c r="D80" i="3"/>
  <c r="D499" i="3" s="1"/>
  <c r="C80" i="3"/>
  <c r="C499" i="3" s="1"/>
  <c r="B80" i="3"/>
  <c r="B499" i="3" s="1"/>
  <c r="A80" i="3"/>
  <c r="A499" i="3" s="1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E79" i="3"/>
  <c r="E498" i="3" s="1"/>
  <c r="D79" i="3"/>
  <c r="D498" i="3" s="1"/>
  <c r="C79" i="3"/>
  <c r="C498" i="3" s="1"/>
  <c r="B79" i="3"/>
  <c r="A79" i="3"/>
  <c r="A498" i="3" s="1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E78" i="3"/>
  <c r="E497" i="3" s="1"/>
  <c r="D78" i="3"/>
  <c r="D497" i="3" s="1"/>
  <c r="C78" i="3"/>
  <c r="C497" i="3" s="1"/>
  <c r="B78" i="3"/>
  <c r="B497" i="3" s="1"/>
  <c r="A78" i="3"/>
  <c r="A497" i="3" s="1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E77" i="3"/>
  <c r="E496" i="3" s="1"/>
  <c r="D77" i="3"/>
  <c r="D496" i="3" s="1"/>
  <c r="C77" i="3"/>
  <c r="C496" i="3" s="1"/>
  <c r="B77" i="3"/>
  <c r="B496" i="3" s="1"/>
  <c r="A77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E76" i="3"/>
  <c r="E495" i="3" s="1"/>
  <c r="D76" i="3"/>
  <c r="D495" i="3" s="1"/>
  <c r="C76" i="3"/>
  <c r="C495" i="3" s="1"/>
  <c r="B76" i="3"/>
  <c r="B495" i="3" s="1"/>
  <c r="A76" i="3"/>
  <c r="A495" i="3" s="1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E75" i="3"/>
  <c r="E494" i="3" s="1"/>
  <c r="D75" i="3"/>
  <c r="D494" i="3" s="1"/>
  <c r="C75" i="3"/>
  <c r="C494" i="3" s="1"/>
  <c r="B75" i="3"/>
  <c r="B494" i="3" s="1"/>
  <c r="A75" i="3"/>
  <c r="A494" i="3" s="1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E74" i="3"/>
  <c r="E493" i="3" s="1"/>
  <c r="D74" i="3"/>
  <c r="D493" i="3" s="1"/>
  <c r="C74" i="3"/>
  <c r="C493" i="3" s="1"/>
  <c r="B74" i="3"/>
  <c r="B493" i="3" s="1"/>
  <c r="A74" i="3"/>
  <c r="A493" i="3" s="1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E73" i="3"/>
  <c r="D73" i="3"/>
  <c r="C73" i="3"/>
  <c r="C492" i="3" s="1"/>
  <c r="B73" i="3"/>
  <c r="B492" i="3" s="1"/>
  <c r="A73" i="3"/>
  <c r="A492" i="3" s="1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E72" i="3"/>
  <c r="D72" i="3"/>
  <c r="C72" i="3"/>
  <c r="C491" i="3" s="1"/>
  <c r="B72" i="3"/>
  <c r="B491" i="3" s="1"/>
  <c r="A72" i="3"/>
  <c r="A491" i="3" s="1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E71" i="3"/>
  <c r="E490" i="3" s="1"/>
  <c r="D71" i="3"/>
  <c r="C71" i="3"/>
  <c r="C490" i="3" s="1"/>
  <c r="B71" i="3"/>
  <c r="A71" i="3"/>
  <c r="A490" i="3" s="1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E70" i="3"/>
  <c r="D70" i="3"/>
  <c r="D489" i="3" s="1"/>
  <c r="C70" i="3"/>
  <c r="C489" i="3" s="1"/>
  <c r="B70" i="3"/>
  <c r="B489" i="3" s="1"/>
  <c r="A70" i="3"/>
  <c r="A489" i="3" s="1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E69" i="3"/>
  <c r="B69" i="3"/>
  <c r="A69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E68" i="3"/>
  <c r="E488" i="3" s="1"/>
  <c r="D68" i="3"/>
  <c r="D488" i="3" s="1"/>
  <c r="C68" i="3"/>
  <c r="C488" i="3" s="1"/>
  <c r="B68" i="3"/>
  <c r="B488" i="3" s="1"/>
  <c r="A68" i="3"/>
  <c r="A488" i="3" s="1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E67" i="3"/>
  <c r="E487" i="3" s="1"/>
  <c r="D67" i="3"/>
  <c r="D487" i="3" s="1"/>
  <c r="C67" i="3"/>
  <c r="C487" i="3" s="1"/>
  <c r="B67" i="3"/>
  <c r="B487" i="3" s="1"/>
  <c r="A67" i="3"/>
  <c r="A487" i="3" s="1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E66" i="3"/>
  <c r="E486" i="3" s="1"/>
  <c r="D66" i="3"/>
  <c r="D486" i="3" s="1"/>
  <c r="C66" i="3"/>
  <c r="C486" i="3" s="1"/>
  <c r="B66" i="3"/>
  <c r="B486" i="3" s="1"/>
  <c r="A66" i="3"/>
  <c r="A486" i="3" s="1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E65" i="3"/>
  <c r="E485" i="3" s="1"/>
  <c r="D65" i="3"/>
  <c r="D485" i="3" s="1"/>
  <c r="C65" i="3"/>
  <c r="C485" i="3" s="1"/>
  <c r="B65" i="3"/>
  <c r="B485" i="3" s="1"/>
  <c r="A65" i="3"/>
  <c r="A485" i="3" s="1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E64" i="3"/>
  <c r="E484" i="3" s="1"/>
  <c r="D64" i="3"/>
  <c r="D484" i="3" s="1"/>
  <c r="C64" i="3"/>
  <c r="C484" i="3" s="1"/>
  <c r="B64" i="3"/>
  <c r="B484" i="3" s="1"/>
  <c r="A64" i="3"/>
  <c r="A484" i="3" s="1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E63" i="3"/>
  <c r="E483" i="3" s="1"/>
  <c r="D63" i="3"/>
  <c r="D483" i="3" s="1"/>
  <c r="C63" i="3"/>
  <c r="C483" i="3" s="1"/>
  <c r="B63" i="3"/>
  <c r="B483" i="3" s="1"/>
  <c r="A63" i="3"/>
  <c r="A483" i="3" s="1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E62" i="3"/>
  <c r="E482" i="3" s="1"/>
  <c r="D62" i="3"/>
  <c r="D482" i="3" s="1"/>
  <c r="C62" i="3"/>
  <c r="C482" i="3" s="1"/>
  <c r="B62" i="3"/>
  <c r="B482" i="3" s="1"/>
  <c r="A62" i="3"/>
  <c r="A482" i="3" s="1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E61" i="3"/>
  <c r="E481" i="3" s="1"/>
  <c r="D61" i="3"/>
  <c r="D481" i="3" s="1"/>
  <c r="C61" i="3"/>
  <c r="C481" i="3" s="1"/>
  <c r="B61" i="3"/>
  <c r="B481" i="3" s="1"/>
  <c r="A61" i="3"/>
  <c r="A481" i="3" s="1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E60" i="3"/>
  <c r="E480" i="3" s="1"/>
  <c r="D60" i="3"/>
  <c r="C60" i="3"/>
  <c r="B60" i="3"/>
  <c r="A60" i="3"/>
  <c r="A480" i="3" s="1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E59" i="3"/>
  <c r="E479" i="3" s="1"/>
  <c r="D59" i="3"/>
  <c r="D479" i="3" s="1"/>
  <c r="C59" i="3"/>
  <c r="C479" i="3" s="1"/>
  <c r="B59" i="3"/>
  <c r="B479" i="3" s="1"/>
  <c r="A59" i="3"/>
  <c r="A479" i="3" s="1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E58" i="3"/>
  <c r="D58" i="3"/>
  <c r="C58" i="3"/>
  <c r="B58" i="3"/>
  <c r="B478" i="3" s="1"/>
  <c r="A58" i="3"/>
  <c r="A478" i="3" s="1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E57" i="3"/>
  <c r="D57" i="3"/>
  <c r="D477" i="3" s="1"/>
  <c r="C57" i="3"/>
  <c r="B57" i="3"/>
  <c r="B477" i="3" s="1"/>
  <c r="A57" i="3"/>
  <c r="A477" i="3" s="1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E56" i="3"/>
  <c r="E476" i="3" s="1"/>
  <c r="D56" i="3"/>
  <c r="D476" i="3" s="1"/>
  <c r="C56" i="3"/>
  <c r="C476" i="3" s="1"/>
  <c r="B56" i="3"/>
  <c r="B476" i="3" s="1"/>
  <c r="A56" i="3"/>
  <c r="A476" i="3" s="1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E55" i="3"/>
  <c r="E475" i="3" s="1"/>
  <c r="D55" i="3"/>
  <c r="D475" i="3" s="1"/>
  <c r="C55" i="3"/>
  <c r="C475" i="3" s="1"/>
  <c r="B55" i="3"/>
  <c r="B475" i="3" s="1"/>
  <c r="A55" i="3"/>
  <c r="A475" i="3" s="1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E54" i="3"/>
  <c r="D54" i="3"/>
  <c r="D474" i="3" s="1"/>
  <c r="C54" i="3"/>
  <c r="C474" i="3" s="1"/>
  <c r="B54" i="3"/>
  <c r="B474" i="3" s="1"/>
  <c r="A54" i="3"/>
  <c r="A474" i="3" s="1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E53" i="3"/>
  <c r="D53" i="3"/>
  <c r="C53" i="3"/>
  <c r="C473" i="3" s="1"/>
  <c r="B53" i="3"/>
  <c r="B473" i="3" s="1"/>
  <c r="A53" i="3"/>
  <c r="A473" i="3" s="1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E52" i="3"/>
  <c r="E472" i="3" s="1"/>
  <c r="D52" i="3"/>
  <c r="D472" i="3" s="1"/>
  <c r="C52" i="3"/>
  <c r="B52" i="3"/>
  <c r="B472" i="3" s="1"/>
  <c r="A52" i="3"/>
  <c r="A472" i="3" s="1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E51" i="3"/>
  <c r="E471" i="3" s="1"/>
  <c r="D51" i="3"/>
  <c r="D471" i="3" s="1"/>
  <c r="C51" i="3"/>
  <c r="C471" i="3" s="1"/>
  <c r="B51" i="3"/>
  <c r="B471" i="3" s="1"/>
  <c r="A51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E50" i="3"/>
  <c r="E470" i="3" s="1"/>
  <c r="D50" i="3"/>
  <c r="D470" i="3" s="1"/>
  <c r="C50" i="3"/>
  <c r="C470" i="3" s="1"/>
  <c r="B50" i="3"/>
  <c r="B470" i="3" s="1"/>
  <c r="A50" i="3"/>
  <c r="A470" i="3" s="1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E49" i="3"/>
  <c r="E469" i="3" s="1"/>
  <c r="D49" i="3"/>
  <c r="D469" i="3" s="1"/>
  <c r="C49" i="3"/>
  <c r="C469" i="3" s="1"/>
  <c r="B49" i="3"/>
  <c r="B469" i="3" s="1"/>
  <c r="A49" i="3"/>
  <c r="A469" i="3" s="1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E48" i="3"/>
  <c r="B48" i="3"/>
  <c r="A48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E47" i="3"/>
  <c r="B47" i="3"/>
  <c r="A47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E46" i="3"/>
  <c r="E468" i="3" s="1"/>
  <c r="D46" i="3"/>
  <c r="D468" i="3" s="1"/>
  <c r="C46" i="3"/>
  <c r="C468" i="3" s="1"/>
  <c r="B46" i="3"/>
  <c r="B468" i="3" s="1"/>
  <c r="A46" i="3"/>
  <c r="A468" i="3" s="1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E45" i="3"/>
  <c r="D45" i="3"/>
  <c r="D467" i="3" s="1"/>
  <c r="C45" i="3"/>
  <c r="C467" i="3" s="1"/>
  <c r="B45" i="3"/>
  <c r="B467" i="3" s="1"/>
  <c r="A45" i="3"/>
  <c r="A467" i="3" s="1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E44" i="3"/>
  <c r="D44" i="3"/>
  <c r="D466" i="3" s="1"/>
  <c r="C44" i="3"/>
  <c r="C466" i="3" s="1"/>
  <c r="B44" i="3"/>
  <c r="B466" i="3" s="1"/>
  <c r="A44" i="3"/>
  <c r="A466" i="3" s="1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E43" i="3"/>
  <c r="E465" i="3" s="1"/>
  <c r="D43" i="3"/>
  <c r="D465" i="3" s="1"/>
  <c r="C43" i="3"/>
  <c r="C465" i="3" s="1"/>
  <c r="B43" i="3"/>
  <c r="B465" i="3" s="1"/>
  <c r="A43" i="3"/>
  <c r="A465" i="3" s="1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E42" i="3"/>
  <c r="E464" i="3" s="1"/>
  <c r="D42" i="3"/>
  <c r="D464" i="3" s="1"/>
  <c r="C42" i="3"/>
  <c r="C464" i="3" s="1"/>
  <c r="B42" i="3"/>
  <c r="B464" i="3" s="1"/>
  <c r="A42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E41" i="3"/>
  <c r="E463" i="3" s="1"/>
  <c r="D41" i="3"/>
  <c r="D463" i="3" s="1"/>
  <c r="C41" i="3"/>
  <c r="C463" i="3" s="1"/>
  <c r="B41" i="3"/>
  <c r="B463" i="3" s="1"/>
  <c r="A41" i="3"/>
  <c r="A463" i="3" s="1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E40" i="3"/>
  <c r="D40" i="3"/>
  <c r="C40" i="3"/>
  <c r="C462" i="3" s="1"/>
  <c r="B40" i="3"/>
  <c r="B462" i="3" s="1"/>
  <c r="A40" i="3"/>
  <c r="A462" i="3" s="1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E39" i="3"/>
  <c r="E461" i="3" s="1"/>
  <c r="D39" i="3"/>
  <c r="D461" i="3" s="1"/>
  <c r="C39" i="3"/>
  <c r="C461" i="3" s="1"/>
  <c r="B39" i="3"/>
  <c r="B461" i="3" s="1"/>
  <c r="A39" i="3"/>
  <c r="A461" i="3" s="1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E38" i="3"/>
  <c r="E460" i="3" s="1"/>
  <c r="D38" i="3"/>
  <c r="D460" i="3" s="1"/>
  <c r="C38" i="3"/>
  <c r="C460" i="3" s="1"/>
  <c r="B38" i="3"/>
  <c r="B460" i="3" s="1"/>
  <c r="A38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E37" i="3"/>
  <c r="E459" i="3" s="1"/>
  <c r="D37" i="3"/>
  <c r="D459" i="3" s="1"/>
  <c r="C37" i="3"/>
  <c r="C459" i="3" s="1"/>
  <c r="B37" i="3"/>
  <c r="B459" i="3" s="1"/>
  <c r="A37" i="3"/>
  <c r="A459" i="3" s="1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E36" i="3"/>
  <c r="E458" i="3" s="1"/>
  <c r="D36" i="3"/>
  <c r="C36" i="3"/>
  <c r="C458" i="3" s="1"/>
  <c r="B36" i="3"/>
  <c r="B458" i="3" s="1"/>
  <c r="A36" i="3"/>
  <c r="A458" i="3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E35" i="3"/>
  <c r="E457" i="3" s="1"/>
  <c r="D35" i="3"/>
  <c r="D457" i="3" s="1"/>
  <c r="C35" i="3"/>
  <c r="C457" i="3" s="1"/>
  <c r="B35" i="3"/>
  <c r="A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E34" i="3"/>
  <c r="E34" i="2" s="1"/>
  <c r="D34" i="3"/>
  <c r="D456" i="3" s="1"/>
  <c r="C34" i="3"/>
  <c r="C456" i="3" s="1"/>
  <c r="B34" i="3"/>
  <c r="B456" i="3" s="1"/>
  <c r="A34" i="3"/>
  <c r="A456" i="3" s="1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E33" i="3"/>
  <c r="D33" i="3"/>
  <c r="C33" i="3"/>
  <c r="B33" i="3"/>
  <c r="B455" i="3" s="1"/>
  <c r="A33" i="3"/>
  <c r="A455" i="3" s="1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E32" i="3"/>
  <c r="D32" i="3"/>
  <c r="D454" i="3" s="1"/>
  <c r="C32" i="3"/>
  <c r="C454" i="3" s="1"/>
  <c r="B32" i="3"/>
  <c r="B454" i="3" s="1"/>
  <c r="A32" i="3"/>
  <c r="A454" i="3" s="1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E31" i="3"/>
  <c r="D31" i="3"/>
  <c r="C31" i="3"/>
  <c r="C453" i="3" s="1"/>
  <c r="B31" i="3"/>
  <c r="B453" i="3" s="1"/>
  <c r="A31" i="3"/>
  <c r="A453" i="3" s="1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E30" i="3"/>
  <c r="E452" i="3" s="1"/>
  <c r="D30" i="3"/>
  <c r="D452" i="3" s="1"/>
  <c r="C30" i="3"/>
  <c r="B30" i="3"/>
  <c r="A30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E29" i="3"/>
  <c r="E451" i="3" s="1"/>
  <c r="D29" i="3"/>
  <c r="D451" i="3" s="1"/>
  <c r="C29" i="3"/>
  <c r="C451" i="3" s="1"/>
  <c r="B29" i="3"/>
  <c r="B451" i="3" s="1"/>
  <c r="A29" i="3"/>
  <c r="A451" i="3" s="1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E28" i="3"/>
  <c r="E450" i="3" s="1"/>
  <c r="D28" i="3"/>
  <c r="D450" i="3" s="1"/>
  <c r="C28" i="3"/>
  <c r="C450" i="3" s="1"/>
  <c r="B28" i="3"/>
  <c r="B450" i="3" s="1"/>
  <c r="A28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E27" i="3"/>
  <c r="E449" i="3" s="1"/>
  <c r="D27" i="3"/>
  <c r="D449" i="3" s="1"/>
  <c r="C27" i="3"/>
  <c r="C449" i="3" s="1"/>
  <c r="B27" i="3"/>
  <c r="B449" i="3" s="1"/>
  <c r="A27" i="3"/>
  <c r="A27" i="2" s="1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E26" i="3"/>
  <c r="B26" i="3"/>
  <c r="A26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E25" i="3"/>
  <c r="E25" i="2" s="1"/>
  <c r="B25" i="3"/>
  <c r="B25" i="2" s="1"/>
  <c r="A25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E24" i="3"/>
  <c r="B24" i="3"/>
  <c r="A24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E23" i="3"/>
  <c r="E448" i="3" s="1"/>
  <c r="D23" i="3"/>
  <c r="D448" i="3" s="1"/>
  <c r="C23" i="3"/>
  <c r="B23" i="3"/>
  <c r="A23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E22" i="3"/>
  <c r="E447" i="3" s="1"/>
  <c r="D22" i="3"/>
  <c r="D447" i="3" s="1"/>
  <c r="C22" i="3"/>
  <c r="C447" i="3" s="1"/>
  <c r="B22" i="3"/>
  <c r="B447" i="3" s="1"/>
  <c r="A22" i="3"/>
  <c r="A447" i="3" s="1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E21" i="3"/>
  <c r="E446" i="3" s="1"/>
  <c r="D21" i="3"/>
  <c r="D446" i="3" s="1"/>
  <c r="C21" i="3"/>
  <c r="C446" i="3" s="1"/>
  <c r="B21" i="3"/>
  <c r="B446" i="3" s="1"/>
  <c r="A21" i="3"/>
  <c r="A446" i="3" s="1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E20" i="3"/>
  <c r="E445" i="3" s="1"/>
  <c r="D20" i="3"/>
  <c r="D445" i="3" s="1"/>
  <c r="C20" i="3"/>
  <c r="C445" i="3" s="1"/>
  <c r="B20" i="3"/>
  <c r="B445" i="3" s="1"/>
  <c r="A20" i="3"/>
  <c r="A445" i="3" s="1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E19" i="3"/>
  <c r="E444" i="3" s="1"/>
  <c r="D19" i="3"/>
  <c r="D444" i="3" s="1"/>
  <c r="C19" i="3"/>
  <c r="C444" i="3" s="1"/>
  <c r="B19" i="3"/>
  <c r="B444" i="3" s="1"/>
  <c r="A19" i="3"/>
  <c r="A444" i="3" s="1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E18" i="3"/>
  <c r="D18" i="3"/>
  <c r="D443" i="3" s="1"/>
  <c r="C18" i="3"/>
  <c r="C443" i="3" s="1"/>
  <c r="B18" i="3"/>
  <c r="B443" i="3" s="1"/>
  <c r="A18" i="3"/>
  <c r="A443" i="3" s="1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E17" i="3"/>
  <c r="E442" i="3" s="1"/>
  <c r="D17" i="3"/>
  <c r="D442" i="3" s="1"/>
  <c r="C17" i="3"/>
  <c r="C442" i="3" s="1"/>
  <c r="B17" i="3"/>
  <c r="B442" i="3" s="1"/>
  <c r="A17" i="3"/>
  <c r="A442" i="3" s="1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E16" i="3"/>
  <c r="E441" i="3" s="1"/>
  <c r="D16" i="3"/>
  <c r="D441" i="3" s="1"/>
  <c r="C16" i="3"/>
  <c r="C441" i="3" s="1"/>
  <c r="B16" i="3"/>
  <c r="B441" i="3" s="1"/>
  <c r="A16" i="3"/>
  <c r="A441" i="3" s="1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E15" i="3"/>
  <c r="D15" i="3"/>
  <c r="D440" i="3" s="1"/>
  <c r="C15" i="3"/>
  <c r="C440" i="3" s="1"/>
  <c r="B15" i="3"/>
  <c r="A15" i="3"/>
  <c r="A440" i="3" s="1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E14" i="3"/>
  <c r="D14" i="3"/>
  <c r="C14" i="3"/>
  <c r="B14" i="3"/>
  <c r="A14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E13" i="3"/>
  <c r="E438" i="3" s="1"/>
  <c r="D13" i="3"/>
  <c r="D438" i="3" s="1"/>
  <c r="C13" i="3"/>
  <c r="C438" i="3" s="1"/>
  <c r="B13" i="3"/>
  <c r="A13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E12" i="3"/>
  <c r="E437" i="3" s="1"/>
  <c r="D12" i="3"/>
  <c r="D437" i="3" s="1"/>
  <c r="C12" i="3"/>
  <c r="C437" i="3" s="1"/>
  <c r="B12" i="3"/>
  <c r="B437" i="3" s="1"/>
  <c r="A12" i="3"/>
  <c r="A437" i="3" s="1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E11" i="3"/>
  <c r="E436" i="3" s="1"/>
  <c r="D11" i="3"/>
  <c r="D436" i="3" s="1"/>
  <c r="C11" i="3"/>
  <c r="C436" i="3" s="1"/>
  <c r="B11" i="3"/>
  <c r="B436" i="3" s="1"/>
  <c r="A11" i="3"/>
  <c r="A436" i="3" s="1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E10" i="3"/>
  <c r="E435" i="3" s="1"/>
  <c r="D10" i="3"/>
  <c r="D435" i="3" s="1"/>
  <c r="C10" i="3"/>
  <c r="C435" i="3" s="1"/>
  <c r="B10" i="3"/>
  <c r="B435" i="3" s="1"/>
  <c r="A10" i="3"/>
  <c r="A435" i="3" s="1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E9" i="3"/>
  <c r="E434" i="3" s="1"/>
  <c r="D9" i="3"/>
  <c r="C9" i="3"/>
  <c r="B9" i="3"/>
  <c r="A9" i="3"/>
  <c r="A434" i="3" s="1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E8" i="3"/>
  <c r="E433" i="3" s="1"/>
  <c r="D8" i="3"/>
  <c r="D433" i="3" s="1"/>
  <c r="C8" i="3"/>
  <c r="C433" i="3" s="1"/>
  <c r="B8" i="3"/>
  <c r="B433" i="3" s="1"/>
  <c r="A8" i="3"/>
  <c r="A433" i="3" s="1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E7" i="3"/>
  <c r="E432" i="3" s="1"/>
  <c r="D7" i="3"/>
  <c r="D432" i="3" s="1"/>
  <c r="C7" i="3"/>
  <c r="C432" i="3" s="1"/>
  <c r="B7" i="3"/>
  <c r="B432" i="3" s="1"/>
  <c r="A7" i="3"/>
  <c r="A432" i="3" s="1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E6" i="3"/>
  <c r="E431" i="3" s="1"/>
  <c r="D6" i="3"/>
  <c r="D6" i="2" s="1"/>
  <c r="C6" i="3"/>
  <c r="C431" i="3" s="1"/>
  <c r="B6" i="3"/>
  <c r="B431" i="3" s="1"/>
  <c r="A6" i="3"/>
  <c r="A431" i="3" s="1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E5" i="3"/>
  <c r="E430" i="3" s="1"/>
  <c r="D5" i="3"/>
  <c r="D430" i="3" s="1"/>
  <c r="C5" i="3"/>
  <c r="C430" i="3" s="1"/>
  <c r="B5" i="3"/>
  <c r="B430" i="3" s="1"/>
  <c r="A5" i="3"/>
  <c r="A430" i="3" s="1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E4" i="3"/>
  <c r="E429" i="3" s="1"/>
  <c r="D4" i="3"/>
  <c r="D429" i="3" s="1"/>
  <c r="C4" i="3"/>
  <c r="C429" i="3" s="1"/>
  <c r="B4" i="3"/>
  <c r="B429" i="3" s="1"/>
  <c r="A4" i="3"/>
  <c r="A429" i="3" s="1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E3" i="3"/>
  <c r="E3" i="2" s="1"/>
  <c r="B3" i="3"/>
  <c r="B3" i="2" s="1"/>
  <c r="A3" i="3"/>
  <c r="E2" i="3"/>
  <c r="D2" i="3"/>
  <c r="C2" i="3"/>
  <c r="B2" i="3"/>
  <c r="A2" i="3"/>
  <c r="A2" i="2" s="1"/>
  <c r="E411" i="2"/>
  <c r="D411" i="2"/>
  <c r="C411" i="2"/>
  <c r="A411" i="2"/>
  <c r="E410" i="2"/>
  <c r="D410" i="2"/>
  <c r="C410" i="2"/>
  <c r="B410" i="2"/>
  <c r="A410" i="2"/>
  <c r="E409" i="2"/>
  <c r="C409" i="2"/>
  <c r="B409" i="2"/>
  <c r="A409" i="2"/>
  <c r="E408" i="2"/>
  <c r="D408" i="2"/>
  <c r="C408" i="2"/>
  <c r="B408" i="2"/>
  <c r="A408" i="2"/>
  <c r="E407" i="2"/>
  <c r="D407" i="2"/>
  <c r="C407" i="2"/>
  <c r="B407" i="2"/>
  <c r="A407" i="2"/>
  <c r="E406" i="2"/>
  <c r="D406" i="2"/>
  <c r="C406" i="2"/>
  <c r="B406" i="2"/>
  <c r="A406" i="2"/>
  <c r="E405" i="2"/>
  <c r="D405" i="2"/>
  <c r="C405" i="2"/>
  <c r="B405" i="2"/>
  <c r="A405" i="2"/>
  <c r="E404" i="2"/>
  <c r="D404" i="2"/>
  <c r="C404" i="2"/>
  <c r="B404" i="2"/>
  <c r="A404" i="2"/>
  <c r="E403" i="2"/>
  <c r="D403" i="2"/>
  <c r="C403" i="2"/>
  <c r="B403" i="2"/>
  <c r="A403" i="2"/>
  <c r="E402" i="2"/>
  <c r="D402" i="2"/>
  <c r="C402" i="2"/>
  <c r="B402" i="2"/>
  <c r="A402" i="2"/>
  <c r="E401" i="2"/>
  <c r="D401" i="2"/>
  <c r="C401" i="2"/>
  <c r="B401" i="2"/>
  <c r="A401" i="2"/>
  <c r="E400" i="2"/>
  <c r="D400" i="2"/>
  <c r="A400" i="2"/>
  <c r="D399" i="2"/>
  <c r="C399" i="2"/>
  <c r="B399" i="2"/>
  <c r="A399" i="2"/>
  <c r="E398" i="2"/>
  <c r="D398" i="2"/>
  <c r="C398" i="2"/>
  <c r="B398" i="2"/>
  <c r="E397" i="2"/>
  <c r="D397" i="2"/>
  <c r="C397" i="2"/>
  <c r="B397" i="2"/>
  <c r="A397" i="2"/>
  <c r="E396" i="2"/>
  <c r="D396" i="2"/>
  <c r="C396" i="2"/>
  <c r="B396" i="2"/>
  <c r="A396" i="2"/>
  <c r="D395" i="2"/>
  <c r="C395" i="2"/>
  <c r="B395" i="2"/>
  <c r="A395" i="2"/>
  <c r="E394" i="2"/>
  <c r="D394" i="2"/>
  <c r="C394" i="2"/>
  <c r="B394" i="2"/>
  <c r="A394" i="2"/>
  <c r="E393" i="2"/>
  <c r="D393" i="2"/>
  <c r="C393" i="2"/>
  <c r="B393" i="2"/>
  <c r="A393" i="2"/>
  <c r="E392" i="2"/>
  <c r="D392" i="2"/>
  <c r="C392" i="2"/>
  <c r="B392" i="2"/>
  <c r="A392" i="2"/>
  <c r="D391" i="2"/>
  <c r="C391" i="2"/>
  <c r="B391" i="2"/>
  <c r="A391" i="2"/>
  <c r="E390" i="2"/>
  <c r="D390" i="2"/>
  <c r="C390" i="2"/>
  <c r="B390" i="2"/>
  <c r="A390" i="2"/>
  <c r="E389" i="2"/>
  <c r="D389" i="2"/>
  <c r="C389" i="2"/>
  <c r="B389" i="2"/>
  <c r="A389" i="2"/>
  <c r="E388" i="2"/>
  <c r="D388" i="2"/>
  <c r="C388" i="2"/>
  <c r="B388" i="2"/>
  <c r="A388" i="2"/>
  <c r="E387" i="2"/>
  <c r="D387" i="2"/>
  <c r="C387" i="2"/>
  <c r="B387" i="2"/>
  <c r="A387" i="2"/>
  <c r="E386" i="2"/>
  <c r="D386" i="2"/>
  <c r="C386" i="2"/>
  <c r="B386" i="2"/>
  <c r="A386" i="2"/>
  <c r="E385" i="2"/>
  <c r="D385" i="2"/>
  <c r="C385" i="2"/>
  <c r="B385" i="2"/>
  <c r="A385" i="2"/>
  <c r="E384" i="2"/>
  <c r="D384" i="2"/>
  <c r="C384" i="2"/>
  <c r="B384" i="2"/>
  <c r="A384" i="2"/>
  <c r="E383" i="2"/>
  <c r="D383" i="2"/>
  <c r="C383" i="2"/>
  <c r="B383" i="2"/>
  <c r="A383" i="2"/>
  <c r="E382" i="2"/>
  <c r="D382" i="2"/>
  <c r="C382" i="2"/>
  <c r="B382" i="2"/>
  <c r="A382" i="2"/>
  <c r="E381" i="2"/>
  <c r="D381" i="2"/>
  <c r="C381" i="2"/>
  <c r="B381" i="2"/>
  <c r="A381" i="2"/>
  <c r="C380" i="2"/>
  <c r="B380" i="2"/>
  <c r="A380" i="2"/>
  <c r="E379" i="2"/>
  <c r="D379" i="2"/>
  <c r="C379" i="2"/>
  <c r="B379" i="2"/>
  <c r="A379" i="2"/>
  <c r="E378" i="2"/>
  <c r="D378" i="2"/>
  <c r="C378" i="2"/>
  <c r="B378" i="2"/>
  <c r="A378" i="2"/>
  <c r="E377" i="2"/>
  <c r="D377" i="2"/>
  <c r="C377" i="2"/>
  <c r="B377" i="2"/>
  <c r="A377" i="2"/>
  <c r="E376" i="2"/>
  <c r="D376" i="2"/>
  <c r="C376" i="2"/>
  <c r="A376" i="2"/>
  <c r="E375" i="2"/>
  <c r="D375" i="2"/>
  <c r="C375" i="2"/>
  <c r="B375" i="2"/>
  <c r="A375" i="2"/>
  <c r="E374" i="2"/>
  <c r="D374" i="2"/>
  <c r="C374" i="2"/>
  <c r="B374" i="2"/>
  <c r="A374" i="2"/>
  <c r="E373" i="2"/>
  <c r="D373" i="2"/>
  <c r="C373" i="2"/>
  <c r="B373" i="2"/>
  <c r="A373" i="2"/>
  <c r="E372" i="2"/>
  <c r="D372" i="2"/>
  <c r="C372" i="2"/>
  <c r="B372" i="2"/>
  <c r="A372" i="2"/>
  <c r="E371" i="2"/>
  <c r="D371" i="2"/>
  <c r="C371" i="2"/>
  <c r="B371" i="2"/>
  <c r="A371" i="2"/>
  <c r="D370" i="2"/>
  <c r="C370" i="2"/>
  <c r="B370" i="2"/>
  <c r="A370" i="2"/>
  <c r="E369" i="2"/>
  <c r="D369" i="2"/>
  <c r="C369" i="2"/>
  <c r="B369" i="2"/>
  <c r="A369" i="2"/>
  <c r="E368" i="2"/>
  <c r="D368" i="2"/>
  <c r="C368" i="2"/>
  <c r="B368" i="2"/>
  <c r="A368" i="2"/>
  <c r="E367" i="2"/>
  <c r="D367" i="2"/>
  <c r="C367" i="2"/>
  <c r="B367" i="2"/>
  <c r="A367" i="2"/>
  <c r="E366" i="2"/>
  <c r="D366" i="2"/>
  <c r="C366" i="2"/>
  <c r="B366" i="2"/>
  <c r="A366" i="2"/>
  <c r="E365" i="2"/>
  <c r="D365" i="2"/>
  <c r="C365" i="2"/>
  <c r="B365" i="2"/>
  <c r="A365" i="2"/>
  <c r="E364" i="2"/>
  <c r="D364" i="2"/>
  <c r="C364" i="2"/>
  <c r="B364" i="2"/>
  <c r="A364" i="2"/>
  <c r="E363" i="2"/>
  <c r="D363" i="2"/>
  <c r="C363" i="2"/>
  <c r="B363" i="2"/>
  <c r="A363" i="2"/>
  <c r="E362" i="2"/>
  <c r="D362" i="2"/>
  <c r="C362" i="2"/>
  <c r="B362" i="2"/>
  <c r="A362" i="2"/>
  <c r="E361" i="2"/>
  <c r="D361" i="2"/>
  <c r="C361" i="2"/>
  <c r="B361" i="2"/>
  <c r="E360" i="2"/>
  <c r="B360" i="2"/>
  <c r="A360" i="2"/>
  <c r="E359" i="2"/>
  <c r="D359" i="2"/>
  <c r="C359" i="2"/>
  <c r="B359" i="2"/>
  <c r="A359" i="2"/>
  <c r="E358" i="2"/>
  <c r="D358" i="2"/>
  <c r="C358" i="2"/>
  <c r="B358" i="2"/>
  <c r="A358" i="2"/>
  <c r="E357" i="2"/>
  <c r="D357" i="2"/>
  <c r="C357" i="2"/>
  <c r="B357" i="2"/>
  <c r="A357" i="2"/>
  <c r="E356" i="2"/>
  <c r="D356" i="2"/>
  <c r="C356" i="2"/>
  <c r="B356" i="2"/>
  <c r="A356" i="2"/>
  <c r="E355" i="2"/>
  <c r="D355" i="2"/>
  <c r="C355" i="2"/>
  <c r="B355" i="2"/>
  <c r="E354" i="2"/>
  <c r="D354" i="2"/>
  <c r="C354" i="2"/>
  <c r="B354" i="2"/>
  <c r="A354" i="2"/>
  <c r="E353" i="2"/>
  <c r="D353" i="2"/>
  <c r="C353" i="2"/>
  <c r="B353" i="2"/>
  <c r="A353" i="2"/>
  <c r="E352" i="2"/>
  <c r="D352" i="2"/>
  <c r="C352" i="2"/>
  <c r="B352" i="2"/>
  <c r="A352" i="2"/>
  <c r="E351" i="2"/>
  <c r="D351" i="2"/>
  <c r="C351" i="2"/>
  <c r="B351" i="2"/>
  <c r="A351" i="2"/>
  <c r="E350" i="2"/>
  <c r="D350" i="2"/>
  <c r="C350" i="2"/>
  <c r="B350" i="2"/>
  <c r="A350" i="2"/>
  <c r="E349" i="2"/>
  <c r="D349" i="2"/>
  <c r="C349" i="2"/>
  <c r="B349" i="2"/>
  <c r="A349" i="2"/>
  <c r="E348" i="2"/>
  <c r="D348" i="2"/>
  <c r="C348" i="2"/>
  <c r="B348" i="2"/>
  <c r="A348" i="2"/>
  <c r="E347" i="2"/>
  <c r="D347" i="2"/>
  <c r="C347" i="2"/>
  <c r="B347" i="2"/>
  <c r="A347" i="2"/>
  <c r="E346" i="2"/>
  <c r="D346" i="2"/>
  <c r="C346" i="2"/>
  <c r="B346" i="2"/>
  <c r="A346" i="2"/>
  <c r="E345" i="2"/>
  <c r="D345" i="2"/>
  <c r="C345" i="2"/>
  <c r="B345" i="2"/>
  <c r="A345" i="2"/>
  <c r="E344" i="2"/>
  <c r="D344" i="2"/>
  <c r="C344" i="2"/>
  <c r="B344" i="2"/>
  <c r="A344" i="2"/>
  <c r="E343" i="2"/>
  <c r="D343" i="2"/>
  <c r="C343" i="2"/>
  <c r="B343" i="2"/>
  <c r="A343" i="2"/>
  <c r="E342" i="2"/>
  <c r="D342" i="2"/>
  <c r="C342" i="2"/>
  <c r="B342" i="2"/>
  <c r="A342" i="2"/>
  <c r="E341" i="2"/>
  <c r="D341" i="2"/>
  <c r="C341" i="2"/>
  <c r="B341" i="2"/>
  <c r="A341" i="2"/>
  <c r="E340" i="2"/>
  <c r="D340" i="2"/>
  <c r="C340" i="2"/>
  <c r="B340" i="2"/>
  <c r="A340" i="2"/>
  <c r="E339" i="2"/>
  <c r="D339" i="2"/>
  <c r="C339" i="2"/>
  <c r="B339" i="2"/>
  <c r="A339" i="2"/>
  <c r="E338" i="2"/>
  <c r="D338" i="2"/>
  <c r="C338" i="2"/>
  <c r="B338" i="2"/>
  <c r="A338" i="2"/>
  <c r="E337" i="2"/>
  <c r="D337" i="2"/>
  <c r="C337" i="2"/>
  <c r="B337" i="2"/>
  <c r="A337" i="2"/>
  <c r="E336" i="2"/>
  <c r="D336" i="2"/>
  <c r="C336" i="2"/>
  <c r="B336" i="2"/>
  <c r="A336" i="2"/>
  <c r="E335" i="2"/>
  <c r="D335" i="2"/>
  <c r="C335" i="2"/>
  <c r="B335" i="2"/>
  <c r="A335" i="2"/>
  <c r="E334" i="2"/>
  <c r="D334" i="2"/>
  <c r="C334" i="2"/>
  <c r="B334" i="2"/>
  <c r="A334" i="2"/>
  <c r="E333" i="2"/>
  <c r="D333" i="2"/>
  <c r="C333" i="2"/>
  <c r="B333" i="2"/>
  <c r="A333" i="2"/>
  <c r="E332" i="2"/>
  <c r="D332" i="2"/>
  <c r="C332" i="2"/>
  <c r="B332" i="2"/>
  <c r="A332" i="2"/>
  <c r="E331" i="2"/>
  <c r="D331" i="2"/>
  <c r="C331" i="2"/>
  <c r="B331" i="2"/>
  <c r="A331" i="2"/>
  <c r="E330" i="2"/>
  <c r="D330" i="2"/>
  <c r="C330" i="2"/>
  <c r="B330" i="2"/>
  <c r="A330" i="2"/>
  <c r="E329" i="2"/>
  <c r="D329" i="2"/>
  <c r="C329" i="2"/>
  <c r="B329" i="2"/>
  <c r="A329" i="2"/>
  <c r="E328" i="2"/>
  <c r="D328" i="2"/>
  <c r="C328" i="2"/>
  <c r="B328" i="2"/>
  <c r="E327" i="2"/>
  <c r="D327" i="2"/>
  <c r="C327" i="2"/>
  <c r="B327" i="2"/>
  <c r="A327" i="2"/>
  <c r="E326" i="2"/>
  <c r="D326" i="2"/>
  <c r="C326" i="2"/>
  <c r="B326" i="2"/>
  <c r="A326" i="2"/>
  <c r="E325" i="2"/>
  <c r="D325" i="2"/>
  <c r="C325" i="2"/>
  <c r="B325" i="2"/>
  <c r="A325" i="2"/>
  <c r="E324" i="2"/>
  <c r="D324" i="2"/>
  <c r="C324" i="2"/>
  <c r="B324" i="2"/>
  <c r="A324" i="2"/>
  <c r="D323" i="2"/>
  <c r="C323" i="2"/>
  <c r="B323" i="2"/>
  <c r="A323" i="2"/>
  <c r="E322" i="2"/>
  <c r="D322" i="2"/>
  <c r="C322" i="2"/>
  <c r="B322" i="2"/>
  <c r="A322" i="2"/>
  <c r="E321" i="2"/>
  <c r="D321" i="2"/>
  <c r="C321" i="2"/>
  <c r="B321" i="2"/>
  <c r="A321" i="2"/>
  <c r="E320" i="2"/>
  <c r="D320" i="2"/>
  <c r="C320" i="2"/>
  <c r="B320" i="2"/>
  <c r="A320" i="2"/>
  <c r="E319" i="2"/>
  <c r="D319" i="2"/>
  <c r="C319" i="2"/>
  <c r="B319" i="2"/>
  <c r="A319" i="2"/>
  <c r="D318" i="2"/>
  <c r="C318" i="2"/>
  <c r="B318" i="2"/>
  <c r="A318" i="2"/>
  <c r="E317" i="2"/>
  <c r="D317" i="2"/>
  <c r="C317" i="2"/>
  <c r="B317" i="2"/>
  <c r="A317" i="2"/>
  <c r="E316" i="2"/>
  <c r="D316" i="2"/>
  <c r="C316" i="2"/>
  <c r="B316" i="2"/>
  <c r="A316" i="2"/>
  <c r="E315" i="2"/>
  <c r="C315" i="2"/>
  <c r="B315" i="2"/>
  <c r="A315" i="2"/>
  <c r="E314" i="2"/>
  <c r="D314" i="2"/>
  <c r="C314" i="2"/>
  <c r="B314" i="2"/>
  <c r="A314" i="2"/>
  <c r="E313" i="2"/>
  <c r="D313" i="2"/>
  <c r="C313" i="2"/>
  <c r="B313" i="2"/>
  <c r="A313" i="2"/>
  <c r="E312" i="2"/>
  <c r="D312" i="2"/>
  <c r="C312" i="2"/>
  <c r="B312" i="2"/>
  <c r="D311" i="2"/>
  <c r="C311" i="2"/>
  <c r="B311" i="2"/>
  <c r="A311" i="2"/>
  <c r="E310" i="2"/>
  <c r="D310" i="2"/>
  <c r="B310" i="2"/>
  <c r="D309" i="2"/>
  <c r="C309" i="2"/>
  <c r="B309" i="2"/>
  <c r="A309" i="2"/>
  <c r="E308" i="2"/>
  <c r="D308" i="2"/>
  <c r="C308" i="2"/>
  <c r="B308" i="2"/>
  <c r="A308" i="2"/>
  <c r="E307" i="2"/>
  <c r="D307" i="2"/>
  <c r="C307" i="2"/>
  <c r="B307" i="2"/>
  <c r="A307" i="2"/>
  <c r="E306" i="2"/>
  <c r="D306" i="2"/>
  <c r="C306" i="2"/>
  <c r="B306" i="2"/>
  <c r="A306" i="2"/>
  <c r="E305" i="2"/>
  <c r="D305" i="2"/>
  <c r="C305" i="2"/>
  <c r="B305" i="2"/>
  <c r="A305" i="2"/>
  <c r="E304" i="2"/>
  <c r="D304" i="2"/>
  <c r="C304" i="2"/>
  <c r="B304" i="2"/>
  <c r="A304" i="2"/>
  <c r="E303" i="2"/>
  <c r="D303" i="2"/>
  <c r="C303" i="2"/>
  <c r="B303" i="2"/>
  <c r="A303" i="2"/>
  <c r="E302" i="2"/>
  <c r="D302" i="2"/>
  <c r="C302" i="2"/>
  <c r="B302" i="2"/>
  <c r="A302" i="2"/>
  <c r="E301" i="2"/>
  <c r="D301" i="2"/>
  <c r="C301" i="2"/>
  <c r="B301" i="2"/>
  <c r="A301" i="2"/>
  <c r="E300" i="2"/>
  <c r="D300" i="2"/>
  <c r="C300" i="2"/>
  <c r="B300" i="2"/>
  <c r="A300" i="2"/>
  <c r="E299" i="2"/>
  <c r="D299" i="2"/>
  <c r="C299" i="2"/>
  <c r="B299" i="2"/>
  <c r="A299" i="2"/>
  <c r="E298" i="2"/>
  <c r="D298" i="2"/>
  <c r="C298" i="2"/>
  <c r="B298" i="2"/>
  <c r="A298" i="2"/>
  <c r="E297" i="2"/>
  <c r="D297" i="2"/>
  <c r="C297" i="2"/>
  <c r="B297" i="2"/>
  <c r="A297" i="2"/>
  <c r="C296" i="2"/>
  <c r="A296" i="2"/>
  <c r="E295" i="2"/>
  <c r="D295" i="2"/>
  <c r="C295" i="2"/>
  <c r="B295" i="2"/>
  <c r="A295" i="2"/>
  <c r="E294" i="2"/>
  <c r="D294" i="2"/>
  <c r="C294" i="2"/>
  <c r="B294" i="2"/>
  <c r="A294" i="2"/>
  <c r="E293" i="2"/>
  <c r="D293" i="2"/>
  <c r="C293" i="2"/>
  <c r="B293" i="2"/>
  <c r="E292" i="2"/>
  <c r="C292" i="2"/>
  <c r="B292" i="2"/>
  <c r="A292" i="2"/>
  <c r="E291" i="2"/>
  <c r="D291" i="2"/>
  <c r="C291" i="2"/>
  <c r="B291" i="2"/>
  <c r="A291" i="2"/>
  <c r="E290" i="2"/>
  <c r="D290" i="2"/>
  <c r="C290" i="2"/>
  <c r="A290" i="2"/>
  <c r="E289" i="2"/>
  <c r="D289" i="2"/>
  <c r="C289" i="2"/>
  <c r="E288" i="2"/>
  <c r="C288" i="2"/>
  <c r="B288" i="2"/>
  <c r="E287" i="2"/>
  <c r="D287" i="2"/>
  <c r="C287" i="2"/>
  <c r="B287" i="2"/>
  <c r="A287" i="2"/>
  <c r="D286" i="2"/>
  <c r="C286" i="2"/>
  <c r="B286" i="2"/>
  <c r="A286" i="2"/>
  <c r="E285" i="2"/>
  <c r="D285" i="2"/>
  <c r="C285" i="2"/>
  <c r="B285" i="2"/>
  <c r="A285" i="2"/>
  <c r="E284" i="2"/>
  <c r="D284" i="2"/>
  <c r="C284" i="2"/>
  <c r="B284" i="2"/>
  <c r="A284" i="2"/>
  <c r="E283" i="2"/>
  <c r="D283" i="2"/>
  <c r="C283" i="2"/>
  <c r="B283" i="2"/>
  <c r="A283" i="2"/>
  <c r="D282" i="2"/>
  <c r="C282" i="2"/>
  <c r="B282" i="2"/>
  <c r="A282" i="2"/>
  <c r="E281" i="2"/>
  <c r="D281" i="2"/>
  <c r="C281" i="2"/>
  <c r="B281" i="2"/>
  <c r="A281" i="2"/>
  <c r="E280" i="2"/>
  <c r="D280" i="2"/>
  <c r="C280" i="2"/>
  <c r="B280" i="2"/>
  <c r="A280" i="2"/>
  <c r="E279" i="2"/>
  <c r="D279" i="2"/>
  <c r="C279" i="2"/>
  <c r="B279" i="2"/>
  <c r="A279" i="2"/>
  <c r="E278" i="2"/>
  <c r="D278" i="2"/>
  <c r="C278" i="2"/>
  <c r="B278" i="2"/>
  <c r="E277" i="2"/>
  <c r="D277" i="2"/>
  <c r="C277" i="2"/>
  <c r="B277" i="2"/>
  <c r="A277" i="2"/>
  <c r="E276" i="2"/>
  <c r="D276" i="2"/>
  <c r="C276" i="2"/>
  <c r="B276" i="2"/>
  <c r="A276" i="2"/>
  <c r="E275" i="2"/>
  <c r="D275" i="2"/>
  <c r="C275" i="2"/>
  <c r="B275" i="2"/>
  <c r="A275" i="2"/>
  <c r="E274" i="2"/>
  <c r="D274" i="2"/>
  <c r="C274" i="2"/>
  <c r="B274" i="2"/>
  <c r="A274" i="2"/>
  <c r="E273" i="2"/>
  <c r="D273" i="2"/>
  <c r="C273" i="2"/>
  <c r="B273" i="2"/>
  <c r="A273" i="2"/>
  <c r="E272" i="2"/>
  <c r="D272" i="2"/>
  <c r="C272" i="2"/>
  <c r="B272" i="2"/>
  <c r="A272" i="2"/>
  <c r="E271" i="2"/>
  <c r="D271" i="2"/>
  <c r="C271" i="2"/>
  <c r="B271" i="2"/>
  <c r="A271" i="2"/>
  <c r="E270" i="2"/>
  <c r="D270" i="2"/>
  <c r="C270" i="2"/>
  <c r="B270" i="2"/>
  <c r="A270" i="2"/>
  <c r="E269" i="2"/>
  <c r="D269" i="2"/>
  <c r="C269" i="2"/>
  <c r="B269" i="2"/>
  <c r="A269" i="2"/>
  <c r="E268" i="2"/>
  <c r="D268" i="2"/>
  <c r="C268" i="2"/>
  <c r="B268" i="2"/>
  <c r="A268" i="2"/>
  <c r="E267" i="2"/>
  <c r="D267" i="2"/>
  <c r="C267" i="2"/>
  <c r="B267" i="2"/>
  <c r="A267" i="2"/>
  <c r="E266" i="2"/>
  <c r="D266" i="2"/>
  <c r="C266" i="2"/>
  <c r="B266" i="2"/>
  <c r="A266" i="2"/>
  <c r="E265" i="2"/>
  <c r="D265" i="2"/>
  <c r="C265" i="2"/>
  <c r="A265" i="2"/>
  <c r="E264" i="2"/>
  <c r="D264" i="2"/>
  <c r="C264" i="2"/>
  <c r="B264" i="2"/>
  <c r="A264" i="2"/>
  <c r="E263" i="2"/>
  <c r="D263" i="2"/>
  <c r="C263" i="2"/>
  <c r="B263" i="2"/>
  <c r="A263" i="2"/>
  <c r="E262" i="2"/>
  <c r="D262" i="2"/>
  <c r="C262" i="2"/>
  <c r="B262" i="2"/>
  <c r="A262" i="2"/>
  <c r="D261" i="2"/>
  <c r="B261" i="2"/>
  <c r="A261" i="2"/>
  <c r="E260" i="2"/>
  <c r="D260" i="2"/>
  <c r="C260" i="2"/>
  <c r="B260" i="2"/>
  <c r="A260" i="2"/>
  <c r="E259" i="2"/>
  <c r="D259" i="2"/>
  <c r="A259" i="2"/>
  <c r="E258" i="2"/>
  <c r="D258" i="2"/>
  <c r="C258" i="2"/>
  <c r="B258" i="2"/>
  <c r="A258" i="2"/>
  <c r="C257" i="2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B254" i="2"/>
  <c r="A254" i="2"/>
  <c r="E253" i="2"/>
  <c r="D253" i="2"/>
  <c r="C253" i="2"/>
  <c r="B253" i="2"/>
  <c r="A253" i="2"/>
  <c r="D252" i="2"/>
  <c r="C252" i="2"/>
  <c r="B252" i="2"/>
  <c r="A252" i="2"/>
  <c r="E251" i="2"/>
  <c r="D251" i="2"/>
  <c r="C251" i="2"/>
  <c r="B251" i="2"/>
  <c r="A251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B247" i="2"/>
  <c r="A247" i="2"/>
  <c r="E246" i="2"/>
  <c r="D246" i="2"/>
  <c r="C246" i="2"/>
  <c r="B246" i="2"/>
  <c r="A246" i="2"/>
  <c r="E245" i="2"/>
  <c r="D245" i="2"/>
  <c r="C245" i="2"/>
  <c r="B245" i="2"/>
  <c r="A245" i="2"/>
  <c r="E244" i="2"/>
  <c r="D244" i="2"/>
  <c r="C244" i="2"/>
  <c r="B244" i="2"/>
  <c r="E243" i="2"/>
  <c r="D243" i="2"/>
  <c r="C243" i="2"/>
  <c r="B243" i="2"/>
  <c r="A243" i="2"/>
  <c r="E242" i="2"/>
  <c r="D242" i="2"/>
  <c r="C242" i="2"/>
  <c r="B242" i="2"/>
  <c r="A242" i="2"/>
  <c r="E241" i="2"/>
  <c r="D241" i="2"/>
  <c r="C241" i="2"/>
  <c r="B241" i="2"/>
  <c r="A241" i="2"/>
  <c r="E240" i="2"/>
  <c r="D240" i="2"/>
  <c r="C240" i="2"/>
  <c r="B240" i="2"/>
  <c r="A240" i="2"/>
  <c r="D239" i="2"/>
  <c r="C239" i="2"/>
  <c r="A239" i="2"/>
  <c r="E238" i="2"/>
  <c r="D238" i="2"/>
  <c r="C238" i="2"/>
  <c r="B238" i="2"/>
  <c r="A238" i="2"/>
  <c r="E237" i="2"/>
  <c r="D237" i="2"/>
  <c r="C237" i="2"/>
  <c r="B237" i="2"/>
  <c r="A237" i="2"/>
  <c r="E236" i="2"/>
  <c r="B236" i="2"/>
  <c r="A236" i="2"/>
  <c r="E235" i="2"/>
  <c r="D235" i="2"/>
  <c r="C235" i="2"/>
  <c r="B235" i="2"/>
  <c r="A235" i="2"/>
  <c r="E234" i="2"/>
  <c r="D234" i="2"/>
  <c r="C234" i="2"/>
  <c r="B234" i="2"/>
  <c r="A234" i="2"/>
  <c r="E233" i="2"/>
  <c r="D233" i="2"/>
  <c r="C233" i="2"/>
  <c r="B233" i="2"/>
  <c r="A233" i="2"/>
  <c r="E232" i="2"/>
  <c r="D232" i="2"/>
  <c r="C232" i="2"/>
  <c r="B232" i="2"/>
  <c r="A232" i="2"/>
  <c r="D231" i="2"/>
  <c r="C231" i="2"/>
  <c r="B231" i="2"/>
  <c r="A231" i="2"/>
  <c r="E230" i="2"/>
  <c r="D230" i="2"/>
  <c r="C230" i="2"/>
  <c r="B230" i="2"/>
  <c r="A230" i="2"/>
  <c r="E229" i="2"/>
  <c r="D229" i="2"/>
  <c r="C229" i="2"/>
  <c r="B229" i="2"/>
  <c r="A229" i="2"/>
  <c r="C228" i="2"/>
  <c r="B228" i="2"/>
  <c r="A228" i="2"/>
  <c r="E227" i="2"/>
  <c r="D227" i="2"/>
  <c r="C227" i="2"/>
  <c r="B227" i="2"/>
  <c r="A227" i="2"/>
  <c r="E226" i="2"/>
  <c r="D226" i="2"/>
  <c r="C226" i="2"/>
  <c r="A226" i="2"/>
  <c r="D225" i="2"/>
  <c r="C225" i="2"/>
  <c r="B225" i="2"/>
  <c r="A225" i="2"/>
  <c r="E224" i="2"/>
  <c r="D224" i="2"/>
  <c r="B224" i="2"/>
  <c r="A224" i="2"/>
  <c r="E223" i="2"/>
  <c r="D223" i="2"/>
  <c r="B223" i="2"/>
  <c r="A223" i="2"/>
  <c r="E222" i="2"/>
  <c r="D222" i="2"/>
  <c r="C222" i="2"/>
  <c r="B222" i="2"/>
  <c r="A222" i="2"/>
  <c r="E221" i="2"/>
  <c r="D221" i="2"/>
  <c r="C221" i="2"/>
  <c r="B221" i="2"/>
  <c r="A221" i="2"/>
  <c r="D220" i="2"/>
  <c r="C220" i="2"/>
  <c r="B220" i="2"/>
  <c r="A220" i="2"/>
  <c r="E219" i="2"/>
  <c r="D219" i="2"/>
  <c r="C219" i="2"/>
  <c r="B219" i="2"/>
  <c r="A219" i="2"/>
  <c r="C218" i="2"/>
  <c r="B218" i="2"/>
  <c r="A218" i="2"/>
  <c r="E217" i="2"/>
  <c r="D217" i="2"/>
  <c r="C217" i="2"/>
  <c r="B217" i="2"/>
  <c r="A217" i="2"/>
  <c r="D216" i="2"/>
  <c r="C216" i="2"/>
  <c r="B216" i="2"/>
  <c r="A216" i="2"/>
  <c r="E215" i="2"/>
  <c r="D215" i="2"/>
  <c r="C215" i="2"/>
  <c r="B215" i="2"/>
  <c r="A215" i="2"/>
  <c r="E214" i="2"/>
  <c r="D214" i="2"/>
  <c r="C214" i="2"/>
  <c r="B214" i="2"/>
  <c r="A214" i="2"/>
  <c r="E213" i="2"/>
  <c r="D213" i="2"/>
  <c r="C213" i="2"/>
  <c r="E212" i="2"/>
  <c r="D212" i="2"/>
  <c r="C212" i="2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B209" i="2"/>
  <c r="E208" i="2"/>
  <c r="D208" i="2"/>
  <c r="C208" i="2"/>
  <c r="B208" i="2"/>
  <c r="E207" i="2"/>
  <c r="D207" i="2"/>
  <c r="C207" i="2"/>
  <c r="B207" i="2"/>
  <c r="A207" i="2"/>
  <c r="E206" i="2"/>
  <c r="D206" i="2"/>
  <c r="C206" i="2"/>
  <c r="B206" i="2"/>
  <c r="A206" i="2"/>
  <c r="E205" i="2"/>
  <c r="D205" i="2"/>
  <c r="C205" i="2"/>
  <c r="B205" i="2"/>
  <c r="E204" i="2"/>
  <c r="D204" i="2"/>
  <c r="C204" i="2"/>
  <c r="B204" i="2"/>
  <c r="E203" i="2"/>
  <c r="D203" i="2"/>
  <c r="C203" i="2"/>
  <c r="B203" i="2"/>
  <c r="A203" i="2"/>
  <c r="E202" i="2"/>
  <c r="D202" i="2"/>
  <c r="B202" i="2"/>
  <c r="A202" i="2"/>
  <c r="E201" i="2"/>
  <c r="D201" i="2"/>
  <c r="C201" i="2"/>
  <c r="B201" i="2"/>
  <c r="A201" i="2"/>
  <c r="E200" i="2"/>
  <c r="D200" i="2"/>
  <c r="C200" i="2"/>
  <c r="B200" i="2"/>
  <c r="A200" i="2"/>
  <c r="D199" i="2"/>
  <c r="C199" i="2"/>
  <c r="B199" i="2"/>
  <c r="C198" i="2"/>
  <c r="B198" i="2"/>
  <c r="A198" i="2"/>
  <c r="E197" i="2"/>
  <c r="D197" i="2"/>
  <c r="C197" i="2"/>
  <c r="B197" i="2"/>
  <c r="A197" i="2"/>
  <c r="E196" i="2"/>
  <c r="D196" i="2"/>
  <c r="C196" i="2"/>
  <c r="B196" i="2"/>
  <c r="A196" i="2"/>
  <c r="D195" i="2"/>
  <c r="C195" i="2"/>
  <c r="B195" i="2"/>
  <c r="A195" i="2"/>
  <c r="E194" i="2"/>
  <c r="D194" i="2"/>
  <c r="C194" i="2"/>
  <c r="B194" i="2"/>
  <c r="A194" i="2"/>
  <c r="E193" i="2"/>
  <c r="D193" i="2"/>
  <c r="C193" i="2"/>
  <c r="B193" i="2"/>
  <c r="A193" i="2"/>
  <c r="E192" i="2"/>
  <c r="D192" i="2"/>
  <c r="C192" i="2"/>
  <c r="A192" i="2"/>
  <c r="E191" i="2"/>
  <c r="D191" i="2"/>
  <c r="C191" i="2"/>
  <c r="B191" i="2"/>
  <c r="A191" i="2"/>
  <c r="E190" i="2"/>
  <c r="C190" i="2"/>
  <c r="B190" i="2"/>
  <c r="A190" i="2"/>
  <c r="E189" i="2"/>
  <c r="D189" i="2"/>
  <c r="C189" i="2"/>
  <c r="B189" i="2"/>
  <c r="A189" i="2"/>
  <c r="E188" i="2"/>
  <c r="D188" i="2"/>
  <c r="C188" i="2"/>
  <c r="B188" i="2"/>
  <c r="A188" i="2"/>
  <c r="E187" i="2"/>
  <c r="D187" i="2"/>
  <c r="B187" i="2"/>
  <c r="A187" i="2"/>
  <c r="E186" i="2"/>
  <c r="C186" i="2"/>
  <c r="B186" i="2"/>
  <c r="A186" i="2"/>
  <c r="E185" i="2"/>
  <c r="D185" i="2"/>
  <c r="C185" i="2"/>
  <c r="B185" i="2"/>
  <c r="A185" i="2"/>
  <c r="E184" i="2"/>
  <c r="D184" i="2"/>
  <c r="C184" i="2"/>
  <c r="B184" i="2"/>
  <c r="A184" i="2"/>
  <c r="E183" i="2"/>
  <c r="D183" i="2"/>
  <c r="C183" i="2"/>
  <c r="B183" i="2"/>
  <c r="A183" i="2"/>
  <c r="E182" i="2"/>
  <c r="D182" i="2"/>
  <c r="C182" i="2"/>
  <c r="B182" i="2"/>
  <c r="A182" i="2"/>
  <c r="A181" i="2"/>
  <c r="E180" i="2"/>
  <c r="D180" i="2"/>
  <c r="C180" i="2"/>
  <c r="B180" i="2"/>
  <c r="A180" i="2"/>
  <c r="C179" i="2"/>
  <c r="B179" i="2"/>
  <c r="A179" i="2"/>
  <c r="E178" i="2"/>
  <c r="D178" i="2"/>
  <c r="C178" i="2"/>
  <c r="B178" i="2"/>
  <c r="A178" i="2"/>
  <c r="E177" i="2"/>
  <c r="D177" i="2"/>
  <c r="C177" i="2"/>
  <c r="A177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E175" i="2"/>
  <c r="D175" i="2"/>
  <c r="C175" i="2"/>
  <c r="B175" i="2"/>
  <c r="A175" i="2"/>
  <c r="C174" i="2"/>
  <c r="B174" i="2"/>
  <c r="A174" i="2"/>
  <c r="E173" i="2"/>
  <c r="D173" i="2"/>
  <c r="B173" i="2"/>
  <c r="A173" i="2"/>
  <c r="E172" i="2"/>
  <c r="C172" i="2"/>
  <c r="B172" i="2"/>
  <c r="A172" i="2"/>
  <c r="E171" i="2"/>
  <c r="D171" i="2"/>
  <c r="C171" i="2"/>
  <c r="B171" i="2"/>
  <c r="A171" i="2"/>
  <c r="B170" i="2"/>
  <c r="A170" i="2"/>
  <c r="E169" i="2"/>
  <c r="D169" i="2"/>
  <c r="C169" i="2"/>
  <c r="B169" i="2"/>
  <c r="E168" i="2"/>
  <c r="D168" i="2"/>
  <c r="C168" i="2"/>
  <c r="B168" i="2"/>
  <c r="A168" i="2"/>
  <c r="E167" i="2"/>
  <c r="D167" i="2"/>
  <c r="C167" i="2"/>
  <c r="B167" i="2"/>
  <c r="A167" i="2"/>
  <c r="D166" i="2"/>
  <c r="C166" i="2"/>
  <c r="B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A161" i="2"/>
  <c r="E160" i="2"/>
  <c r="D160" i="2"/>
  <c r="C160" i="2"/>
  <c r="B160" i="2"/>
  <c r="A160" i="2"/>
  <c r="E159" i="2"/>
  <c r="C159" i="2"/>
  <c r="A159" i="2"/>
  <c r="E158" i="2"/>
  <c r="D158" i="2"/>
  <c r="C158" i="2"/>
  <c r="B158" i="2"/>
  <c r="A158" i="2"/>
  <c r="E157" i="2"/>
  <c r="D157" i="2"/>
  <c r="C157" i="2"/>
  <c r="B157" i="2"/>
  <c r="A157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A151" i="2"/>
  <c r="E150" i="2"/>
  <c r="D150" i="2"/>
  <c r="C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E142" i="2"/>
  <c r="D142" i="2"/>
  <c r="C142" i="2"/>
  <c r="B142" i="2"/>
  <c r="A142" i="2"/>
  <c r="D141" i="2"/>
  <c r="C141" i="2"/>
  <c r="B141" i="2"/>
  <c r="A141" i="2"/>
  <c r="E140" i="2"/>
  <c r="D140" i="2"/>
  <c r="C140" i="2"/>
  <c r="B140" i="2"/>
  <c r="D139" i="2"/>
  <c r="C139" i="2"/>
  <c r="B139" i="2"/>
  <c r="A139" i="2"/>
  <c r="E138" i="2"/>
  <c r="D138" i="2"/>
  <c r="C138" i="2"/>
  <c r="B138" i="2"/>
  <c r="A138" i="2"/>
  <c r="D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A132" i="2"/>
  <c r="B131" i="2"/>
  <c r="A131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B127" i="2"/>
  <c r="A127" i="2"/>
  <c r="E126" i="2"/>
  <c r="D126" i="2"/>
  <c r="C126" i="2"/>
  <c r="A126" i="2"/>
  <c r="E125" i="2"/>
  <c r="D125" i="2"/>
  <c r="C125" i="2"/>
  <c r="B125" i="2"/>
  <c r="A125" i="2"/>
  <c r="E124" i="2"/>
  <c r="D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E119" i="2"/>
  <c r="D119" i="2"/>
  <c r="C119" i="2"/>
  <c r="B119" i="2"/>
  <c r="E118" i="2"/>
  <c r="C118" i="2"/>
  <c r="B118" i="2"/>
  <c r="A118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E113" i="2"/>
  <c r="D113" i="2"/>
  <c r="C113" i="2"/>
  <c r="B113" i="2"/>
  <c r="A113" i="2"/>
  <c r="D112" i="2"/>
  <c r="C112" i="2"/>
  <c r="B112" i="2"/>
  <c r="A112" i="2"/>
  <c r="E111" i="2"/>
  <c r="D111" i="2"/>
  <c r="C111" i="2"/>
  <c r="B111" i="2"/>
  <c r="A111" i="2"/>
  <c r="E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C102" i="2"/>
  <c r="B102" i="2"/>
  <c r="A102" i="2"/>
  <c r="C101" i="2"/>
  <c r="B101" i="2"/>
  <c r="A101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C81" i="2"/>
  <c r="B81" i="2"/>
  <c r="A81" i="2"/>
  <c r="E80" i="2"/>
  <c r="D80" i="2"/>
  <c r="C80" i="2"/>
  <c r="B80" i="2"/>
  <c r="A80" i="2"/>
  <c r="D79" i="2"/>
  <c r="C79" i="2"/>
  <c r="B79" i="2"/>
  <c r="A79" i="2"/>
  <c r="E78" i="2"/>
  <c r="C78" i="2"/>
  <c r="B78" i="2"/>
  <c r="A78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C73" i="2"/>
  <c r="B73" i="2"/>
  <c r="A73" i="2"/>
  <c r="C72" i="2"/>
  <c r="B72" i="2"/>
  <c r="A72" i="2"/>
  <c r="E71" i="2"/>
  <c r="D71" i="2"/>
  <c r="C71" i="2"/>
  <c r="B71" i="2"/>
  <c r="A71" i="2"/>
  <c r="E70" i="2"/>
  <c r="D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A60" i="2"/>
  <c r="E59" i="2"/>
  <c r="D59" i="2"/>
  <c r="C59" i="2"/>
  <c r="B59" i="2"/>
  <c r="A59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D54" i="2"/>
  <c r="C54" i="2"/>
  <c r="B54" i="2"/>
  <c r="A54" i="2"/>
  <c r="C53" i="2"/>
  <c r="B53" i="2"/>
  <c r="A53" i="2"/>
  <c r="E52" i="2"/>
  <c r="D52" i="2"/>
  <c r="B52" i="2"/>
  <c r="A52" i="2"/>
  <c r="E51" i="2"/>
  <c r="D51" i="2"/>
  <c r="C51" i="2"/>
  <c r="B51" i="2"/>
  <c r="E50" i="2"/>
  <c r="D50" i="2"/>
  <c r="C50" i="2"/>
  <c r="B50" i="2"/>
  <c r="A50" i="2"/>
  <c r="E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D45" i="2"/>
  <c r="C45" i="2"/>
  <c r="B45" i="2"/>
  <c r="A45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E41" i="2"/>
  <c r="D41" i="2"/>
  <c r="C41" i="2"/>
  <c r="B41" i="2"/>
  <c r="A41" i="2"/>
  <c r="C40" i="2"/>
  <c r="B40" i="2"/>
  <c r="A40" i="2"/>
  <c r="E39" i="2"/>
  <c r="D39" i="2"/>
  <c r="C39" i="2"/>
  <c r="B39" i="2"/>
  <c r="A39" i="2"/>
  <c r="E38" i="2"/>
  <c r="D38" i="2"/>
  <c r="C38" i="2"/>
  <c r="B38" i="2"/>
  <c r="E37" i="2"/>
  <c r="D37" i="2"/>
  <c r="C37" i="2"/>
  <c r="B37" i="2"/>
  <c r="A37" i="2"/>
  <c r="E36" i="2"/>
  <c r="C36" i="2"/>
  <c r="B36" i="2"/>
  <c r="A36" i="2"/>
  <c r="E35" i="2"/>
  <c r="D35" i="2"/>
  <c r="D34" i="2"/>
  <c r="C34" i="2"/>
  <c r="B34" i="2"/>
  <c r="A34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E27" i="2"/>
  <c r="D27" i="2"/>
  <c r="C27" i="2"/>
  <c r="B27" i="2"/>
  <c r="E26" i="2"/>
  <c r="D26" i="2"/>
  <c r="C26" i="2"/>
  <c r="B26" i="2"/>
  <c r="A26" i="2"/>
  <c r="D25" i="2"/>
  <c r="C25" i="2"/>
  <c r="A25" i="2"/>
  <c r="E24" i="2"/>
  <c r="D24" i="2"/>
  <c r="C24" i="2"/>
  <c r="B24" i="2"/>
  <c r="A24" i="2"/>
  <c r="E23" i="2"/>
  <c r="D23" i="2"/>
  <c r="E22" i="2"/>
  <c r="D22" i="2"/>
  <c r="C22" i="2"/>
  <c r="B22" i="2"/>
  <c r="A22" i="2"/>
  <c r="C21" i="2"/>
  <c r="B21" i="2"/>
  <c r="A21" i="2"/>
  <c r="E20" i="2"/>
  <c r="D20" i="2"/>
  <c r="E19" i="2"/>
  <c r="D19" i="2"/>
  <c r="C19" i="2"/>
  <c r="B19" i="2"/>
  <c r="A19" i="2"/>
  <c r="E18" i="2"/>
  <c r="D18" i="2"/>
  <c r="C18" i="2"/>
  <c r="B18" i="2"/>
  <c r="A18" i="2"/>
  <c r="E17" i="2"/>
  <c r="B17" i="2"/>
  <c r="A17" i="2"/>
  <c r="E16" i="2"/>
  <c r="D16" i="2"/>
  <c r="C16" i="2"/>
  <c r="B16" i="2"/>
  <c r="A16" i="2"/>
  <c r="D15" i="2"/>
  <c r="C15" i="2"/>
  <c r="B15" i="2"/>
  <c r="A15" i="2"/>
  <c r="E13" i="2"/>
  <c r="D13" i="2"/>
  <c r="C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C7" i="2"/>
  <c r="B7" i="2"/>
  <c r="A7" i="2"/>
  <c r="E6" i="2"/>
  <c r="C6" i="2"/>
  <c r="B6" i="2"/>
  <c r="A6" i="2"/>
  <c r="E5" i="2"/>
  <c r="D5" i="2"/>
  <c r="C5" i="2"/>
  <c r="B5" i="2"/>
  <c r="A5" i="2"/>
  <c r="E4" i="2"/>
  <c r="D4" i="2"/>
  <c r="C4" i="2"/>
  <c r="B4" i="2"/>
  <c r="A4" i="2"/>
  <c r="D3" i="2"/>
  <c r="C3" i="2"/>
  <c r="A3" i="2"/>
  <c r="E2" i="2"/>
  <c r="D2" i="2"/>
  <c r="C2" i="2"/>
  <c r="B2" i="2"/>
  <c r="F488" i="3"/>
  <c r="F477" i="3"/>
  <c r="F746" i="3"/>
  <c r="F486" i="3"/>
  <c r="F429" i="3"/>
  <c r="F500" i="3"/>
  <c r="F646" i="3"/>
  <c r="F468" i="3"/>
  <c r="F690" i="3"/>
  <c r="F794" i="3"/>
  <c r="F610" i="3"/>
  <c r="F723" i="3"/>
  <c r="F686" i="3"/>
  <c r="F535" i="3"/>
  <c r="F473" i="3"/>
  <c r="F441" i="3"/>
  <c r="F560" i="3"/>
  <c r="F547" i="3"/>
  <c r="F727" i="3"/>
  <c r="F506" i="3"/>
  <c r="F588" i="3"/>
  <c r="F703" i="3"/>
  <c r="F444" i="3"/>
  <c r="F737" i="3"/>
  <c r="F660" i="3"/>
  <c r="F624" i="3"/>
  <c r="F511" i="3"/>
  <c r="F628" i="3"/>
  <c r="F584" i="3"/>
  <c r="F570" i="3"/>
  <c r="F501" i="3"/>
  <c r="F431" i="3"/>
  <c r="F466" i="3"/>
  <c r="F719" i="3"/>
  <c r="F651" i="3"/>
  <c r="F706" i="3"/>
  <c r="F759" i="3"/>
  <c r="F447" i="3"/>
  <c r="F674" i="3"/>
  <c r="F742" i="3"/>
  <c r="F451" i="3"/>
  <c r="F496" i="3"/>
  <c r="F626" i="3"/>
  <c r="F510" i="3"/>
  <c r="F564" i="3"/>
  <c r="F549" i="3"/>
  <c r="F604" i="3"/>
  <c r="F462" i="3"/>
  <c r="F618" i="3"/>
  <c r="F743" i="3"/>
  <c r="F514" i="3"/>
  <c r="F567" i="3"/>
  <c r="F545" i="3"/>
  <c r="F457" i="3"/>
  <c r="F571" i="3"/>
  <c r="F555" i="3"/>
  <c r="F459" i="3"/>
  <c r="F453" i="3"/>
  <c r="F562" i="3"/>
  <c r="F718" i="3"/>
  <c r="F798" i="3"/>
  <c r="F763" i="3"/>
  <c r="F786" i="3"/>
  <c r="F575" i="3"/>
  <c r="F655" i="3"/>
  <c r="F540" i="3"/>
  <c r="F592" i="3"/>
  <c r="F783" i="3"/>
  <c r="F710" i="3"/>
  <c r="F452" i="3"/>
  <c r="F644" i="3"/>
  <c r="F715" i="3"/>
  <c r="F697" i="3"/>
  <c r="F606" i="3"/>
  <c r="F725" i="3"/>
  <c r="F492" i="3"/>
  <c r="F483" i="3"/>
  <c r="F699" i="3"/>
  <c r="F445" i="3"/>
  <c r="F586" i="3"/>
  <c r="F556" i="3"/>
  <c r="F600" i="3"/>
  <c r="F738" i="3"/>
  <c r="F475" i="3"/>
  <c r="F802" i="3"/>
  <c r="F519" i="3"/>
  <c r="F559" i="3"/>
  <c r="F576" i="3"/>
  <c r="F515" i="3"/>
  <c r="F680" i="3"/>
  <c r="F581" i="3"/>
  <c r="F597" i="3"/>
  <c r="F526" i="3"/>
  <c r="F617" i="3"/>
  <c r="F664" i="3"/>
  <c r="F767" i="3"/>
  <c r="F754" i="3"/>
  <c r="F464" i="3"/>
  <c r="F788" i="3"/>
  <c r="F720" i="3"/>
  <c r="F730" i="3"/>
  <c r="F803" i="3"/>
  <c r="F528" i="3"/>
  <c r="F731" i="3"/>
  <c r="F593" i="3"/>
  <c r="F745" i="3"/>
  <c r="F484" i="3"/>
  <c r="F658" i="3"/>
  <c r="F513" i="3"/>
  <c r="F688" i="3"/>
  <c r="F677" i="3"/>
  <c r="F627" i="3"/>
  <c r="F694" i="3"/>
  <c r="F752" i="3"/>
  <c r="F599" i="3"/>
  <c r="F632" i="3"/>
  <c r="F448" i="3"/>
  <c r="F544" i="3"/>
  <c r="F529" i="3"/>
  <c r="F755" i="3"/>
  <c r="F747" i="3"/>
  <c r="F776" i="3"/>
  <c r="F671" i="3"/>
  <c r="F536" i="3"/>
  <c r="F765" i="3"/>
  <c r="F512" i="3"/>
  <c r="F465" i="3"/>
  <c r="F611" i="3"/>
  <c r="F620" i="3"/>
  <c r="F779" i="3"/>
  <c r="F589" i="3"/>
  <c r="F799" i="3"/>
  <c r="F684" i="3"/>
  <c r="F572" i="3"/>
  <c r="F665" i="3"/>
  <c r="F662" i="3"/>
  <c r="F659" i="3"/>
  <c r="F676" i="3"/>
  <c r="F792" i="3"/>
  <c r="F531" i="3"/>
  <c r="F602" i="3"/>
  <c r="F670" i="3"/>
  <c r="F713" i="3"/>
  <c r="F640" i="3"/>
  <c r="F637" i="3"/>
  <c r="F650" i="3"/>
  <c r="F621" i="3"/>
  <c r="F726" i="3"/>
  <c r="F649" i="3"/>
  <c r="F753" i="3"/>
  <c r="F735" i="3"/>
  <c r="F678" i="3"/>
  <c r="F566" i="3"/>
  <c r="F504" i="3"/>
  <c r="F667" i="3"/>
  <c r="F653" i="3"/>
  <c r="F569" i="3"/>
  <c r="F481" i="3"/>
  <c r="F642" i="3"/>
  <c r="F478" i="3"/>
  <c r="F657" i="3"/>
  <c r="F548" i="3"/>
  <c r="F538" i="3"/>
  <c r="F652" i="3"/>
  <c r="F635" i="3"/>
  <c r="F705" i="3"/>
  <c r="F732" i="3"/>
  <c r="F806" i="3"/>
  <c r="F543" i="3"/>
  <c r="F638" i="3"/>
  <c r="F645" i="3"/>
  <c r="F770" i="3"/>
  <c r="F461" i="3"/>
  <c r="F749" i="3"/>
  <c r="F712" i="3"/>
  <c r="F609" i="3"/>
  <c r="F550" i="3"/>
  <c r="F701" i="3"/>
  <c r="F808" i="3"/>
  <c r="F616" i="3"/>
  <c r="F546" i="3"/>
  <c r="F634" i="3"/>
  <c r="F693" i="3"/>
  <c r="F791" i="3"/>
  <c r="F787" i="3"/>
  <c r="F476" i="3"/>
  <c r="F565" i="3"/>
  <c r="F530" i="3"/>
  <c r="F558" i="3"/>
  <c r="F785" i="3"/>
  <c r="F768" i="3"/>
  <c r="F672" i="3"/>
  <c r="F724" i="3"/>
  <c r="F472" i="3"/>
  <c r="F689" i="3"/>
  <c r="F607" i="3"/>
  <c r="F582" i="3"/>
  <c r="F579" i="3"/>
  <c r="F613" i="3"/>
  <c r="F641" i="3"/>
  <c r="F736" i="3"/>
  <c r="F739" i="3"/>
  <c r="F553" i="3"/>
  <c r="F704" i="3"/>
  <c r="F520" i="3"/>
  <c r="F563" i="3"/>
  <c r="F744" i="3"/>
  <c r="F554" i="3"/>
  <c r="F687" i="3"/>
  <c r="F494" i="3"/>
  <c r="F681" i="3"/>
  <c r="F807" i="3"/>
  <c r="F442" i="3"/>
  <c r="F583" i="3"/>
  <c r="F790" i="3"/>
  <c r="F692" i="3"/>
  <c r="F446" i="3"/>
  <c r="F656" i="3"/>
  <c r="F717" i="3"/>
  <c r="F516" i="3"/>
  <c r="F499" i="3"/>
  <c r="F647" i="3"/>
  <c r="F485" i="3"/>
  <c r="F774" i="3"/>
  <c r="F615" i="3"/>
  <c r="F450" i="3"/>
  <c r="F568" i="3"/>
  <c r="F805" i="3"/>
  <c r="F639" i="3"/>
  <c r="F503" i="3"/>
  <c r="F760" i="3"/>
  <c r="F574" i="3"/>
  <c r="F729" i="3"/>
  <c r="F603" i="3"/>
  <c r="F532" i="3"/>
  <c r="F631" i="3"/>
  <c r="F691" i="3"/>
  <c r="F751" i="3"/>
  <c r="F608" i="3"/>
  <c r="F669" i="3"/>
  <c r="F524" i="3"/>
  <c r="F585" i="3"/>
  <c r="F740" i="3"/>
  <c r="F495" i="3"/>
  <c r="F469" i="3"/>
  <c r="F716" i="3"/>
  <c r="F796" i="3"/>
  <c r="F502" i="3"/>
  <c r="F474" i="3"/>
  <c r="F596" i="3"/>
  <c r="F784" i="3"/>
  <c r="F518" i="3"/>
  <c r="F630" i="3"/>
  <c r="F758" i="3"/>
  <c r="F728" i="3"/>
  <c r="F764" i="3"/>
  <c r="F797" i="3"/>
  <c r="F683" i="3"/>
  <c r="F789" i="3"/>
  <c r="F636" i="3"/>
  <c r="F775" i="3"/>
  <c r="F619" i="3"/>
  <c r="F756" i="3"/>
  <c r="F508" i="3"/>
  <c r="F489" i="3"/>
  <c r="F711" i="3"/>
  <c r="F480" i="3"/>
  <c r="F440" i="3"/>
  <c r="F773" i="3"/>
  <c r="F623" i="3"/>
  <c r="F707" i="3"/>
  <c r="F708" i="3"/>
  <c r="F587" i="3"/>
  <c r="F675" i="3"/>
  <c r="F696" i="3"/>
  <c r="F682" i="3"/>
  <c r="F778" i="3"/>
  <c r="F700" i="3"/>
  <c r="F437" i="3"/>
  <c r="F695" i="3"/>
  <c r="F721" i="3"/>
  <c r="F666" i="3"/>
  <c r="F769" i="3"/>
  <c r="F750" i="3"/>
  <c r="F673" i="3"/>
  <c r="F795" i="3"/>
  <c r="F748" i="3"/>
  <c r="F523" i="3"/>
  <c r="F517" i="3"/>
  <c r="F522" i="3"/>
  <c r="F561" i="3"/>
  <c r="F733" i="3"/>
  <c r="F498" i="3"/>
  <c r="F801" i="3"/>
  <c r="F527" i="3"/>
  <c r="F580" i="3"/>
  <c r="F622" i="3"/>
  <c r="F534" i="3"/>
  <c r="F780" i="3"/>
  <c r="F487" i="3"/>
  <c r="F594" i="3"/>
  <c r="F573" i="3"/>
  <c r="F654" i="3"/>
  <c r="F557" i="3"/>
  <c r="F463" i="3"/>
  <c r="F663" i="3"/>
  <c r="F709" i="3"/>
  <c r="F470" i="3"/>
  <c r="F430" i="3"/>
  <c r="F685" i="3"/>
  <c r="F714" i="3"/>
  <c r="F679" i="3"/>
  <c r="F761" i="3"/>
  <c r="F505" i="3"/>
  <c r="F643" i="3"/>
  <c r="F460" i="3"/>
  <c r="F741" i="3"/>
  <c r="F598" i="3"/>
  <c r="F525" i="3"/>
  <c r="F772" i="3"/>
  <c r="F509" i="3"/>
  <c r="F771" i="3"/>
  <c r="F539" i="3"/>
  <c r="F455" i="3"/>
  <c r="F443" i="3"/>
  <c r="F804" i="3"/>
  <c r="F551" i="3"/>
  <c r="F533" i="3"/>
  <c r="F595" i="3"/>
  <c r="F456" i="3"/>
  <c r="F629" i="3"/>
  <c r="F633" i="3"/>
  <c r="F722" i="3"/>
  <c r="F762" i="3"/>
  <c r="F612" i="3"/>
  <c r="F493" i="3"/>
  <c r="F777" i="3"/>
  <c r="F800" i="3"/>
  <c r="F614" i="3"/>
  <c r="F458" i="3"/>
  <c r="F601" i="3"/>
  <c r="F605" i="3"/>
  <c r="F590" i="3"/>
  <c r="F435" i="3"/>
  <c r="F781" i="3"/>
  <c r="F661" i="3"/>
  <c r="F482" i="3"/>
  <c r="F552" i="3"/>
  <c r="F449" i="3"/>
  <c r="F782" i="3"/>
  <c r="F439" i="3"/>
  <c r="F542" i="3"/>
  <c r="F541" i="3"/>
  <c r="F537" i="3"/>
  <c r="F648" i="3"/>
  <c r="F625" i="3"/>
  <c r="F734" i="3"/>
  <c r="F521" i="3"/>
  <c r="F467" i="3"/>
  <c r="F434" i="3"/>
  <c r="F433" i="3"/>
  <c r="F793" i="3"/>
  <c r="F490" i="3"/>
  <c r="F668" i="3"/>
  <c r="F438" i="3"/>
  <c r="F479" i="3"/>
  <c r="F591" i="3"/>
  <c r="F577" i="3"/>
  <c r="F432" i="3"/>
  <c r="F578" i="3"/>
  <c r="F507" i="3"/>
  <c r="F757" i="3"/>
  <c r="F471" i="3"/>
  <c r="F702" i="3"/>
  <c r="F766" i="3"/>
  <c r="F698" i="3"/>
  <c r="F436" i="3"/>
  <c r="F497" i="3"/>
  <c r="F454" i="3"/>
  <c r="F491" i="3"/>
  <c r="C833" i="3"/>
  <c r="C831" i="3"/>
  <c r="C829" i="3"/>
  <c r="B817" i="3" l="1"/>
  <c r="B823" i="3"/>
  <c r="B831" i="3"/>
  <c r="B821" i="3"/>
  <c r="B825" i="3"/>
  <c r="B829" i="3"/>
  <c r="B833" i="3"/>
  <c r="B633" i="3"/>
  <c r="B226" i="2"/>
  <c r="E712" i="3"/>
  <c r="E311" i="2"/>
  <c r="E552" i="3"/>
  <c r="E137" i="2"/>
  <c r="A460" i="3"/>
  <c r="A38" i="2"/>
  <c r="A616" i="3"/>
  <c r="A208" i="2"/>
  <c r="D7" i="2"/>
  <c r="D698" i="3"/>
  <c r="D296" i="2"/>
  <c r="B70" i="2"/>
  <c r="A691" i="3"/>
  <c r="A289" i="2"/>
  <c r="A530" i="3"/>
  <c r="A114" i="2"/>
  <c r="C530" i="3"/>
  <c r="C114" i="2"/>
  <c r="C70" i="2"/>
  <c r="B691" i="3"/>
  <c r="B289" i="2"/>
  <c r="E546" i="3"/>
  <c r="E130" i="2"/>
  <c r="E462" i="3"/>
  <c r="E40" i="2"/>
  <c r="D21" i="2"/>
  <c r="E21" i="2"/>
  <c r="B591" i="3"/>
  <c r="B181" i="2"/>
  <c r="C439" i="3"/>
  <c r="C14" i="2"/>
  <c r="D522" i="3"/>
  <c r="D105" i="2"/>
  <c r="C591" i="3"/>
  <c r="C181" i="2"/>
  <c r="C630" i="3"/>
  <c r="C223" i="2"/>
  <c r="A450" i="3"/>
  <c r="A28" i="2"/>
  <c r="B698" i="3"/>
  <c r="B296" i="2"/>
  <c r="D473" i="3"/>
  <c r="D53" i="2"/>
  <c r="D694" i="3"/>
  <c r="D292" i="2"/>
  <c r="E491" i="3"/>
  <c r="E72" i="2"/>
  <c r="C540" i="3"/>
  <c r="C124" i="2"/>
  <c r="E583" i="3"/>
  <c r="E170" i="2"/>
  <c r="D462" i="3"/>
  <c r="D40" i="2"/>
  <c r="C480" i="3"/>
  <c r="C60" i="2"/>
  <c r="E662" i="3"/>
  <c r="E257" i="2"/>
  <c r="B439" i="3"/>
  <c r="B14" i="2"/>
  <c r="E79" i="2"/>
  <c r="D439" i="3"/>
  <c r="D14" i="2"/>
  <c r="A471" i="3"/>
  <c r="A51" i="2"/>
  <c r="E522" i="3"/>
  <c r="E105" i="2"/>
  <c r="D589" i="3"/>
  <c r="D179" i="2"/>
  <c r="A695" i="3"/>
  <c r="A293" i="2"/>
  <c r="E632" i="3"/>
  <c r="E225" i="2"/>
  <c r="B530" i="3"/>
  <c r="B114" i="2"/>
  <c r="B692" i="3"/>
  <c r="B290" i="2"/>
  <c r="E7" i="2"/>
  <c r="E473" i="3"/>
  <c r="E53" i="2"/>
  <c r="D491" i="3"/>
  <c r="D72" i="2"/>
  <c r="E533" i="3"/>
  <c r="E117" i="2"/>
  <c r="D492" i="3"/>
  <c r="D73" i="2"/>
  <c r="E724" i="3"/>
  <c r="E323" i="2"/>
  <c r="B480" i="3"/>
  <c r="B60" i="2"/>
  <c r="D480" i="3"/>
  <c r="D60" i="2"/>
  <c r="E569" i="3"/>
  <c r="E156" i="2"/>
  <c r="D662" i="3"/>
  <c r="D257" i="2"/>
  <c r="A439" i="3"/>
  <c r="A14" i="2"/>
  <c r="E439" i="3"/>
  <c r="E14" i="2"/>
  <c r="B457" i="3"/>
  <c r="B35" i="2"/>
  <c r="E467" i="3"/>
  <c r="E45" i="2"/>
  <c r="E517" i="3"/>
  <c r="E100" i="2"/>
  <c r="C552" i="3"/>
  <c r="C137" i="2"/>
  <c r="E589" i="3"/>
  <c r="E179" i="2"/>
  <c r="A457" i="3"/>
  <c r="A35" i="2"/>
  <c r="E492" i="3"/>
  <c r="E73" i="2"/>
  <c r="D534" i="3"/>
  <c r="D118" i="2"/>
  <c r="D690" i="3"/>
  <c r="D288" i="2"/>
  <c r="E698" i="3"/>
  <c r="E296" i="2"/>
  <c r="C547" i="3"/>
  <c r="C131" i="2"/>
  <c r="D591" i="3"/>
  <c r="D181" i="2"/>
  <c r="E231" i="2"/>
  <c r="E638" i="3"/>
  <c r="E591" i="3"/>
  <c r="E181" i="2"/>
  <c r="B602" i="3"/>
  <c r="B192" i="2"/>
  <c r="E198" i="2"/>
  <c r="E608" i="3"/>
  <c r="C478" i="3"/>
  <c r="C58" i="2"/>
  <c r="E547" i="3"/>
  <c r="E131" i="2"/>
  <c r="E587" i="3"/>
  <c r="E174" i="2"/>
  <c r="D643" i="3"/>
  <c r="D236" i="2"/>
  <c r="D519" i="3"/>
  <c r="D102" i="2"/>
  <c r="E77" i="2"/>
  <c r="A448" i="3"/>
  <c r="A23" i="2"/>
  <c r="C510" i="3"/>
  <c r="C93" i="2"/>
  <c r="B566" i="3"/>
  <c r="B151" i="2"/>
  <c r="D572" i="3"/>
  <c r="D159" i="2"/>
  <c r="E626" i="3"/>
  <c r="E218" i="2"/>
  <c r="B20" i="2"/>
  <c r="B448" i="3"/>
  <c r="B23" i="2"/>
  <c r="C797" i="3"/>
  <c r="C400" i="2"/>
  <c r="C20" i="2"/>
  <c r="A558" i="3"/>
  <c r="A143" i="2"/>
  <c r="E646" i="3"/>
  <c r="E239" i="2"/>
  <c r="A711" i="3"/>
  <c r="A310" i="2"/>
  <c r="C49" i="2"/>
  <c r="C543" i="3"/>
  <c r="C127" i="2"/>
  <c r="B558" i="3"/>
  <c r="B143" i="2"/>
  <c r="A582" i="3"/>
  <c r="A169" i="2"/>
  <c r="E605" i="3"/>
  <c r="E195" i="2"/>
  <c r="A612" i="3"/>
  <c r="A204" i="2"/>
  <c r="E710" i="3"/>
  <c r="E309" i="2"/>
  <c r="A713" i="3"/>
  <c r="A312" i="2"/>
  <c r="E719" i="3"/>
  <c r="E318" i="2"/>
  <c r="B565" i="3"/>
  <c r="B150" i="2"/>
  <c r="E519" i="3"/>
  <c r="E102" i="2"/>
  <c r="D587" i="3"/>
  <c r="D174" i="2"/>
  <c r="C643" i="3"/>
  <c r="C236" i="2"/>
  <c r="C77" i="2"/>
  <c r="D81" i="2"/>
  <c r="A97" i="2"/>
  <c r="D478" i="3"/>
  <c r="D58" i="2"/>
  <c r="A536" i="3"/>
  <c r="A120" i="2"/>
  <c r="E579" i="3"/>
  <c r="E166" i="2"/>
  <c r="B774" i="3"/>
  <c r="B376" i="2"/>
  <c r="D77" i="2"/>
  <c r="E440" i="3"/>
  <c r="E15" i="2"/>
  <c r="B510" i="3"/>
  <c r="B93" i="2"/>
  <c r="E556" i="3"/>
  <c r="E141" i="2"/>
  <c r="B646" i="3"/>
  <c r="B239" i="2"/>
  <c r="A20" i="2"/>
  <c r="B808" i="3"/>
  <c r="B411" i="2"/>
  <c r="D114" i="2"/>
  <c r="D458" i="3"/>
  <c r="D36" i="2"/>
  <c r="D596" i="3"/>
  <c r="D186" i="2"/>
  <c r="C448" i="3"/>
  <c r="C23" i="2"/>
  <c r="A464" i="3"/>
  <c r="A42" i="2"/>
  <c r="C17" i="2"/>
  <c r="D49" i="2"/>
  <c r="D543" i="3"/>
  <c r="D127" i="2"/>
  <c r="C558" i="3"/>
  <c r="C143" i="2"/>
  <c r="A613" i="3"/>
  <c r="A205" i="2"/>
  <c r="A621" i="3"/>
  <c r="A213" i="2"/>
  <c r="A649" i="3"/>
  <c r="A244" i="2"/>
  <c r="C711" i="3"/>
  <c r="C310" i="2"/>
  <c r="D806" i="3"/>
  <c r="D409" i="2"/>
  <c r="D547" i="3"/>
  <c r="D131" i="2"/>
  <c r="D585" i="3"/>
  <c r="D172" i="2"/>
  <c r="A438" i="3"/>
  <c r="A13" i="2"/>
  <c r="E500" i="3"/>
  <c r="E81" i="2"/>
  <c r="E792" i="3"/>
  <c r="E395" i="2"/>
  <c r="B97" i="2"/>
  <c r="B438" i="3"/>
  <c r="B13" i="2"/>
  <c r="E478" i="3"/>
  <c r="E58" i="2"/>
  <c r="B536" i="3"/>
  <c r="B120" i="2"/>
  <c r="D218" i="2"/>
  <c r="D626" i="3"/>
  <c r="C97" i="2"/>
  <c r="B797" i="3"/>
  <c r="B400" i="2"/>
  <c r="D97" i="2"/>
  <c r="D510" i="3"/>
  <c r="D93" i="2"/>
  <c r="E796" i="3"/>
  <c r="E399" i="2"/>
  <c r="D17" i="2"/>
  <c r="C35" i="2"/>
  <c r="E60" i="2"/>
  <c r="C187" i="2"/>
  <c r="E252" i="2"/>
  <c r="D527" i="3"/>
  <c r="D110" i="2"/>
  <c r="B621" i="3"/>
  <c r="B213" i="2"/>
  <c r="A555" i="3"/>
  <c r="A140" i="2"/>
  <c r="C664" i="3"/>
  <c r="C259" i="2"/>
  <c r="A754" i="3"/>
  <c r="A355" i="2"/>
  <c r="D635" i="3"/>
  <c r="D228" i="2"/>
  <c r="D78" i="2"/>
  <c r="E139" i="2"/>
  <c r="C455" i="3"/>
  <c r="C33" i="2"/>
  <c r="D518" i="3"/>
  <c r="D101" i="2"/>
  <c r="B542" i="3"/>
  <c r="B126" i="2"/>
  <c r="A579" i="3"/>
  <c r="A166" i="2"/>
  <c r="E628" i="3"/>
  <c r="E220" i="2"/>
  <c r="C666" i="3"/>
  <c r="C261" i="2"/>
  <c r="E466" i="3"/>
  <c r="E44" i="2"/>
  <c r="A535" i="3"/>
  <c r="A119" i="2"/>
  <c r="D548" i="3"/>
  <c r="D132" i="2"/>
  <c r="A681" i="3"/>
  <c r="A278" i="2"/>
  <c r="A33" i="2"/>
  <c r="D455" i="3"/>
  <c r="D33" i="2"/>
  <c r="E518" i="3"/>
  <c r="E101" i="2"/>
  <c r="B527" i="3"/>
  <c r="B110" i="2"/>
  <c r="B664" i="3"/>
  <c r="B259" i="2"/>
  <c r="B548" i="3"/>
  <c r="B132" i="2"/>
  <c r="C472" i="3"/>
  <c r="C52" i="2"/>
  <c r="C548" i="3"/>
  <c r="C132" i="2"/>
  <c r="D574" i="3"/>
  <c r="D161" i="2"/>
  <c r="C586" i="3"/>
  <c r="C173" i="2"/>
  <c r="C610" i="3"/>
  <c r="C202" i="2"/>
  <c r="E635" i="3"/>
  <c r="E228" i="2"/>
  <c r="B33" i="2"/>
  <c r="E455" i="3"/>
  <c r="E33" i="2"/>
  <c r="E474" i="3"/>
  <c r="E54" i="2"/>
  <c r="C527" i="3"/>
  <c r="C110" i="2"/>
  <c r="D608" i="3"/>
  <c r="D198" i="2"/>
  <c r="E624" i="3"/>
  <c r="E216" i="2"/>
  <c r="E666" i="3"/>
  <c r="E261" i="2"/>
  <c r="C574" i="3"/>
  <c r="C161" i="2"/>
  <c r="D600" i="3"/>
  <c r="D190" i="2"/>
  <c r="A760" i="3"/>
  <c r="A361" i="2"/>
  <c r="E655" i="3"/>
  <c r="E250" i="2"/>
  <c r="B574" i="3"/>
  <c r="B161" i="2"/>
  <c r="C631" i="3"/>
  <c r="C224" i="2"/>
  <c r="D716" i="3"/>
  <c r="D315" i="2"/>
  <c r="A690" i="3"/>
  <c r="A288" i="2"/>
  <c r="C759" i="3"/>
  <c r="C360" i="2"/>
  <c r="A795" i="3"/>
  <c r="A398" i="2"/>
  <c r="B572" i="3"/>
  <c r="B159" i="2"/>
  <c r="C583" i="3"/>
  <c r="C170" i="2"/>
  <c r="D759" i="3"/>
  <c r="D360" i="2"/>
  <c r="D583" i="3"/>
  <c r="D170" i="2"/>
  <c r="A617" i="3"/>
  <c r="A209" i="2"/>
  <c r="AH835" i="3" l="1"/>
  <c r="AH836" i="3" s="1"/>
  <c r="N835" i="3"/>
  <c r="N836" i="3" s="1"/>
  <c r="AG835" i="3"/>
  <c r="AG836" i="3" s="1"/>
  <c r="M835" i="3"/>
  <c r="M836" i="3" s="1"/>
  <c r="AD835" i="3"/>
  <c r="AD836" i="3" s="1"/>
  <c r="J835" i="3"/>
  <c r="J836" i="3" s="1"/>
  <c r="AC835" i="3"/>
  <c r="AC836" i="3" s="1"/>
  <c r="I835" i="3"/>
  <c r="I836" i="3" s="1"/>
  <c r="AB835" i="3"/>
  <c r="AB836" i="3" s="1"/>
  <c r="H835" i="3"/>
  <c r="H836" i="3" s="1"/>
  <c r="AA835" i="3"/>
  <c r="AA836" i="3" s="1"/>
  <c r="G835" i="3"/>
  <c r="G836" i="3" s="1"/>
  <c r="S835" i="3"/>
  <c r="S836" i="3" s="1"/>
  <c r="R835" i="3"/>
  <c r="R836" i="3" s="1"/>
  <c r="P835" i="3"/>
  <c r="P836" i="3" s="1"/>
  <c r="O835" i="3"/>
  <c r="O836" i="3" s="1"/>
  <c r="L835" i="3"/>
  <c r="L836" i="3" s="1"/>
  <c r="K835" i="3"/>
  <c r="K836" i="3" s="1"/>
  <c r="AI835" i="3"/>
  <c r="AI836" i="3" s="1"/>
  <c r="AF835" i="3"/>
  <c r="AF836" i="3" s="1"/>
  <c r="W835" i="3"/>
  <c r="W836" i="3" s="1"/>
  <c r="V835" i="3"/>
  <c r="V836" i="3" s="1"/>
  <c r="U835" i="3"/>
  <c r="U836" i="3" s="1"/>
  <c r="T835" i="3"/>
  <c r="T836" i="3" s="1"/>
  <c r="E835" i="3"/>
  <c r="E836" i="3" s="1"/>
  <c r="D835" i="3"/>
  <c r="D836" i="3" s="1"/>
  <c r="C835" i="3"/>
  <c r="C836" i="3" s="1"/>
  <c r="B835" i="3"/>
  <c r="B836" i="3" s="1"/>
  <c r="F835" i="3"/>
  <c r="F836" i="3" s="1"/>
  <c r="Z835" i="3"/>
  <c r="Z836" i="3" s="1"/>
  <c r="Y835" i="3"/>
  <c r="Y836" i="3" s="1"/>
  <c r="X835" i="3"/>
  <c r="X836" i="3" s="1"/>
  <c r="AE835" i="3"/>
  <c r="AE836" i="3" s="1"/>
  <c r="Q835" i="3"/>
  <c r="Q836" i="3" s="1"/>
  <c r="T827" i="3"/>
  <c r="T828" i="3" s="1"/>
  <c r="S827" i="3"/>
  <c r="S828" i="3" s="1"/>
  <c r="P827" i="3"/>
  <c r="P828" i="3" s="1"/>
  <c r="AI827" i="3"/>
  <c r="AI828" i="3" s="1"/>
  <c r="O827" i="3"/>
  <c r="O828" i="3" s="1"/>
  <c r="AH827" i="3"/>
  <c r="AH828" i="3" s="1"/>
  <c r="N827" i="3"/>
  <c r="N828" i="3" s="1"/>
  <c r="AG827" i="3"/>
  <c r="AG828" i="3" s="1"/>
  <c r="M827" i="3"/>
  <c r="M828" i="3" s="1"/>
  <c r="V827" i="3"/>
  <c r="V828" i="3" s="1"/>
  <c r="U827" i="3"/>
  <c r="U828" i="3" s="1"/>
  <c r="Q827" i="3"/>
  <c r="Q828" i="3" s="1"/>
  <c r="L827" i="3"/>
  <c r="L828" i="3" s="1"/>
  <c r="K827" i="3"/>
  <c r="K828" i="3" s="1"/>
  <c r="J827" i="3"/>
  <c r="J828" i="3" s="1"/>
  <c r="W827" i="3"/>
  <c r="W828" i="3" s="1"/>
  <c r="R827" i="3"/>
  <c r="R828" i="3" s="1"/>
  <c r="I827" i="3"/>
  <c r="I828" i="3" s="1"/>
  <c r="H827" i="3"/>
  <c r="H828" i="3" s="1"/>
  <c r="B827" i="3"/>
  <c r="B828" i="3" s="1"/>
  <c r="Z827" i="3"/>
  <c r="Z828" i="3" s="1"/>
  <c r="Y827" i="3"/>
  <c r="Y828" i="3" s="1"/>
  <c r="X827" i="3"/>
  <c r="X828" i="3" s="1"/>
  <c r="G827" i="3"/>
  <c r="G828" i="3" s="1"/>
  <c r="AF827" i="3"/>
  <c r="AF828" i="3" s="1"/>
  <c r="AA827" i="3"/>
  <c r="AA828" i="3" s="1"/>
  <c r="F827" i="3"/>
  <c r="F828" i="3" s="1"/>
  <c r="E827" i="3"/>
  <c r="E828" i="3" s="1"/>
  <c r="AC827" i="3"/>
  <c r="AC828" i="3" s="1"/>
  <c r="AB827" i="3"/>
  <c r="AB828" i="3" s="1"/>
  <c r="D827" i="3"/>
  <c r="D828" i="3" s="1"/>
  <c r="C827" i="3"/>
  <c r="C828" i="3" s="1"/>
  <c r="AE827" i="3"/>
  <c r="AE828" i="3" s="1"/>
  <c r="AD827" i="3"/>
  <c r="AD828" i="3" s="1"/>
  <c r="AT2" i="3" l="1"/>
  <c r="M2" i="3"/>
  <c r="M2" i="2" s="1"/>
  <c r="T2" i="3"/>
  <c r="T2" i="2" s="1"/>
  <c r="BA2" i="3"/>
  <c r="Y2" i="3"/>
  <c r="Y2" i="2" s="1"/>
  <c r="BF2" i="3"/>
  <c r="AJ2" i="3"/>
  <c r="AJ2" i="2" s="1"/>
  <c r="BQ2" i="3"/>
  <c r="Q2" i="3"/>
  <c r="Q2" i="2" s="1"/>
  <c r="AX2" i="3"/>
  <c r="BK2" i="3"/>
  <c r="AD2" i="3"/>
  <c r="AD2" i="2" s="1"/>
  <c r="R2" i="3"/>
  <c r="R2" i="2" s="1"/>
  <c r="AY2" i="3"/>
  <c r="S2" i="3"/>
  <c r="S2" i="2" s="1"/>
  <c r="AZ2" i="3"/>
  <c r="V2" i="3"/>
  <c r="V2" i="2" s="1"/>
  <c r="BC2" i="3"/>
  <c r="B427" i="3"/>
  <c r="AH2" i="3"/>
  <c r="AH2" i="2" s="1"/>
  <c r="BO2" i="3"/>
  <c r="F2" i="3"/>
  <c r="F2" i="2" s="1"/>
  <c r="AM2" i="3"/>
  <c r="G2" i="3"/>
  <c r="G2" i="2" s="1"/>
  <c r="AN2" i="3"/>
  <c r="H2" i="3"/>
  <c r="H2" i="2" s="1"/>
  <c r="AO2" i="3"/>
  <c r="AQ2" i="3"/>
  <c r="J2" i="3"/>
  <c r="J2" i="2" s="1"/>
  <c r="BH2" i="3"/>
  <c r="AA2" i="3"/>
  <c r="AA2" i="2" s="1"/>
  <c r="BN2" i="3"/>
  <c r="AG2" i="3"/>
  <c r="AG2" i="2" s="1"/>
  <c r="BL2" i="3"/>
  <c r="AE2" i="3"/>
  <c r="AE2" i="2" s="1"/>
  <c r="BM2" i="3"/>
  <c r="AF2" i="3"/>
  <c r="AF2" i="2" s="1"/>
  <c r="AP2" i="3"/>
  <c r="I2" i="3"/>
  <c r="I2" i="2" s="1"/>
  <c r="BS2" i="3"/>
  <c r="AL2" i="3"/>
  <c r="AL2" i="2" s="1"/>
  <c r="W2" i="3"/>
  <c r="W2" i="2" s="1"/>
  <c r="BD2" i="3"/>
  <c r="AS2" i="3"/>
  <c r="L2" i="3"/>
  <c r="L2" i="2" s="1"/>
  <c r="AU2" i="3"/>
  <c r="N2" i="3"/>
  <c r="N2" i="2" s="1"/>
  <c r="AV2" i="3"/>
  <c r="O2" i="3"/>
  <c r="O2" i="2" s="1"/>
  <c r="X2" i="3"/>
  <c r="X2" i="2" s="1"/>
  <c r="BE2" i="3"/>
  <c r="AW2" i="3"/>
  <c r="P2" i="3"/>
  <c r="P2" i="2" s="1"/>
  <c r="BR2" i="3"/>
  <c r="AK2" i="3"/>
  <c r="AK2" i="2" s="1"/>
  <c r="AI2" i="3"/>
  <c r="AI2" i="2" s="1"/>
  <c r="BP2" i="3"/>
  <c r="BI2" i="3"/>
  <c r="AB2" i="3"/>
  <c r="AB2" i="2" s="1"/>
  <c r="BJ2" i="3"/>
  <c r="AC2" i="3"/>
  <c r="AC2" i="2" s="1"/>
  <c r="AR2" i="3"/>
  <c r="K2" i="3"/>
  <c r="K2" i="2" s="1"/>
  <c r="U2" i="3"/>
  <c r="U2" i="2" s="1"/>
  <c r="BB2" i="3"/>
  <c r="BG2" i="3"/>
  <c r="Z2" i="3"/>
  <c r="Z2" i="2" s="1"/>
  <c r="AI411" i="3" l="1"/>
  <c r="L408" i="3"/>
  <c r="AG395" i="3"/>
  <c r="O402" i="3"/>
  <c r="W409" i="3"/>
  <c r="AL407" i="3"/>
  <c r="W408" i="3"/>
  <c r="AA393" i="3"/>
  <c r="AH379" i="3"/>
  <c r="O366" i="3"/>
  <c r="AL353" i="3"/>
  <c r="S340" i="3"/>
  <c r="L401" i="3"/>
  <c r="P386" i="3"/>
  <c r="H374" i="3"/>
  <c r="T360" i="3"/>
  <c r="AF346" i="3"/>
  <c r="R411" i="3"/>
  <c r="G395" i="3"/>
  <c r="AD381" i="3"/>
  <c r="K368" i="3"/>
  <c r="N355" i="3"/>
  <c r="O342" i="3"/>
  <c r="T403" i="3"/>
  <c r="L388" i="3"/>
  <c r="AI375" i="3"/>
  <c r="AA361" i="3"/>
  <c r="AB348" i="3"/>
  <c r="T336" i="3"/>
  <c r="AB393" i="3"/>
  <c r="I377" i="3"/>
  <c r="AG359" i="3"/>
  <c r="AF341" i="3"/>
  <c r="J326" i="3"/>
  <c r="Q397" i="3"/>
  <c r="V379" i="3"/>
  <c r="P397" i="3"/>
  <c r="AL380" i="3"/>
  <c r="AA364" i="3"/>
  <c r="N348" i="3"/>
  <c r="AG333" i="3"/>
  <c r="AF409" i="3"/>
  <c r="Y388" i="3"/>
  <c r="Y374" i="3"/>
  <c r="AK407" i="3"/>
  <c r="Z384" i="3"/>
  <c r="Y405" i="3"/>
  <c r="Y384" i="3"/>
  <c r="AJ367" i="3"/>
  <c r="W401" i="3"/>
  <c r="L380" i="3"/>
  <c r="K365" i="3"/>
  <c r="O348" i="3"/>
  <c r="AC331" i="3"/>
  <c r="AL318" i="3"/>
  <c r="AI389" i="3"/>
  <c r="AB410" i="3"/>
  <c r="I384" i="3"/>
  <c r="N360" i="3"/>
  <c r="AE339" i="3"/>
  <c r="Y322" i="3"/>
  <c r="AL309" i="3"/>
  <c r="Z389" i="3"/>
  <c r="AB364" i="3"/>
  <c r="AE343" i="3"/>
  <c r="Z325" i="3"/>
  <c r="AI311" i="3"/>
  <c r="P298" i="3"/>
  <c r="W398" i="3"/>
  <c r="L373" i="3"/>
  <c r="P351" i="3"/>
  <c r="AF331" i="3"/>
  <c r="S316" i="3"/>
  <c r="T303" i="3"/>
  <c r="W290" i="3"/>
  <c r="X277" i="3"/>
  <c r="W400" i="3"/>
  <c r="Q369" i="3"/>
  <c r="AB347" i="3"/>
  <c r="S330" i="3"/>
  <c r="M315" i="3"/>
  <c r="Y406" i="3"/>
  <c r="AD375" i="3"/>
  <c r="Q348" i="3"/>
  <c r="J329" i="3"/>
  <c r="G313" i="3"/>
  <c r="X297" i="3"/>
  <c r="AF282" i="3"/>
  <c r="AL411" i="3"/>
  <c r="Z379" i="3"/>
  <c r="I353" i="3"/>
  <c r="AJ329" i="3"/>
  <c r="M312" i="3"/>
  <c r="AD296" i="3"/>
  <c r="J282" i="3"/>
  <c r="O392" i="3"/>
  <c r="V360" i="3"/>
  <c r="J336" i="3"/>
  <c r="AA318" i="3"/>
  <c r="J301" i="3"/>
  <c r="P288" i="3"/>
  <c r="AH273" i="3"/>
  <c r="L396" i="3"/>
  <c r="AJ361" i="3"/>
  <c r="S337" i="3"/>
  <c r="M317" i="3"/>
  <c r="W300" i="3"/>
  <c r="I287" i="3"/>
  <c r="Q273" i="3"/>
  <c r="AB387" i="3"/>
  <c r="AI350" i="3"/>
  <c r="N323" i="3"/>
  <c r="H303" i="3"/>
  <c r="H284" i="3"/>
  <c r="H269" i="3"/>
  <c r="AI254" i="3"/>
  <c r="I393" i="3"/>
  <c r="L355" i="3"/>
  <c r="AC325" i="3"/>
  <c r="AH303" i="3"/>
  <c r="AD285" i="3"/>
  <c r="G269" i="3"/>
  <c r="AH254" i="3"/>
  <c r="M241" i="3"/>
  <c r="U373" i="3"/>
  <c r="T341" i="3"/>
  <c r="V315" i="3"/>
  <c r="W296" i="3"/>
  <c r="AB279" i="3"/>
  <c r="Y262" i="3"/>
  <c r="Q250" i="3"/>
  <c r="G236" i="3"/>
  <c r="AA404" i="3"/>
  <c r="I362" i="3"/>
  <c r="AL333" i="3"/>
  <c r="U311" i="3"/>
  <c r="AG293" i="3"/>
  <c r="K277" i="3"/>
  <c r="S261" i="3"/>
  <c r="N408" i="3"/>
  <c r="V363" i="3"/>
  <c r="L330" i="3"/>
  <c r="G301" i="3"/>
  <c r="R278" i="3"/>
  <c r="AI259" i="3"/>
  <c r="AH244" i="3"/>
  <c r="AI230" i="3"/>
  <c r="AK216" i="3"/>
  <c r="AC204" i="3"/>
  <c r="S190" i="3"/>
  <c r="Y175" i="3"/>
  <c r="Q163" i="3"/>
  <c r="AA149" i="3"/>
  <c r="AJ365" i="3"/>
  <c r="P333" i="3"/>
  <c r="V303" i="3"/>
  <c r="T280" i="3"/>
  <c r="Y261" i="3"/>
  <c r="X245" i="3"/>
  <c r="X231" i="3"/>
  <c r="Y217" i="3"/>
  <c r="Q205" i="3"/>
  <c r="G191" i="3"/>
  <c r="P163" i="3"/>
  <c r="O150" i="3"/>
  <c r="AL137" i="3"/>
  <c r="P373" i="3"/>
  <c r="AJ336" i="3"/>
  <c r="J309" i="3"/>
  <c r="AC284" i="3"/>
  <c r="X261" i="3"/>
  <c r="W245" i="3"/>
  <c r="W231" i="3"/>
  <c r="X217" i="3"/>
  <c r="AA204" i="3"/>
  <c r="AK190" i="3"/>
  <c r="X164" i="3"/>
  <c r="AH150" i="3"/>
  <c r="Z138" i="3"/>
  <c r="G125" i="3"/>
  <c r="AE373" i="3"/>
  <c r="U335" i="3"/>
  <c r="K305" i="3"/>
  <c r="AD281" i="3"/>
  <c r="W262" i="3"/>
  <c r="AI247" i="3"/>
  <c r="AB233" i="3"/>
  <c r="O220" i="3"/>
  <c r="AL207" i="3"/>
  <c r="AB193" i="3"/>
  <c r="T181" i="3"/>
  <c r="Z166" i="3"/>
  <c r="AJ152" i="3"/>
  <c r="AB140" i="3"/>
  <c r="Q344" i="3"/>
  <c r="V306" i="3"/>
  <c r="L278" i="3"/>
  <c r="H254" i="3"/>
  <c r="AG236" i="3"/>
  <c r="AH219" i="3"/>
  <c r="U203" i="3"/>
  <c r="AK186" i="3"/>
  <c r="P169" i="3"/>
  <c r="AK151" i="3"/>
  <c r="T136" i="3"/>
  <c r="Z122" i="3"/>
  <c r="AI108" i="3"/>
  <c r="G96" i="3"/>
  <c r="AK82" i="3"/>
  <c r="AG374" i="3"/>
  <c r="V326" i="3"/>
  <c r="O295" i="3"/>
  <c r="N268" i="3"/>
  <c r="AK247" i="3"/>
  <c r="I229" i="3"/>
  <c r="Y211" i="3"/>
  <c r="S194" i="3"/>
  <c r="AE161" i="3"/>
  <c r="L146" i="3"/>
  <c r="AD130" i="3"/>
  <c r="AK117" i="3"/>
  <c r="R104" i="3"/>
  <c r="T78" i="3"/>
  <c r="AA360" i="3"/>
  <c r="N318" i="3"/>
  <c r="G288" i="3"/>
  <c r="O262" i="3"/>
  <c r="H245" i="3"/>
  <c r="T226" i="3"/>
  <c r="AE210" i="3"/>
  <c r="L195" i="3"/>
  <c r="R180" i="3"/>
  <c r="I165" i="3"/>
  <c r="AF147" i="3"/>
  <c r="I132" i="3"/>
  <c r="N119" i="3"/>
  <c r="Z105" i="3"/>
  <c r="R93" i="3"/>
  <c r="Q80" i="3"/>
  <c r="R344" i="3"/>
  <c r="W306" i="3"/>
  <c r="Z279" i="3"/>
  <c r="I254" i="3"/>
  <c r="I236" i="3"/>
  <c r="K219" i="3"/>
  <c r="W203" i="3"/>
  <c r="AL186" i="3"/>
  <c r="Q169" i="3"/>
  <c r="G152" i="3"/>
  <c r="AC138" i="3"/>
  <c r="G124" i="3"/>
  <c r="N110" i="3"/>
  <c r="AK97" i="3"/>
  <c r="P84" i="3"/>
  <c r="K384" i="3"/>
  <c r="AF323" i="3"/>
  <c r="U282" i="3"/>
  <c r="AF253" i="3"/>
  <c r="AL231" i="3"/>
  <c r="G211" i="3"/>
  <c r="AH189" i="3"/>
  <c r="U167" i="3"/>
  <c r="T146" i="3"/>
  <c r="AJ127" i="3"/>
  <c r="P110" i="3"/>
  <c r="V95" i="3"/>
  <c r="AI78" i="3"/>
  <c r="AH64" i="3"/>
  <c r="Z52" i="3"/>
  <c r="P38" i="3"/>
  <c r="AG347" i="3"/>
  <c r="Q297" i="3"/>
  <c r="AD261" i="3"/>
  <c r="V236" i="3"/>
  <c r="M215" i="3"/>
  <c r="H194" i="3"/>
  <c r="V171" i="3"/>
  <c r="Z151" i="3"/>
  <c r="Q131" i="3"/>
  <c r="Q114" i="3"/>
  <c r="AE98" i="3"/>
  <c r="L82" i="3"/>
  <c r="I68" i="3"/>
  <c r="L55" i="3"/>
  <c r="AE42" i="3"/>
  <c r="L362" i="3"/>
  <c r="U312" i="3"/>
  <c r="N280" i="3"/>
  <c r="M248" i="3"/>
  <c r="AC227" i="3"/>
  <c r="Z205" i="3"/>
  <c r="Z185" i="3"/>
  <c r="K163" i="3"/>
  <c r="S143" i="3"/>
  <c r="V123" i="3"/>
  <c r="AF106" i="3"/>
  <c r="X89" i="3"/>
  <c r="AI73" i="3"/>
  <c r="P60" i="3"/>
  <c r="L403" i="3"/>
  <c r="R337" i="3"/>
  <c r="AG295" i="3"/>
  <c r="X260" i="3"/>
  <c r="T234" i="3"/>
  <c r="G213" i="3"/>
  <c r="K194" i="3"/>
  <c r="AG173" i="3"/>
  <c r="AD151" i="3"/>
  <c r="S132" i="3"/>
  <c r="AB117" i="3"/>
  <c r="Q101" i="3"/>
  <c r="AE84" i="3"/>
  <c r="AF70" i="3"/>
  <c r="AG57" i="3"/>
  <c r="W43" i="3"/>
  <c r="AD376" i="3"/>
  <c r="L310" i="3"/>
  <c r="V271" i="3"/>
  <c r="Z239" i="3"/>
  <c r="O215" i="3"/>
  <c r="M189" i="3"/>
  <c r="AE163" i="3"/>
  <c r="AH138" i="3"/>
  <c r="T117" i="3"/>
  <c r="W97" i="3"/>
  <c r="AA77" i="3"/>
  <c r="K60" i="3"/>
  <c r="R44" i="3"/>
  <c r="AI29" i="3"/>
  <c r="AF16" i="3"/>
  <c r="X4" i="3"/>
  <c r="L318" i="3"/>
  <c r="L269" i="3"/>
  <c r="Y239" i="3"/>
  <c r="AJ214" i="3"/>
  <c r="Y187" i="3"/>
  <c r="J161" i="3"/>
  <c r="Q136" i="3"/>
  <c r="N114" i="3"/>
  <c r="O93" i="3"/>
  <c r="L74" i="3"/>
  <c r="AG56" i="3"/>
  <c r="Q40" i="3"/>
  <c r="X13" i="3"/>
  <c r="AH384" i="3"/>
  <c r="AC303" i="3"/>
  <c r="AF262" i="3"/>
  <c r="Y232" i="3"/>
  <c r="AK207" i="3"/>
  <c r="S182" i="3"/>
  <c r="AG153" i="3"/>
  <c r="Q129" i="3"/>
  <c r="H109" i="3"/>
  <c r="G89" i="3"/>
  <c r="AE70" i="3"/>
  <c r="AE52" i="3"/>
  <c r="AA35" i="3"/>
  <c r="X22" i="3"/>
  <c r="AA9" i="3"/>
  <c r="R348" i="3"/>
  <c r="Q294" i="3"/>
  <c r="Y254" i="3"/>
  <c r="AF225" i="3"/>
  <c r="Q201" i="3"/>
  <c r="V175" i="3"/>
  <c r="W152" i="3"/>
  <c r="P127" i="3"/>
  <c r="AI105" i="3"/>
  <c r="I85" i="3"/>
  <c r="Z67" i="3"/>
  <c r="L51" i="3"/>
  <c r="AD35" i="3"/>
  <c r="P23" i="3"/>
  <c r="H11" i="3"/>
  <c r="H356" i="3"/>
  <c r="L287" i="3"/>
  <c r="J240" i="3"/>
  <c r="S204" i="3"/>
  <c r="J168" i="3"/>
  <c r="M136" i="3"/>
  <c r="Z106" i="3"/>
  <c r="AD362" i="3"/>
  <c r="K297" i="3"/>
  <c r="AE252" i="3"/>
  <c r="AE216" i="3"/>
  <c r="AH186" i="3"/>
  <c r="M148" i="3"/>
  <c r="AL122" i="3"/>
  <c r="AJ94" i="3"/>
  <c r="S334" i="3"/>
  <c r="AJ282" i="3"/>
  <c r="I246" i="3"/>
  <c r="AB214" i="3"/>
  <c r="O185" i="3"/>
  <c r="I150" i="3"/>
  <c r="AK122" i="3"/>
  <c r="N384" i="3"/>
  <c r="X311" i="3"/>
  <c r="H257" i="3"/>
  <c r="AK219" i="3"/>
  <c r="AF186" i="3"/>
  <c r="AC151" i="3"/>
  <c r="W127" i="3"/>
  <c r="R101" i="3"/>
  <c r="O339" i="3"/>
  <c r="AJ267" i="3"/>
  <c r="I223" i="3"/>
  <c r="I186" i="3"/>
  <c r="K144" i="3"/>
  <c r="Y110" i="3"/>
  <c r="AH82" i="3"/>
  <c r="G62" i="3"/>
  <c r="AF41" i="3"/>
  <c r="R9" i="3"/>
  <c r="H322" i="3"/>
  <c r="G257" i="3"/>
  <c r="G218" i="3"/>
  <c r="M179" i="3"/>
  <c r="J144" i="3"/>
  <c r="AF108" i="3"/>
  <c r="L79" i="3"/>
  <c r="AB60" i="3"/>
  <c r="AG39" i="3"/>
  <c r="Z21" i="3"/>
  <c r="I6" i="3"/>
  <c r="AK320" i="3"/>
  <c r="AJ259" i="3"/>
  <c r="AK217" i="3"/>
  <c r="Z181" i="3"/>
  <c r="I144" i="3"/>
  <c r="Q107" i="3"/>
  <c r="AC77" i="3"/>
  <c r="W57" i="3"/>
  <c r="AJ35" i="3"/>
  <c r="AG19" i="3"/>
  <c r="Z411" i="3"/>
  <c r="AE330" i="3"/>
  <c r="AE262" i="3"/>
  <c r="Z210" i="3"/>
  <c r="AB161" i="3"/>
  <c r="Z116" i="3"/>
  <c r="AI79" i="3"/>
  <c r="P57" i="3"/>
  <c r="M34" i="3"/>
  <c r="N16" i="3"/>
  <c r="X359" i="3"/>
  <c r="X263" i="3"/>
  <c r="AH213" i="3"/>
  <c r="J167" i="3"/>
  <c r="K123" i="3"/>
  <c r="X84" i="3"/>
  <c r="AE60" i="3"/>
  <c r="S37" i="3"/>
  <c r="K20" i="3"/>
  <c r="H388" i="3"/>
  <c r="R287" i="3"/>
  <c r="X222" i="3"/>
  <c r="AE182" i="3"/>
  <c r="AB141" i="3"/>
  <c r="M98" i="3"/>
  <c r="R67" i="3"/>
  <c r="AI40" i="3"/>
  <c r="AG21" i="3"/>
  <c r="P374" i="3"/>
  <c r="P272" i="3"/>
  <c r="AK203" i="3"/>
  <c r="AL139" i="3"/>
  <c r="AB95" i="3"/>
  <c r="S65" i="3"/>
  <c r="H38" i="3"/>
  <c r="AE17" i="3"/>
  <c r="I346" i="3"/>
  <c r="N245" i="3"/>
  <c r="AG192" i="3"/>
  <c r="AA139" i="3"/>
  <c r="Q88" i="3"/>
  <c r="AG58" i="3"/>
  <c r="AD31" i="3"/>
  <c r="AA8" i="3"/>
  <c r="K306" i="3"/>
  <c r="AH215" i="3"/>
  <c r="X105" i="3"/>
  <c r="U70" i="3"/>
  <c r="AE43" i="3"/>
  <c r="T20" i="3"/>
  <c r="Y353" i="3"/>
  <c r="V248" i="3"/>
  <c r="AJ188" i="3"/>
  <c r="Z128" i="3"/>
  <c r="R83" i="3"/>
  <c r="AF51" i="3"/>
  <c r="V20" i="3"/>
  <c r="U277" i="3"/>
  <c r="O83" i="3"/>
  <c r="N335" i="3"/>
  <c r="M109" i="3"/>
  <c r="AL171" i="3"/>
  <c r="T187" i="3"/>
  <c r="AD29" i="3"/>
  <c r="J314" i="3"/>
  <c r="AL227" i="3"/>
  <c r="Y161" i="3"/>
  <c r="AD115" i="3"/>
  <c r="O74" i="3"/>
  <c r="U42" i="3"/>
  <c r="AB14" i="3"/>
  <c r="S224" i="3"/>
  <c r="AL56" i="3"/>
  <c r="K292" i="3"/>
  <c r="AL105" i="3"/>
  <c r="AD232" i="3"/>
  <c r="Z58" i="3"/>
  <c r="Z300" i="3"/>
  <c r="I118" i="3"/>
  <c r="R35" i="3"/>
  <c r="AL313" i="3"/>
  <c r="AD219" i="3"/>
  <c r="J152" i="3"/>
  <c r="R103" i="3"/>
  <c r="AC62" i="3"/>
  <c r="Q31" i="3"/>
  <c r="AJ4" i="3"/>
  <c r="AE73" i="3"/>
  <c r="W196" i="3"/>
  <c r="L17" i="3"/>
  <c r="O168" i="3"/>
  <c r="Y49" i="3"/>
  <c r="V205" i="3"/>
  <c r="AL9" i="3"/>
  <c r="L277" i="3"/>
  <c r="S162" i="3"/>
  <c r="AB86" i="3"/>
  <c r="AA33" i="3"/>
  <c r="AB22" i="3"/>
  <c r="AL76" i="3"/>
  <c r="Z119" i="3"/>
  <c r="AI394" i="3"/>
  <c r="AE140" i="3"/>
  <c r="AA5" i="3"/>
  <c r="O61" i="3"/>
  <c r="P158" i="3"/>
  <c r="N270" i="3"/>
  <c r="AB403" i="3"/>
  <c r="N203" i="3"/>
  <c r="AK103" i="3"/>
  <c r="K39" i="3"/>
  <c r="AF305" i="3"/>
  <c r="AG92" i="3"/>
  <c r="AI217" i="3"/>
  <c r="S304" i="3"/>
  <c r="K38" i="3"/>
  <c r="G64" i="3"/>
  <c r="P270" i="3"/>
  <c r="AH50" i="3"/>
  <c r="AG80" i="3"/>
  <c r="M43" i="3"/>
  <c r="U254" i="3"/>
  <c r="AF119" i="3"/>
  <c r="AE54" i="3"/>
  <c r="AI5" i="3"/>
  <c r="AE150" i="3"/>
  <c r="O332" i="3"/>
  <c r="H71" i="3"/>
  <c r="W211" i="3"/>
  <c r="S33" i="3"/>
  <c r="V57" i="3"/>
  <c r="I102" i="3"/>
  <c r="I235" i="3"/>
  <c r="AH27" i="3"/>
  <c r="AJ197" i="3"/>
  <c r="AJ99" i="3"/>
  <c r="R15" i="3"/>
  <c r="U195" i="3"/>
  <c r="Z104" i="3"/>
  <c r="AI20" i="3"/>
  <c r="AL116" i="3"/>
  <c r="AD13" i="3"/>
  <c r="Q89" i="3"/>
  <c r="AE13" i="3"/>
  <c r="W75" i="3"/>
  <c r="AG164" i="3"/>
  <c r="L168" i="3"/>
  <c r="R39" i="3"/>
  <c r="R113" i="3"/>
  <c r="V116" i="3"/>
  <c r="W309" i="3"/>
  <c r="AG148" i="3"/>
  <c r="AF22" i="3"/>
  <c r="J171" i="3"/>
  <c r="AF18" i="3"/>
  <c r="Q56" i="3"/>
  <c r="O278" i="3"/>
  <c r="Y72" i="3"/>
  <c r="M39" i="3"/>
  <c r="P111" i="3"/>
  <c r="W145" i="3"/>
  <c r="R32" i="3"/>
  <c r="W104" i="3"/>
  <c r="S342" i="3"/>
  <c r="J164" i="3"/>
  <c r="H208" i="3"/>
  <c r="M129" i="3"/>
  <c r="AF233" i="3"/>
  <c r="AC34" i="3"/>
  <c r="AC31" i="3"/>
  <c r="Y275" i="3"/>
  <c r="L122" i="3"/>
  <c r="AJ110" i="3"/>
  <c r="R96" i="3"/>
  <c r="F71" i="3"/>
  <c r="F334" i="3"/>
  <c r="F7" i="3"/>
  <c r="F234" i="3"/>
  <c r="F404" i="3"/>
  <c r="F157" i="3"/>
  <c r="F236" i="3"/>
  <c r="F186" i="3"/>
  <c r="F339" i="3"/>
  <c r="F257" i="3"/>
  <c r="F149" i="3"/>
  <c r="F314" i="3"/>
  <c r="F271" i="3"/>
  <c r="F22" i="3"/>
  <c r="F354" i="3"/>
  <c r="F115" i="3"/>
  <c r="F166" i="3"/>
  <c r="F38" i="3"/>
  <c r="F145" i="3"/>
  <c r="AB399" i="3"/>
  <c r="T405" i="3"/>
  <c r="M390" i="3"/>
  <c r="AF337" i="3"/>
  <c r="U371" i="3"/>
  <c r="AH392" i="3"/>
  <c r="AB339" i="3"/>
  <c r="AC359" i="3"/>
  <c r="AC373" i="3"/>
  <c r="W393" i="3"/>
  <c r="K362" i="3"/>
  <c r="J386" i="3"/>
  <c r="AB401" i="3"/>
  <c r="AK376" i="3"/>
  <c r="P356" i="3"/>
  <c r="M360" i="3"/>
  <c r="R296" i="3"/>
  <c r="AF327" i="3"/>
  <c r="AK274" i="3"/>
  <c r="T326" i="3"/>
  <c r="U343" i="3"/>
  <c r="X402" i="3"/>
  <c r="AH308" i="3"/>
  <c r="I332" i="3"/>
  <c r="L271" i="3"/>
  <c r="AK313" i="3"/>
  <c r="AF378" i="3"/>
  <c r="X281" i="3"/>
  <c r="AD347" i="3"/>
  <c r="AG266" i="3"/>
  <c r="P335" i="3"/>
  <c r="G260" i="3"/>
  <c r="AK356" i="3"/>
  <c r="AF273" i="3"/>
  <c r="Z324" i="3"/>
  <c r="AI241" i="3"/>
  <c r="AF187" i="3"/>
  <c r="M326" i="3"/>
  <c r="AF228" i="3"/>
  <c r="Z173" i="3"/>
  <c r="P363" i="3"/>
  <c r="P258" i="3"/>
  <c r="AC202" i="3"/>
  <c r="P148" i="3"/>
  <c r="P326" i="3"/>
  <c r="AJ244" i="3"/>
  <c r="J191" i="3"/>
  <c r="AD401" i="3"/>
  <c r="AE250" i="3"/>
  <c r="AC183" i="3"/>
  <c r="AJ119" i="3"/>
  <c r="R364" i="3"/>
  <c r="M244" i="3"/>
  <c r="K174" i="3"/>
  <c r="S115" i="3"/>
  <c r="N352" i="3"/>
  <c r="O240" i="3"/>
  <c r="AD161" i="3"/>
  <c r="H103" i="3"/>
  <c r="AG299" i="3"/>
  <c r="AG215" i="3"/>
  <c r="AD135" i="3"/>
  <c r="R82" i="3"/>
  <c r="V249" i="3"/>
  <c r="M163" i="3"/>
  <c r="AL92" i="3"/>
  <c r="Q402" i="3"/>
  <c r="AK231" i="3"/>
  <c r="T147" i="3"/>
  <c r="AH78" i="3"/>
  <c r="O354" i="3"/>
  <c r="R223" i="3"/>
  <c r="X139" i="3"/>
  <c r="W103" i="3"/>
  <c r="AB44" i="3"/>
  <c r="S255" i="3"/>
  <c r="Y169" i="3"/>
  <c r="J98" i="3"/>
  <c r="AJ40" i="3"/>
  <c r="V235" i="3"/>
  <c r="AA132" i="3"/>
  <c r="AH56" i="3"/>
  <c r="J385" i="3"/>
  <c r="U209" i="3"/>
  <c r="I109" i="3"/>
  <c r="K37" i="3"/>
  <c r="AK295" i="3"/>
  <c r="AF105" i="3"/>
  <c r="AC33" i="3"/>
  <c r="Z283" i="3"/>
  <c r="I196" i="3"/>
  <c r="AA101" i="3"/>
  <c r="L33" i="3"/>
  <c r="AE276" i="3"/>
  <c r="J129" i="3"/>
  <c r="J246" i="3"/>
  <c r="AA117" i="3"/>
  <c r="H240" i="3"/>
  <c r="W117" i="3"/>
  <c r="AG212" i="3"/>
  <c r="J96" i="3"/>
  <c r="V103" i="3"/>
  <c r="AH20" i="3"/>
  <c r="Q211" i="3"/>
  <c r="U75" i="3"/>
  <c r="V410" i="3"/>
  <c r="O173" i="3"/>
  <c r="V53" i="3"/>
  <c r="AB319" i="3"/>
  <c r="N106" i="3"/>
  <c r="R12" i="3"/>
  <c r="H156" i="3"/>
  <c r="P33" i="3"/>
  <c r="N214" i="3"/>
  <c r="M62" i="3"/>
  <c r="T255" i="3"/>
  <c r="AH58" i="3"/>
  <c r="V233" i="3"/>
  <c r="H53" i="3"/>
  <c r="W204" i="3"/>
  <c r="P39" i="3"/>
  <c r="X241" i="3"/>
  <c r="Q46" i="3"/>
  <c r="S277" i="3"/>
  <c r="AF8" i="3"/>
  <c r="W215" i="3"/>
  <c r="O37" i="3"/>
  <c r="AE240" i="3"/>
  <c r="R245" i="3"/>
  <c r="AI201" i="3"/>
  <c r="K27" i="3"/>
  <c r="L6" i="3"/>
  <c r="AF4" i="3"/>
  <c r="AL28" i="3"/>
  <c r="L332" i="3"/>
  <c r="N44" i="3"/>
  <c r="AK185" i="3"/>
  <c r="Q67" i="3"/>
  <c r="AK173" i="3"/>
  <c r="Z37" i="3"/>
  <c r="J39" i="3"/>
  <c r="R41" i="3"/>
  <c r="M67" i="3"/>
  <c r="S187" i="3"/>
  <c r="N79" i="3"/>
  <c r="Z65" i="3"/>
  <c r="H75" i="3"/>
  <c r="Y105" i="3"/>
  <c r="AL81" i="3"/>
  <c r="AC358" i="3"/>
  <c r="M135" i="3"/>
  <c r="J32" i="3"/>
  <c r="AB106" i="3"/>
  <c r="X46" i="3"/>
  <c r="F88" i="3"/>
  <c r="F379" i="3"/>
  <c r="F143" i="3"/>
  <c r="F365" i="3"/>
  <c r="H399" i="3"/>
  <c r="X389" i="3"/>
  <c r="AE350" i="3"/>
  <c r="U369" i="3"/>
  <c r="L392" i="3"/>
  <c r="H339" i="3"/>
  <c r="I359" i="3"/>
  <c r="AJ372" i="3"/>
  <c r="AB392" i="3"/>
  <c r="R361" i="3"/>
  <c r="Q385" i="3"/>
  <c r="U400" i="3"/>
  <c r="I376" i="3"/>
  <c r="G407" i="3"/>
  <c r="T355" i="3"/>
  <c r="H384" i="3"/>
  <c r="AB308" i="3"/>
  <c r="AA345" i="3"/>
  <c r="P287" i="3"/>
  <c r="AF342" i="3"/>
  <c r="P366" i="3"/>
  <c r="AJ293" i="3"/>
  <c r="Y400" i="3"/>
  <c r="H325" i="3"/>
  <c r="AJ382" i="3"/>
  <c r="V297" i="3"/>
  <c r="AE355" i="3"/>
  <c r="AH282" i="3"/>
  <c r="Y317" i="3"/>
  <c r="AB251" i="3"/>
  <c r="P300" i="3"/>
  <c r="X404" i="3"/>
  <c r="G292" i="3"/>
  <c r="T233" i="3"/>
  <c r="I306" i="3"/>
  <c r="Y396" i="3"/>
  <c r="H275" i="3"/>
  <c r="AD213" i="3"/>
  <c r="I147" i="3"/>
  <c r="X257" i="3"/>
  <c r="J202" i="3"/>
  <c r="H147" i="3"/>
  <c r="AJ300" i="3"/>
  <c r="J228" i="3"/>
  <c r="Y173" i="3"/>
  <c r="T122" i="3"/>
  <c r="K276" i="3"/>
  <c r="H217" i="3"/>
  <c r="S163" i="3"/>
  <c r="K298" i="3"/>
  <c r="AF215" i="3"/>
  <c r="AH147" i="3"/>
  <c r="T93" i="3"/>
  <c r="H288" i="3"/>
  <c r="X207" i="3"/>
  <c r="R142" i="3"/>
  <c r="U87" i="3"/>
  <c r="AG309" i="3"/>
  <c r="R222" i="3"/>
  <c r="AK160" i="3"/>
  <c r="S102" i="3"/>
  <c r="L298" i="3"/>
  <c r="AH214" i="3"/>
  <c r="AB148" i="3"/>
  <c r="AD94" i="3"/>
  <c r="X272" i="3"/>
  <c r="AE184" i="3"/>
  <c r="AH106" i="3"/>
  <c r="S49" i="3"/>
  <c r="AF332" i="3"/>
  <c r="H231" i="3"/>
  <c r="Q146" i="3"/>
  <c r="J78" i="3"/>
  <c r="N351" i="3"/>
  <c r="Q222" i="3"/>
  <c r="W138" i="3"/>
  <c r="AB70" i="3"/>
  <c r="R327" i="3"/>
  <c r="AK208" i="3"/>
  <c r="AL128" i="3"/>
  <c r="AH66" i="3"/>
  <c r="Z301" i="3"/>
  <c r="I184" i="3"/>
  <c r="Q92" i="3"/>
  <c r="J261" i="3"/>
  <c r="T182" i="3"/>
  <c r="AG87" i="3"/>
  <c r="Y22" i="3"/>
  <c r="AJ255" i="3"/>
  <c r="N147" i="3"/>
  <c r="I65" i="3"/>
  <c r="I7" i="3"/>
  <c r="L219" i="3"/>
  <c r="AI122" i="3"/>
  <c r="AI46" i="3"/>
  <c r="P329" i="3"/>
  <c r="W161" i="3"/>
  <c r="K287" i="3"/>
  <c r="AL141" i="3"/>
  <c r="AC272" i="3"/>
  <c r="G142" i="3"/>
  <c r="S245" i="3"/>
  <c r="H120" i="3"/>
  <c r="L214" i="3"/>
  <c r="T76" i="3"/>
  <c r="Q5" i="3"/>
  <c r="AD170" i="3"/>
  <c r="Z55" i="3"/>
  <c r="K299" i="3"/>
  <c r="AF135" i="3"/>
  <c r="AI31" i="3"/>
  <c r="P248" i="3"/>
  <c r="AH73" i="3"/>
  <c r="AD330" i="3"/>
  <c r="Z114" i="3"/>
  <c r="P32" i="3"/>
  <c r="V213" i="3"/>
  <c r="AD60" i="3"/>
  <c r="AF254" i="3"/>
  <c r="T57" i="3"/>
  <c r="L305" i="3"/>
  <c r="G80" i="3"/>
  <c r="P281" i="3"/>
  <c r="AF63" i="3"/>
  <c r="G238" i="3"/>
  <c r="M44" i="3"/>
  <c r="U268" i="3"/>
  <c r="K410" i="3"/>
  <c r="Q210" i="3"/>
  <c r="Z35" i="3"/>
  <c r="AF232" i="3"/>
  <c r="P232" i="3"/>
  <c r="G197" i="3"/>
  <c r="L121" i="3"/>
  <c r="I131" i="3"/>
  <c r="W74" i="3"/>
  <c r="K81" i="3"/>
  <c r="AI34" i="3"/>
  <c r="AI238" i="3"/>
  <c r="AJ9" i="3"/>
  <c r="Z5" i="3"/>
  <c r="O38" i="3"/>
  <c r="AF35" i="3"/>
  <c r="AC165" i="3"/>
  <c r="AG67" i="3"/>
  <c r="N387" i="3"/>
  <c r="AK170" i="3"/>
  <c r="AB167" i="3"/>
  <c r="G101" i="3"/>
  <c r="AB277" i="3"/>
  <c r="N138" i="3"/>
  <c r="X256" i="3"/>
  <c r="J295" i="3"/>
  <c r="P79" i="3"/>
  <c r="F78" i="3"/>
  <c r="F216" i="3"/>
  <c r="F255" i="3"/>
  <c r="F254" i="3"/>
  <c r="F246" i="3"/>
  <c r="S398" i="3"/>
  <c r="G376" i="3"/>
  <c r="W336" i="3"/>
  <c r="X356" i="3"/>
  <c r="AH377" i="3"/>
  <c r="AA398" i="3"/>
  <c r="AF344" i="3"/>
  <c r="AF336" i="3"/>
  <c r="AJ390" i="3"/>
  <c r="AK329" i="3"/>
  <c r="V400" i="3"/>
  <c r="S395" i="3"/>
  <c r="O327" i="3"/>
  <c r="L376" i="3"/>
  <c r="I407" i="3"/>
  <c r="K321" i="3"/>
  <c r="Z344" i="3"/>
  <c r="AJ285" i="3"/>
  <c r="AJ341" i="3"/>
  <c r="G365" i="3"/>
  <c r="N293" i="3"/>
  <c r="X344" i="3"/>
  <c r="G278" i="3"/>
  <c r="AC313" i="3"/>
  <c r="AF384" i="3"/>
  <c r="K296" i="3"/>
  <c r="K340" i="3"/>
  <c r="P263" i="3"/>
  <c r="T344" i="3"/>
  <c r="S299" i="3"/>
  <c r="N401" i="3"/>
  <c r="AL291" i="3"/>
  <c r="AE232" i="3"/>
  <c r="AK305" i="3"/>
  <c r="G393" i="3"/>
  <c r="K255" i="3"/>
  <c r="U159" i="3"/>
  <c r="S296" i="3"/>
  <c r="S240" i="3"/>
  <c r="AE187" i="3"/>
  <c r="K134" i="3"/>
  <c r="P278" i="3"/>
  <c r="AB213" i="3"/>
  <c r="AB160" i="3"/>
  <c r="AI358" i="3"/>
  <c r="T258" i="3"/>
  <c r="K204" i="3"/>
  <c r="AC149" i="3"/>
  <c r="J272" i="3"/>
  <c r="AB197" i="3"/>
  <c r="L132" i="3"/>
  <c r="J79" i="3"/>
  <c r="P260" i="3"/>
  <c r="L190" i="3"/>
  <c r="O411" i="3"/>
  <c r="U407" i="3"/>
  <c r="M395" i="3"/>
  <c r="Z401" i="3"/>
  <c r="AF408" i="3"/>
  <c r="R407" i="3"/>
  <c r="AA407" i="3"/>
  <c r="AJ392" i="3"/>
  <c r="N379" i="3"/>
  <c r="Z365" i="3"/>
  <c r="R353" i="3"/>
  <c r="AD339" i="3"/>
  <c r="N400" i="3"/>
  <c r="AA385" i="3"/>
  <c r="S373" i="3"/>
  <c r="AE359" i="3"/>
  <c r="L346" i="3"/>
  <c r="S410" i="3"/>
  <c r="AL394" i="3"/>
  <c r="J381" i="3"/>
  <c r="V367" i="3"/>
  <c r="Y354" i="3"/>
  <c r="Z341" i="3"/>
  <c r="AA402" i="3"/>
  <c r="W387" i="3"/>
  <c r="O375" i="3"/>
  <c r="G361" i="3"/>
  <c r="H348" i="3"/>
  <c r="AE335" i="3"/>
  <c r="AC392" i="3"/>
  <c r="P376" i="3"/>
  <c r="AJ358" i="3"/>
  <c r="AG340" i="3"/>
  <c r="U325" i="3"/>
  <c r="P396" i="3"/>
  <c r="AC378" i="3"/>
  <c r="O396" i="3"/>
  <c r="N380" i="3"/>
  <c r="AH363" i="3"/>
  <c r="Q347" i="3"/>
  <c r="M333" i="3"/>
  <c r="AA408" i="3"/>
  <c r="AF387" i="3"/>
  <c r="AD373" i="3"/>
  <c r="AJ406" i="3"/>
  <c r="U383" i="3"/>
  <c r="H404" i="3"/>
  <c r="T383" i="3"/>
  <c r="H367" i="3"/>
  <c r="I400" i="3"/>
  <c r="O379" i="3"/>
  <c r="J364" i="3"/>
  <c r="O347" i="3"/>
  <c r="G331" i="3"/>
  <c r="R318" i="3"/>
  <c r="G389" i="3"/>
  <c r="G409" i="3"/>
  <c r="AH382" i="3"/>
  <c r="O359" i="3"/>
  <c r="AC338" i="3"/>
  <c r="AG321" i="3"/>
  <c r="R309" i="3"/>
  <c r="P388" i="3"/>
  <c r="X363" i="3"/>
  <c r="AC342" i="3"/>
  <c r="AH324" i="3"/>
  <c r="O311" i="3"/>
  <c r="AA297" i="3"/>
  <c r="AH396" i="3"/>
  <c r="AG372" i="3"/>
  <c r="T350" i="3"/>
  <c r="I331" i="3"/>
  <c r="AD315" i="3"/>
  <c r="AE302" i="3"/>
  <c r="AH289" i="3"/>
  <c r="AI276" i="3"/>
  <c r="Z398" i="3"/>
  <c r="S368" i="3"/>
  <c r="AB346" i="3"/>
  <c r="Z329" i="3"/>
  <c r="X314" i="3"/>
  <c r="AD404" i="3"/>
  <c r="O374" i="3"/>
  <c r="J347" i="3"/>
  <c r="AE327" i="3"/>
  <c r="AL312" i="3"/>
  <c r="AE296" i="3"/>
  <c r="K282" i="3"/>
  <c r="AA409" i="3"/>
  <c r="I378" i="3"/>
  <c r="AG351" i="3"/>
  <c r="I329" i="3"/>
  <c r="S311" i="3"/>
  <c r="H296" i="3"/>
  <c r="S281" i="3"/>
  <c r="AJ389" i="3"/>
  <c r="G359" i="3"/>
  <c r="AE334" i="3"/>
  <c r="AG317" i="3"/>
  <c r="S300" i="3"/>
  <c r="Z287" i="3"/>
  <c r="M273" i="3"/>
  <c r="AB394" i="3"/>
  <c r="AB360" i="3"/>
  <c r="N336" i="3"/>
  <c r="P316" i="3"/>
  <c r="AF299" i="3"/>
  <c r="Z285" i="3"/>
  <c r="AA272" i="3"/>
  <c r="AD385" i="3"/>
  <c r="AE347" i="3"/>
  <c r="AK321" i="3"/>
  <c r="M302" i="3"/>
  <c r="AK283" i="3"/>
  <c r="Q268" i="3"/>
  <c r="O254" i="3"/>
  <c r="R390" i="3"/>
  <c r="AE353" i="3"/>
  <c r="V324" i="3"/>
  <c r="G303" i="3"/>
  <c r="AI284" i="3"/>
  <c r="AL268" i="3"/>
  <c r="N254" i="3"/>
  <c r="X240" i="3"/>
  <c r="N371" i="3"/>
  <c r="V339" i="3"/>
  <c r="R314" i="3"/>
  <c r="Y295" i="3"/>
  <c r="AH278" i="3"/>
  <c r="AJ261" i="3"/>
  <c r="AB249" i="3"/>
  <c r="AL235" i="3"/>
  <c r="U401" i="3"/>
  <c r="AI361" i="3"/>
  <c r="Y332" i="3"/>
  <c r="Q310" i="3"/>
  <c r="AJ292" i="3"/>
  <c r="R276" i="3"/>
  <c r="AD260" i="3"/>
  <c r="AG407" i="3"/>
  <c r="AI360" i="3"/>
  <c r="AC329" i="3"/>
  <c r="AL300" i="3"/>
  <c r="G277" i="3"/>
  <c r="K259" i="3"/>
  <c r="L244" i="3"/>
  <c r="N230" i="3"/>
  <c r="Q216" i="3"/>
  <c r="I204" i="3"/>
  <c r="AD189" i="3"/>
  <c r="AJ174" i="3"/>
  <c r="AB162" i="3"/>
  <c r="G149" i="3"/>
  <c r="T363" i="3"/>
  <c r="X331" i="3"/>
  <c r="O302" i="3"/>
  <c r="P279" i="3"/>
  <c r="AF260" i="3"/>
  <c r="AG244" i="3"/>
  <c r="AH230" i="3"/>
  <c r="AJ216" i="3"/>
  <c r="AB204" i="3"/>
  <c r="AL190" i="3"/>
  <c r="X175" i="3"/>
  <c r="AA162" i="3"/>
  <c r="Z149" i="3"/>
  <c r="R137" i="3"/>
  <c r="AF372" i="3"/>
  <c r="AC334" i="3"/>
  <c r="M306" i="3"/>
  <c r="AA283" i="3"/>
  <c r="AE260" i="3"/>
  <c r="AF244" i="3"/>
  <c r="AF230" i="3"/>
  <c r="AI216" i="3"/>
  <c r="G204" i="3"/>
  <c r="Q190" i="3"/>
  <c r="AI163" i="3"/>
  <c r="N150" i="3"/>
  <c r="AK137" i="3"/>
  <c r="AL124" i="3"/>
  <c r="L371" i="3"/>
  <c r="W333" i="3"/>
  <c r="AK304" i="3"/>
  <c r="AA280" i="3"/>
  <c r="AB261" i="3"/>
  <c r="I247" i="3"/>
  <c r="G233" i="3"/>
  <c r="Z219" i="3"/>
  <c r="R207" i="3"/>
  <c r="H193" i="3"/>
  <c r="AE180" i="3"/>
  <c r="AK165" i="3"/>
  <c r="P152" i="3"/>
  <c r="H140" i="3"/>
  <c r="H342" i="3"/>
  <c r="V304" i="3"/>
  <c r="AE277" i="3"/>
  <c r="K253" i="3"/>
  <c r="H236" i="3"/>
  <c r="J219" i="3"/>
  <c r="Y202" i="3"/>
  <c r="M186" i="3"/>
  <c r="S168" i="3"/>
  <c r="M151" i="3"/>
  <c r="AC135" i="3"/>
  <c r="AJ121" i="3"/>
  <c r="O108" i="3"/>
  <c r="AL95" i="3"/>
  <c r="Q82" i="3"/>
  <c r="AK369" i="3"/>
  <c r="Q324" i="3"/>
  <c r="Z293" i="3"/>
  <c r="K267" i="3"/>
  <c r="AF246" i="3"/>
  <c r="M228" i="3"/>
  <c r="AF210" i="3"/>
  <c r="V193" i="3"/>
  <c r="G161" i="3"/>
  <c r="T145" i="3"/>
  <c r="I130" i="3"/>
  <c r="Q117" i="3"/>
  <c r="AC103" i="3"/>
  <c r="AE77" i="3"/>
  <c r="Z357" i="3"/>
  <c r="AB316" i="3"/>
  <c r="AL287" i="3"/>
  <c r="L261" i="3"/>
  <c r="I244" i="3"/>
  <c r="Y225" i="3"/>
  <c r="G210" i="3"/>
  <c r="R194" i="3"/>
  <c r="X179" i="3"/>
  <c r="P164" i="3"/>
  <c r="AH146" i="3"/>
  <c r="S131" i="3"/>
  <c r="Y118" i="3"/>
  <c r="AK104" i="3"/>
  <c r="AC92" i="3"/>
  <c r="AB79" i="3"/>
  <c r="I342" i="3"/>
  <c r="W304" i="3"/>
  <c r="N278" i="3"/>
  <c r="L253" i="3"/>
  <c r="M235" i="3"/>
  <c r="P218" i="3"/>
  <c r="Z202" i="3"/>
  <c r="N186" i="3"/>
  <c r="W168" i="3"/>
  <c r="AL151" i="3"/>
  <c r="AH137" i="3"/>
  <c r="AL123" i="3"/>
  <c r="Y109" i="3"/>
  <c r="Q97" i="3"/>
  <c r="AA83" i="3"/>
  <c r="L382" i="3"/>
  <c r="W321" i="3"/>
  <c r="P280" i="3"/>
  <c r="T252" i="3"/>
  <c r="I231" i="3"/>
  <c r="AL210" i="3"/>
  <c r="AG188" i="3"/>
  <c r="T166" i="3"/>
  <c r="R145" i="3"/>
  <c r="K127" i="3"/>
  <c r="S109" i="3"/>
  <c r="Y94" i="3"/>
  <c r="K78" i="3"/>
  <c r="N64" i="3"/>
  <c r="AK51" i="3"/>
  <c r="AA37" i="3"/>
  <c r="AK343" i="3"/>
  <c r="X295" i="3"/>
  <c r="U260" i="3"/>
  <c r="P235" i="3"/>
  <c r="AJ213" i="3"/>
  <c r="K193" i="3"/>
  <c r="X170" i="3"/>
  <c r="Y150" i="3"/>
  <c r="W130" i="3"/>
  <c r="X113" i="3"/>
  <c r="G98" i="3"/>
  <c r="S81" i="3"/>
  <c r="T67" i="3"/>
  <c r="W54" i="3"/>
  <c r="K42" i="3"/>
  <c r="AK361" i="3"/>
  <c r="M310" i="3"/>
  <c r="W278" i="3"/>
  <c r="AB246" i="3"/>
  <c r="Y226" i="3"/>
  <c r="X204" i="3"/>
  <c r="AC184" i="3"/>
  <c r="N162" i="3"/>
  <c r="P142" i="3"/>
  <c r="AB122" i="3"/>
  <c r="H106" i="3"/>
  <c r="AA88" i="3"/>
  <c r="O73" i="3"/>
  <c r="AA59" i="3"/>
  <c r="Z46" i="3"/>
  <c r="AF402" i="3"/>
  <c r="Y336" i="3"/>
  <c r="J294" i="3"/>
  <c r="Q259" i="3"/>
  <c r="M233" i="3"/>
  <c r="AL212" i="3"/>
  <c r="N193" i="3"/>
  <c r="AD172" i="3"/>
  <c r="AB150" i="3"/>
  <c r="Y131" i="3"/>
  <c r="AI116" i="3"/>
  <c r="T100" i="3"/>
  <c r="G84" i="3"/>
  <c r="L70" i="3"/>
  <c r="M57" i="3"/>
  <c r="AH42" i="3"/>
  <c r="X375" i="3"/>
  <c r="AC309" i="3"/>
  <c r="M269" i="3"/>
  <c r="N238" i="3"/>
  <c r="Y213" i="3"/>
  <c r="H188" i="3"/>
  <c r="V162" i="3"/>
  <c r="W137" i="3"/>
  <c r="S116" i="3"/>
  <c r="V96" i="3"/>
  <c r="AE76" i="3"/>
  <c r="R59" i="3"/>
  <c r="Y43" i="3"/>
  <c r="O29" i="3"/>
  <c r="L16" i="3"/>
  <c r="AK404" i="3"/>
  <c r="AA315" i="3"/>
  <c r="AJ268" i="3"/>
  <c r="M238" i="3"/>
  <c r="X213" i="3"/>
  <c r="R186" i="3"/>
  <c r="AH160" i="3"/>
  <c r="O135" i="3"/>
  <c r="M113" i="3"/>
  <c r="O92" i="3"/>
  <c r="N73" i="3"/>
  <c r="I56" i="3"/>
  <c r="T39" i="3"/>
  <c r="AI12" i="3"/>
  <c r="N375" i="3"/>
  <c r="AB300" i="3"/>
  <c r="I261" i="3"/>
  <c r="L231" i="3"/>
  <c r="U206" i="3"/>
  <c r="G181" i="3"/>
  <c r="T152" i="3"/>
  <c r="R128" i="3"/>
  <c r="G108" i="3"/>
  <c r="AL88" i="3"/>
  <c r="P68" i="3"/>
  <c r="AG51" i="3"/>
  <c r="G35" i="3"/>
  <c r="AI21" i="3"/>
  <c r="G9" i="3"/>
  <c r="V343" i="3"/>
  <c r="S291" i="3"/>
  <c r="AD252" i="3"/>
  <c r="R224" i="3"/>
  <c r="S174" i="3"/>
  <c r="P151" i="3"/>
  <c r="M126" i="3"/>
  <c r="AF104" i="3"/>
  <c r="H84" i="3"/>
  <c r="AC66" i="3"/>
  <c r="S50" i="3"/>
  <c r="J35" i="3"/>
  <c r="AA22" i="3"/>
  <c r="S10" i="3"/>
  <c r="AH348" i="3"/>
  <c r="G283" i="3"/>
  <c r="K238" i="3"/>
  <c r="AJ202" i="3"/>
  <c r="AB166" i="3"/>
  <c r="X134" i="3"/>
  <c r="U105" i="3"/>
  <c r="W361" i="3"/>
  <c r="AB296" i="3"/>
  <c r="K250" i="3"/>
  <c r="R215" i="3"/>
  <c r="Q185" i="3"/>
  <c r="AB146" i="3"/>
  <c r="U121" i="3"/>
  <c r="Z93" i="3"/>
  <c r="W327" i="3"/>
  <c r="AF279" i="3"/>
  <c r="AH245" i="3"/>
  <c r="K213" i="3"/>
  <c r="S183" i="3"/>
  <c r="L148" i="3"/>
  <c r="T121" i="3"/>
  <c r="AK383" i="3"/>
  <c r="AL306" i="3"/>
  <c r="AB254" i="3"/>
  <c r="S218" i="3"/>
  <c r="G185" i="3"/>
  <c r="H150" i="3"/>
  <c r="AE125" i="3"/>
  <c r="I100" i="3"/>
  <c r="H338" i="3"/>
  <c r="K263" i="3"/>
  <c r="AD222" i="3"/>
  <c r="N184" i="3"/>
  <c r="J142" i="3"/>
  <c r="AK108" i="3"/>
  <c r="Y81" i="3"/>
  <c r="AL61" i="3"/>
  <c r="AE40" i="3"/>
  <c r="S23" i="3"/>
  <c r="X8" i="3"/>
  <c r="AC321" i="3"/>
  <c r="AL256" i="3"/>
  <c r="AL217" i="3"/>
  <c r="AD141" i="3"/>
  <c r="R107" i="3"/>
  <c r="AL78" i="3"/>
  <c r="AD59" i="3"/>
  <c r="AE38" i="3"/>
  <c r="AG20" i="3"/>
  <c r="P5" i="3"/>
  <c r="T317" i="3"/>
  <c r="AK256" i="3"/>
  <c r="G216" i="3"/>
  <c r="L179" i="3"/>
  <c r="AG143" i="3"/>
  <c r="M105" i="3"/>
  <c r="R76" i="3"/>
  <c r="Z56" i="3"/>
  <c r="L35" i="3"/>
  <c r="I19" i="3"/>
  <c r="M410" i="3"/>
  <c r="T327" i="3"/>
  <c r="AC259" i="3"/>
  <c r="U208" i="3"/>
  <c r="AC158" i="3"/>
  <c r="AA114" i="3"/>
  <c r="H78" i="3"/>
  <c r="L56" i="3"/>
  <c r="Q33" i="3"/>
  <c r="N15" i="3"/>
  <c r="J345" i="3"/>
  <c r="V262" i="3"/>
  <c r="X210" i="3"/>
  <c r="AE164" i="3"/>
  <c r="W122" i="3"/>
  <c r="Y82" i="3"/>
  <c r="X59" i="3"/>
  <c r="N36" i="3"/>
  <c r="AF19" i="3"/>
  <c r="P387" i="3"/>
  <c r="T285" i="3"/>
  <c r="AA219" i="3"/>
  <c r="N180" i="3"/>
  <c r="N139" i="3"/>
  <c r="I96" i="3"/>
  <c r="Q66" i="3"/>
  <c r="AC39" i="3"/>
  <c r="AK20" i="3"/>
  <c r="J373" i="3"/>
  <c r="AJ271" i="3"/>
  <c r="S201" i="3"/>
  <c r="G137" i="3"/>
  <c r="L93" i="3"/>
  <c r="AE63" i="3"/>
  <c r="AA36" i="3"/>
  <c r="Y16" i="3"/>
  <c r="AL345" i="3"/>
  <c r="AB240" i="3"/>
  <c r="Y189" i="3"/>
  <c r="AK136" i="3"/>
  <c r="AB87" i="3"/>
  <c r="S57" i="3"/>
  <c r="AD30" i="3"/>
  <c r="U7" i="3"/>
  <c r="AE305" i="3"/>
  <c r="I212" i="3"/>
  <c r="S153" i="3"/>
  <c r="N103" i="3"/>
  <c r="V68" i="3"/>
  <c r="S42" i="3"/>
  <c r="L19" i="3"/>
  <c r="K352" i="3"/>
  <c r="Y247" i="3"/>
  <c r="R184" i="3"/>
  <c r="L125" i="3"/>
  <c r="AF80" i="3"/>
  <c r="M50" i="3"/>
  <c r="Z18" i="3"/>
  <c r="W258" i="3"/>
  <c r="U80" i="3"/>
  <c r="W325" i="3"/>
  <c r="G106" i="3"/>
  <c r="AC21" i="3"/>
  <c r="W165" i="3"/>
  <c r="T23" i="3"/>
  <c r="R182" i="3"/>
  <c r="G302" i="3"/>
  <c r="X224" i="3"/>
  <c r="Y160" i="3"/>
  <c r="J113" i="3"/>
  <c r="S72" i="3"/>
  <c r="V40" i="3"/>
  <c r="V13" i="3"/>
  <c r="O210" i="3"/>
  <c r="V258" i="3"/>
  <c r="Z94" i="3"/>
  <c r="AG231" i="3"/>
  <c r="X51" i="3"/>
  <c r="AC288" i="3"/>
  <c r="AL114" i="3"/>
  <c r="Y32" i="3"/>
  <c r="AK301" i="3"/>
  <c r="V215" i="3"/>
  <c r="AH151" i="3"/>
  <c r="AI100" i="3"/>
  <c r="W60" i="3"/>
  <c r="G30" i="3"/>
  <c r="V335" i="3"/>
  <c r="U66" i="3"/>
  <c r="M192" i="3"/>
  <c r="AE11" i="3"/>
  <c r="T156" i="3"/>
  <c r="N168" i="3"/>
  <c r="AE8" i="3"/>
  <c r="AF276" i="3"/>
  <c r="AH161" i="3"/>
  <c r="G82" i="3"/>
  <c r="X31" i="3"/>
  <c r="Z17" i="3"/>
  <c r="P67" i="3"/>
  <c r="V114" i="3"/>
  <c r="AG381" i="3"/>
  <c r="S138" i="3"/>
  <c r="H332" i="3"/>
  <c r="AL59" i="3"/>
  <c r="AC140" i="3"/>
  <c r="G235" i="3"/>
  <c r="AG400" i="3"/>
  <c r="G195" i="3"/>
  <c r="K99" i="3"/>
  <c r="Q38" i="3"/>
  <c r="Y304" i="3"/>
  <c r="H77" i="3"/>
  <c r="K212" i="3"/>
  <c r="AB303" i="3"/>
  <c r="K35" i="3"/>
  <c r="AE193" i="3"/>
  <c r="AH63" i="3"/>
  <c r="AA263" i="3"/>
  <c r="AB37" i="3"/>
  <c r="G73" i="3"/>
  <c r="M41" i="3"/>
  <c r="AC253" i="3"/>
  <c r="AB114" i="3"/>
  <c r="P52" i="3"/>
  <c r="G4" i="3"/>
  <c r="X114" i="3"/>
  <c r="Q317" i="3"/>
  <c r="I64" i="3"/>
  <c r="J203" i="3"/>
  <c r="M28" i="3"/>
  <c r="J54" i="3"/>
  <c r="AL234" i="3"/>
  <c r="P19" i="3"/>
  <c r="O22" i="3"/>
  <c r="N196" i="3"/>
  <c r="O79" i="3"/>
  <c r="G14" i="3"/>
  <c r="P189" i="3"/>
  <c r="H101" i="3"/>
  <c r="AK13" i="3"/>
  <c r="Y111" i="3"/>
  <c r="T12" i="3"/>
  <c r="S87" i="3"/>
  <c r="X11" i="3"/>
  <c r="AG59" i="3"/>
  <c r="AJ129" i="3"/>
  <c r="T123" i="3"/>
  <c r="K29" i="3"/>
  <c r="AG71" i="3"/>
  <c r="AA110" i="3"/>
  <c r="H190" i="3"/>
  <c r="Y145" i="3"/>
  <c r="S21" i="3"/>
  <c r="Y93" i="3"/>
  <c r="H198" i="3"/>
  <c r="L30" i="3"/>
  <c r="AA277" i="3"/>
  <c r="AI71" i="3"/>
  <c r="V46" i="3"/>
  <c r="AB15" i="3"/>
  <c r="AI144" i="3"/>
  <c r="J23" i="3"/>
  <c r="AI59" i="3"/>
  <c r="AI195" i="3"/>
  <c r="AH74" i="3"/>
  <c r="K168" i="3"/>
  <c r="AJ116" i="3"/>
  <c r="AK224" i="3"/>
  <c r="AI310" i="3"/>
  <c r="M19" i="3"/>
  <c r="AL244" i="3"/>
  <c r="S120" i="3"/>
  <c r="AI52" i="3"/>
  <c r="F9" i="3"/>
  <c r="F160" i="3"/>
  <c r="F180" i="3"/>
  <c r="F170" i="3"/>
  <c r="F100" i="3"/>
  <c r="F364" i="3"/>
  <c r="F318" i="3"/>
  <c r="F55" i="3"/>
  <c r="F276" i="3"/>
  <c r="F201" i="3"/>
  <c r="F267" i="3"/>
  <c r="F411" i="3"/>
  <c r="F401" i="3"/>
  <c r="F290" i="3"/>
  <c r="F371" i="3"/>
  <c r="F291" i="3"/>
  <c r="F382" i="3"/>
  <c r="F87" i="3"/>
  <c r="F225" i="3"/>
  <c r="O393" i="3"/>
  <c r="M405" i="3"/>
  <c r="AB363" i="3"/>
  <c r="R384" i="3"/>
  <c r="Y407" i="3"/>
  <c r="AA352" i="3"/>
  <c r="Y385" i="3"/>
  <c r="AE409" i="3"/>
  <c r="V338" i="3"/>
  <c r="V393" i="3"/>
  <c r="O331" i="3"/>
  <c r="H403" i="3"/>
  <c r="K364" i="3"/>
  <c r="Y344" i="3"/>
  <c r="I387" i="3"/>
  <c r="AD335" i="3"/>
  <c r="Z339" i="3"/>
  <c r="V392" i="3"/>
  <c r="AF313" i="3"/>
  <c r="I394" i="3"/>
  <c r="Z312" i="3"/>
  <c r="W310" i="3"/>
  <c r="AC375" i="3"/>
  <c r="AI293" i="3"/>
  <c r="AE356" i="3"/>
  <c r="K284" i="3"/>
  <c r="I333" i="3"/>
  <c r="Z270" i="3"/>
  <c r="T299" i="3"/>
  <c r="V385" i="3"/>
  <c r="Q282" i="3"/>
  <c r="Q367" i="3"/>
  <c r="N276" i="3"/>
  <c r="P393" i="3"/>
  <c r="O290" i="3"/>
  <c r="AC356" i="3"/>
  <c r="AB256" i="3"/>
  <c r="K202" i="3"/>
  <c r="AC147" i="3"/>
  <c r="Q258" i="3"/>
  <c r="AD202" i="3"/>
  <c r="T135" i="3"/>
  <c r="S280" i="3"/>
  <c r="AK214" i="3"/>
  <c r="AK161" i="3"/>
  <c r="L364" i="3"/>
  <c r="AK259" i="3"/>
  <c r="T205" i="3"/>
  <c r="AL150" i="3"/>
  <c r="AH274" i="3"/>
  <c r="AA148" i="3"/>
  <c r="I94" i="3"/>
  <c r="Q289" i="3"/>
  <c r="R208" i="3"/>
  <c r="J143" i="3"/>
  <c r="J88" i="3"/>
  <c r="G258" i="3"/>
  <c r="AH191" i="3"/>
  <c r="R129" i="3"/>
  <c r="N406" i="3"/>
  <c r="AI250" i="3"/>
  <c r="AD183" i="3"/>
  <c r="AK121" i="3"/>
  <c r="AH376" i="3"/>
  <c r="AE227" i="3"/>
  <c r="X142" i="3"/>
  <c r="AI75" i="3"/>
  <c r="AA335" i="3"/>
  <c r="AL211" i="3"/>
  <c r="AI127" i="3"/>
  <c r="V65" i="3"/>
  <c r="K303" i="3"/>
  <c r="U181" i="3"/>
  <c r="Q86" i="3"/>
  <c r="AK388" i="3"/>
  <c r="L210" i="3"/>
  <c r="G129" i="3"/>
  <c r="W67" i="3"/>
  <c r="AE303" i="3"/>
  <c r="J185" i="3"/>
  <c r="P93" i="3"/>
  <c r="Q27" i="3"/>
  <c r="AG262" i="3"/>
  <c r="Z156" i="3"/>
  <c r="AG70" i="3"/>
  <c r="AK10" i="3"/>
  <c r="H228" i="3"/>
  <c r="AI125" i="3"/>
  <c r="T49" i="3"/>
  <c r="AC7" i="3"/>
  <c r="U220" i="3"/>
  <c r="AH123" i="3"/>
  <c r="U334" i="3"/>
  <c r="AL162" i="3"/>
  <c r="J290" i="3"/>
  <c r="H142" i="3"/>
  <c r="I273" i="3"/>
  <c r="Z143" i="3"/>
  <c r="Z247" i="3"/>
  <c r="S121" i="3"/>
  <c r="L216" i="3"/>
  <c r="AH77" i="3"/>
  <c r="J6" i="3"/>
  <c r="U172" i="3"/>
  <c r="AA56" i="3"/>
  <c r="M305" i="3"/>
  <c r="K138" i="3"/>
  <c r="AB32" i="3"/>
  <c r="X251" i="3"/>
  <c r="S52" i="3"/>
  <c r="W251" i="3"/>
  <c r="G78" i="3"/>
  <c r="AE367" i="3"/>
  <c r="AG131" i="3"/>
  <c r="AI17" i="3"/>
  <c r="G131" i="3"/>
  <c r="Q13" i="3"/>
  <c r="Y125" i="3"/>
  <c r="J4" i="3"/>
  <c r="AC95" i="3"/>
  <c r="T345" i="3"/>
  <c r="P74" i="3"/>
  <c r="Y70" i="3"/>
  <c r="V135" i="3"/>
  <c r="AA292" i="3"/>
  <c r="W66" i="3"/>
  <c r="P42" i="3"/>
  <c r="AL41" i="3"/>
  <c r="M292" i="3"/>
  <c r="J55" i="3"/>
  <c r="K172" i="3"/>
  <c r="U135" i="3"/>
  <c r="N77" i="3"/>
  <c r="M85" i="3"/>
  <c r="AD123" i="3"/>
  <c r="AA86" i="3"/>
  <c r="AC166" i="3"/>
  <c r="M51" i="3"/>
  <c r="M30" i="3"/>
  <c r="L399" i="3"/>
  <c r="G174" i="3"/>
  <c r="AI173" i="3"/>
  <c r="G68" i="3"/>
  <c r="AH407" i="3"/>
  <c r="Q257" i="3"/>
  <c r="AD204" i="3"/>
  <c r="AG104" i="3"/>
  <c r="AF287" i="3"/>
  <c r="N225" i="3"/>
  <c r="AF13" i="3"/>
  <c r="G346" i="3"/>
  <c r="X87" i="3"/>
  <c r="F34" i="3"/>
  <c r="F85" i="3"/>
  <c r="F81" i="3"/>
  <c r="F356" i="3"/>
  <c r="F388" i="3"/>
  <c r="AB408" i="3"/>
  <c r="T404" i="3"/>
  <c r="L337" i="3"/>
  <c r="Y343" i="3"/>
  <c r="AI364" i="3"/>
  <c r="AJ384" i="3"/>
  <c r="Z408" i="3"/>
  <c r="Y337" i="3"/>
  <c r="AA392" i="3"/>
  <c r="W404" i="3"/>
  <c r="Q379" i="3"/>
  <c r="AB396" i="3"/>
  <c r="AL327" i="3"/>
  <c r="X377" i="3"/>
  <c r="AK408" i="3"/>
  <c r="AF321" i="3"/>
  <c r="AE366" i="3"/>
  <c r="M300" i="3"/>
  <c r="AD363" i="3"/>
  <c r="K398" i="3"/>
  <c r="AB309" i="3"/>
  <c r="AJ345" i="3"/>
  <c r="AB278" i="3"/>
  <c r="Z314" i="3"/>
  <c r="U386" i="3"/>
  <c r="AG296" i="3"/>
  <c r="V341" i="3"/>
  <c r="AJ263" i="3"/>
  <c r="AI319" i="3"/>
  <c r="K266" i="3"/>
  <c r="R365" i="3"/>
  <c r="T275" i="3"/>
  <c r="T390" i="3"/>
  <c r="U289" i="3"/>
  <c r="AK354" i="3"/>
  <c r="AI255" i="3"/>
  <c r="V201" i="3"/>
  <c r="J160" i="3"/>
  <c r="Y324" i="3"/>
  <c r="J241" i="3"/>
  <c r="T188" i="3"/>
  <c r="AE134" i="3"/>
  <c r="O279" i="3"/>
  <c r="Q214" i="3"/>
  <c r="Q161" i="3"/>
  <c r="N361" i="3"/>
  <c r="M259" i="3"/>
  <c r="AE204" i="3"/>
  <c r="R150" i="3"/>
  <c r="V273" i="3"/>
  <c r="U198" i="3"/>
  <c r="AG132" i="3"/>
  <c r="AD79" i="3"/>
  <c r="M261" i="3"/>
  <c r="R173" i="3"/>
  <c r="AD114" i="3"/>
  <c r="AC346" i="3"/>
  <c r="U239" i="3"/>
  <c r="H175" i="3"/>
  <c r="G116" i="3"/>
  <c r="J334" i="3"/>
  <c r="AD231" i="3"/>
  <c r="L165" i="3"/>
  <c r="G107" i="3"/>
  <c r="P314" i="3"/>
  <c r="AJ206" i="3"/>
  <c r="X123" i="3"/>
  <c r="AA61" i="3"/>
  <c r="P255" i="3"/>
  <c r="S166" i="3"/>
  <c r="U95" i="3"/>
  <c r="X39" i="3"/>
  <c r="AJ241" i="3"/>
  <c r="G159" i="3"/>
  <c r="T85" i="3"/>
  <c r="M384" i="3"/>
  <c r="AL229" i="3"/>
  <c r="W146" i="3"/>
  <c r="V81" i="3"/>
  <c r="AL356" i="3"/>
  <c r="L208" i="3"/>
  <c r="M111" i="3"/>
  <c r="R40" i="3"/>
  <c r="AD303" i="3"/>
  <c r="Q68" i="3"/>
  <c r="Q10" i="3"/>
  <c r="AI226" i="3"/>
  <c r="AI124" i="3"/>
  <c r="G329" i="3"/>
  <c r="AH195" i="3"/>
  <c r="AD100" i="3"/>
  <c r="W32" i="3"/>
  <c r="L273" i="3"/>
  <c r="AA127" i="3"/>
  <c r="AI245" i="3"/>
  <c r="T397" i="3"/>
  <c r="V207" i="3"/>
  <c r="M361" i="3"/>
  <c r="AJ179" i="3"/>
  <c r="AD321" i="3"/>
  <c r="O136" i="3"/>
  <c r="AG36" i="3"/>
  <c r="W247" i="3"/>
  <c r="S100" i="3"/>
  <c r="X17" i="3"/>
  <c r="AE208" i="3"/>
  <c r="N72" i="3"/>
  <c r="P381" i="3"/>
  <c r="AF149" i="3"/>
  <c r="T29" i="3"/>
  <c r="AL202" i="3"/>
  <c r="AL55" i="3"/>
  <c r="AG273" i="3"/>
  <c r="N88" i="3"/>
  <c r="I356" i="3"/>
  <c r="G86" i="3"/>
  <c r="J230" i="3"/>
  <c r="Y51" i="3"/>
  <c r="AK142" i="3"/>
  <c r="X14" i="3"/>
  <c r="AE115" i="3"/>
  <c r="X62" i="3"/>
  <c r="AJ130" i="3"/>
  <c r="AC281" i="3"/>
  <c r="X64" i="3"/>
  <c r="T40" i="3"/>
  <c r="AI36" i="3"/>
  <c r="V277" i="3"/>
  <c r="T53" i="3"/>
  <c r="L410" i="3"/>
  <c r="I410" i="3"/>
  <c r="I23" i="3"/>
  <c r="K119" i="3"/>
  <c r="U81" i="3"/>
  <c r="AI158" i="3"/>
  <c r="AK102" i="3"/>
  <c r="Y86" i="3"/>
  <c r="K262" i="3"/>
  <c r="Y5" i="3"/>
  <c r="M320" i="3"/>
  <c r="R87" i="3"/>
  <c r="S285" i="3"/>
  <c r="L129" i="3"/>
  <c r="AE4" i="3"/>
  <c r="AB55" i="3"/>
  <c r="AI104" i="3"/>
  <c r="Z284" i="3"/>
  <c r="AC65" i="3"/>
  <c r="Q37" i="3"/>
  <c r="F118" i="3"/>
  <c r="F122" i="3"/>
  <c r="F317" i="3"/>
  <c r="F42" i="3"/>
  <c r="F355" i="3"/>
  <c r="N404" i="3"/>
  <c r="U405" i="3"/>
  <c r="AA403" i="3"/>
  <c r="K350" i="3"/>
  <c r="AF368" i="3"/>
  <c r="AE390" i="3"/>
  <c r="S338" i="3"/>
  <c r="H372" i="3"/>
  <c r="V407" i="3"/>
  <c r="AJ354" i="3"/>
  <c r="W374" i="3"/>
  <c r="J344" i="3"/>
  <c r="AI368" i="3"/>
  <c r="O378" i="3"/>
  <c r="K361" i="3"/>
  <c r="AE385" i="3"/>
  <c r="M334" i="3"/>
  <c r="M358" i="3"/>
  <c r="I295" i="3"/>
  <c r="Q326" i="3"/>
  <c r="AB273" i="3"/>
  <c r="AJ324" i="3"/>
  <c r="N341" i="3"/>
  <c r="AC278" i="3"/>
  <c r="AK323" i="3"/>
  <c r="AI380" i="3"/>
  <c r="AC296" i="3"/>
  <c r="AB354" i="3"/>
  <c r="M282" i="3"/>
  <c r="Z316" i="3"/>
  <c r="H251" i="3"/>
  <c r="X280" i="3"/>
  <c r="AE363" i="3"/>
  <c r="W274" i="3"/>
  <c r="G388" i="3"/>
  <c r="X288" i="3"/>
  <c r="T321" i="3"/>
  <c r="T240" i="3"/>
  <c r="W186" i="3"/>
  <c r="AH352" i="3"/>
  <c r="AA256" i="3"/>
  <c r="U201" i="3"/>
  <c r="S146" i="3"/>
  <c r="AI299" i="3"/>
  <c r="T227" i="3"/>
  <c r="AJ172" i="3"/>
  <c r="AE121" i="3"/>
  <c r="J275" i="3"/>
  <c r="S216" i="3"/>
  <c r="AD162" i="3"/>
  <c r="H297" i="3"/>
  <c r="AG214" i="3"/>
  <c r="AJ146" i="3"/>
  <c r="AE92" i="3"/>
  <c r="N285" i="3"/>
  <c r="AE206" i="3"/>
  <c r="Z410" i="3"/>
  <c r="AF406" i="3"/>
  <c r="X394" i="3"/>
  <c r="AK400" i="3"/>
  <c r="J408" i="3"/>
  <c r="AC406" i="3"/>
  <c r="AH406" i="3"/>
  <c r="N392" i="3"/>
  <c r="Y378" i="3"/>
  <c r="AK364" i="3"/>
  <c r="AC352" i="3"/>
  <c r="J339" i="3"/>
  <c r="V399" i="3"/>
  <c r="G385" i="3"/>
  <c r="AD372" i="3"/>
  <c r="K359" i="3"/>
  <c r="W345" i="3"/>
  <c r="P409" i="3"/>
  <c r="P394" i="3"/>
  <c r="U380" i="3"/>
  <c r="AG366" i="3"/>
  <c r="AJ353" i="3"/>
  <c r="AK340" i="3"/>
  <c r="AH401" i="3"/>
  <c r="AH386" i="3"/>
  <c r="Z374" i="3"/>
  <c r="AL360" i="3"/>
  <c r="S347" i="3"/>
  <c r="K335" i="3"/>
  <c r="AL390" i="3"/>
  <c r="U375" i="3"/>
  <c r="L358" i="3"/>
  <c r="I340" i="3"/>
  <c r="AF324" i="3"/>
  <c r="U395" i="3"/>
  <c r="AF377" i="3"/>
  <c r="T395" i="3"/>
  <c r="U379" i="3"/>
  <c r="J363" i="3"/>
  <c r="X346" i="3"/>
  <c r="X332" i="3"/>
  <c r="W407" i="3"/>
  <c r="H387" i="3"/>
  <c r="AK372" i="3"/>
  <c r="Z405" i="3"/>
  <c r="W382" i="3"/>
  <c r="G403" i="3"/>
  <c r="V382" i="3"/>
  <c r="H366" i="3"/>
  <c r="G399" i="3"/>
  <c r="N378" i="3"/>
  <c r="K363" i="3"/>
  <c r="T346" i="3"/>
  <c r="AL330" i="3"/>
  <c r="U411" i="3"/>
  <c r="AL388" i="3"/>
  <c r="AL408" i="3"/>
  <c r="W381" i="3"/>
  <c r="N358" i="3"/>
  <c r="AG337" i="3"/>
  <c r="L321" i="3"/>
  <c r="AC308" i="3"/>
  <c r="J387" i="3"/>
  <c r="V362" i="3"/>
  <c r="AG341" i="3"/>
  <c r="I324" i="3"/>
  <c r="Z310" i="3"/>
  <c r="G297" i="3"/>
  <c r="Q395" i="3"/>
  <c r="AB371" i="3"/>
  <c r="U348" i="3"/>
  <c r="O330" i="3"/>
  <c r="J315" i="3"/>
  <c r="K302" i="3"/>
  <c r="N289" i="3"/>
  <c r="O276" i="3"/>
  <c r="AK396" i="3"/>
  <c r="J367" i="3"/>
  <c r="AD345" i="3"/>
  <c r="AI327" i="3"/>
  <c r="AI313" i="3"/>
  <c r="Y402" i="3"/>
  <c r="S372" i="3"/>
  <c r="AK345" i="3"/>
  <c r="AI326" i="3"/>
  <c r="N312" i="3"/>
  <c r="I296" i="3"/>
  <c r="U281" i="3"/>
  <c r="X406" i="3"/>
  <c r="AD377" i="3"/>
  <c r="AG350" i="3"/>
  <c r="AD327" i="3"/>
  <c r="V310" i="3"/>
  <c r="Q295" i="3"/>
  <c r="AC280" i="3"/>
  <c r="J388" i="3"/>
  <c r="AL358" i="3"/>
  <c r="AF333" i="3"/>
  <c r="AJ316" i="3"/>
  <c r="AB299" i="3"/>
  <c r="V285" i="3"/>
  <c r="W272" i="3"/>
  <c r="T392" i="3"/>
  <c r="U359" i="3"/>
  <c r="I335" i="3"/>
  <c r="W315" i="3"/>
  <c r="J299" i="3"/>
  <c r="AJ284" i="3"/>
  <c r="AK271" i="3"/>
  <c r="R383" i="3"/>
  <c r="P346" i="3"/>
  <c r="AH320" i="3"/>
  <c r="P301" i="3"/>
  <c r="L283" i="3"/>
  <c r="Y267" i="3"/>
  <c r="Z253" i="3"/>
  <c r="AH389" i="3"/>
  <c r="P352" i="3"/>
  <c r="L323" i="3"/>
  <c r="AL302" i="3"/>
  <c r="AJ283" i="3"/>
  <c r="P268" i="3"/>
  <c r="Y253" i="3"/>
  <c r="V411" i="3"/>
  <c r="G369" i="3"/>
  <c r="I338" i="3"/>
  <c r="T313" i="3"/>
  <c r="AD294" i="3"/>
  <c r="AG277" i="3"/>
  <c r="P261" i="3"/>
  <c r="H249" i="3"/>
  <c r="R235" i="3"/>
  <c r="AF398" i="3"/>
  <c r="H360" i="3"/>
  <c r="T331" i="3"/>
  <c r="N309" i="3"/>
  <c r="J292" i="3"/>
  <c r="W275" i="3"/>
  <c r="J260" i="3"/>
  <c r="AI403" i="3"/>
  <c r="AF358" i="3"/>
  <c r="AB327" i="3"/>
  <c r="AK299" i="3"/>
  <c r="AL276" i="3"/>
  <c r="R258" i="3"/>
  <c r="W229" i="3"/>
  <c r="AB215" i="3"/>
  <c r="T203" i="3"/>
  <c r="J189" i="3"/>
  <c r="P174" i="3"/>
  <c r="H162" i="3"/>
  <c r="AL148" i="3"/>
  <c r="AH360" i="3"/>
  <c r="AB329" i="3"/>
  <c r="AK300" i="3"/>
  <c r="Q278" i="3"/>
  <c r="AH259" i="3"/>
  <c r="K244" i="3"/>
  <c r="L230" i="3"/>
  <c r="P216" i="3"/>
  <c r="H204" i="3"/>
  <c r="R190" i="3"/>
  <c r="AI174" i="3"/>
  <c r="G162" i="3"/>
  <c r="AK148" i="3"/>
  <c r="AC136" i="3"/>
  <c r="U368" i="3"/>
  <c r="N333" i="3"/>
  <c r="Z304" i="3"/>
  <c r="X282" i="3"/>
  <c r="AG259" i="3"/>
  <c r="J244" i="3"/>
  <c r="K230" i="3"/>
  <c r="O216" i="3"/>
  <c r="AL203" i="3"/>
  <c r="AB189" i="3"/>
  <c r="W175" i="3"/>
  <c r="O163" i="3"/>
  <c r="Y149" i="3"/>
  <c r="Q137" i="3"/>
  <c r="R124" i="3"/>
  <c r="Y368" i="3"/>
  <c r="AA331" i="3"/>
  <c r="Z303" i="3"/>
  <c r="X279" i="3"/>
  <c r="AI260" i="3"/>
  <c r="R246" i="3"/>
  <c r="AL232" i="3"/>
  <c r="AK218" i="3"/>
  <c r="AC206" i="3"/>
  <c r="S192" i="3"/>
  <c r="K180" i="3"/>
  <c r="Q165" i="3"/>
  <c r="AA151" i="3"/>
  <c r="M406" i="3"/>
  <c r="K339" i="3"/>
  <c r="AD302" i="3"/>
  <c r="W276" i="3"/>
  <c r="H252" i="3"/>
  <c r="AK235" i="3"/>
  <c r="L218" i="3"/>
  <c r="AF201" i="3"/>
  <c r="T185" i="3"/>
  <c r="Z167" i="3"/>
  <c r="S150" i="3"/>
  <c r="G135" i="3"/>
  <c r="O121" i="3"/>
  <c r="Z107" i="3"/>
  <c r="R95" i="3"/>
  <c r="AB81" i="3"/>
  <c r="O367" i="3"/>
  <c r="R322" i="3"/>
  <c r="P292" i="3"/>
  <c r="AJ266" i="3"/>
  <c r="AK245" i="3"/>
  <c r="P227" i="3"/>
  <c r="H210" i="3"/>
  <c r="AB192" i="3"/>
  <c r="AG175" i="3"/>
  <c r="AL160" i="3"/>
  <c r="AB144" i="3"/>
  <c r="S129" i="3"/>
  <c r="AB116" i="3"/>
  <c r="I103" i="3"/>
  <c r="S89" i="3"/>
  <c r="K77" i="3"/>
  <c r="I355" i="3"/>
  <c r="AK314" i="3"/>
  <c r="M285" i="3"/>
  <c r="O260" i="3"/>
  <c r="AB224" i="3"/>
  <c r="AL209" i="3"/>
  <c r="U193" i="3"/>
  <c r="V163" i="3"/>
  <c r="K146" i="3"/>
  <c r="AC130" i="3"/>
  <c r="AJ117" i="3"/>
  <c r="Q104" i="3"/>
  <c r="I92" i="3"/>
  <c r="H79" i="3"/>
  <c r="M339" i="3"/>
  <c r="AG302" i="3"/>
  <c r="AF277" i="3"/>
  <c r="I252" i="3"/>
  <c r="Q234" i="3"/>
  <c r="T217" i="3"/>
  <c r="AG201" i="3"/>
  <c r="U185" i="3"/>
  <c r="AA167" i="3"/>
  <c r="N151" i="3"/>
  <c r="L137" i="3"/>
  <c r="Q123" i="3"/>
  <c r="AJ108" i="3"/>
  <c r="AB96" i="3"/>
  <c r="G83" i="3"/>
  <c r="K378" i="3"/>
  <c r="O319" i="3"/>
  <c r="Y278" i="3"/>
  <c r="M251" i="3"/>
  <c r="AF229" i="3"/>
  <c r="AI209" i="3"/>
  <c r="AJ187" i="3"/>
  <c r="T165" i="3"/>
  <c r="S144" i="3"/>
  <c r="Q126" i="3"/>
  <c r="Z108" i="3"/>
  <c r="AE93" i="3"/>
  <c r="S77" i="3"/>
  <c r="Y63" i="3"/>
  <c r="Q51" i="3"/>
  <c r="G37" i="3"/>
  <c r="T340" i="3"/>
  <c r="T293" i="3"/>
  <c r="AK258" i="3"/>
  <c r="H234" i="3"/>
  <c r="AI212" i="3"/>
  <c r="I192" i="3"/>
  <c r="V169" i="3"/>
  <c r="X149" i="3"/>
  <c r="AC129" i="3"/>
  <c r="AF111" i="3"/>
  <c r="AG97" i="3"/>
  <c r="X80" i="3"/>
  <c r="AE66" i="3"/>
  <c r="AH53" i="3"/>
  <c r="V41" i="3"/>
  <c r="G358" i="3"/>
  <c r="AF309" i="3"/>
  <c r="S276" i="3"/>
  <c r="U245" i="3"/>
  <c r="U225" i="3"/>
  <c r="Z203" i="3"/>
  <c r="W183" i="3"/>
  <c r="K161" i="3"/>
  <c r="S141" i="3"/>
  <c r="AB121" i="3"/>
  <c r="O105" i="3"/>
  <c r="AH87" i="3"/>
  <c r="Z72" i="3"/>
  <c r="G59" i="3"/>
  <c r="AK45" i="3"/>
  <c r="AG394" i="3"/>
  <c r="J333" i="3"/>
  <c r="W293" i="3"/>
  <c r="AH257" i="3"/>
  <c r="I232" i="3"/>
  <c r="J212" i="3"/>
  <c r="L192" i="3"/>
  <c r="AG171" i="3"/>
  <c r="AE149" i="3"/>
  <c r="Z130" i="3"/>
  <c r="K116" i="3"/>
  <c r="AA99" i="3"/>
  <c r="AL83" i="3"/>
  <c r="AF68" i="3"/>
  <c r="X56" i="3"/>
  <c r="N42" i="3"/>
  <c r="AA368" i="3"/>
  <c r="AE306" i="3"/>
  <c r="P267" i="3"/>
  <c r="K237" i="3"/>
  <c r="O212" i="3"/>
  <c r="AK187" i="3"/>
  <c r="N161" i="3"/>
  <c r="V136" i="3"/>
  <c r="P115" i="3"/>
  <c r="O95" i="3"/>
  <c r="AD75" i="3"/>
  <c r="X58" i="3"/>
  <c r="AB42" i="3"/>
  <c r="Z28" i="3"/>
  <c r="W15" i="3"/>
  <c r="R393" i="3"/>
  <c r="AE312" i="3"/>
  <c r="O267" i="3"/>
  <c r="I237" i="3"/>
  <c r="N212" i="3"/>
  <c r="I185" i="3"/>
  <c r="AB159" i="3"/>
  <c r="Z132" i="3"/>
  <c r="L111" i="3"/>
  <c r="U72" i="3"/>
  <c r="P55" i="3"/>
  <c r="Z38" i="3"/>
  <c r="O12" i="3"/>
  <c r="X368" i="3"/>
  <c r="Y298" i="3"/>
  <c r="Y259" i="3"/>
  <c r="AE230" i="3"/>
  <c r="L205" i="3"/>
  <c r="AL180" i="3"/>
  <c r="I151" i="3"/>
  <c r="L127" i="3"/>
  <c r="AL107" i="3"/>
  <c r="AF87" i="3"/>
  <c r="V67" i="3"/>
  <c r="I51" i="3"/>
  <c r="AL34" i="3"/>
  <c r="O21" i="3"/>
  <c r="AL8" i="3"/>
  <c r="AK337" i="3"/>
  <c r="I289" i="3"/>
  <c r="N251" i="3"/>
  <c r="G223" i="3"/>
  <c r="AA198" i="3"/>
  <c r="J173" i="3"/>
  <c r="AK149" i="3"/>
  <c r="I125" i="3"/>
  <c r="AI103" i="3"/>
  <c r="AK83" i="3"/>
  <c r="AJ65" i="3"/>
  <c r="X49" i="3"/>
  <c r="U34" i="3"/>
  <c r="G22" i="3"/>
  <c r="AD9" i="3"/>
  <c r="J342" i="3"/>
  <c r="AL282" i="3"/>
  <c r="N236" i="3"/>
  <c r="K201" i="3"/>
  <c r="AC164" i="3"/>
  <c r="AF131" i="3"/>
  <c r="J104" i="3"/>
  <c r="G356" i="3"/>
  <c r="G293" i="3"/>
  <c r="J248" i="3"/>
  <c r="AC214" i="3"/>
  <c r="T183" i="3"/>
  <c r="K145" i="3"/>
  <c r="M120" i="3"/>
  <c r="S92" i="3"/>
  <c r="V323" i="3"/>
  <c r="M276" i="3"/>
  <c r="AK212" i="3"/>
  <c r="AC181" i="3"/>
  <c r="AA146" i="3"/>
  <c r="I120" i="3"/>
  <c r="I382" i="3"/>
  <c r="Z302" i="3"/>
  <c r="M252" i="3"/>
  <c r="AC216" i="3"/>
  <c r="AL184" i="3"/>
  <c r="AL149" i="3"/>
  <c r="P124" i="3"/>
  <c r="AI98" i="3"/>
  <c r="AL337" i="3"/>
  <c r="AD262" i="3"/>
  <c r="AJ220" i="3"/>
  <c r="AF181" i="3"/>
  <c r="AE141" i="3"/>
  <c r="S107" i="3"/>
  <c r="N80" i="3"/>
  <c r="AC60" i="3"/>
  <c r="AH39" i="3"/>
  <c r="V22" i="3"/>
  <c r="AA7" i="3"/>
  <c r="U317" i="3"/>
  <c r="J254" i="3"/>
  <c r="H216" i="3"/>
  <c r="P175" i="3"/>
  <c r="AD139" i="3"/>
  <c r="V105" i="3"/>
  <c r="AD77" i="3"/>
  <c r="AC58" i="3"/>
  <c r="AE37" i="3"/>
  <c r="AH19" i="3"/>
  <c r="S4" i="3"/>
  <c r="AH316" i="3"/>
  <c r="AG253" i="3"/>
  <c r="AL215" i="3"/>
  <c r="AC141" i="3"/>
  <c r="T103" i="3"/>
  <c r="T75" i="3"/>
  <c r="Y55" i="3"/>
  <c r="N34" i="3"/>
  <c r="P18" i="3"/>
  <c r="I388" i="3"/>
  <c r="AE326" i="3"/>
  <c r="AB258" i="3"/>
  <c r="K205" i="3"/>
  <c r="Q156" i="3"/>
  <c r="V110" i="3"/>
  <c r="AG76" i="3"/>
  <c r="AI54" i="3"/>
  <c r="Q32" i="3"/>
  <c r="K14" i="3"/>
  <c r="H344" i="3"/>
  <c r="AA258" i="3"/>
  <c r="P208" i="3"/>
  <c r="AA161" i="3"/>
  <c r="AF120" i="3"/>
  <c r="M81" i="3"/>
  <c r="O58" i="3"/>
  <c r="P35" i="3"/>
  <c r="AJ18" i="3"/>
  <c r="T372" i="3"/>
  <c r="Q280" i="3"/>
  <c r="G217" i="3"/>
  <c r="AD179" i="3"/>
  <c r="H137" i="3"/>
  <c r="AG95" i="3"/>
  <c r="AC64" i="3"/>
  <c r="T38" i="3"/>
  <c r="AE19" i="3"/>
  <c r="Z372" i="3"/>
  <c r="S260" i="3"/>
  <c r="I197" i="3"/>
  <c r="AL136" i="3"/>
  <c r="J62" i="3"/>
  <c r="T35" i="3"/>
  <c r="Z15" i="3"/>
  <c r="AE324" i="3"/>
  <c r="R237" i="3"/>
  <c r="P186" i="3"/>
  <c r="AK130" i="3"/>
  <c r="AC85" i="3"/>
  <c r="AD55" i="3"/>
  <c r="AA29" i="3"/>
  <c r="O6" i="3"/>
  <c r="AI297" i="3"/>
  <c r="AI211" i="3"/>
  <c r="AA150" i="3"/>
  <c r="AH100" i="3"/>
  <c r="J67" i="3"/>
  <c r="H41" i="3"/>
  <c r="AF17" i="3"/>
  <c r="AC351" i="3"/>
  <c r="Y246" i="3"/>
  <c r="AD180" i="3"/>
  <c r="H122" i="3"/>
  <c r="R78" i="3"/>
  <c r="AD49" i="3"/>
  <c r="P17" i="3"/>
  <c r="T246" i="3"/>
  <c r="O78" i="3"/>
  <c r="H313" i="3"/>
  <c r="Z100" i="3"/>
  <c r="AE15" i="3"/>
  <c r="R160" i="3"/>
  <c r="V21" i="3"/>
  <c r="U165" i="3"/>
  <c r="AL301" i="3"/>
  <c r="V220" i="3"/>
  <c r="AC157" i="3"/>
  <c r="AL111" i="3"/>
  <c r="AA70" i="3"/>
  <c r="H39" i="3"/>
  <c r="AK11" i="3"/>
  <c r="P206" i="3"/>
  <c r="X45" i="3"/>
  <c r="AG252" i="3"/>
  <c r="P80" i="3"/>
  <c r="L224" i="3"/>
  <c r="V45" i="3"/>
  <c r="S258" i="3"/>
  <c r="AC111" i="3"/>
  <c r="O28" i="3"/>
  <c r="V294" i="3"/>
  <c r="P210" i="3"/>
  <c r="I148" i="3"/>
  <c r="AC97" i="3"/>
  <c r="AF58" i="3"/>
  <c r="AL29" i="3"/>
  <c r="G326" i="3"/>
  <c r="G57" i="3"/>
  <c r="K184" i="3"/>
  <c r="O10" i="3"/>
  <c r="S151" i="3"/>
  <c r="AI43" i="3"/>
  <c r="Q160" i="3"/>
  <c r="G6" i="3"/>
  <c r="X275" i="3"/>
  <c r="AF159" i="3"/>
  <c r="AD81" i="3"/>
  <c r="AI30" i="3"/>
  <c r="AE12" i="3"/>
  <c r="R61" i="3"/>
  <c r="W107" i="3"/>
  <c r="Z380" i="3"/>
  <c r="V126" i="3"/>
  <c r="L300" i="3"/>
  <c r="AI57" i="3"/>
  <c r="Q138" i="3"/>
  <c r="H209" i="3"/>
  <c r="S399" i="3"/>
  <c r="AJ194" i="3"/>
  <c r="J93" i="3"/>
  <c r="I36" i="3"/>
  <c r="R273" i="3"/>
  <c r="T74" i="3"/>
  <c r="K203" i="3"/>
  <c r="X300" i="3"/>
  <c r="W19" i="3"/>
  <c r="AF192" i="3"/>
  <c r="AJ57" i="3"/>
  <c r="P250" i="3"/>
  <c r="AG66" i="3"/>
  <c r="X40" i="3"/>
  <c r="AH251" i="3"/>
  <c r="K108" i="3"/>
  <c r="Z44" i="3"/>
  <c r="AC405" i="3"/>
  <c r="I99" i="3"/>
  <c r="Y300" i="3"/>
  <c r="G58" i="3"/>
  <c r="AC194" i="3"/>
  <c r="K85" i="3"/>
  <c r="T184" i="3"/>
  <c r="W12" i="3"/>
  <c r="T21" i="3"/>
  <c r="Y195" i="3"/>
  <c r="AF78" i="3"/>
  <c r="AL13" i="3"/>
  <c r="AK188" i="3"/>
  <c r="AL100" i="3"/>
  <c r="Y8" i="3"/>
  <c r="K94" i="3"/>
  <c r="AE6" i="3"/>
  <c r="R84" i="3"/>
  <c r="AC4" i="3"/>
  <c r="AC56" i="3"/>
  <c r="AD78" i="3"/>
  <c r="AF117" i="3"/>
  <c r="AD8" i="3"/>
  <c r="AF27" i="3"/>
  <c r="AE105" i="3"/>
  <c r="X146" i="3"/>
  <c r="AE142" i="3"/>
  <c r="AG13" i="3"/>
  <c r="U83" i="3"/>
  <c r="AC10" i="3"/>
  <c r="R169" i="3"/>
  <c r="G18" i="3"/>
  <c r="T16" i="3"/>
  <c r="V36" i="3"/>
  <c r="AA224" i="3"/>
  <c r="AD142" i="3"/>
  <c r="N22" i="3"/>
  <c r="AC41" i="3"/>
  <c r="L153" i="3"/>
  <c r="P56" i="3"/>
  <c r="U163" i="3"/>
  <c r="AC36" i="3"/>
  <c r="S181" i="3"/>
  <c r="AE231" i="3"/>
  <c r="M354" i="3"/>
  <c r="S169" i="3"/>
  <c r="R111" i="3"/>
  <c r="AC50" i="3"/>
  <c r="AJ44" i="3"/>
  <c r="F384" i="3"/>
  <c r="F14" i="3"/>
  <c r="F206" i="3"/>
  <c r="F261" i="3"/>
  <c r="F346" i="3"/>
  <c r="F385" i="3"/>
  <c r="F335" i="3"/>
  <c r="F325" i="3"/>
  <c r="F119" i="3"/>
  <c r="F293" i="3"/>
  <c r="F386" i="3"/>
  <c r="F15" i="3"/>
  <c r="F30" i="3"/>
  <c r="F333" i="3"/>
  <c r="F102" i="3"/>
  <c r="F12" i="3"/>
  <c r="F73" i="3"/>
  <c r="F381" i="3"/>
  <c r="F208" i="3"/>
  <c r="W405" i="3"/>
  <c r="T351" i="3"/>
  <c r="AG357" i="3"/>
  <c r="X365" i="3"/>
  <c r="Q373" i="3"/>
  <c r="Q389" i="3"/>
  <c r="W323" i="3"/>
  <c r="AE377" i="3"/>
  <c r="X405" i="3"/>
  <c r="R380" i="3"/>
  <c r="AA397" i="3"/>
  <c r="X329" i="3"/>
  <c r="N405" i="3"/>
  <c r="Y410" i="3"/>
  <c r="X322" i="3"/>
  <c r="P368" i="3"/>
  <c r="AG300" i="3"/>
  <c r="AF364" i="3"/>
  <c r="AJ399" i="3"/>
  <c r="I325" i="3"/>
  <c r="I280" i="3"/>
  <c r="I347" i="3"/>
  <c r="R279" i="3"/>
  <c r="S315" i="3"/>
  <c r="Z388" i="3"/>
  <c r="AB297" i="3"/>
  <c r="K343" i="3"/>
  <c r="L266" i="3"/>
  <c r="AG320" i="3"/>
  <c r="P252" i="3"/>
  <c r="K311" i="3"/>
  <c r="AD247" i="3"/>
  <c r="AG329" i="3"/>
  <c r="AF258" i="3"/>
  <c r="AE297" i="3"/>
  <c r="L228" i="3"/>
  <c r="G173" i="3"/>
  <c r="AB356" i="3"/>
  <c r="AI275" i="3"/>
  <c r="G215" i="3"/>
  <c r="R161" i="3"/>
  <c r="AA329" i="3"/>
  <c r="AE241" i="3"/>
  <c r="S188" i="3"/>
  <c r="H136" i="3"/>
  <c r="I301" i="3"/>
  <c r="AA231" i="3"/>
  <c r="M336" i="3"/>
  <c r="M234" i="3"/>
  <c r="I166" i="3"/>
  <c r="Q106" i="3"/>
  <c r="O318" i="3"/>
  <c r="Z225" i="3"/>
  <c r="Q159" i="3"/>
  <c r="AE101" i="3"/>
  <c r="Y311" i="3"/>
  <c r="K223" i="3"/>
  <c r="AF175" i="3"/>
  <c r="AA116" i="3"/>
  <c r="O336" i="3"/>
  <c r="X232" i="3"/>
  <c r="J166" i="3"/>
  <c r="AA107" i="3"/>
  <c r="S274" i="3"/>
  <c r="AB185" i="3"/>
  <c r="I107" i="3"/>
  <c r="H50" i="3"/>
  <c r="V256" i="3"/>
  <c r="T167" i="3"/>
  <c r="P96" i="3"/>
  <c r="M40" i="3"/>
  <c r="W201" i="3"/>
  <c r="J120" i="3"/>
  <c r="R58" i="3"/>
  <c r="H290" i="3"/>
  <c r="AG190" i="3"/>
  <c r="M115" i="3"/>
  <c r="O55" i="3"/>
  <c r="H263" i="3"/>
  <c r="AC159" i="3"/>
  <c r="M74" i="3"/>
  <c r="N14" i="3"/>
  <c r="U235" i="3"/>
  <c r="U130" i="3"/>
  <c r="Y53" i="3"/>
  <c r="X361" i="3"/>
  <c r="S202" i="3"/>
  <c r="AH85" i="3"/>
  <c r="AK19" i="3"/>
  <c r="K249" i="3"/>
  <c r="Q147" i="3"/>
  <c r="S64" i="3"/>
  <c r="U8" i="3"/>
  <c r="AE197" i="3"/>
  <c r="Z348" i="3"/>
  <c r="L180" i="3"/>
  <c r="O89" i="3"/>
  <c r="X209" i="3"/>
  <c r="AC369" i="3"/>
  <c r="AB181" i="3"/>
  <c r="M322" i="3"/>
  <c r="M138" i="3"/>
  <c r="AF37" i="3"/>
  <c r="S251" i="3"/>
  <c r="L102" i="3"/>
  <c r="Q18" i="3"/>
  <c r="P211" i="3"/>
  <c r="K73" i="3"/>
  <c r="Z16" i="3"/>
  <c r="H203" i="3"/>
  <c r="G74" i="3"/>
  <c r="V342" i="3"/>
  <c r="Y116" i="3"/>
  <c r="I17" i="3"/>
  <c r="L175" i="3"/>
  <c r="M36" i="3"/>
  <c r="Z189" i="3"/>
  <c r="G33" i="3"/>
  <c r="AL182" i="3"/>
  <c r="M27" i="3"/>
  <c r="U146" i="3"/>
  <c r="AA15" i="3"/>
  <c r="AD118" i="3"/>
  <c r="Y219" i="3"/>
  <c r="J13" i="3"/>
  <c r="AL12" i="3"/>
  <c r="U106" i="3"/>
  <c r="N192" i="3"/>
  <c r="AB218" i="3"/>
  <c r="U21" i="3"/>
  <c r="AH88" i="3"/>
  <c r="S53" i="3"/>
  <c r="AK30" i="3"/>
  <c r="Q152" i="3"/>
  <c r="N52" i="3"/>
  <c r="P251" i="3"/>
  <c r="G318" i="3"/>
  <c r="J252" i="3"/>
  <c r="AC12" i="3"/>
  <c r="U19" i="3"/>
  <c r="AJ103" i="3"/>
  <c r="AL263" i="3"/>
  <c r="Y9" i="3"/>
  <c r="R325" i="3"/>
  <c r="Z8" i="3"/>
  <c r="N89" i="3"/>
  <c r="U11" i="3"/>
  <c r="X203" i="3"/>
  <c r="S5" i="3"/>
  <c r="AA129" i="3"/>
  <c r="R99" i="3"/>
  <c r="G54" i="3"/>
  <c r="I82" i="3"/>
  <c r="F282" i="3"/>
  <c r="F110" i="3"/>
  <c r="F337" i="3"/>
  <c r="F120" i="3"/>
  <c r="F40" i="3"/>
  <c r="AH404" i="3"/>
  <c r="AE404" i="3"/>
  <c r="H363" i="3"/>
  <c r="AC383" i="3"/>
  <c r="AB406" i="3"/>
  <c r="G352" i="3"/>
  <c r="AB372" i="3"/>
  <c r="X388" i="3"/>
  <c r="AH322" i="3"/>
  <c r="G377" i="3"/>
  <c r="Z330" i="3"/>
  <c r="AC401" i="3"/>
  <c r="P379" i="3"/>
  <c r="AL361" i="3"/>
  <c r="AC386" i="3"/>
  <c r="AJ334" i="3"/>
  <c r="N359" i="3"/>
  <c r="AC295" i="3"/>
  <c r="I327" i="3"/>
  <c r="Q274" i="3"/>
  <c r="AB325" i="3"/>
  <c r="R342" i="3"/>
  <c r="S279" i="3"/>
  <c r="R306" i="3"/>
  <c r="X355" i="3"/>
  <c r="T283" i="3"/>
  <c r="M332" i="3"/>
  <c r="AJ269" i="3"/>
  <c r="W298" i="3"/>
  <c r="O346" i="3"/>
  <c r="AA251" i="3"/>
  <c r="N310" i="3"/>
  <c r="J247" i="3"/>
  <c r="M327" i="3"/>
  <c r="L258" i="3"/>
  <c r="T296" i="3"/>
  <c r="V227" i="3"/>
  <c r="AL172" i="3"/>
  <c r="AD297" i="3"/>
  <c r="AL214" i="3"/>
  <c r="AC160" i="3"/>
  <c r="Z327" i="3"/>
  <c r="I241" i="3"/>
  <c r="AD187" i="3"/>
  <c r="S135" i="3"/>
  <c r="H300" i="3"/>
  <c r="AK230" i="3"/>
  <c r="AA175" i="3"/>
  <c r="Z333" i="3"/>
  <c r="R233" i="3"/>
  <c r="AJ182" i="3"/>
  <c r="P119" i="3"/>
  <c r="AC360" i="3"/>
  <c r="AJ190" i="3"/>
  <c r="R127" i="3"/>
  <c r="G406" i="3"/>
  <c r="AL257" i="3"/>
  <c r="I191" i="3"/>
  <c r="AB128" i="3"/>
  <c r="L402" i="3"/>
  <c r="AI249" i="3"/>
  <c r="AK182" i="3"/>
  <c r="P121" i="3"/>
  <c r="AA371" i="3"/>
  <c r="AA226" i="3"/>
  <c r="U141" i="3"/>
  <c r="O75" i="3"/>
  <c r="AI287" i="3"/>
  <c r="AF188" i="3"/>
  <c r="R109" i="3"/>
  <c r="AJ51" i="3"/>
  <c r="AB270" i="3"/>
  <c r="L119" i="3"/>
  <c r="AC57" i="3"/>
  <c r="S288" i="3"/>
  <c r="AJ189" i="3"/>
  <c r="T114" i="3"/>
  <c r="Z54" i="3"/>
  <c r="AH262" i="3"/>
  <c r="S158" i="3"/>
  <c r="R73" i="3"/>
  <c r="Y13" i="3"/>
  <c r="AH233" i="3"/>
  <c r="V129" i="3"/>
  <c r="AF52" i="3"/>
  <c r="R356" i="3"/>
  <c r="N201" i="3"/>
  <c r="AC104" i="3"/>
  <c r="I33" i="3"/>
  <c r="L281" i="3"/>
  <c r="P170" i="3"/>
  <c r="AE80" i="3"/>
  <c r="AC20" i="3"/>
  <c r="V230" i="3"/>
  <c r="L100" i="3"/>
  <c r="Y209" i="3"/>
  <c r="O116" i="3"/>
  <c r="AL239" i="3"/>
  <c r="N116" i="3"/>
  <c r="R211" i="3"/>
  <c r="AI95" i="3"/>
  <c r="Q175" i="3"/>
  <c r="AF57" i="3"/>
  <c r="L299" i="3"/>
  <c r="AG135" i="3"/>
  <c r="M35" i="3"/>
  <c r="AD244" i="3"/>
  <c r="O100" i="3"/>
  <c r="AG15" i="3"/>
  <c r="H51" i="3"/>
  <c r="P247" i="3"/>
  <c r="AL77" i="3"/>
  <c r="AB366" i="3"/>
  <c r="AG129" i="3"/>
  <c r="H17" i="3"/>
  <c r="AL130" i="3"/>
  <c r="J12" i="3"/>
  <c r="N122" i="3"/>
  <c r="AD379" i="3"/>
  <c r="M93" i="3"/>
  <c r="K342" i="3"/>
  <c r="X72" i="3"/>
  <c r="Z214" i="3"/>
  <c r="X7" i="3"/>
  <c r="G10" i="3"/>
  <c r="S103" i="3"/>
  <c r="W187" i="3"/>
  <c r="G179" i="3"/>
  <c r="AC19" i="3"/>
  <c r="AC143" i="3"/>
  <c r="AG232" i="3"/>
  <c r="U138" i="3"/>
  <c r="AE255" i="3"/>
  <c r="Q316" i="3"/>
  <c r="T302" i="3"/>
  <c r="P165" i="3"/>
  <c r="W31" i="3"/>
  <c r="AB235" i="3"/>
  <c r="M226" i="3"/>
  <c r="O229" i="3"/>
  <c r="AH238" i="3"/>
  <c r="X5" i="3"/>
  <c r="N320" i="3"/>
  <c r="AH180" i="3"/>
  <c r="AC233" i="3"/>
  <c r="W9" i="3"/>
  <c r="H12" i="3"/>
  <c r="AB320" i="3"/>
  <c r="J95" i="3"/>
  <c r="I318" i="3"/>
  <c r="AH67" i="3"/>
  <c r="P137" i="3"/>
  <c r="F117" i="3"/>
  <c r="F68" i="3"/>
  <c r="F84" i="3"/>
  <c r="F77" i="3"/>
  <c r="H408" i="3"/>
  <c r="AI388" i="3"/>
  <c r="W396" i="3"/>
  <c r="AJ342" i="3"/>
  <c r="O364" i="3"/>
  <c r="P384" i="3"/>
  <c r="AE387" i="3"/>
  <c r="N322" i="3"/>
  <c r="AL376" i="3"/>
  <c r="R403" i="3"/>
  <c r="J399" i="3"/>
  <c r="AH375" i="3"/>
  <c r="AL406" i="3"/>
  <c r="T354" i="3"/>
  <c r="AG382" i="3"/>
  <c r="H308" i="3"/>
  <c r="AF365" i="3"/>
  <c r="X299" i="3"/>
  <c r="AB389" i="3"/>
  <c r="Q311" i="3"/>
  <c r="AL323" i="3"/>
  <c r="AI399" i="3"/>
  <c r="Y305" i="3"/>
  <c r="P354" i="3"/>
  <c r="AD282" i="3"/>
  <c r="M331" i="3"/>
  <c r="O269" i="3"/>
  <c r="Y297" i="3"/>
  <c r="AD380" i="3"/>
  <c r="AI263" i="3"/>
  <c r="T332" i="3"/>
  <c r="R259" i="3"/>
  <c r="H354" i="3"/>
  <c r="W257" i="3"/>
  <c r="N295" i="3"/>
  <c r="AE226" i="3"/>
  <c r="R172" i="3"/>
  <c r="AD322" i="3"/>
  <c r="U227" i="3"/>
  <c r="Q172" i="3"/>
  <c r="AD358" i="3"/>
  <c r="Z256" i="3"/>
  <c r="T201" i="3"/>
  <c r="G147" i="3"/>
  <c r="AI322" i="3"/>
  <c r="AF189" i="3"/>
  <c r="S387" i="3"/>
  <c r="AH248" i="3"/>
  <c r="L182" i="3"/>
  <c r="AA118" i="3"/>
  <c r="AA357" i="3"/>
  <c r="Q241" i="3"/>
  <c r="W172" i="3"/>
  <c r="AK409" i="3"/>
  <c r="L406" i="3"/>
  <c r="AI393" i="3"/>
  <c r="Q400" i="3"/>
  <c r="S407" i="3"/>
  <c r="I406" i="3"/>
  <c r="AK405" i="3"/>
  <c r="AG390" i="3"/>
  <c r="AJ377" i="3"/>
  <c r="Q364" i="3"/>
  <c r="I352" i="3"/>
  <c r="U338" i="3"/>
  <c r="AC398" i="3"/>
  <c r="AL384" i="3"/>
  <c r="J372" i="3"/>
  <c r="V358" i="3"/>
  <c r="AH344" i="3"/>
  <c r="U408" i="3"/>
  <c r="Y393" i="3"/>
  <c r="AF379" i="3"/>
  <c r="M366" i="3"/>
  <c r="P353" i="3"/>
  <c r="Q340" i="3"/>
  <c r="J401" i="3"/>
  <c r="N386" i="3"/>
  <c r="AK373" i="3"/>
  <c r="R360" i="3"/>
  <c r="AD346" i="3"/>
  <c r="AH410" i="3"/>
  <c r="N390" i="3"/>
  <c r="X374" i="3"/>
  <c r="S357" i="3"/>
  <c r="P339" i="3"/>
  <c r="L324" i="3"/>
  <c r="V394" i="3"/>
  <c r="H377" i="3"/>
  <c r="U394" i="3"/>
  <c r="AB378" i="3"/>
  <c r="AI362" i="3"/>
  <c r="AE345" i="3"/>
  <c r="AI331" i="3"/>
  <c r="V406" i="3"/>
  <c r="AL386" i="3"/>
  <c r="M372" i="3"/>
  <c r="I404" i="3"/>
  <c r="T381" i="3"/>
  <c r="AL402" i="3"/>
  <c r="S381" i="3"/>
  <c r="L365" i="3"/>
  <c r="AJ398" i="3"/>
  <c r="K377" i="3"/>
  <c r="AH362" i="3"/>
  <c r="Y345" i="3"/>
  <c r="P330" i="3"/>
  <c r="AB409" i="3"/>
  <c r="AK387" i="3"/>
  <c r="J407" i="3"/>
  <c r="I380" i="3"/>
  <c r="P357" i="3"/>
  <c r="AG336" i="3"/>
  <c r="V320" i="3"/>
  <c r="I308" i="3"/>
  <c r="AB386" i="3"/>
  <c r="P361" i="3"/>
  <c r="AB340" i="3"/>
  <c r="Q323" i="3"/>
  <c r="AK309" i="3"/>
  <c r="AL296" i="3"/>
  <c r="AK393" i="3"/>
  <c r="N369" i="3"/>
  <c r="Y347" i="3"/>
  <c r="V329" i="3"/>
  <c r="U314" i="3"/>
  <c r="V301" i="3"/>
  <c r="Y288" i="3"/>
  <c r="Z275" i="3"/>
  <c r="AH395" i="3"/>
  <c r="AI365" i="3"/>
  <c r="AC344" i="3"/>
  <c r="L327" i="3"/>
  <c r="O313" i="3"/>
  <c r="Z400" i="3"/>
  <c r="L369" i="3"/>
  <c r="AD344" i="3"/>
  <c r="AK325" i="3"/>
  <c r="T311" i="3"/>
  <c r="R295" i="3"/>
  <c r="AD280" i="3"/>
  <c r="AC404" i="3"/>
  <c r="S376" i="3"/>
  <c r="M348" i="3"/>
  <c r="AH326" i="3"/>
  <c r="AA309" i="3"/>
  <c r="Z294" i="3"/>
  <c r="H280" i="3"/>
  <c r="M386" i="3"/>
  <c r="AI357" i="3"/>
  <c r="AJ332" i="3"/>
  <c r="L316" i="3"/>
  <c r="AK298" i="3"/>
  <c r="AF284" i="3"/>
  <c r="AG271" i="3"/>
  <c r="Q390" i="3"/>
  <c r="H358" i="3"/>
  <c r="H334" i="3"/>
  <c r="AD314" i="3"/>
  <c r="S298" i="3"/>
  <c r="O284" i="3"/>
  <c r="P271" i="3"/>
  <c r="AE380" i="3"/>
  <c r="U344" i="3"/>
  <c r="AJ319" i="3"/>
  <c r="Q300" i="3"/>
  <c r="R282" i="3"/>
  <c r="AH266" i="3"/>
  <c r="AK252" i="3"/>
  <c r="AA387" i="3"/>
  <c r="Y350" i="3"/>
  <c r="AJ321" i="3"/>
  <c r="J302" i="3"/>
  <c r="K283" i="3"/>
  <c r="X267" i="3"/>
  <c r="AJ252" i="3"/>
  <c r="W410" i="3"/>
  <c r="AL368" i="3"/>
  <c r="Z336" i="3"/>
  <c r="Q312" i="3"/>
  <c r="AB293" i="3"/>
  <c r="H277" i="3"/>
  <c r="AA260" i="3"/>
  <c r="S248" i="3"/>
  <c r="AC234" i="3"/>
  <c r="AK395" i="3"/>
  <c r="AA358" i="3"/>
  <c r="J330" i="3"/>
  <c r="P308" i="3"/>
  <c r="O291" i="3"/>
  <c r="AC274" i="3"/>
  <c r="U259" i="3"/>
  <c r="AA400" i="3"/>
  <c r="G357" i="3"/>
  <c r="N326" i="3"/>
  <c r="AD298" i="3"/>
  <c r="H276" i="3"/>
  <c r="Y257" i="3"/>
  <c r="AG228" i="3"/>
  <c r="H215" i="3"/>
  <c r="AE202" i="3"/>
  <c r="U188" i="3"/>
  <c r="AA173" i="3"/>
  <c r="S161" i="3"/>
  <c r="R148" i="3"/>
  <c r="AE358" i="3"/>
  <c r="AA327" i="3"/>
  <c r="AJ299" i="3"/>
  <c r="AK276" i="3"/>
  <c r="J259" i="3"/>
  <c r="V229" i="3"/>
  <c r="AA215" i="3"/>
  <c r="S203" i="3"/>
  <c r="AC189" i="3"/>
  <c r="O174" i="3"/>
  <c r="AL161" i="3"/>
  <c r="Q148" i="3"/>
  <c r="I136" i="3"/>
  <c r="AE365" i="3"/>
  <c r="W331" i="3"/>
  <c r="S303" i="3"/>
  <c r="Z281" i="3"/>
  <c r="I259" i="3"/>
  <c r="U229" i="3"/>
  <c r="Z215" i="3"/>
  <c r="R203" i="3"/>
  <c r="H189" i="3"/>
  <c r="AH174" i="3"/>
  <c r="Z162" i="3"/>
  <c r="AJ148" i="3"/>
  <c r="AB136" i="3"/>
  <c r="AC123" i="3"/>
  <c r="V366" i="3"/>
  <c r="N330" i="3"/>
  <c r="R302" i="3"/>
  <c r="T278" i="3"/>
  <c r="K260" i="3"/>
  <c r="AA245" i="3"/>
  <c r="Q232" i="3"/>
  <c r="Q218" i="3"/>
  <c r="I206" i="3"/>
  <c r="AD191" i="3"/>
  <c r="V179" i="3"/>
  <c r="AB164" i="3"/>
  <c r="G151" i="3"/>
  <c r="K402" i="3"/>
  <c r="AE338" i="3"/>
  <c r="U301" i="3"/>
  <c r="K275" i="3"/>
  <c r="J251" i="3"/>
  <c r="L235" i="3"/>
  <c r="S217" i="3"/>
  <c r="H201" i="3"/>
  <c r="Z184" i="3"/>
  <c r="AG166" i="3"/>
  <c r="V149" i="3"/>
  <c r="AL134" i="3"/>
  <c r="Y120" i="3"/>
  <c r="AK106" i="3"/>
  <c r="AC94" i="3"/>
  <c r="H81" i="3"/>
  <c r="AD366" i="3"/>
  <c r="X320" i="3"/>
  <c r="AF290" i="3"/>
  <c r="U263" i="3"/>
  <c r="I245" i="3"/>
  <c r="U226" i="3"/>
  <c r="K209" i="3"/>
  <c r="AI191" i="3"/>
  <c r="I175" i="3"/>
  <c r="N160" i="3"/>
  <c r="AJ143" i="3"/>
  <c r="AC128" i="3"/>
  <c r="H116" i="3"/>
  <c r="T102" i="3"/>
  <c r="AD88" i="3"/>
  <c r="V76" i="3"/>
  <c r="AL354" i="3"/>
  <c r="R313" i="3"/>
  <c r="AB284" i="3"/>
  <c r="H259" i="3"/>
  <c r="P241" i="3"/>
  <c r="AI223" i="3"/>
  <c r="J209" i="3"/>
  <c r="AA192" i="3"/>
  <c r="Y162" i="3"/>
  <c r="S145" i="3"/>
  <c r="H130" i="3"/>
  <c r="P117" i="3"/>
  <c r="AB103" i="3"/>
  <c r="S78" i="3"/>
  <c r="AI338" i="3"/>
  <c r="X301" i="3"/>
  <c r="X276" i="3"/>
  <c r="L251" i="3"/>
  <c r="S233" i="3"/>
  <c r="Z216" i="3"/>
  <c r="I201" i="3"/>
  <c r="AB184" i="3"/>
  <c r="AH166" i="3"/>
  <c r="T150" i="3"/>
  <c r="U136" i="3"/>
  <c r="AA122" i="3"/>
  <c r="P108" i="3"/>
  <c r="H96" i="3"/>
  <c r="AL82" i="3"/>
  <c r="AA377" i="3"/>
  <c r="L317" i="3"/>
  <c r="Y276" i="3"/>
  <c r="AA250" i="3"/>
  <c r="AC228" i="3"/>
  <c r="AI208" i="3"/>
  <c r="AC186" i="3"/>
  <c r="O164" i="3"/>
  <c r="U143" i="3"/>
  <c r="T125" i="3"/>
  <c r="AG107" i="3"/>
  <c r="G93" i="3"/>
  <c r="AA76" i="3"/>
  <c r="AJ62" i="3"/>
  <c r="AB50" i="3"/>
  <c r="K409" i="3"/>
  <c r="R336" i="3"/>
  <c r="V291" i="3"/>
  <c r="AE257" i="3"/>
  <c r="J233" i="3"/>
  <c r="G212" i="3"/>
  <c r="AD190" i="3"/>
  <c r="Y168" i="3"/>
  <c r="U148" i="3"/>
  <c r="AI128" i="3"/>
  <c r="H111" i="3"/>
  <c r="I97" i="3"/>
  <c r="AA79" i="3"/>
  <c r="K66" i="3"/>
  <c r="N53" i="3"/>
  <c r="AG40" i="3"/>
  <c r="AD357" i="3"/>
  <c r="P305" i="3"/>
  <c r="P274" i="3"/>
  <c r="T244" i="3"/>
  <c r="U224" i="3"/>
  <c r="U202" i="3"/>
  <c r="U182" i="3"/>
  <c r="AJ160" i="3"/>
  <c r="T140" i="3"/>
  <c r="AH120" i="3"/>
  <c r="P104" i="3"/>
  <c r="J87" i="3"/>
  <c r="AK71" i="3"/>
  <c r="AL58" i="3"/>
  <c r="Q45" i="3"/>
  <c r="H389" i="3"/>
  <c r="AI332" i="3"/>
  <c r="AE291" i="3"/>
  <c r="Y256" i="3"/>
  <c r="K231" i="3"/>
  <c r="I211" i="3"/>
  <c r="N191" i="3"/>
  <c r="AA170" i="3"/>
  <c r="X148" i="3"/>
  <c r="AF129" i="3"/>
  <c r="AK115" i="3"/>
  <c r="AH98" i="3"/>
  <c r="N83" i="3"/>
  <c r="L68" i="3"/>
  <c r="AI55" i="3"/>
  <c r="Y41" i="3"/>
  <c r="AB362" i="3"/>
  <c r="O304" i="3"/>
  <c r="AD266" i="3"/>
  <c r="AJ236" i="3"/>
  <c r="AC210" i="3"/>
  <c r="S186" i="3"/>
  <c r="AI160" i="3"/>
  <c r="P135" i="3"/>
  <c r="O114" i="3"/>
  <c r="R94" i="3"/>
  <c r="AK74" i="3"/>
  <c r="AA57" i="3"/>
  <c r="AI41" i="3"/>
  <c r="AK27" i="3"/>
  <c r="AH14" i="3"/>
  <c r="S392" i="3"/>
  <c r="Y309" i="3"/>
  <c r="AC266" i="3"/>
  <c r="AI236" i="3"/>
  <c r="AB210" i="3"/>
  <c r="H184" i="3"/>
  <c r="R158" i="3"/>
  <c r="AB131" i="3"/>
  <c r="AK109" i="3"/>
  <c r="AJ89" i="3"/>
  <c r="Z71" i="3"/>
  <c r="S54" i="3"/>
  <c r="AH37" i="3"/>
  <c r="AH23" i="3"/>
  <c r="Z11" i="3"/>
  <c r="Y362" i="3"/>
  <c r="J296" i="3"/>
  <c r="AB257" i="3"/>
  <c r="S229" i="3"/>
  <c r="AF203" i="3"/>
  <c r="AF179" i="3"/>
  <c r="AH149" i="3"/>
  <c r="J126" i="3"/>
  <c r="AC106" i="3"/>
  <c r="AI86" i="3"/>
  <c r="Z66" i="3"/>
  <c r="P50" i="3"/>
  <c r="R34" i="3"/>
  <c r="Z20" i="3"/>
  <c r="R8" i="3"/>
  <c r="K333" i="3"/>
  <c r="AI288" i="3"/>
  <c r="X250" i="3"/>
  <c r="AL222" i="3"/>
  <c r="R197" i="3"/>
  <c r="AI172" i="3"/>
  <c r="AD148" i="3"/>
  <c r="I124" i="3"/>
  <c r="AG102" i="3"/>
  <c r="AE82" i="3"/>
  <c r="L65" i="3"/>
  <c r="AF33" i="3"/>
  <c r="AL21" i="3"/>
  <c r="J9" i="3"/>
  <c r="X341" i="3"/>
  <c r="AH279" i="3"/>
  <c r="Y234" i="3"/>
  <c r="G163" i="3"/>
  <c r="Q130" i="3"/>
  <c r="AJ102" i="3"/>
  <c r="AL355" i="3"/>
  <c r="AD292" i="3"/>
  <c r="AH247" i="3"/>
  <c r="M213" i="3"/>
  <c r="AD181" i="3"/>
  <c r="AA143" i="3"/>
  <c r="AI118" i="3"/>
  <c r="AJ322" i="3"/>
  <c r="AB275" i="3"/>
  <c r="AA241" i="3"/>
  <c r="S211" i="3"/>
  <c r="J180" i="3"/>
  <c r="H145" i="3"/>
  <c r="AH118" i="3"/>
  <c r="AH381" i="3"/>
  <c r="W299" i="3"/>
  <c r="AK249" i="3"/>
  <c r="AA214" i="3"/>
  <c r="Q183" i="3"/>
  <c r="K148" i="3"/>
  <c r="AJ122" i="3"/>
  <c r="S97" i="3"/>
  <c r="AC330" i="3"/>
  <c r="N260" i="3"/>
  <c r="X218" i="3"/>
  <c r="Q179" i="3"/>
  <c r="AK139" i="3"/>
  <c r="W105" i="3"/>
  <c r="M79" i="3"/>
  <c r="AF59" i="3"/>
  <c r="AF38" i="3"/>
  <c r="AA21" i="3"/>
  <c r="AH6" i="3"/>
  <c r="I311" i="3"/>
  <c r="AI253" i="3"/>
  <c r="AE213" i="3"/>
  <c r="P173" i="3"/>
  <c r="L138" i="3"/>
  <c r="U103" i="3"/>
  <c r="S76" i="3"/>
  <c r="X57" i="3"/>
  <c r="AF36" i="3"/>
  <c r="J19" i="3"/>
  <c r="AA411" i="3"/>
  <c r="H311" i="3"/>
  <c r="R251" i="3"/>
  <c r="AA213" i="3"/>
  <c r="O175" i="3"/>
  <c r="AC139" i="3"/>
  <c r="K102" i="3"/>
  <c r="Q74" i="3"/>
  <c r="AB54" i="3"/>
  <c r="U33" i="3"/>
  <c r="W17" i="3"/>
  <c r="AL387" i="3"/>
  <c r="L320" i="3"/>
  <c r="AB255" i="3"/>
  <c r="AK204" i="3"/>
  <c r="J153" i="3"/>
  <c r="V108" i="3"/>
  <c r="R75" i="3"/>
  <c r="AD53" i="3"/>
  <c r="T31" i="3"/>
  <c r="O13" i="3"/>
  <c r="AH343" i="3"/>
  <c r="AA255" i="3"/>
  <c r="AJ204" i="3"/>
  <c r="AB158" i="3"/>
  <c r="P118" i="3"/>
  <c r="V79" i="3"/>
  <c r="O57" i="3"/>
  <c r="L34" i="3"/>
  <c r="AJ17" i="3"/>
  <c r="AL371" i="3"/>
  <c r="M279" i="3"/>
  <c r="AH216" i="3"/>
  <c r="Z134" i="3"/>
  <c r="M94" i="3"/>
  <c r="AB63" i="3"/>
  <c r="R37" i="3"/>
  <c r="AI18" i="3"/>
  <c r="M365" i="3"/>
  <c r="AF259" i="3"/>
  <c r="AC193" i="3"/>
  <c r="R134" i="3"/>
  <c r="R88" i="3"/>
  <c r="O60" i="3"/>
  <c r="J34" i="3"/>
  <c r="W14" i="3"/>
  <c r="AG323" i="3"/>
  <c r="AB236" i="3"/>
  <c r="I183" i="3"/>
  <c r="O128" i="3"/>
  <c r="AB83" i="3"/>
  <c r="P54" i="3"/>
  <c r="U28" i="3"/>
  <c r="I5" i="3"/>
  <c r="AB290" i="3"/>
  <c r="Z208" i="3"/>
  <c r="P149" i="3"/>
  <c r="Q98" i="3"/>
  <c r="AK66" i="3"/>
  <c r="AA40" i="3"/>
  <c r="AC16" i="3"/>
  <c r="O350" i="3"/>
  <c r="W173" i="3"/>
  <c r="AF121" i="3"/>
  <c r="I76" i="3"/>
  <c r="G16" i="3"/>
  <c r="AI240" i="3"/>
  <c r="Q72" i="3"/>
  <c r="AK291" i="3"/>
  <c r="AA97" i="3"/>
  <c r="Y14" i="3"/>
  <c r="AF146" i="3"/>
  <c r="U14" i="3"/>
  <c r="S156" i="3"/>
  <c r="M20" i="3"/>
  <c r="W294" i="3"/>
  <c r="AE219" i="3"/>
  <c r="X156" i="3"/>
  <c r="P109" i="3"/>
  <c r="X68" i="3"/>
  <c r="AK38" i="3"/>
  <c r="V10" i="3"/>
  <c r="X196" i="3"/>
  <c r="AK43" i="3"/>
  <c r="S246" i="3"/>
  <c r="X70" i="3"/>
  <c r="AH223" i="3"/>
  <c r="G42" i="3"/>
  <c r="AJ251" i="3"/>
  <c r="AD108" i="3"/>
  <c r="L23" i="3"/>
  <c r="Q293" i="3"/>
  <c r="Q206" i="3"/>
  <c r="AD147" i="3"/>
  <c r="AG94" i="3"/>
  <c r="H57" i="3"/>
  <c r="AF28" i="3"/>
  <c r="Y260" i="3"/>
  <c r="I55" i="3"/>
  <c r="H179" i="3"/>
  <c r="AG8" i="3"/>
  <c r="X147" i="3"/>
  <c r="AK33" i="3"/>
  <c r="AG142" i="3"/>
  <c r="AL5" i="3"/>
  <c r="V274" i="3"/>
  <c r="G153" i="3"/>
  <c r="X78" i="3"/>
  <c r="G29" i="3"/>
  <c r="I8" i="3"/>
  <c r="AL57" i="3"/>
  <c r="R102" i="3"/>
  <c r="AJ379" i="3"/>
  <c r="AI113" i="3"/>
  <c r="T298" i="3"/>
  <c r="AL46" i="3"/>
  <c r="V132" i="3"/>
  <c r="AF198" i="3"/>
  <c r="U390" i="3"/>
  <c r="J186" i="3"/>
  <c r="AI92" i="3"/>
  <c r="AI35" i="3"/>
  <c r="AB253" i="3"/>
  <c r="Z73" i="3"/>
  <c r="T174" i="3"/>
  <c r="U251" i="3"/>
  <c r="Q17" i="3"/>
  <c r="AH184" i="3"/>
  <c r="M54" i="3"/>
  <c r="V238" i="3"/>
  <c r="K54" i="3"/>
  <c r="X37" i="3"/>
  <c r="AK107" i="3"/>
  <c r="T41" i="3"/>
  <c r="N403" i="3"/>
  <c r="M97" i="3"/>
  <c r="P273" i="3"/>
  <c r="R51" i="3"/>
  <c r="AI184" i="3"/>
  <c r="AL7" i="3"/>
  <c r="S14" i="3"/>
  <c r="AH80" i="3"/>
  <c r="H183" i="3"/>
  <c r="Z9" i="3"/>
  <c r="N7" i="3"/>
  <c r="Q189" i="3"/>
  <c r="O76" i="3"/>
  <c r="L9" i="3"/>
  <c r="R187" i="3"/>
  <c r="AE99" i="3"/>
  <c r="S408" i="3"/>
  <c r="AF93" i="3"/>
  <c r="AH310" i="3"/>
  <c r="Z68" i="3"/>
  <c r="AL260" i="3"/>
  <c r="G40" i="3"/>
  <c r="AJ72" i="3"/>
  <c r="Z111" i="3"/>
  <c r="N217" i="3"/>
  <c r="U213" i="3"/>
  <c r="P71" i="3"/>
  <c r="AF134" i="3"/>
  <c r="V141" i="3"/>
  <c r="AB6" i="3"/>
  <c r="AD61" i="3"/>
  <c r="AI152" i="3"/>
  <c r="AH345" i="3"/>
  <c r="Z163" i="3"/>
  <c r="V16" i="3"/>
  <c r="AG225" i="3"/>
  <c r="AK6" i="3"/>
  <c r="J222" i="3"/>
  <c r="AB104" i="3"/>
  <c r="N21" i="3"/>
  <c r="L21" i="3"/>
  <c r="AK39" i="3"/>
  <c r="Y31" i="3"/>
  <c r="I117" i="3"/>
  <c r="I29" i="3"/>
  <c r="AD136" i="3"/>
  <c r="Z136" i="3"/>
  <c r="AI157" i="3"/>
  <c r="H165" i="3"/>
  <c r="AK52" i="3"/>
  <c r="Z27" i="3"/>
  <c r="AA23" i="3"/>
  <c r="F164" i="3"/>
  <c r="F125" i="3"/>
  <c r="F108" i="3"/>
  <c r="F60" i="3"/>
  <c r="F171" i="3"/>
  <c r="F253" i="3"/>
  <c r="F340" i="3"/>
  <c r="F116" i="3"/>
  <c r="F16" i="3"/>
  <c r="F362" i="3"/>
  <c r="F190" i="3"/>
  <c r="F82" i="3"/>
  <c r="F331" i="3"/>
  <c r="F288" i="3"/>
  <c r="F299" i="3"/>
  <c r="F202" i="3"/>
  <c r="F56" i="3"/>
  <c r="F400" i="3"/>
  <c r="F70" i="3"/>
  <c r="Q409" i="3"/>
  <c r="AD406" i="3"/>
  <c r="P377" i="3"/>
  <c r="AK397" i="3"/>
  <c r="N344" i="3"/>
  <c r="L379" i="3"/>
  <c r="L400" i="3"/>
  <c r="J346" i="3"/>
  <c r="Z356" i="3"/>
  <c r="O376" i="3"/>
  <c r="G345" i="3"/>
  <c r="P371" i="3"/>
  <c r="M380" i="3"/>
  <c r="G362" i="3"/>
  <c r="O408" i="3"/>
  <c r="AI378" i="3"/>
  <c r="AF319" i="3"/>
  <c r="S385" i="3"/>
  <c r="Q309" i="3"/>
  <c r="W346" i="3"/>
  <c r="AJ287" i="3"/>
  <c r="AG343" i="3"/>
  <c r="AB367" i="3"/>
  <c r="AA294" i="3"/>
  <c r="AJ325" i="3"/>
  <c r="AA384" i="3"/>
  <c r="M298" i="3"/>
  <c r="AI356" i="3"/>
  <c r="X283" i="3"/>
  <c r="AF318" i="3"/>
  <c r="Q252" i="3"/>
  <c r="O301" i="3"/>
  <c r="AB407" i="3"/>
  <c r="AG292" i="3"/>
  <c r="I234" i="3"/>
  <c r="AK306" i="3"/>
  <c r="AF399" i="3"/>
  <c r="AK275" i="3"/>
  <c r="S214" i="3"/>
  <c r="AD160" i="3"/>
  <c r="AC298" i="3"/>
  <c r="AH241" i="3"/>
  <c r="I189" i="3"/>
  <c r="AB147" i="3"/>
  <c r="H302" i="3"/>
  <c r="AE228" i="3"/>
  <c r="N174" i="3"/>
  <c r="I123" i="3"/>
  <c r="M277" i="3"/>
  <c r="AB217" i="3"/>
  <c r="H164" i="3"/>
  <c r="AE299" i="3"/>
  <c r="Y216" i="3"/>
  <c r="P134" i="3"/>
  <c r="S80" i="3"/>
  <c r="P262" i="3"/>
  <c r="K191" i="3"/>
  <c r="H128" i="3"/>
  <c r="AH411" i="3"/>
  <c r="Q283" i="3"/>
  <c r="Q208" i="3"/>
  <c r="AA144" i="3"/>
  <c r="L275" i="3"/>
  <c r="W149" i="3"/>
  <c r="S95" i="3"/>
  <c r="AG316" i="3"/>
  <c r="AG207" i="3"/>
  <c r="U124" i="3"/>
  <c r="P62" i="3"/>
  <c r="AJ289" i="3"/>
  <c r="AG189" i="3"/>
  <c r="O110" i="3"/>
  <c r="Y52" i="3"/>
  <c r="U272" i="3"/>
  <c r="AI159" i="3"/>
  <c r="Q71" i="3"/>
  <c r="X330" i="3"/>
  <c r="G230" i="3"/>
  <c r="W147" i="3"/>
  <c r="S82" i="3"/>
  <c r="T357" i="3"/>
  <c r="V209" i="3"/>
  <c r="N113" i="3"/>
  <c r="K41" i="3"/>
  <c r="AC306" i="3"/>
  <c r="AK183" i="3"/>
  <c r="H89" i="3"/>
  <c r="N23" i="3"/>
  <c r="G256" i="3"/>
  <c r="O148" i="3"/>
  <c r="AG65" i="3"/>
  <c r="AH332" i="3"/>
  <c r="AH171" i="3"/>
  <c r="AH81" i="3"/>
  <c r="R21" i="3"/>
  <c r="AC232" i="3"/>
  <c r="U101" i="3"/>
  <c r="T211" i="3"/>
  <c r="R319" i="3"/>
  <c r="AK179" i="3"/>
  <c r="U296" i="3"/>
  <c r="Z146" i="3"/>
  <c r="P257" i="3"/>
  <c r="AD58" i="3"/>
  <c r="N305" i="3"/>
  <c r="N136" i="3"/>
  <c r="AK35" i="3"/>
  <c r="R247" i="3"/>
  <c r="AJ101" i="3"/>
  <c r="L384" i="3"/>
  <c r="W150" i="3"/>
  <c r="S30" i="3"/>
  <c r="G203" i="3"/>
  <c r="G56" i="3"/>
  <c r="L274" i="3"/>
  <c r="AC89" i="3"/>
  <c r="AL364" i="3"/>
  <c r="AC87" i="3"/>
  <c r="K314" i="3"/>
  <c r="AI81" i="3"/>
  <c r="M289" i="3"/>
  <c r="T65" i="3"/>
  <c r="O172" i="3"/>
  <c r="AL15" i="3"/>
  <c r="V82" i="3"/>
  <c r="R151" i="3"/>
  <c r="K152" i="3"/>
  <c r="AJ8" i="3"/>
  <c r="T66" i="3"/>
  <c r="G103" i="3"/>
  <c r="H144" i="3"/>
  <c r="U241" i="3"/>
  <c r="AH142" i="3"/>
  <c r="S256" i="3"/>
  <c r="R333" i="3"/>
  <c r="N102" i="3"/>
  <c r="I190" i="3"/>
  <c r="Z33" i="3"/>
  <c r="AF238" i="3"/>
  <c r="N235" i="3"/>
  <c r="AJ238" i="3"/>
  <c r="AI96" i="3"/>
  <c r="O296" i="3"/>
  <c r="O7" i="3"/>
  <c r="AD186" i="3"/>
  <c r="U309" i="3"/>
  <c r="AI39" i="3"/>
  <c r="AD52" i="3"/>
  <c r="M32" i="3"/>
  <c r="V214" i="3"/>
  <c r="M340" i="3"/>
  <c r="H7" i="3"/>
  <c r="AE129" i="3"/>
  <c r="F263" i="3"/>
  <c r="F210" i="3"/>
  <c r="F360" i="3"/>
  <c r="F95" i="3"/>
  <c r="F320" i="3"/>
  <c r="Z392" i="3"/>
  <c r="J406" i="3"/>
  <c r="AA376" i="3"/>
  <c r="N397" i="3"/>
  <c r="M357" i="3"/>
  <c r="W378" i="3"/>
  <c r="T399" i="3"/>
  <c r="U345" i="3"/>
  <c r="AC355" i="3"/>
  <c r="T375" i="3"/>
  <c r="AL344" i="3"/>
  <c r="AB369" i="3"/>
  <c r="N363" i="3"/>
  <c r="AD343" i="3"/>
  <c r="AE403" i="3"/>
  <c r="K319" i="3"/>
  <c r="AB338" i="3"/>
  <c r="Z390" i="3"/>
  <c r="L313" i="3"/>
  <c r="AE392" i="3"/>
  <c r="AK311" i="3"/>
  <c r="G324" i="3"/>
  <c r="N374" i="3"/>
  <c r="M293" i="3"/>
  <c r="AL331" i="3"/>
  <c r="V270" i="3"/>
  <c r="I313" i="3"/>
  <c r="AB376" i="3"/>
  <c r="Y280" i="3"/>
  <c r="Q383" i="3"/>
  <c r="V281" i="3"/>
  <c r="AC333" i="3"/>
  <c r="AL259" i="3"/>
  <c r="V355" i="3"/>
  <c r="G273" i="3"/>
  <c r="AE322" i="3"/>
  <c r="K241" i="3"/>
  <c r="L187" i="3"/>
  <c r="AI354" i="3"/>
  <c r="G275" i="3"/>
  <c r="K228" i="3"/>
  <c r="AK172" i="3"/>
  <c r="AG360" i="3"/>
  <c r="S257" i="3"/>
  <c r="I202" i="3"/>
  <c r="AA147" i="3"/>
  <c r="AB324" i="3"/>
  <c r="N244" i="3"/>
  <c r="U190" i="3"/>
  <c r="AE396" i="3"/>
  <c r="AH249" i="3"/>
  <c r="K165" i="3"/>
  <c r="AB105" i="3"/>
  <c r="AC316" i="3"/>
  <c r="AF224" i="3"/>
  <c r="X158" i="3"/>
  <c r="K101" i="3"/>
  <c r="AK281" i="3"/>
  <c r="W207" i="3"/>
  <c r="AH143" i="3"/>
  <c r="AL89" i="3"/>
  <c r="W273" i="3"/>
  <c r="V198" i="3"/>
  <c r="H135" i="3"/>
  <c r="AC81" i="3"/>
  <c r="O248" i="3"/>
  <c r="P162" i="3"/>
  <c r="N92" i="3"/>
  <c r="AE400" i="3"/>
  <c r="AK210" i="3"/>
  <c r="J127" i="3"/>
  <c r="AG64" i="3"/>
  <c r="AJ302" i="3"/>
  <c r="P180" i="3"/>
  <c r="AD102" i="3"/>
  <c r="H44" i="3"/>
  <c r="AH253" i="3"/>
  <c r="AB168" i="3"/>
  <c r="L97" i="3"/>
  <c r="P40" i="3"/>
  <c r="AI233" i="3"/>
  <c r="AC131" i="3"/>
  <c r="J56" i="3"/>
  <c r="AI384" i="3"/>
  <c r="K208" i="3"/>
  <c r="H108" i="3"/>
  <c r="R36" i="3"/>
  <c r="R293" i="3"/>
  <c r="S175" i="3"/>
  <c r="AK84" i="3"/>
  <c r="Q19" i="3"/>
  <c r="V247" i="3"/>
  <c r="AK145" i="3"/>
  <c r="V63" i="3"/>
  <c r="AF7" i="3"/>
  <c r="J196" i="3"/>
  <c r="S341" i="3"/>
  <c r="AC174" i="3"/>
  <c r="P315" i="3"/>
  <c r="Y174" i="3"/>
  <c r="AB292" i="3"/>
  <c r="G145" i="3"/>
  <c r="K254" i="3"/>
  <c r="M102" i="3"/>
  <c r="J20" i="3"/>
  <c r="AF208" i="3"/>
  <c r="R74" i="3"/>
  <c r="L389" i="3"/>
  <c r="S172" i="3"/>
  <c r="U52" i="3"/>
  <c r="G314" i="3"/>
  <c r="O104" i="3"/>
  <c r="R11" i="3"/>
  <c r="I153" i="3"/>
  <c r="I16" i="3"/>
  <c r="AG174" i="3"/>
  <c r="O35" i="3"/>
  <c r="X186" i="3"/>
  <c r="AL32" i="3"/>
  <c r="J179" i="3"/>
  <c r="AA201" i="3"/>
  <c r="I38" i="3"/>
  <c r="L169" i="3"/>
  <c r="AC14" i="3"/>
  <c r="T77" i="3"/>
  <c r="AE146" i="3"/>
  <c r="J148" i="3"/>
  <c r="AH7" i="3"/>
  <c r="AK56" i="3"/>
  <c r="AL102" i="3"/>
  <c r="R85" i="3"/>
  <c r="AA49" i="3"/>
  <c r="AD19" i="3"/>
  <c r="H151" i="3"/>
  <c r="Q182" i="3"/>
  <c r="AJ317" i="3"/>
  <c r="S61" i="3"/>
  <c r="K166" i="3"/>
  <c r="O19" i="3"/>
  <c r="AH398" i="3"/>
  <c r="AL173" i="3"/>
  <c r="G60" i="3"/>
  <c r="AI180" i="3"/>
  <c r="AE78" i="3"/>
  <c r="O63" i="3"/>
  <c r="AC72" i="3"/>
  <c r="U99" i="3"/>
  <c r="J76" i="3"/>
  <c r="K207" i="3"/>
  <c r="U12" i="3"/>
  <c r="V37" i="3"/>
  <c r="S79" i="3"/>
  <c r="F104" i="3"/>
  <c r="F50" i="3"/>
  <c r="F277" i="3"/>
  <c r="F148" i="3"/>
  <c r="F194" i="3"/>
  <c r="AD411" i="3"/>
  <c r="K404" i="3"/>
  <c r="S362" i="3"/>
  <c r="I383" i="3"/>
  <c r="AI405" i="3"/>
  <c r="AL351" i="3"/>
  <c r="T358" i="3"/>
  <c r="L372" i="3"/>
  <c r="AK390" i="3"/>
  <c r="X360" i="3"/>
  <c r="V384" i="3"/>
  <c r="P378" i="3"/>
  <c r="H362" i="3"/>
  <c r="AD342" i="3"/>
  <c r="H402" i="3"/>
  <c r="T318" i="3"/>
  <c r="AB337" i="3"/>
  <c r="Y389" i="3"/>
  <c r="W312" i="3"/>
  <c r="X362" i="3"/>
  <c r="J396" i="3"/>
  <c r="AI308" i="3"/>
  <c r="AG373" i="3"/>
  <c r="T292" i="3"/>
  <c r="AH330" i="3"/>
  <c r="AE269" i="3"/>
  <c r="P312" i="3"/>
  <c r="W373" i="3"/>
  <c r="AD279" i="3"/>
  <c r="AD318" i="3"/>
  <c r="G251" i="3"/>
  <c r="K309" i="3"/>
  <c r="U246" i="3"/>
  <c r="AE325" i="3"/>
  <c r="AL272" i="3"/>
  <c r="AJ352" i="3"/>
  <c r="AL274" i="3"/>
  <c r="J213" i="3"/>
  <c r="AF407" i="3"/>
  <c r="AJ274" i="3"/>
  <c r="R214" i="3"/>
  <c r="I160" i="3"/>
  <c r="L326" i="3"/>
  <c r="R240" i="3"/>
  <c r="J187" i="3"/>
  <c r="AD134" i="3"/>
  <c r="AF298" i="3"/>
  <c r="P230" i="3"/>
  <c r="G175" i="3"/>
  <c r="V331" i="3"/>
  <c r="W232" i="3"/>
  <c r="R164" i="3"/>
  <c r="H105" i="3"/>
  <c r="G315" i="3"/>
  <c r="AJ223" i="3"/>
  <c r="AJ411" i="3"/>
  <c r="AC399" i="3"/>
  <c r="J397" i="3"/>
  <c r="AK410" i="3"/>
  <c r="M401" i="3"/>
  <c r="U382" i="3"/>
  <c r="AF359" i="3"/>
  <c r="Q342" i="3"/>
  <c r="AI392" i="3"/>
  <c r="Q375" i="3"/>
  <c r="AB352" i="3"/>
  <c r="M335" i="3"/>
  <c r="O386" i="3"/>
  <c r="Z363" i="3"/>
  <c r="K346" i="3"/>
  <c r="L397" i="3"/>
  <c r="K379" i="3"/>
  <c r="V356" i="3"/>
  <c r="AL338" i="3"/>
  <c r="P385" i="3"/>
  <c r="M362" i="3"/>
  <c r="O333" i="3"/>
  <c r="O399" i="3"/>
  <c r="Q405" i="3"/>
  <c r="G381" i="3"/>
  <c r="AH354" i="3"/>
  <c r="Q329" i="3"/>
  <c r="W395" i="3"/>
  <c r="AL367" i="3"/>
  <c r="AG389" i="3"/>
  <c r="AC396" i="3"/>
  <c r="G371" i="3"/>
  <c r="AB390" i="3"/>
  <c r="AL366" i="3"/>
  <c r="AJ338" i="3"/>
  <c r="AA319" i="3"/>
  <c r="S379" i="3"/>
  <c r="T385" i="3"/>
  <c r="AA346" i="3"/>
  <c r="AD317" i="3"/>
  <c r="AI396" i="3"/>
  <c r="O356" i="3"/>
  <c r="Q330" i="3"/>
  <c r="S305" i="3"/>
  <c r="H405" i="3"/>
  <c r="O361" i="3"/>
  <c r="K334" i="3"/>
  <c r="P309" i="3"/>
  <c r="AF291" i="3"/>
  <c r="AF269" i="3"/>
  <c r="AE371" i="3"/>
  <c r="AK334" i="3"/>
  <c r="AB310" i="3"/>
  <c r="L383" i="3"/>
  <c r="W338" i="3"/>
  <c r="AL316" i="3"/>
  <c r="I291" i="3"/>
  <c r="Y272" i="3"/>
  <c r="K366" i="3"/>
  <c r="J332" i="3"/>
  <c r="X302" i="3"/>
  <c r="U283" i="3"/>
  <c r="AF373" i="3"/>
  <c r="N337" i="3"/>
  <c r="Q306" i="3"/>
  <c r="H282" i="3"/>
  <c r="N407" i="3"/>
  <c r="L352" i="3"/>
  <c r="S321" i="3"/>
  <c r="G294" i="3"/>
  <c r="S275" i="3"/>
  <c r="T365" i="3"/>
  <c r="AL326" i="3"/>
  <c r="AI292" i="3"/>
  <c r="Y270" i="3"/>
  <c r="L247" i="3"/>
  <c r="AH356" i="3"/>
  <c r="L311" i="3"/>
  <c r="AC279" i="3"/>
  <c r="AD258" i="3"/>
  <c r="Y397" i="3"/>
  <c r="AK348" i="3"/>
  <c r="AH305" i="3"/>
  <c r="J283" i="3"/>
  <c r="AE256" i="3"/>
  <c r="AJ237" i="3"/>
  <c r="AK378" i="3"/>
  <c r="S335" i="3"/>
  <c r="Q301" i="3"/>
  <c r="AJ277" i="3"/>
  <c r="G253" i="3"/>
  <c r="J351" i="3"/>
  <c r="AE310" i="3"/>
  <c r="AF272" i="3"/>
  <c r="AG247" i="3"/>
  <c r="AE224" i="3"/>
  <c r="AA206" i="3"/>
  <c r="AJ183" i="3"/>
  <c r="O165" i="3"/>
  <c r="J389" i="3"/>
  <c r="H335" i="3"/>
  <c r="W289" i="3"/>
  <c r="T262" i="3"/>
  <c r="Q236" i="3"/>
  <c r="AC213" i="3"/>
  <c r="AH194" i="3"/>
  <c r="H171" i="3"/>
  <c r="V153" i="3"/>
  <c r="AG403" i="3"/>
  <c r="AG342" i="3"/>
  <c r="L295" i="3"/>
  <c r="AK266" i="3"/>
  <c r="AA237" i="3"/>
  <c r="AG218" i="3"/>
  <c r="K196" i="3"/>
  <c r="R179" i="3"/>
  <c r="L156" i="3"/>
  <c r="J134" i="3"/>
  <c r="M389" i="3"/>
  <c r="K320" i="3"/>
  <c r="Z288" i="3"/>
  <c r="AK255" i="3"/>
  <c r="T236" i="3"/>
  <c r="AF213" i="3"/>
  <c r="Z195" i="3"/>
  <c r="T172" i="3"/>
  <c r="P367" i="3"/>
  <c r="U308" i="3"/>
  <c r="N261" i="3"/>
  <c r="AC231" i="3"/>
  <c r="S208" i="3"/>
  <c r="T180" i="3"/>
  <c r="H157" i="3"/>
  <c r="J130" i="3"/>
  <c r="V111" i="3"/>
  <c r="T89" i="3"/>
  <c r="AG383" i="3"/>
  <c r="AH309" i="3"/>
  <c r="AD270" i="3"/>
  <c r="AJ235" i="3"/>
  <c r="R212" i="3"/>
  <c r="V184" i="3"/>
  <c r="AE157" i="3"/>
  <c r="J137" i="3"/>
  <c r="O119" i="3"/>
  <c r="AI97" i="3"/>
  <c r="AL80" i="3"/>
  <c r="X338" i="3"/>
  <c r="AF296" i="3"/>
  <c r="J257" i="3"/>
  <c r="P233" i="3"/>
  <c r="Q212" i="3"/>
  <c r="AB187" i="3"/>
  <c r="X167" i="3"/>
  <c r="X141" i="3"/>
  <c r="N123" i="3"/>
  <c r="AD101" i="3"/>
  <c r="V85" i="3"/>
  <c r="AE352" i="3"/>
  <c r="AK293" i="3"/>
  <c r="N258" i="3"/>
  <c r="K229" i="3"/>
  <c r="Z207" i="3"/>
  <c r="M182" i="3"/>
  <c r="V159" i="3"/>
  <c r="L140" i="3"/>
  <c r="H118" i="3"/>
  <c r="X100" i="3"/>
  <c r="AE79" i="3"/>
  <c r="U340" i="3"/>
  <c r="G271" i="3"/>
  <c r="AI239" i="3"/>
  <c r="AJ212" i="3"/>
  <c r="P179" i="3"/>
  <c r="Z150" i="3"/>
  <c r="AJ120" i="3"/>
  <c r="Y99" i="3"/>
  <c r="Z74" i="3"/>
  <c r="AE57" i="3"/>
  <c r="Y39" i="3"/>
  <c r="N319" i="3"/>
  <c r="P269" i="3"/>
  <c r="AB228" i="3"/>
  <c r="Y201" i="3"/>
  <c r="S165" i="3"/>
  <c r="Y139" i="3"/>
  <c r="AH115" i="3"/>
  <c r="R71" i="3"/>
  <c r="G50" i="3"/>
  <c r="J382" i="3"/>
  <c r="H301" i="3"/>
  <c r="AD257" i="3"/>
  <c r="AD229" i="3"/>
  <c r="G194" i="3"/>
  <c r="S167" i="3"/>
  <c r="AH135" i="3"/>
  <c r="G111" i="3"/>
  <c r="AA84" i="3"/>
  <c r="U65" i="3"/>
  <c r="Q49" i="3"/>
  <c r="Z366" i="3"/>
  <c r="Y303" i="3"/>
  <c r="X249" i="3"/>
  <c r="S219" i="3"/>
  <c r="AI188" i="3"/>
  <c r="O161" i="3"/>
  <c r="L135" i="3"/>
  <c r="U109" i="3"/>
  <c r="AL87" i="3"/>
  <c r="AJ64" i="3"/>
  <c r="L353" i="3"/>
  <c r="AH288" i="3"/>
  <c r="P201" i="3"/>
  <c r="AJ168" i="3"/>
  <c r="T128" i="3"/>
  <c r="AH103" i="3"/>
  <c r="V72" i="3"/>
  <c r="K51" i="3"/>
  <c r="M31" i="3"/>
  <c r="AL10" i="3"/>
  <c r="AI337" i="3"/>
  <c r="H256" i="3"/>
  <c r="AJ222" i="3"/>
  <c r="H181" i="3"/>
  <c r="AI145" i="3"/>
  <c r="R116" i="3"/>
  <c r="AF83" i="3"/>
  <c r="J60" i="3"/>
  <c r="S34" i="3"/>
  <c r="T17" i="3"/>
  <c r="M352" i="3"/>
  <c r="AH280" i="3"/>
  <c r="S235" i="3"/>
  <c r="Y194" i="3"/>
  <c r="AG160" i="3"/>
  <c r="W121" i="3"/>
  <c r="M95" i="3"/>
  <c r="O64" i="3"/>
  <c r="AG41" i="3"/>
  <c r="AG23" i="3"/>
  <c r="AA405" i="3"/>
  <c r="AB301" i="3"/>
  <c r="W209" i="3"/>
  <c r="AK168" i="3"/>
  <c r="X137" i="3"/>
  <c r="J108" i="3"/>
  <c r="AE75" i="3"/>
  <c r="U54" i="3"/>
  <c r="Y30" i="3"/>
  <c r="AI14" i="3"/>
  <c r="Y327" i="3"/>
  <c r="AE254" i="3"/>
  <c r="AB207" i="3"/>
  <c r="AG151" i="3"/>
  <c r="AE113" i="3"/>
  <c r="X327" i="3"/>
  <c r="Z266" i="3"/>
  <c r="AA207" i="3"/>
  <c r="AK162" i="3"/>
  <c r="V124" i="3"/>
  <c r="J362" i="3"/>
  <c r="I290" i="3"/>
  <c r="W234" i="3"/>
  <c r="AJ193" i="3"/>
  <c r="AJ141" i="3"/>
  <c r="R105" i="3"/>
  <c r="O315" i="3"/>
  <c r="K236" i="3"/>
  <c r="AI193" i="3"/>
  <c r="AI141" i="3"/>
  <c r="L108" i="3"/>
  <c r="V317" i="3"/>
  <c r="O239" i="3"/>
  <c r="AF190" i="3"/>
  <c r="W128" i="3"/>
  <c r="Q87" i="3"/>
  <c r="AD54" i="3"/>
  <c r="P30" i="3"/>
  <c r="T4" i="3"/>
  <c r="AE274" i="3"/>
  <c r="AC222" i="3"/>
  <c r="AJ161" i="3"/>
  <c r="K117" i="3"/>
  <c r="L71" i="3"/>
  <c r="AE45" i="3"/>
  <c r="AA16" i="3"/>
  <c r="I360" i="3"/>
  <c r="X262" i="3"/>
  <c r="AF197" i="3"/>
  <c r="L150" i="3"/>
  <c r="Y95" i="3"/>
  <c r="AI63" i="3"/>
  <c r="G31" i="3"/>
  <c r="I10" i="3"/>
  <c r="AK344" i="3"/>
  <c r="AE234" i="3"/>
  <c r="J172" i="3"/>
  <c r="O98" i="3"/>
  <c r="AD63" i="3"/>
  <c r="T28" i="3"/>
  <c r="Z4" i="3"/>
  <c r="M274" i="3"/>
  <c r="R191" i="3"/>
  <c r="AH131" i="3"/>
  <c r="AG73" i="3"/>
  <c r="W44" i="3"/>
  <c r="M15" i="3"/>
  <c r="K326" i="3"/>
  <c r="U228" i="3"/>
  <c r="Z161" i="3"/>
  <c r="K106" i="3"/>
  <c r="N57" i="3"/>
  <c r="AA353" i="3"/>
  <c r="O230" i="3"/>
  <c r="AJ142" i="3"/>
  <c r="H80" i="3"/>
  <c r="AD43" i="3"/>
  <c r="AF9" i="3"/>
  <c r="AF271" i="3"/>
  <c r="X173" i="3"/>
  <c r="K105" i="3"/>
  <c r="AE61" i="3"/>
  <c r="G19" i="3"/>
  <c r="T329" i="3"/>
  <c r="AA189" i="3"/>
  <c r="AE119" i="3"/>
  <c r="K62" i="3"/>
  <c r="AC29" i="3"/>
  <c r="M356" i="3"/>
  <c r="Z224" i="3"/>
  <c r="AE135" i="3"/>
  <c r="X66" i="3"/>
  <c r="I30" i="3"/>
  <c r="Y205" i="3"/>
  <c r="AF15" i="3"/>
  <c r="X115" i="3"/>
  <c r="O277" i="3"/>
  <c r="W38" i="3"/>
  <c r="R97" i="3"/>
  <c r="R339" i="3"/>
  <c r="R206" i="3"/>
  <c r="Z135" i="3"/>
  <c r="H76" i="3"/>
  <c r="AG28" i="3"/>
  <c r="O253" i="3"/>
  <c r="X35" i="3"/>
  <c r="U156" i="3"/>
  <c r="G172" i="3"/>
  <c r="AD15" i="3"/>
  <c r="M124" i="3"/>
  <c r="H13" i="3"/>
  <c r="H233" i="3"/>
  <c r="M131" i="3"/>
  <c r="AL73" i="3"/>
  <c r="W23" i="3"/>
  <c r="K128" i="3"/>
  <c r="Y214" i="3"/>
  <c r="W311" i="3"/>
  <c r="V62" i="3"/>
  <c r="AH117" i="3"/>
  <c r="H318" i="3"/>
  <c r="AK150" i="3"/>
  <c r="V55" i="3"/>
  <c r="AL220" i="3"/>
  <c r="AC5" i="3"/>
  <c r="AK16" i="3"/>
  <c r="W73" i="3"/>
  <c r="U107" i="3"/>
  <c r="AC101" i="3"/>
  <c r="AC96" i="3"/>
  <c r="P229" i="3"/>
  <c r="AD67" i="3"/>
  <c r="K8" i="3"/>
  <c r="AG35" i="3"/>
  <c r="L38" i="3"/>
  <c r="G8" i="3"/>
  <c r="V107" i="3"/>
  <c r="U378" i="3"/>
  <c r="AI148" i="3"/>
  <c r="AA111" i="3"/>
  <c r="AF194" i="3"/>
  <c r="AA73" i="3"/>
  <c r="L375" i="3"/>
  <c r="M38" i="3"/>
  <c r="O81" i="3"/>
  <c r="AG96" i="3"/>
  <c r="Z84" i="3"/>
  <c r="O41" i="3"/>
  <c r="AG50" i="3"/>
  <c r="H319" i="3"/>
  <c r="N145" i="3"/>
  <c r="J21" i="3"/>
  <c r="AL44" i="3"/>
  <c r="AE72" i="3"/>
  <c r="AC134" i="3"/>
  <c r="U170" i="3"/>
  <c r="U217" i="3"/>
  <c r="AH71" i="3"/>
  <c r="R16" i="3"/>
  <c r="AA65" i="3"/>
  <c r="K49" i="3"/>
  <c r="W11" i="3"/>
  <c r="S196" i="3"/>
  <c r="AE287" i="3"/>
  <c r="P129" i="3"/>
  <c r="AC212" i="3"/>
  <c r="P63" i="3"/>
  <c r="L63" i="3"/>
  <c r="Q198" i="3"/>
  <c r="Z31" i="3"/>
  <c r="AF283" i="3"/>
  <c r="AJ52" i="3"/>
  <c r="AD99" i="3"/>
  <c r="AL175" i="3"/>
  <c r="AD36" i="3"/>
  <c r="O111" i="3"/>
  <c r="F136" i="3"/>
  <c r="F11" i="3"/>
  <c r="F220" i="3"/>
  <c r="F49" i="3"/>
  <c r="F17" i="3"/>
  <c r="F319" i="3"/>
  <c r="F144" i="3"/>
  <c r="F394" i="3"/>
  <c r="F105" i="3"/>
  <c r="F298" i="3"/>
  <c r="F182" i="3"/>
  <c r="F285" i="3"/>
  <c r="F152" i="3"/>
  <c r="AL409" i="3"/>
  <c r="N357" i="3"/>
  <c r="J350" i="3"/>
  <c r="X343" i="3"/>
  <c r="AK381" i="3"/>
  <c r="P401" i="3"/>
  <c r="O390" i="3"/>
  <c r="L361" i="3"/>
  <c r="J403" i="3"/>
  <c r="L315" i="3"/>
  <c r="AF302" i="3"/>
  <c r="G306" i="3"/>
  <c r="G332" i="3"/>
  <c r="AE313" i="3"/>
  <c r="J322" i="3"/>
  <c r="AG326" i="3"/>
  <c r="H346" i="3"/>
  <c r="AL359" i="3"/>
  <c r="Y404" i="3"/>
  <c r="L256" i="3"/>
  <c r="AC273" i="3"/>
  <c r="G322" i="3"/>
  <c r="M343" i="3"/>
  <c r="M222" i="3"/>
  <c r="S380" i="3"/>
  <c r="Y233" i="3"/>
  <c r="AI150" i="3"/>
  <c r="AI234" i="3"/>
  <c r="AF152" i="3"/>
  <c r="AB282" i="3"/>
  <c r="W188" i="3"/>
  <c r="AA293" i="3"/>
  <c r="AH175" i="3"/>
  <c r="AG86" i="3"/>
  <c r="V232" i="3"/>
  <c r="O134" i="3"/>
  <c r="N331" i="3"/>
  <c r="G205" i="3"/>
  <c r="W120" i="3"/>
  <c r="J288" i="3"/>
  <c r="U115" i="3"/>
  <c r="P266" i="3"/>
  <c r="V140" i="3"/>
  <c r="M55" i="3"/>
  <c r="V224" i="3"/>
  <c r="H107" i="3"/>
  <c r="Q366" i="3"/>
  <c r="AL191" i="3"/>
  <c r="R81" i="3"/>
  <c r="S284" i="3"/>
  <c r="M157" i="3"/>
  <c r="AL62" i="3"/>
  <c r="Y229" i="3"/>
  <c r="AB99" i="3"/>
  <c r="T8" i="3"/>
  <c r="I174" i="3"/>
  <c r="G52" i="3"/>
  <c r="O271" i="3"/>
  <c r="N117" i="3"/>
  <c r="AE376" i="3"/>
  <c r="AL164" i="3"/>
  <c r="K46" i="3"/>
  <c r="K248" i="3"/>
  <c r="Q315" i="3"/>
  <c r="AD110" i="3"/>
  <c r="H187" i="3"/>
  <c r="H287" i="3"/>
  <c r="S137" i="3"/>
  <c r="AE168" i="3"/>
  <c r="V50" i="3"/>
  <c r="AD267" i="3"/>
  <c r="H67" i="3"/>
  <c r="V337" i="3"/>
  <c r="O87" i="3"/>
  <c r="AF6" i="3"/>
  <c r="U387" i="3"/>
  <c r="AE68" i="3"/>
  <c r="V305" i="3"/>
  <c r="Q52" i="3"/>
  <c r="O122" i="3"/>
  <c r="AA254" i="3"/>
  <c r="Y15" i="3"/>
  <c r="N56" i="3"/>
  <c r="K113" i="3"/>
  <c r="AI4" i="3"/>
  <c r="X335" i="3"/>
  <c r="L22" i="3"/>
  <c r="L109" i="3"/>
  <c r="Y196" i="3"/>
  <c r="V88" i="3"/>
  <c r="V282" i="3"/>
  <c r="U302" i="3"/>
  <c r="AK46" i="3"/>
  <c r="N229" i="3"/>
  <c r="V86" i="3"/>
  <c r="G167" i="3"/>
  <c r="N28" i="3"/>
  <c r="AH34" i="3"/>
  <c r="H138" i="3"/>
  <c r="AE20" i="3"/>
  <c r="L36" i="3"/>
  <c r="V189" i="3"/>
  <c r="U37" i="3"/>
  <c r="AL42" i="3"/>
  <c r="AL294" i="3"/>
  <c r="AF109" i="3"/>
  <c r="F237" i="3"/>
  <c r="F274" i="3"/>
  <c r="F389" i="3"/>
  <c r="AH393" i="3"/>
  <c r="Y356" i="3"/>
  <c r="AD348" i="3"/>
  <c r="X393" i="3"/>
  <c r="M381" i="3"/>
  <c r="J400" i="3"/>
  <c r="S325" i="3"/>
  <c r="AC390" i="3"/>
  <c r="AA334" i="3"/>
  <c r="AH341" i="3"/>
  <c r="U320" i="3"/>
  <c r="H324" i="3"/>
  <c r="R357" i="3"/>
  <c r="AK333" i="3"/>
  <c r="H359" i="3"/>
  <c r="X364" i="3"/>
  <c r="M398" i="3"/>
  <c r="AK267" i="3"/>
  <c r="R261" i="3"/>
  <c r="U275" i="3"/>
  <c r="I302" i="3"/>
  <c r="T367" i="3"/>
  <c r="T250" i="3"/>
  <c r="AD239" i="3"/>
  <c r="W157" i="3"/>
  <c r="Y252" i="3"/>
  <c r="AF167" i="3"/>
  <c r="V289" i="3"/>
  <c r="AI192" i="3"/>
  <c r="R374" i="3"/>
  <c r="AJ228" i="3"/>
  <c r="K147" i="3"/>
  <c r="Q227" i="3"/>
  <c r="AC126" i="3"/>
  <c r="T301" i="3"/>
  <c r="S180" i="3"/>
  <c r="AB94" i="3"/>
  <c r="I253" i="3"/>
  <c r="P159" i="3"/>
  <c r="O82" i="3"/>
  <c r="AI224" i="3"/>
  <c r="W131" i="3"/>
  <c r="AC326" i="3"/>
  <c r="AB172" i="3"/>
  <c r="S71" i="3"/>
  <c r="S252" i="3"/>
  <c r="I135" i="3"/>
  <c r="AA46" i="3"/>
  <c r="K217" i="3"/>
  <c r="AE107" i="3"/>
  <c r="AB351" i="3"/>
  <c r="AG184" i="3"/>
  <c r="R62" i="3"/>
  <c r="S228" i="3"/>
  <c r="AA98" i="3"/>
  <c r="Z298" i="3"/>
  <c r="AF139" i="3"/>
  <c r="L31" i="3"/>
  <c r="J220" i="3"/>
  <c r="AI89" i="3"/>
  <c r="Y375" i="3"/>
  <c r="AF163" i="3"/>
  <c r="AJ45" i="3"/>
  <c r="K246" i="3"/>
  <c r="I312" i="3"/>
  <c r="AA109" i="3"/>
  <c r="V134" i="3"/>
  <c r="K173" i="3"/>
  <c r="AK229" i="3"/>
  <c r="O49" i="3"/>
  <c r="U150" i="3"/>
  <c r="Z12" i="3"/>
  <c r="AJ131" i="3"/>
  <c r="H6" i="3"/>
  <c r="AE89" i="3"/>
  <c r="Y237" i="3"/>
  <c r="U38" i="3"/>
  <c r="R149" i="3"/>
  <c r="L314" i="3"/>
  <c r="AL31" i="3"/>
  <c r="L95" i="3"/>
  <c r="AH173" i="3"/>
  <c r="O316" i="3"/>
  <c r="M22" i="3"/>
  <c r="AF235" i="3"/>
  <c r="AH188" i="3"/>
  <c r="L172" i="3"/>
  <c r="AB322" i="3"/>
  <c r="R121" i="3"/>
  <c r="P85" i="3"/>
  <c r="AG281" i="3"/>
  <c r="R272" i="3"/>
  <c r="N41" i="3"/>
  <c r="W227" i="3"/>
  <c r="AI80" i="3"/>
  <c r="AL166" i="3"/>
  <c r="X19" i="3"/>
  <c r="T30" i="3"/>
  <c r="AI137" i="3"/>
  <c r="AB4" i="3"/>
  <c r="AB294" i="3"/>
  <c r="AI169" i="3"/>
  <c r="AH261" i="3"/>
  <c r="AB244" i="3"/>
  <c r="AL126" i="3"/>
  <c r="F96" i="3"/>
  <c r="F332" i="3"/>
  <c r="F278" i="3"/>
  <c r="H411" i="3"/>
  <c r="N388" i="3"/>
  <c r="AD359" i="3"/>
  <c r="V404" i="3"/>
  <c r="AF386" i="3"/>
  <c r="Y383" i="3"/>
  <c r="Q359" i="3"/>
  <c r="X400" i="3"/>
  <c r="AH313" i="3"/>
  <c r="W301" i="3"/>
  <c r="R305" i="3"/>
  <c r="L331" i="3"/>
  <c r="S306" i="3"/>
  <c r="R320" i="3"/>
  <c r="G325" i="3"/>
  <c r="AA343" i="3"/>
  <c r="AJ356" i="3"/>
  <c r="V398" i="3"/>
  <c r="AL250" i="3"/>
  <c r="K272" i="3"/>
  <c r="AI320" i="3"/>
  <c r="AH338" i="3"/>
  <c r="M220" i="3"/>
  <c r="AJ376" i="3"/>
  <c r="N232" i="3"/>
  <c r="J145" i="3"/>
  <c r="S253" i="3"/>
  <c r="AC169" i="3"/>
  <c r="S313" i="3"/>
  <c r="AJ209" i="3"/>
  <c r="M347" i="3"/>
  <c r="AH196" i="3"/>
  <c r="J103" i="3"/>
  <c r="H255" i="3"/>
  <c r="AC152" i="3"/>
  <c r="K329" i="3"/>
  <c r="N204" i="3"/>
  <c r="AL115" i="3"/>
  <c r="Y283" i="3"/>
  <c r="AI175" i="3"/>
  <c r="AF92" i="3"/>
  <c r="K233" i="3"/>
  <c r="AI115" i="3"/>
  <c r="L303" i="3"/>
  <c r="AH134" i="3"/>
  <c r="G46" i="3"/>
  <c r="I216" i="3"/>
  <c r="AK101" i="3"/>
  <c r="AJ347" i="3"/>
  <c r="AE183" i="3"/>
  <c r="AK78" i="3"/>
  <c r="AF275" i="3"/>
  <c r="AG123" i="3"/>
  <c r="K7" i="3"/>
  <c r="T171" i="3"/>
  <c r="J51" i="3"/>
  <c r="AI268" i="3"/>
  <c r="N115" i="3"/>
  <c r="J16" i="3"/>
  <c r="AB194" i="3"/>
  <c r="AB71" i="3"/>
  <c r="X308" i="3"/>
  <c r="Z97" i="3"/>
  <c r="AF151" i="3"/>
  <c r="K225" i="3"/>
  <c r="J227" i="3"/>
  <c r="AB227" i="3"/>
  <c r="AL65" i="3"/>
  <c r="AC236" i="3"/>
  <c r="S84" i="3"/>
  <c r="O293" i="3"/>
  <c r="AK22" i="3"/>
  <c r="M106" i="3"/>
  <c r="AL297" i="3"/>
  <c r="H16" i="3"/>
  <c r="AE71" i="3"/>
  <c r="O157" i="3"/>
  <c r="W260" i="3"/>
  <c r="AL22" i="3"/>
  <c r="J59" i="3"/>
  <c r="R53" i="3"/>
  <c r="W277" i="3"/>
  <c r="U20" i="3"/>
  <c r="T97" i="3"/>
  <c r="L188" i="3"/>
  <c r="AF75" i="3"/>
  <c r="L53" i="3"/>
  <c r="Y251" i="3"/>
  <c r="M33" i="3"/>
  <c r="Z218" i="3"/>
  <c r="AJ76" i="3"/>
  <c r="J159" i="3"/>
  <c r="AD12" i="3"/>
  <c r="P238" i="3"/>
  <c r="AJ136" i="3"/>
  <c r="Q406" i="3"/>
  <c r="AE233" i="3"/>
  <c r="AB163" i="3"/>
  <c r="AJ257" i="3"/>
  <c r="S205" i="3"/>
  <c r="H28" i="3"/>
  <c r="F230" i="3"/>
  <c r="F287" i="3"/>
  <c r="F280" i="3"/>
  <c r="Q410" i="3"/>
  <c r="V408" i="3"/>
  <c r="U347" i="3"/>
  <c r="J359" i="3"/>
  <c r="AD368" i="3"/>
  <c r="W379" i="3"/>
  <c r="N398" i="3"/>
  <c r="J324" i="3"/>
  <c r="AE388" i="3"/>
  <c r="L333" i="3"/>
  <c r="U333" i="3"/>
  <c r="V348" i="3"/>
  <c r="R354" i="3"/>
  <c r="I402" i="3"/>
  <c r="S363" i="3"/>
  <c r="K394" i="3"/>
  <c r="AB404" i="3"/>
  <c r="AK277" i="3"/>
  <c r="AE289" i="3"/>
  <c r="AE285" i="3"/>
  <c r="V298" i="3"/>
  <c r="AF326" i="3"/>
  <c r="X229" i="3"/>
  <c r="Z267" i="3"/>
  <c r="I266" i="3"/>
  <c r="I180" i="3"/>
  <c r="AA281" i="3"/>
  <c r="V186" i="3"/>
  <c r="G320" i="3"/>
  <c r="AF209" i="3"/>
  <c r="AH128" i="3"/>
  <c r="AJ250" i="3"/>
  <c r="AI167" i="3"/>
  <c r="G248" i="3"/>
  <c r="AC144" i="3"/>
  <c r="K344" i="3"/>
  <c r="G201" i="3"/>
  <c r="W109" i="3"/>
  <c r="N279" i="3"/>
  <c r="J182" i="3"/>
  <c r="N97" i="3"/>
  <c r="AH246" i="3"/>
  <c r="AE152" i="3"/>
  <c r="V402" i="3"/>
  <c r="K115" i="3"/>
  <c r="AG376" i="3"/>
  <c r="AB186" i="3"/>
  <c r="AB84" i="3"/>
  <c r="AI289" i="3"/>
  <c r="AG78" i="3"/>
  <c r="AD278" i="3"/>
  <c r="AK152" i="3"/>
  <c r="I61" i="3"/>
  <c r="Y273" i="3"/>
  <c r="AH122" i="3"/>
  <c r="Z22" i="3"/>
  <c r="M205" i="3"/>
  <c r="AD76" i="3"/>
  <c r="H9" i="3"/>
  <c r="Q186" i="3"/>
  <c r="U58" i="3"/>
  <c r="AG275" i="3"/>
  <c r="U128" i="3"/>
  <c r="Q304" i="3"/>
  <c r="W140" i="3"/>
  <c r="AC195" i="3"/>
  <c r="AD263" i="3"/>
  <c r="O395" i="3"/>
  <c r="U134" i="3"/>
  <c r="L162" i="3"/>
  <c r="K19" i="3"/>
  <c r="AL147" i="3"/>
  <c r="I11" i="3"/>
  <c r="Q128" i="3"/>
  <c r="R4" i="3"/>
  <c r="M175" i="3"/>
  <c r="M8" i="3"/>
  <c r="X82" i="3"/>
  <c r="L115" i="3"/>
  <c r="N226" i="3"/>
  <c r="I12" i="3"/>
  <c r="J53" i="3"/>
  <c r="Z103" i="3"/>
  <c r="P345" i="3"/>
  <c r="AK54" i="3"/>
  <c r="AE53" i="3"/>
  <c r="AB51" i="3"/>
  <c r="W335" i="3"/>
  <c r="AA14" i="3"/>
  <c r="H10" i="3"/>
  <c r="J36" i="3"/>
  <c r="AK37" i="3"/>
  <c r="P141" i="3"/>
  <c r="AH217" i="3"/>
  <c r="J274" i="3"/>
  <c r="S302" i="3"/>
  <c r="P101" i="3"/>
  <c r="Z34" i="3"/>
  <c r="M287" i="3"/>
  <c r="AB198" i="3"/>
  <c r="L207" i="3"/>
  <c r="N19" i="3"/>
  <c r="T15" i="3"/>
  <c r="F121" i="3"/>
  <c r="F158" i="3"/>
  <c r="F29" i="3"/>
  <c r="F223" i="3"/>
  <c r="AE411" i="3"/>
  <c r="AE395" i="3"/>
  <c r="AA354" i="3"/>
  <c r="P342" i="3"/>
  <c r="U336" i="3"/>
  <c r="T402" i="3"/>
  <c r="AD326" i="3"/>
  <c r="W342" i="3"/>
  <c r="K374" i="3"/>
  <c r="AA356" i="3"/>
  <c r="AK366" i="3"/>
  <c r="Z347" i="3"/>
  <c r="T353" i="3"/>
  <c r="R388" i="3"/>
  <c r="AH361" i="3"/>
  <c r="AJ393" i="3"/>
  <c r="W402" i="3"/>
  <c r="P277" i="3"/>
  <c r="J289" i="3"/>
  <c r="AK284" i="3"/>
  <c r="U297" i="3"/>
  <c r="X325" i="3"/>
  <c r="AI228" i="3"/>
  <c r="AI266" i="3"/>
  <c r="R263" i="3"/>
  <c r="T179" i="3"/>
  <c r="I250" i="3"/>
  <c r="AH165" i="3"/>
  <c r="AL285" i="3"/>
  <c r="U186" i="3"/>
  <c r="G353" i="3"/>
  <c r="AG226" i="3"/>
  <c r="M145" i="3"/>
  <c r="AH224" i="3"/>
  <c r="AA124" i="3"/>
  <c r="AH296" i="3"/>
  <c r="AF170" i="3"/>
  <c r="AD92" i="3"/>
  <c r="Y220" i="3"/>
  <c r="AA135" i="3"/>
  <c r="AA320" i="3"/>
  <c r="H196" i="3"/>
  <c r="W111" i="3"/>
  <c r="X225" i="3"/>
  <c r="R114" i="3"/>
  <c r="Z371" i="3"/>
  <c r="AA185" i="3"/>
  <c r="AI83" i="3"/>
  <c r="AH287" i="3"/>
  <c r="I127" i="3"/>
  <c r="W39" i="3"/>
  <c r="AL206" i="3"/>
  <c r="AH102" i="3"/>
  <c r="S332" i="3"/>
  <c r="O151" i="3"/>
  <c r="U39" i="3"/>
  <c r="H244" i="3"/>
  <c r="Y101" i="3"/>
  <c r="S8" i="3"/>
  <c r="H185" i="3"/>
  <c r="Y57" i="3"/>
  <c r="Z273" i="3"/>
  <c r="Z121" i="3"/>
  <c r="AK228" i="3"/>
  <c r="Q303" i="3"/>
  <c r="T105" i="3"/>
  <c r="N171" i="3"/>
  <c r="J225" i="3"/>
  <c r="W284" i="3"/>
  <c r="M71" i="3"/>
  <c r="AE244" i="3"/>
  <c r="AJ63" i="3"/>
  <c r="H232" i="3"/>
  <c r="M49" i="3"/>
  <c r="N137" i="3"/>
  <c r="P327" i="3"/>
  <c r="AD64" i="3"/>
  <c r="AA196" i="3"/>
  <c r="I14" i="3"/>
  <c r="U68" i="3"/>
  <c r="M153" i="3"/>
  <c r="O250" i="3"/>
  <c r="R13" i="3"/>
  <c r="Q57" i="3"/>
  <c r="Y268" i="3"/>
  <c r="O17" i="3"/>
  <c r="P77" i="3"/>
  <c r="Y180" i="3"/>
  <c r="H37" i="3"/>
  <c r="AB43" i="3"/>
  <c r="AK220" i="3"/>
  <c r="AI16" i="3"/>
  <c r="AA44" i="3"/>
  <c r="X235" i="3"/>
  <c r="AI398" i="3"/>
  <c r="S254" i="3"/>
  <c r="I299" i="3"/>
  <c r="J231" i="3"/>
  <c r="U127" i="3"/>
  <c r="H62" i="3"/>
  <c r="AH162" i="3"/>
  <c r="L32" i="3"/>
  <c r="I163" i="3"/>
  <c r="AA4" i="3"/>
  <c r="T59" i="3"/>
  <c r="F270" i="3"/>
  <c r="F63" i="3"/>
  <c r="F109" i="3"/>
  <c r="F124" i="3"/>
  <c r="AG408" i="3"/>
  <c r="I395" i="3"/>
  <c r="G354" i="3"/>
  <c r="AA363" i="3"/>
  <c r="AF357" i="3"/>
  <c r="AB350" i="3"/>
  <c r="W347" i="3"/>
  <c r="AB368" i="3"/>
  <c r="M411" i="3"/>
  <c r="R381" i="3"/>
  <c r="H400" i="3"/>
  <c r="W377" i="3"/>
  <c r="AF382" i="3"/>
  <c r="T281" i="3"/>
  <c r="L304" i="3"/>
  <c r="M284" i="3"/>
  <c r="AC291" i="3"/>
  <c r="P295" i="3"/>
  <c r="M308" i="3"/>
  <c r="M309" i="3"/>
  <c r="V332" i="3"/>
  <c r="Z378" i="3"/>
  <c r="AK250" i="3"/>
  <c r="AF285" i="3"/>
  <c r="AA290" i="3"/>
  <c r="X195" i="3"/>
  <c r="AK273" i="3"/>
  <c r="M185" i="3"/>
  <c r="P318" i="3"/>
  <c r="W208" i="3"/>
  <c r="Y127" i="3"/>
  <c r="S249" i="3"/>
  <c r="J162" i="3"/>
  <c r="AG246" i="3"/>
  <c r="M143" i="3"/>
  <c r="S283" i="3"/>
  <c r="H170" i="3"/>
  <c r="J92" i="3"/>
  <c r="AF249" i="3"/>
  <c r="I156" i="3"/>
  <c r="AG396" i="3"/>
  <c r="U222" i="3"/>
  <c r="AE128" i="3"/>
  <c r="M303" i="3"/>
  <c r="Z168" i="3"/>
  <c r="J68" i="3"/>
  <c r="AC246" i="3"/>
  <c r="O125" i="3"/>
  <c r="AC44" i="3"/>
  <c r="AH212" i="3"/>
  <c r="W99" i="3"/>
  <c r="W340" i="3"/>
  <c r="X180" i="3"/>
  <c r="AC76" i="3"/>
  <c r="AA259" i="3"/>
  <c r="V120" i="3"/>
  <c r="Q21" i="3"/>
  <c r="T202" i="3"/>
  <c r="AJ74" i="3"/>
  <c r="W252" i="3"/>
  <c r="J111" i="3"/>
  <c r="L14" i="3"/>
  <c r="AG191" i="3"/>
  <c r="S68" i="3"/>
  <c r="J300" i="3"/>
  <c r="AA93" i="3"/>
  <c r="I139" i="3"/>
  <c r="AL219" i="3"/>
  <c r="Z272" i="3"/>
  <c r="M89" i="3"/>
  <c r="AL113" i="3"/>
  <c r="S346" i="3"/>
  <c r="J10" i="3"/>
  <c r="O124" i="3"/>
  <c r="I364" i="3"/>
  <c r="M83" i="3"/>
  <c r="AI225" i="3"/>
  <c r="S28" i="3"/>
  <c r="O142" i="3"/>
  <c r="L289" i="3"/>
  <c r="N27" i="3"/>
  <c r="X77" i="3"/>
  <c r="AL163" i="3"/>
  <c r="X294" i="3"/>
  <c r="W10" i="3"/>
  <c r="W191" i="3"/>
  <c r="V173" i="3"/>
  <c r="P143" i="3"/>
  <c r="H224" i="3"/>
  <c r="AK111" i="3"/>
  <c r="AA58" i="3"/>
  <c r="Q229" i="3"/>
  <c r="AC150" i="3"/>
  <c r="P22" i="3"/>
  <c r="L203" i="3"/>
  <c r="J38" i="3"/>
  <c r="O141" i="3"/>
  <c r="AB380" i="3"/>
  <c r="L171" i="3"/>
  <c r="U123" i="3"/>
  <c r="AB41" i="3"/>
  <c r="AA136" i="3"/>
  <c r="AC208" i="3"/>
  <c r="W230" i="3"/>
  <c r="J29" i="3"/>
  <c r="N216" i="3"/>
  <c r="F336" i="3"/>
  <c r="F315" i="3"/>
  <c r="F289" i="3"/>
  <c r="O400" i="3"/>
  <c r="AE381" i="3"/>
  <c r="P375" i="3"/>
  <c r="AF366" i="3"/>
  <c r="Z346" i="3"/>
  <c r="AI367" i="3"/>
  <c r="Z409" i="3"/>
  <c r="AK374" i="3"/>
  <c r="Y398" i="3"/>
  <c r="H376" i="3"/>
  <c r="Q381" i="3"/>
  <c r="AE280" i="3"/>
  <c r="W303" i="3"/>
  <c r="V283" i="3"/>
  <c r="H291" i="3"/>
  <c r="Y294" i="3"/>
  <c r="U306" i="3"/>
  <c r="O308" i="3"/>
  <c r="R331" i="3"/>
  <c r="U376" i="3"/>
  <c r="AF245" i="3"/>
  <c r="G285" i="3"/>
  <c r="X289" i="3"/>
  <c r="AI194" i="3"/>
  <c r="AE311" i="3"/>
  <c r="O207" i="3"/>
  <c r="AI376" i="3"/>
  <c r="H226" i="3"/>
  <c r="I145" i="3"/>
  <c r="G270" i="3"/>
  <c r="AA184" i="3"/>
  <c r="W283" i="3"/>
  <c r="AG170" i="3"/>
  <c r="U78" i="3"/>
  <c r="Z220" i="3"/>
  <c r="Y107" i="3"/>
  <c r="AF274" i="3"/>
  <c r="AK174" i="3"/>
  <c r="T387" i="3"/>
  <c r="AB220" i="3"/>
  <c r="J128" i="3"/>
  <c r="Y301" i="3"/>
  <c r="M161" i="3"/>
  <c r="U67" i="3"/>
  <c r="V245" i="3"/>
  <c r="T124" i="3"/>
  <c r="I44" i="3"/>
  <c r="AK211" i="3"/>
  <c r="AD98" i="3"/>
  <c r="AC324" i="3"/>
  <c r="U179" i="3"/>
  <c r="AK75" i="3"/>
  <c r="AG257" i="3"/>
  <c r="X119" i="3"/>
  <c r="AB20" i="3"/>
  <c r="O201" i="3"/>
  <c r="X67" i="3"/>
  <c r="R315" i="3"/>
  <c r="AE139" i="3"/>
  <c r="K31" i="3"/>
  <c r="T228" i="3"/>
  <c r="Y4" i="3"/>
  <c r="T126" i="3"/>
  <c r="W192" i="3"/>
  <c r="AI258" i="3"/>
  <c r="N354" i="3"/>
  <c r="N130" i="3"/>
  <c r="AH43" i="3"/>
  <c r="AL192" i="3"/>
  <c r="AK62" i="3"/>
  <c r="AB229" i="3"/>
  <c r="AD45" i="3"/>
  <c r="AK196" i="3"/>
  <c r="AJ19" i="3"/>
  <c r="N98" i="3"/>
  <c r="Z258" i="3"/>
  <c r="N43" i="3"/>
  <c r="AI109" i="3"/>
  <c r="R219" i="3"/>
  <c r="K375" i="3"/>
  <c r="AJ49" i="3"/>
  <c r="AE97" i="3"/>
  <c r="N219" i="3"/>
  <c r="AJ33" i="3"/>
  <c r="L50" i="3"/>
  <c r="U23" i="3"/>
  <c r="X268" i="3"/>
  <c r="U10" i="3"/>
  <c r="W334" i="3"/>
  <c r="AB19" i="3"/>
  <c r="AJ308" i="3"/>
  <c r="T272" i="3"/>
  <c r="AJ295" i="3"/>
  <c r="AJ211" i="3"/>
  <c r="X271" i="3"/>
  <c r="M59" i="3"/>
  <c r="S278" i="3"/>
  <c r="AK189" i="3"/>
  <c r="AC244" i="3"/>
  <c r="Q187" i="3"/>
  <c r="AD34" i="3"/>
  <c r="P223" i="3"/>
  <c r="F53" i="3"/>
  <c r="F135" i="3"/>
  <c r="F129" i="3"/>
  <c r="Y409" i="3"/>
  <c r="L405" i="3"/>
  <c r="M397" i="3"/>
  <c r="AF388" i="3"/>
  <c r="AA369" i="3"/>
  <c r="AC387" i="3"/>
  <c r="Q380" i="3"/>
  <c r="AI407" i="3"/>
  <c r="AA395" i="3"/>
  <c r="AA310" i="3"/>
  <c r="T294" i="3"/>
  <c r="Z297" i="3"/>
  <c r="M321" i="3"/>
  <c r="Y302" i="3"/>
  <c r="M316" i="3"/>
  <c r="O321" i="3"/>
  <c r="Y338" i="3"/>
  <c r="L338" i="3"/>
  <c r="V373" i="3"/>
  <c r="AE247" i="3"/>
  <c r="O268" i="3"/>
  <c r="Z315" i="3"/>
  <c r="Q333" i="3"/>
  <c r="U212" i="3"/>
  <c r="AF348" i="3"/>
  <c r="J224" i="3"/>
  <c r="AH141" i="3"/>
  <c r="O249" i="3"/>
  <c r="V166" i="3"/>
  <c r="T306" i="3"/>
  <c r="AG202" i="3"/>
  <c r="S322" i="3"/>
  <c r="W193" i="3"/>
  <c r="AH99" i="3"/>
  <c r="AG219" i="3"/>
  <c r="Q125" i="3"/>
  <c r="O320" i="3"/>
  <c r="AE132" i="3"/>
  <c r="I315" i="3"/>
  <c r="AA193" i="3"/>
  <c r="R106" i="3"/>
  <c r="AF257" i="3"/>
  <c r="AI134" i="3"/>
  <c r="S45" i="3"/>
  <c r="J216" i="3"/>
  <c r="Z76" i="3"/>
  <c r="AH283" i="3"/>
  <c r="X150" i="3"/>
  <c r="K55" i="3"/>
  <c r="T235" i="3"/>
  <c r="X95" i="3"/>
  <c r="M318" i="3"/>
  <c r="P147" i="3"/>
  <c r="L37" i="3"/>
  <c r="AL240" i="3"/>
  <c r="AA66" i="3"/>
  <c r="AD312" i="3"/>
  <c r="V138" i="3"/>
  <c r="V30" i="3"/>
  <c r="I227" i="3"/>
  <c r="J89" i="3"/>
  <c r="V397" i="3"/>
  <c r="AH125" i="3"/>
  <c r="L136" i="3"/>
  <c r="AD216" i="3"/>
  <c r="W266" i="3"/>
  <c r="AG411" i="3"/>
  <c r="H99" i="3"/>
  <c r="X337" i="3"/>
  <c r="P87" i="3"/>
  <c r="O289" i="3"/>
  <c r="AJ78" i="3"/>
  <c r="AF280" i="3"/>
  <c r="P43" i="3"/>
  <c r="AD149" i="3"/>
  <c r="U4" i="3"/>
  <c r="Q76" i="3"/>
  <c r="AC107" i="3"/>
  <c r="AB145" i="3"/>
  <c r="S374" i="3"/>
  <c r="AD83" i="3"/>
  <c r="M162" i="3"/>
  <c r="AK8" i="3"/>
  <c r="AD111" i="3"/>
  <c r="Q253" i="3"/>
  <c r="AK4" i="3"/>
  <c r="O20" i="3"/>
  <c r="G169" i="3"/>
  <c r="J27" i="3"/>
  <c r="N324" i="3"/>
  <c r="AC17" i="3"/>
  <c r="AI9" i="3"/>
  <c r="AG119" i="3"/>
  <c r="S227" i="3"/>
  <c r="AC125" i="3"/>
  <c r="Y218" i="3"/>
  <c r="M262" i="3"/>
  <c r="M58" i="3"/>
  <c r="N18" i="3"/>
  <c r="AG204" i="3"/>
  <c r="Q99" i="3"/>
  <c r="H163" i="3"/>
  <c r="X61" i="3"/>
  <c r="AA322" i="3"/>
  <c r="F217" i="3"/>
  <c r="F163" i="3"/>
  <c r="F240" i="3"/>
  <c r="AE406" i="3"/>
  <c r="V347" i="3"/>
  <c r="R362" i="3"/>
  <c r="AH355" i="3"/>
  <c r="W343" i="3"/>
  <c r="I345" i="3"/>
  <c r="R366" i="3"/>
  <c r="K399" i="3"/>
  <c r="G373" i="3"/>
  <c r="Z395" i="3"/>
  <c r="U374" i="3"/>
  <c r="AL379" i="3"/>
  <c r="V279" i="3"/>
  <c r="L407" i="3"/>
  <c r="R277" i="3"/>
  <c r="AB289" i="3"/>
  <c r="L293" i="3"/>
  <c r="AJ304" i="3"/>
  <c r="AJ305" i="3"/>
  <c r="G327" i="3"/>
  <c r="Y361" i="3"/>
  <c r="W244" i="3"/>
  <c r="I284" i="3"/>
  <c r="Q287" i="3"/>
  <c r="Z193" i="3"/>
  <c r="O309" i="3"/>
  <c r="AK205" i="3"/>
  <c r="AG354" i="3"/>
  <c r="AC224" i="3"/>
  <c r="AE143" i="3"/>
  <c r="AH268" i="3"/>
  <c r="AL183" i="3"/>
  <c r="AK280" i="3"/>
  <c r="X163" i="3"/>
  <c r="L77" i="3"/>
  <c r="I219" i="3"/>
  <c r="Z124" i="3"/>
  <c r="S308" i="3"/>
  <c r="S198" i="3"/>
  <c r="AE110" i="3"/>
  <c r="W269" i="3"/>
  <c r="AH170" i="3"/>
  <c r="L88" i="3"/>
  <c r="R220" i="3"/>
  <c r="J106" i="3"/>
  <c r="I358" i="3"/>
  <c r="V181" i="3"/>
  <c r="AH75" i="3"/>
  <c r="O282" i="3"/>
  <c r="S149" i="3"/>
  <c r="V54" i="3"/>
  <c r="AH228" i="3"/>
  <c r="AL120" i="3"/>
  <c r="T36" i="3"/>
  <c r="AH179" i="3"/>
  <c r="J61" i="3"/>
  <c r="O283" i="3"/>
  <c r="AJ124" i="3"/>
  <c r="AJ21" i="3"/>
  <c r="M212" i="3"/>
  <c r="Y77" i="3"/>
  <c r="AI318" i="3"/>
  <c r="K61" i="3"/>
  <c r="AL292" i="3"/>
  <c r="U397" i="3"/>
  <c r="W134" i="3"/>
  <c r="AC254" i="3"/>
  <c r="P347" i="3"/>
  <c r="AL119" i="3"/>
  <c r="V150" i="3"/>
  <c r="K15" i="3"/>
  <c r="R130" i="3"/>
  <c r="Z7" i="3"/>
  <c r="AK118" i="3"/>
  <c r="AF394" i="3"/>
  <c r="AH72" i="3"/>
  <c r="AB219" i="3"/>
  <c r="AH190" i="3"/>
  <c r="K34" i="3"/>
  <c r="P167" i="3"/>
  <c r="AI304" i="3"/>
  <c r="S35" i="3"/>
  <c r="AK81" i="3"/>
  <c r="AC161" i="3"/>
  <c r="AC201" i="3"/>
  <c r="S7" i="3"/>
  <c r="AI227" i="3"/>
  <c r="H60" i="3"/>
  <c r="AL43" i="3"/>
  <c r="J118" i="3"/>
  <c r="P99" i="3"/>
  <c r="S210" i="3"/>
  <c r="R275" i="3"/>
  <c r="K141" i="3"/>
  <c r="L124" i="3"/>
  <c r="AC22" i="3"/>
  <c r="V217" i="3"/>
  <c r="AE212" i="3"/>
  <c r="R257" i="3"/>
  <c r="AC55" i="3"/>
  <c r="S99" i="3"/>
  <c r="U122" i="3"/>
  <c r="O145" i="3"/>
  <c r="Q16" i="3"/>
  <c r="AA145" i="3"/>
  <c r="F376" i="3"/>
  <c r="F227" i="3"/>
  <c r="F151" i="3"/>
  <c r="Q398" i="3"/>
  <c r="AG346" i="3"/>
  <c r="AC339" i="3"/>
  <c r="T408" i="3"/>
  <c r="R397" i="3"/>
  <c r="H381" i="3"/>
  <c r="U402" i="3"/>
  <c r="G375" i="3"/>
  <c r="AC323" i="3"/>
  <c r="AH327" i="3"/>
  <c r="K315" i="3"/>
  <c r="Q318" i="3"/>
  <c r="X348" i="3"/>
  <c r="K322" i="3"/>
  <c r="X339" i="3"/>
  <c r="AI345" i="3"/>
  <c r="I371" i="3"/>
  <c r="AE398" i="3"/>
  <c r="M256" i="3"/>
  <c r="O263" i="3"/>
  <c r="L290" i="3"/>
  <c r="Q346" i="3"/>
  <c r="I320" i="3"/>
  <c r="L211" i="3"/>
  <c r="L345" i="3"/>
  <c r="AF222" i="3"/>
  <c r="Y140" i="3"/>
  <c r="AB247" i="3"/>
  <c r="M165" i="3"/>
  <c r="V296" i="3"/>
  <c r="X201" i="3"/>
  <c r="X318" i="3"/>
  <c r="AJ191" i="3"/>
  <c r="Y98" i="3"/>
  <c r="AG249" i="3"/>
  <c r="AI146" i="3"/>
  <c r="AH369" i="3"/>
  <c r="Q217" i="3"/>
  <c r="AL127" i="3"/>
  <c r="AB311" i="3"/>
  <c r="AK191" i="3"/>
  <c r="I105" i="3"/>
  <c r="Q255" i="3"/>
  <c r="Q132" i="3"/>
  <c r="J44" i="3"/>
  <c r="AH208" i="3"/>
  <c r="N101" i="3"/>
  <c r="AH329" i="3"/>
  <c r="Z174" i="3"/>
  <c r="X74" i="3"/>
  <c r="G268" i="3"/>
  <c r="N120" i="3"/>
  <c r="G405" i="3"/>
  <c r="AL109" i="3"/>
  <c r="AC35" i="3"/>
  <c r="M231" i="3"/>
  <c r="U96" i="3"/>
  <c r="L5" i="3"/>
  <c r="M170" i="3"/>
  <c r="X53" i="3"/>
  <c r="AI262" i="3"/>
  <c r="T116" i="3"/>
  <c r="T19" i="3"/>
  <c r="N173" i="3"/>
  <c r="U230" i="3"/>
  <c r="J303" i="3"/>
  <c r="Q124" i="3"/>
  <c r="AI162" i="3"/>
  <c r="V204" i="3"/>
  <c r="AL35" i="3"/>
  <c r="H186" i="3"/>
  <c r="AC28" i="3"/>
  <c r="K164" i="3"/>
  <c r="AF20" i="3"/>
  <c r="AD127" i="3"/>
  <c r="AA305" i="3"/>
  <c r="AC53" i="3"/>
  <c r="V122" i="3"/>
  <c r="K279" i="3"/>
  <c r="AH22" i="3"/>
  <c r="AD71" i="3"/>
  <c r="O137" i="3"/>
  <c r="AH157" i="3"/>
  <c r="W88" i="3"/>
  <c r="K252" i="3"/>
  <c r="X92" i="3"/>
  <c r="AC218" i="3"/>
  <c r="T51" i="3"/>
  <c r="T42" i="3"/>
  <c r="AI117" i="3"/>
  <c r="V93" i="3"/>
  <c r="I203" i="3"/>
  <c r="T274" i="3"/>
  <c r="X126" i="3"/>
  <c r="AH101" i="3"/>
  <c r="Z19" i="3"/>
  <c r="Q207" i="3"/>
  <c r="AJ256" i="3"/>
  <c r="M18" i="3"/>
  <c r="K95" i="3"/>
  <c r="AE118" i="3"/>
  <c r="K84" i="3"/>
  <c r="AJ310" i="3"/>
  <c r="AE109" i="3"/>
  <c r="F377" i="3"/>
  <c r="F161" i="3"/>
  <c r="F294" i="3"/>
  <c r="AJ402" i="3"/>
  <c r="M368" i="3"/>
  <c r="I361" i="3"/>
  <c r="AC350" i="3"/>
  <c r="N342" i="3"/>
  <c r="R405" i="3"/>
  <c r="P338" i="3"/>
  <c r="AJ410" i="3"/>
  <c r="H351" i="3"/>
  <c r="V353" i="3"/>
  <c r="AI334" i="3"/>
  <c r="Y339" i="3"/>
  <c r="J380" i="3"/>
  <c r="V354" i="3"/>
  <c r="K383" i="3"/>
  <c r="AG393" i="3"/>
  <c r="AB291" i="3"/>
  <c r="AK326" i="3"/>
  <c r="G334" i="3"/>
  <c r="X255" i="3"/>
  <c r="Z262" i="3"/>
  <c r="AH319" i="3"/>
  <c r="Y411" i="3"/>
  <c r="S282" i="3"/>
  <c r="AC283" i="3"/>
  <c r="Q192" i="3"/>
  <c r="AA304" i="3"/>
  <c r="L222" i="3"/>
  <c r="AJ139" i="3"/>
  <c r="AJ246" i="3"/>
  <c r="H160" i="3"/>
  <c r="S295" i="3"/>
  <c r="AI222" i="3"/>
  <c r="AH158" i="3"/>
  <c r="AH270" i="3"/>
  <c r="S139" i="3"/>
  <c r="AD277" i="3"/>
  <c r="H166" i="3"/>
  <c r="N84" i="3"/>
  <c r="Z238" i="3"/>
  <c r="K151" i="3"/>
  <c r="AI374" i="3"/>
  <c r="X212" i="3"/>
  <c r="S125" i="3"/>
  <c r="U293" i="3"/>
  <c r="K157" i="3"/>
  <c r="G61" i="3"/>
  <c r="AG240" i="3"/>
  <c r="AI120" i="3"/>
  <c r="AI408" i="3"/>
  <c r="AE207" i="3"/>
  <c r="T95" i="3"/>
  <c r="S317" i="3"/>
  <c r="W167" i="3"/>
  <c r="S73" i="3"/>
  <c r="W250" i="3"/>
  <c r="J109" i="3"/>
  <c r="J18" i="3"/>
  <c r="AF195" i="3"/>
  <c r="Q64" i="3"/>
  <c r="P291" i="3"/>
  <c r="N135" i="3"/>
  <c r="X28" i="3"/>
  <c r="V216" i="3"/>
  <c r="AL86" i="3"/>
  <c r="AH385" i="3"/>
  <c r="V121" i="3"/>
  <c r="M173" i="3"/>
  <c r="G250" i="3"/>
  <c r="X340" i="3"/>
  <c r="AB381" i="3"/>
  <c r="AL96" i="3"/>
  <c r="AI294" i="3"/>
  <c r="H83" i="3"/>
  <c r="M275" i="3"/>
  <c r="AJ68" i="3"/>
  <c r="AC268" i="3"/>
  <c r="AL40" i="3"/>
  <c r="Y142" i="3"/>
  <c r="W359" i="3"/>
  <c r="AF72" i="3"/>
  <c r="AH163" i="3"/>
  <c r="K289" i="3"/>
  <c r="AK32" i="3"/>
  <c r="N78" i="3"/>
  <c r="O152" i="3"/>
  <c r="V60" i="3"/>
  <c r="AE235" i="3"/>
  <c r="H314" i="3"/>
  <c r="V35" i="3"/>
  <c r="X161" i="3"/>
  <c r="O31" i="3"/>
  <c r="P187" i="3"/>
  <c r="AJ50" i="3"/>
  <c r="R156" i="3"/>
  <c r="Y126" i="3"/>
  <c r="V19" i="3"/>
  <c r="H93" i="3"/>
  <c r="S226" i="3"/>
  <c r="AE65" i="3"/>
  <c r="Z170" i="3"/>
  <c r="P45" i="3"/>
  <c r="AB39" i="3"/>
  <c r="L89" i="3"/>
  <c r="AA216" i="3"/>
  <c r="AL23" i="3"/>
  <c r="F309" i="3"/>
  <c r="F111" i="3"/>
  <c r="F235" i="3"/>
  <c r="AG404" i="3"/>
  <c r="AJ401" i="3"/>
  <c r="AC372" i="3"/>
  <c r="Y363" i="3"/>
  <c r="U404" i="3"/>
  <c r="W337" i="3"/>
  <c r="U409" i="3"/>
  <c r="M350" i="3"/>
  <c r="V352" i="3"/>
  <c r="L334" i="3"/>
  <c r="AA338" i="3"/>
  <c r="AJ378" i="3"/>
  <c r="J353" i="3"/>
  <c r="AK382" i="3"/>
  <c r="Y379" i="3"/>
  <c r="AG267" i="3"/>
  <c r="J393" i="3"/>
  <c r="S250" i="3"/>
  <c r="AK261" i="3"/>
  <c r="U288" i="3"/>
  <c r="L343" i="3"/>
  <c r="J371" i="3"/>
  <c r="AJ232" i="3"/>
  <c r="P150" i="3"/>
  <c r="H239" i="3"/>
  <c r="V157" i="3"/>
  <c r="AB271" i="3"/>
  <c r="S159" i="3"/>
  <c r="O294" i="3"/>
  <c r="AG198" i="3"/>
  <c r="H315" i="3"/>
  <c r="M190" i="3"/>
  <c r="P97" i="3"/>
  <c r="P240" i="3"/>
  <c r="AG140" i="3"/>
  <c r="AC366" i="3"/>
  <c r="AC215" i="3"/>
  <c r="AA126" i="3"/>
  <c r="V308" i="3"/>
  <c r="N190" i="3"/>
  <c r="AE103" i="3"/>
  <c r="AD246" i="3"/>
  <c r="X130" i="3"/>
  <c r="AF42" i="3"/>
  <c r="AI206" i="3"/>
  <c r="AJ73" i="3"/>
  <c r="AA267" i="3"/>
  <c r="P146" i="3"/>
  <c r="X52" i="3"/>
  <c r="AE225" i="3"/>
  <c r="P92" i="3"/>
  <c r="AA298" i="3"/>
  <c r="M142" i="3"/>
  <c r="T34" i="3"/>
  <c r="Z194" i="3"/>
  <c r="AA42" i="3"/>
  <c r="J208" i="3"/>
  <c r="AG45" i="3"/>
  <c r="AB259" i="3"/>
  <c r="S114" i="3"/>
  <c r="K18" i="3"/>
  <c r="AB169" i="3"/>
  <c r="L227" i="3"/>
  <c r="G300" i="3"/>
  <c r="AC113" i="3"/>
  <c r="L159" i="3"/>
  <c r="AL64" i="3"/>
  <c r="AI231" i="3"/>
  <c r="V51" i="3"/>
  <c r="AD220" i="3"/>
  <c r="AC40" i="3"/>
  <c r="G183" i="3"/>
  <c r="O9" i="3"/>
  <c r="O88" i="3"/>
  <c r="Y240" i="3"/>
  <c r="R31" i="3"/>
  <c r="P98" i="3"/>
  <c r="AJ203" i="3"/>
  <c r="J356" i="3"/>
  <c r="U35" i="3"/>
  <c r="AK88" i="3"/>
  <c r="X165" i="3"/>
  <c r="X353" i="3"/>
  <c r="K44" i="3"/>
  <c r="AA300" i="3"/>
  <c r="W246" i="3"/>
  <c r="AH201" i="3"/>
  <c r="M240" i="3"/>
  <c r="AB10" i="3"/>
  <c r="AD140" i="3"/>
  <c r="K104" i="3"/>
  <c r="AA92" i="3"/>
  <c r="O158" i="3"/>
  <c r="I71" i="3"/>
  <c r="U191" i="3"/>
  <c r="R46" i="3"/>
  <c r="AL189" i="3"/>
  <c r="K53" i="3"/>
  <c r="V83" i="3"/>
  <c r="AB65" i="3"/>
  <c r="AJ53" i="3"/>
  <c r="AB248" i="3"/>
  <c r="F256" i="3"/>
  <c r="F175" i="3"/>
  <c r="F393" i="3"/>
  <c r="U410" i="3"/>
  <c r="AD395" i="3"/>
  <c r="AG388" i="3"/>
  <c r="AC381" i="3"/>
  <c r="AA365" i="3"/>
  <c r="O384" i="3"/>
  <c r="J377" i="3"/>
  <c r="AK402" i="3"/>
  <c r="AE383" i="3"/>
  <c r="AG401" i="3"/>
  <c r="X410" i="3"/>
  <c r="S294" i="3"/>
  <c r="AE317" i="3"/>
  <c r="H299" i="3"/>
  <c r="AA287" i="3"/>
  <c r="AL290" i="3"/>
  <c r="AJ301" i="3"/>
  <c r="Y296" i="3"/>
  <c r="X315" i="3"/>
  <c r="K355" i="3"/>
  <c r="W240" i="3"/>
  <c r="Z280" i="3"/>
  <c r="AB281" i="3"/>
  <c r="H191" i="3"/>
  <c r="L294" i="3"/>
  <c r="U197" i="3"/>
  <c r="AA348" i="3"/>
  <c r="K222" i="3"/>
  <c r="M141" i="3"/>
  <c r="O266" i="3"/>
  <c r="AL174" i="3"/>
  <c r="S268" i="3"/>
  <c r="O160" i="3"/>
  <c r="J402" i="3"/>
  <c r="AE215" i="3"/>
  <c r="AI121" i="3"/>
  <c r="AB302" i="3"/>
  <c r="AI190" i="3"/>
  <c r="M108" i="3"/>
  <c r="R262" i="3"/>
  <c r="AF162" i="3"/>
  <c r="Y85" i="3"/>
  <c r="K216" i="3"/>
  <c r="AF102" i="3"/>
  <c r="T276" i="3"/>
  <c r="T143" i="3"/>
  <c r="U56" i="3"/>
  <c r="I233" i="3"/>
  <c r="I115" i="3"/>
  <c r="N382" i="3"/>
  <c r="R198" i="3"/>
  <c r="U392" i="3"/>
  <c r="H173" i="3"/>
  <c r="Z53" i="3"/>
  <c r="X273" i="3"/>
  <c r="U120" i="3"/>
  <c r="AL19" i="3"/>
  <c r="V99" i="3"/>
  <c r="T6" i="3"/>
  <c r="Z213" i="3"/>
  <c r="O113" i="3"/>
  <c r="V17" i="3"/>
  <c r="AD214" i="3"/>
  <c r="X371" i="3"/>
  <c r="AA169" i="3"/>
  <c r="AH299" i="3"/>
  <c r="AC110" i="3"/>
  <c r="W364" i="3"/>
  <c r="M134" i="3"/>
  <c r="AH11" i="3"/>
  <c r="Q122" i="3"/>
  <c r="Y159" i="3"/>
  <c r="S13" i="3"/>
  <c r="AG120" i="3"/>
  <c r="T287" i="3"/>
  <c r="AL50" i="3"/>
  <c r="H172" i="3"/>
  <c r="P6" i="3"/>
  <c r="AI49" i="3"/>
  <c r="H115" i="3"/>
  <c r="AE223" i="3"/>
  <c r="R5" i="3"/>
  <c r="J86" i="3"/>
  <c r="AC51" i="3"/>
  <c r="K210" i="3"/>
  <c r="S85" i="3"/>
  <c r="X191" i="3"/>
  <c r="T18" i="3"/>
  <c r="N37" i="3"/>
  <c r="AL99" i="3"/>
  <c r="O65" i="3"/>
  <c r="AE165" i="3"/>
  <c r="AH198" i="3"/>
  <c r="P15" i="3"/>
  <c r="AJ14" i="3"/>
  <c r="Z86" i="3"/>
  <c r="AJ171" i="3"/>
  <c r="Y66" i="3"/>
  <c r="L58" i="3"/>
  <c r="R408" i="3"/>
  <c r="AJ13" i="3"/>
  <c r="N11" i="3"/>
  <c r="AD86" i="3"/>
  <c r="AA282" i="3"/>
  <c r="G7" i="3"/>
  <c r="F395" i="3"/>
  <c r="F159" i="3"/>
  <c r="F392" i="3"/>
  <c r="Y401" i="3"/>
  <c r="AD361" i="3"/>
  <c r="O377" i="3"/>
  <c r="T371" i="3"/>
  <c r="P362" i="3"/>
  <c r="O335" i="3"/>
  <c r="Q357" i="3"/>
  <c r="M393" i="3"/>
  <c r="H368" i="3"/>
  <c r="Q388" i="3"/>
  <c r="AJ366" i="3"/>
  <c r="Z364" i="3"/>
  <c r="AD271" i="3"/>
  <c r="T388" i="3"/>
  <c r="Z274" i="3"/>
  <c r="W285" i="3"/>
  <c r="Q290" i="3"/>
  <c r="N301" i="3"/>
  <c r="AA295" i="3"/>
  <c r="S314" i="3"/>
  <c r="AC353" i="3"/>
  <c r="AF385" i="3"/>
  <c r="I366" i="3"/>
  <c r="Y231" i="3"/>
  <c r="AE399" i="3"/>
  <c r="AB237" i="3"/>
  <c r="M156" i="3"/>
  <c r="AA269" i="3"/>
  <c r="AA180" i="3"/>
  <c r="AK338" i="3"/>
  <c r="AD215" i="3"/>
  <c r="R379" i="3"/>
  <c r="AG210" i="3"/>
  <c r="AE114" i="3"/>
  <c r="AG274" i="3"/>
  <c r="Q164" i="3"/>
  <c r="P82" i="3"/>
  <c r="AI235" i="3"/>
  <c r="Y148" i="3"/>
  <c r="AE360" i="3"/>
  <c r="J210" i="3"/>
  <c r="AK119" i="3"/>
  <c r="K288" i="3"/>
  <c r="AF153" i="3"/>
  <c r="AC59" i="3"/>
  <c r="W237" i="3"/>
  <c r="T118" i="3"/>
  <c r="AC394" i="3"/>
  <c r="M197" i="3"/>
  <c r="AJ92" i="3"/>
  <c r="AF310" i="3"/>
  <c r="AI136" i="3"/>
  <c r="AD50" i="3"/>
  <c r="N205" i="3"/>
  <c r="AD80" i="3"/>
  <c r="AK347" i="3"/>
  <c r="AI149" i="3"/>
  <c r="J41" i="3"/>
  <c r="T239" i="3"/>
  <c r="U98" i="3"/>
  <c r="AE5" i="3"/>
  <c r="J181" i="3"/>
  <c r="AI56" i="3"/>
  <c r="AA261" i="3"/>
  <c r="AE369" i="3"/>
  <c r="Z127" i="3"/>
  <c r="AL198" i="3"/>
  <c r="G240" i="3"/>
  <c r="Q360" i="3"/>
  <c r="V92" i="3"/>
  <c r="V284" i="3"/>
  <c r="M80" i="3"/>
  <c r="R270" i="3"/>
  <c r="AL66" i="3"/>
  <c r="Y244" i="3"/>
  <c r="T37" i="3"/>
  <c r="M137" i="3"/>
  <c r="V340" i="3"/>
  <c r="R29" i="3"/>
  <c r="I84" i="3"/>
  <c r="I110" i="3"/>
  <c r="U219" i="3"/>
  <c r="L4" i="3"/>
  <c r="X34" i="3"/>
  <c r="Y366" i="3"/>
  <c r="Z236" i="3"/>
  <c r="L292" i="3"/>
  <c r="V241" i="3"/>
  <c r="Y165" i="3"/>
  <c r="W214" i="3"/>
  <c r="AA6" i="3"/>
  <c r="AB130" i="3"/>
  <c r="J77" i="3"/>
  <c r="G71" i="3"/>
  <c r="U132" i="3"/>
  <c r="H58" i="3"/>
  <c r="AH113" i="3"/>
  <c r="Y36" i="3"/>
  <c r="I146" i="3"/>
  <c r="I119" i="3"/>
  <c r="G43" i="3"/>
  <c r="AB27" i="3"/>
  <c r="X9" i="3"/>
  <c r="AL39" i="3"/>
  <c r="F8" i="3"/>
  <c r="F79" i="3"/>
  <c r="F162" i="3"/>
  <c r="F196" i="3"/>
  <c r="AJ400" i="3"/>
  <c r="J361" i="3"/>
  <c r="Z376" i="3"/>
  <c r="X387" i="3"/>
  <c r="Q404" i="3"/>
  <c r="AA339" i="3"/>
  <c r="X334" i="3"/>
  <c r="AB382" i="3"/>
  <c r="V375" i="3"/>
  <c r="AL372" i="3"/>
  <c r="AH340" i="3"/>
  <c r="W348" i="3"/>
  <c r="AG331" i="3"/>
  <c r="W363" i="3"/>
  <c r="J271" i="3"/>
  <c r="AH333" i="3"/>
  <c r="T295" i="3"/>
  <c r="U313" i="3"/>
  <c r="L308" i="3"/>
  <c r="Z383" i="3"/>
  <c r="P254" i="3"/>
  <c r="Q249" i="3"/>
  <c r="X166" i="3"/>
  <c r="G237" i="3"/>
  <c r="S297" i="3"/>
  <c r="K220" i="3"/>
  <c r="U157" i="3"/>
  <c r="AC290" i="3"/>
  <c r="J215" i="3"/>
  <c r="AH374" i="3"/>
  <c r="AB238" i="3"/>
  <c r="V131" i="3"/>
  <c r="Z311" i="3"/>
  <c r="L186" i="3"/>
  <c r="M99" i="3"/>
  <c r="AE266" i="3"/>
  <c r="N169" i="3"/>
  <c r="AC357" i="3"/>
  <c r="P411" i="3"/>
  <c r="I399" i="3"/>
  <c r="U396" i="3"/>
  <c r="O410" i="3"/>
  <c r="P400" i="3"/>
  <c r="AF381" i="3"/>
  <c r="L359" i="3"/>
  <c r="AB341" i="3"/>
  <c r="M392" i="3"/>
  <c r="AB374" i="3"/>
  <c r="H352" i="3"/>
  <c r="K405" i="3"/>
  <c r="Z385" i="3"/>
  <c r="AK362" i="3"/>
  <c r="V345" i="3"/>
  <c r="S396" i="3"/>
  <c r="V378" i="3"/>
  <c r="AG355" i="3"/>
  <c r="R338" i="3"/>
  <c r="U384" i="3"/>
  <c r="T361" i="3"/>
  <c r="Z332" i="3"/>
  <c r="O398" i="3"/>
  <c r="P404" i="3"/>
  <c r="N376" i="3"/>
  <c r="J354" i="3"/>
  <c r="AK327" i="3"/>
  <c r="Z394" i="3"/>
  <c r="N367" i="3"/>
  <c r="AJ388" i="3"/>
  <c r="X395" i="3"/>
  <c r="AJ369" i="3"/>
  <c r="AE389" i="3"/>
  <c r="G366" i="3"/>
  <c r="J338" i="3"/>
  <c r="G319" i="3"/>
  <c r="R378" i="3"/>
  <c r="AG375" i="3"/>
  <c r="AC345" i="3"/>
  <c r="J317" i="3"/>
  <c r="R395" i="3"/>
  <c r="S355" i="3"/>
  <c r="W329" i="3"/>
  <c r="AD304" i="3"/>
  <c r="AC403" i="3"/>
  <c r="J360" i="3"/>
  <c r="S333" i="3"/>
  <c r="AA308" i="3"/>
  <c r="L291" i="3"/>
  <c r="N411" i="3"/>
  <c r="S361" i="3"/>
  <c r="N334" i="3"/>
  <c r="H310" i="3"/>
  <c r="O381" i="3"/>
  <c r="Q337" i="3"/>
  <c r="N316" i="3"/>
  <c r="S290" i="3"/>
  <c r="AI271" i="3"/>
  <c r="Y364" i="3"/>
  <c r="AI330" i="3"/>
  <c r="AG301" i="3"/>
  <c r="AE282" i="3"/>
  <c r="Q372" i="3"/>
  <c r="AI329" i="3"/>
  <c r="X305" i="3"/>
  <c r="R281" i="3"/>
  <c r="AJ404" i="3"/>
  <c r="AJ350" i="3"/>
  <c r="Y320" i="3"/>
  <c r="AL293" i="3"/>
  <c r="AB274" i="3"/>
  <c r="AG363" i="3"/>
  <c r="AD325" i="3"/>
  <c r="I292" i="3"/>
  <c r="AD269" i="3"/>
  <c r="W411" i="3"/>
  <c r="J343" i="3"/>
  <c r="O310" i="3"/>
  <c r="AI278" i="3"/>
  <c r="J258" i="3"/>
  <c r="P395" i="3"/>
  <c r="AC347" i="3"/>
  <c r="G305" i="3"/>
  <c r="P282" i="3"/>
  <c r="K256" i="3"/>
  <c r="P237" i="3"/>
  <c r="AC376" i="3"/>
  <c r="I334" i="3"/>
  <c r="R300" i="3"/>
  <c r="N272" i="3"/>
  <c r="AL252" i="3"/>
  <c r="AG348" i="3"/>
  <c r="T309" i="3"/>
  <c r="AE271" i="3"/>
  <c r="G247" i="3"/>
  <c r="K224" i="3"/>
  <c r="G206" i="3"/>
  <c r="P183" i="3"/>
  <c r="Z164" i="3"/>
  <c r="AJ385" i="3"/>
  <c r="AD334" i="3"/>
  <c r="N288" i="3"/>
  <c r="AH255" i="3"/>
  <c r="Z235" i="3"/>
  <c r="I213" i="3"/>
  <c r="N194" i="3"/>
  <c r="S170" i="3"/>
  <c r="AG152" i="3"/>
  <c r="AD399" i="3"/>
  <c r="J341" i="3"/>
  <c r="K294" i="3"/>
  <c r="L263" i="3"/>
  <c r="AK236" i="3"/>
  <c r="M218" i="3"/>
  <c r="V195" i="3"/>
  <c r="P172" i="3"/>
  <c r="AD132" i="3"/>
  <c r="T386" i="3"/>
  <c r="Y318" i="3"/>
  <c r="S287" i="3"/>
  <c r="M255" i="3"/>
  <c r="AC235" i="3"/>
  <c r="L213" i="3"/>
  <c r="AK194" i="3"/>
  <c r="AE171" i="3"/>
  <c r="Y153" i="3"/>
  <c r="S364" i="3"/>
  <c r="AI296" i="3"/>
  <c r="Q260" i="3"/>
  <c r="AC230" i="3"/>
  <c r="Y207" i="3"/>
  <c r="Z179" i="3"/>
  <c r="K156" i="3"/>
  <c r="T129" i="3"/>
  <c r="AG110" i="3"/>
  <c r="AE88" i="3"/>
  <c r="P382" i="3"/>
  <c r="T308" i="3"/>
  <c r="U269" i="3"/>
  <c r="K235" i="3"/>
  <c r="AF205" i="3"/>
  <c r="AB183" i="3"/>
  <c r="G157" i="3"/>
  <c r="S136" i="3"/>
  <c r="Z118" i="3"/>
  <c r="O97" i="3"/>
  <c r="R80" i="3"/>
  <c r="G336" i="3"/>
  <c r="K295" i="3"/>
  <c r="I256" i="3"/>
  <c r="U232" i="3"/>
  <c r="X211" i="3"/>
  <c r="AI186" i="3"/>
  <c r="AE166" i="3"/>
  <c r="AF140" i="3"/>
  <c r="X122" i="3"/>
  <c r="J101" i="3"/>
  <c r="AG84" i="3"/>
  <c r="N347" i="3"/>
  <c r="R292" i="3"/>
  <c r="M257" i="3"/>
  <c r="Q228" i="3"/>
  <c r="AG206" i="3"/>
  <c r="N181" i="3"/>
  <c r="Z158" i="3"/>
  <c r="T139" i="3"/>
  <c r="S117" i="3"/>
  <c r="AI99" i="3"/>
  <c r="K79" i="3"/>
  <c r="S336" i="3"/>
  <c r="AL270" i="3"/>
  <c r="AE238" i="3"/>
  <c r="H212" i="3"/>
  <c r="AB149" i="3"/>
  <c r="L120" i="3"/>
  <c r="AF98" i="3"/>
  <c r="AK73" i="3"/>
  <c r="K57" i="3"/>
  <c r="AJ38" i="3"/>
  <c r="AF316" i="3"/>
  <c r="AB267" i="3"/>
  <c r="AD227" i="3"/>
  <c r="N164" i="3"/>
  <c r="AD138" i="3"/>
  <c r="J115" i="3"/>
  <c r="Y89" i="3"/>
  <c r="AC70" i="3"/>
  <c r="AL49" i="3"/>
  <c r="AF376" i="3"/>
  <c r="AF300" i="3"/>
  <c r="U256" i="3"/>
  <c r="AA228" i="3"/>
  <c r="AL193" i="3"/>
  <c r="R166" i="3"/>
  <c r="AG134" i="3"/>
  <c r="AL110" i="3"/>
  <c r="AH83" i="3"/>
  <c r="AF64" i="3"/>
  <c r="Z362" i="3"/>
  <c r="AA301" i="3"/>
  <c r="Q248" i="3"/>
  <c r="T218" i="3"/>
  <c r="G188" i="3"/>
  <c r="K160" i="3"/>
  <c r="I134" i="3"/>
  <c r="AB108" i="3"/>
  <c r="N87" i="3"/>
  <c r="P64" i="3"/>
  <c r="AD46" i="3"/>
  <c r="AK352" i="3"/>
  <c r="P283" i="3"/>
  <c r="H241" i="3"/>
  <c r="AH167" i="3"/>
  <c r="O127" i="3"/>
  <c r="AC102" i="3"/>
  <c r="AA71" i="3"/>
  <c r="R50" i="3"/>
  <c r="X30" i="3"/>
  <c r="R10" i="3"/>
  <c r="R332" i="3"/>
  <c r="AL255" i="3"/>
  <c r="N220" i="3"/>
  <c r="AG179" i="3"/>
  <c r="AF144" i="3"/>
  <c r="O115" i="3"/>
  <c r="AC82" i="3"/>
  <c r="Q59" i="3"/>
  <c r="AD33" i="3"/>
  <c r="AE16" i="3"/>
  <c r="AJ351" i="3"/>
  <c r="V278" i="3"/>
  <c r="AG233" i="3"/>
  <c r="O193" i="3"/>
  <c r="AA159" i="3"/>
  <c r="T120" i="3"/>
  <c r="P94" i="3"/>
  <c r="S63" i="3"/>
  <c r="I41" i="3"/>
  <c r="M23" i="3"/>
  <c r="U393" i="3"/>
  <c r="AE300" i="3"/>
  <c r="N241" i="3"/>
  <c r="M208" i="3"/>
  <c r="AJ167" i="3"/>
  <c r="W136" i="3"/>
  <c r="M107" i="3"/>
  <c r="G75" i="3"/>
  <c r="AA53" i="3"/>
  <c r="AJ29" i="3"/>
  <c r="O14" i="3"/>
  <c r="Y323" i="3"/>
  <c r="H253" i="3"/>
  <c r="N206" i="3"/>
  <c r="K150" i="3"/>
  <c r="AI110" i="3"/>
  <c r="X323" i="3"/>
  <c r="AE263" i="3"/>
  <c r="M206" i="3"/>
  <c r="V161" i="3"/>
  <c r="G123" i="3"/>
  <c r="V361" i="3"/>
  <c r="AL289" i="3"/>
  <c r="S232" i="3"/>
  <c r="V192" i="3"/>
  <c r="R140" i="3"/>
  <c r="H104" i="3"/>
  <c r="AJ314" i="3"/>
  <c r="AH235" i="3"/>
  <c r="U192" i="3"/>
  <c r="Q140" i="3"/>
  <c r="W106" i="3"/>
  <c r="K312" i="3"/>
  <c r="Q237" i="3"/>
  <c r="R188" i="3"/>
  <c r="AF126" i="3"/>
  <c r="AF85" i="3"/>
  <c r="AB53" i="3"/>
  <c r="W29" i="3"/>
  <c r="AF411" i="3"/>
  <c r="K271" i="3"/>
  <c r="AH220" i="3"/>
  <c r="Z159" i="3"/>
  <c r="AA115" i="3"/>
  <c r="O70" i="3"/>
  <c r="AH44" i="3"/>
  <c r="AH15" i="3"/>
  <c r="AH359" i="3"/>
  <c r="L260" i="3"/>
  <c r="R195" i="3"/>
  <c r="AG149" i="3"/>
  <c r="AH93" i="3"/>
  <c r="AG62" i="3"/>
  <c r="AL30" i="3"/>
  <c r="P9" i="3"/>
  <c r="AI343" i="3"/>
  <c r="U231" i="3"/>
  <c r="AH169" i="3"/>
  <c r="N96" i="3"/>
  <c r="S62" i="3"/>
  <c r="V27" i="3"/>
  <c r="AA394" i="3"/>
  <c r="AB268" i="3"/>
  <c r="N188" i="3"/>
  <c r="AH129" i="3"/>
  <c r="AG72" i="3"/>
  <c r="O43" i="3"/>
  <c r="J14" i="3"/>
  <c r="AL325" i="3"/>
  <c r="AH225" i="3"/>
  <c r="AA158" i="3"/>
  <c r="M104" i="3"/>
  <c r="AK55" i="3"/>
  <c r="M330" i="3"/>
  <c r="O226" i="3"/>
  <c r="M140" i="3"/>
  <c r="L78" i="3"/>
  <c r="R42" i="3"/>
  <c r="AB8" i="3"/>
  <c r="AE259" i="3"/>
  <c r="K170" i="3"/>
  <c r="AJ104" i="3"/>
  <c r="N60" i="3"/>
  <c r="AH18" i="3"/>
  <c r="Q325" i="3"/>
  <c r="O187" i="3"/>
  <c r="AE117" i="3"/>
  <c r="S60" i="3"/>
  <c r="W28" i="3"/>
  <c r="K354" i="3"/>
  <c r="W220" i="3"/>
  <c r="T132" i="3"/>
  <c r="Y64" i="3"/>
  <c r="AH28" i="3"/>
  <c r="Y191" i="3"/>
  <c r="K13" i="3"/>
  <c r="AH111" i="3"/>
  <c r="L268" i="3"/>
  <c r="AE29" i="3"/>
  <c r="U94" i="3"/>
  <c r="N338" i="3"/>
  <c r="AJ201" i="3"/>
  <c r="R132" i="3"/>
  <c r="AL75" i="3"/>
  <c r="L27" i="3"/>
  <c r="AE32" i="3"/>
  <c r="AL142" i="3"/>
  <c r="G143" i="3"/>
  <c r="T7" i="3"/>
  <c r="AK120" i="3"/>
  <c r="AC11" i="3"/>
  <c r="AK232" i="3"/>
  <c r="M128" i="3"/>
  <c r="R72" i="3"/>
  <c r="K22" i="3"/>
  <c r="AJ111" i="3"/>
  <c r="X205" i="3"/>
  <c r="AJ291" i="3"/>
  <c r="AJ56" i="3"/>
  <c r="AJ105" i="3"/>
  <c r="AL317" i="3"/>
  <c r="N144" i="3"/>
  <c r="AJ54" i="3"/>
  <c r="AB119" i="3"/>
  <c r="K403" i="3"/>
  <c r="AK14" i="3"/>
  <c r="N67" i="3"/>
  <c r="AF84" i="3"/>
  <c r="AH76" i="3"/>
  <c r="AK79" i="3"/>
  <c r="Z212" i="3"/>
  <c r="N65" i="3"/>
  <c r="AJ5" i="3"/>
  <c r="X33" i="3"/>
  <c r="R17" i="3"/>
  <c r="J395" i="3"/>
  <c r="AI101" i="3"/>
  <c r="AG330" i="3"/>
  <c r="AD146" i="3"/>
  <c r="AJ59" i="3"/>
  <c r="AI185" i="3"/>
  <c r="J71" i="3"/>
  <c r="P334" i="3"/>
  <c r="AC30" i="3"/>
  <c r="G77" i="3"/>
  <c r="J80" i="3"/>
  <c r="N33" i="3"/>
  <c r="AK318" i="3"/>
  <c r="AK144" i="3"/>
  <c r="AJ20" i="3"/>
  <c r="AC153" i="3"/>
  <c r="X36" i="3"/>
  <c r="Q65" i="3"/>
  <c r="J105" i="3"/>
  <c r="O144" i="3"/>
  <c r="R56" i="3"/>
  <c r="AB208" i="3"/>
  <c r="AL52" i="3"/>
  <c r="AK294" i="3"/>
  <c r="H14" i="3"/>
  <c r="I43" i="3"/>
  <c r="G261" i="3"/>
  <c r="K75" i="3"/>
  <c r="R284" i="3"/>
  <c r="M122" i="3"/>
  <c r="O138" i="3"/>
  <c r="S46" i="3"/>
  <c r="AF62" i="3"/>
  <c r="AJ170" i="3"/>
  <c r="O11" i="3"/>
  <c r="P217" i="3"/>
  <c r="W36" i="3"/>
  <c r="AF95" i="3"/>
  <c r="K153" i="3"/>
  <c r="Q8" i="3"/>
  <c r="AG109" i="3"/>
  <c r="F10" i="3"/>
  <c r="F358" i="3"/>
  <c r="F326" i="3"/>
  <c r="F266" i="3"/>
  <c r="F21" i="3"/>
  <c r="F281" i="3"/>
  <c r="F183" i="3"/>
  <c r="F352" i="3"/>
  <c r="F20" i="3"/>
  <c r="F357" i="3"/>
  <c r="F99" i="3"/>
  <c r="F233" i="3"/>
  <c r="F366" i="3"/>
  <c r="W394" i="3"/>
  <c r="AL375" i="3"/>
  <c r="AH366" i="3"/>
  <c r="H361" i="3"/>
  <c r="AI353" i="3"/>
  <c r="AB330" i="3"/>
  <c r="W351" i="3"/>
  <c r="AC385" i="3"/>
  <c r="T335" i="3"/>
  <c r="AE342" i="3"/>
  <c r="R326" i="3"/>
  <c r="AG324" i="3"/>
  <c r="O358" i="3"/>
  <c r="AG334" i="3"/>
  <c r="W360" i="3"/>
  <c r="J366" i="3"/>
  <c r="AB400" i="3"/>
  <c r="Z268" i="3"/>
  <c r="AL261" i="3"/>
  <c r="P276" i="3"/>
  <c r="AK302" i="3"/>
  <c r="X369" i="3"/>
  <c r="I251" i="3"/>
  <c r="Y245" i="3"/>
  <c r="L158" i="3"/>
  <c r="AD284" i="3"/>
  <c r="P192" i="3"/>
  <c r="S324" i="3"/>
  <c r="AD211" i="3"/>
  <c r="Z377" i="3"/>
  <c r="Z229" i="3"/>
  <c r="AE147" i="3"/>
  <c r="P228" i="3"/>
  <c r="S127" i="3"/>
  <c r="AC302" i="3"/>
  <c r="L181" i="3"/>
  <c r="AG405" i="3"/>
  <c r="AG229" i="3"/>
  <c r="X138" i="3"/>
  <c r="O329" i="3"/>
  <c r="J205" i="3"/>
  <c r="J94" i="3"/>
  <c r="Q235" i="3"/>
  <c r="Z117" i="3"/>
  <c r="AA388" i="3"/>
  <c r="Q196" i="3"/>
  <c r="K87" i="3"/>
  <c r="W295" i="3"/>
  <c r="AL158" i="3"/>
  <c r="AH62" i="3"/>
  <c r="Z244" i="3"/>
  <c r="S126" i="3"/>
  <c r="AF44" i="3"/>
  <c r="AG195" i="3"/>
  <c r="Y67" i="3"/>
  <c r="AC300" i="3"/>
  <c r="H141" i="3"/>
  <c r="AF31" i="3"/>
  <c r="AH222" i="3"/>
  <c r="S17" i="3"/>
  <c r="AI203" i="3"/>
  <c r="T73" i="3"/>
  <c r="AK315" i="3"/>
  <c r="G99" i="3"/>
  <c r="X157" i="3"/>
  <c r="K227" i="3"/>
  <c r="J100" i="3"/>
  <c r="X174" i="3"/>
  <c r="H230" i="3"/>
  <c r="V75" i="3"/>
  <c r="V364" i="3"/>
  <c r="AC98" i="3"/>
  <c r="T13" i="3"/>
  <c r="AA190" i="3"/>
  <c r="AB28" i="3"/>
  <c r="O223" i="3"/>
  <c r="Z240" i="3"/>
  <c r="AD39" i="3"/>
  <c r="AL152" i="3"/>
  <c r="AI22" i="3"/>
  <c r="AC74" i="3"/>
  <c r="AG163" i="3"/>
  <c r="W179" i="3"/>
  <c r="Y335" i="3"/>
  <c r="Y23" i="3"/>
  <c r="N240" i="3"/>
  <c r="T192" i="3"/>
  <c r="I179" i="3"/>
  <c r="O77" i="3"/>
  <c r="V66" i="3"/>
  <c r="X214" i="3"/>
  <c r="Y134" i="3"/>
  <c r="AG298" i="3"/>
  <c r="H15" i="3"/>
  <c r="G202" i="3"/>
  <c r="T61" i="3"/>
  <c r="X73" i="3"/>
  <c r="M249" i="3"/>
  <c r="N340" i="3"/>
  <c r="N4" i="3"/>
  <c r="AI261" i="3"/>
  <c r="W37" i="3"/>
  <c r="AH59" i="3"/>
  <c r="W50" i="3"/>
  <c r="F341" i="3"/>
  <c r="F308" i="3"/>
  <c r="F245" i="3"/>
  <c r="F260" i="3"/>
  <c r="R409" i="3"/>
  <c r="AL397" i="3"/>
  <c r="T410" i="3"/>
  <c r="AI401" i="3"/>
  <c r="AI342" i="3"/>
  <c r="S371" i="3"/>
  <c r="T352" i="3"/>
  <c r="AH372" i="3"/>
  <c r="AK363" i="3"/>
  <c r="W385" i="3"/>
  <c r="M374" i="3"/>
  <c r="AA390" i="3"/>
  <c r="X386" i="3"/>
  <c r="AL283" i="3"/>
  <c r="AD306" i="3"/>
  <c r="AB287" i="3"/>
  <c r="G299" i="3"/>
  <c r="W302" i="3"/>
  <c r="V311" i="3"/>
  <c r="V313" i="3"/>
  <c r="K338" i="3"/>
  <c r="V387" i="3"/>
  <c r="X253" i="3"/>
  <c r="Z296" i="3"/>
  <c r="P302" i="3"/>
  <c r="K198" i="3"/>
  <c r="V318" i="3"/>
  <c r="V210" i="3"/>
  <c r="AI385" i="3"/>
  <c r="N234" i="3"/>
  <c r="L152" i="3"/>
  <c r="K274" i="3"/>
  <c r="AH187" i="3"/>
  <c r="Q292" i="3"/>
  <c r="J175" i="3"/>
  <c r="M86" i="3"/>
  <c r="AB231" i="3"/>
  <c r="AF132" i="3"/>
  <c r="I401" i="3"/>
  <c r="H229" i="3"/>
  <c r="AE137" i="3"/>
  <c r="Y326" i="3"/>
  <c r="Q204" i="3"/>
  <c r="U93" i="3"/>
  <c r="J234" i="3"/>
  <c r="AG116" i="3"/>
  <c r="K382" i="3"/>
  <c r="J195" i="3"/>
  <c r="R86" i="3"/>
  <c r="S293" i="3"/>
  <c r="AK157" i="3"/>
  <c r="N62" i="3"/>
  <c r="V125" i="3"/>
  <c r="L44" i="3"/>
  <c r="AA194" i="3"/>
  <c r="I46" i="3"/>
  <c r="AK248" i="3"/>
  <c r="AD104" i="3"/>
  <c r="M14" i="3"/>
  <c r="AL188" i="3"/>
  <c r="I60" i="3"/>
  <c r="AL278" i="3"/>
  <c r="AA130" i="3"/>
  <c r="AL27" i="3"/>
  <c r="Y190" i="3"/>
  <c r="Y348" i="3"/>
  <c r="AH226" i="3"/>
  <c r="AA285" i="3"/>
  <c r="Y102" i="3"/>
  <c r="H119" i="3"/>
  <c r="P360" i="3"/>
  <c r="G66" i="3"/>
  <c r="N237" i="3"/>
  <c r="AB58" i="3"/>
  <c r="AA222" i="3"/>
  <c r="AK23" i="3"/>
  <c r="U108" i="3"/>
  <c r="G298" i="3"/>
  <c r="H22" i="3"/>
  <c r="I73" i="3"/>
  <c r="S160" i="3"/>
  <c r="Q272" i="3"/>
  <c r="H23" i="3"/>
  <c r="Y60" i="3"/>
  <c r="U60" i="3"/>
  <c r="K316" i="3"/>
  <c r="AF21" i="3"/>
  <c r="AK105" i="3"/>
  <c r="R192" i="3"/>
  <c r="V77" i="3"/>
  <c r="K64" i="3"/>
  <c r="V253" i="3"/>
  <c r="O44" i="3"/>
  <c r="W16" i="3"/>
  <c r="AD5" i="3"/>
  <c r="I58" i="3"/>
  <c r="AL70" i="3"/>
  <c r="AE248" i="3"/>
  <c r="U339" i="3"/>
  <c r="AB359" i="3"/>
  <c r="O258" i="3"/>
  <c r="L18" i="3"/>
  <c r="AB33" i="3"/>
  <c r="X162" i="3"/>
  <c r="AC52" i="3"/>
  <c r="F345" i="3"/>
  <c r="F168" i="3"/>
  <c r="F251" i="3"/>
  <c r="AG402" i="3"/>
  <c r="AJ355" i="3"/>
  <c r="J348" i="3"/>
  <c r="AD337" i="3"/>
  <c r="Z352" i="3"/>
  <c r="S329" i="3"/>
  <c r="AL348" i="3"/>
  <c r="K376" i="3"/>
  <c r="Q358" i="3"/>
  <c r="R368" i="3"/>
  <c r="U350" i="3"/>
  <c r="R355" i="3"/>
  <c r="AF403" i="3"/>
  <c r="AG364" i="3"/>
  <c r="I396" i="3"/>
  <c r="W406" i="3"/>
  <c r="AA278" i="3"/>
  <c r="U290" i="3"/>
  <c r="Y287" i="3"/>
  <c r="H305" i="3"/>
  <c r="AD329" i="3"/>
  <c r="M230" i="3"/>
  <c r="R268" i="3"/>
  <c r="H267" i="3"/>
  <c r="AC180" i="3"/>
  <c r="Y282" i="3"/>
  <c r="K187" i="3"/>
  <c r="N321" i="3"/>
  <c r="U210" i="3"/>
  <c r="W129" i="3"/>
  <c r="K251" i="3"/>
  <c r="X168" i="3"/>
  <c r="AG290" i="3"/>
  <c r="L174" i="3"/>
  <c r="X85" i="3"/>
  <c r="AB230" i="3"/>
  <c r="K132" i="3"/>
  <c r="AH400" i="3"/>
  <c r="I228" i="3"/>
  <c r="I137" i="3"/>
  <c r="AA324" i="3"/>
  <c r="AC197" i="3"/>
  <c r="L114" i="3"/>
  <c r="AL262" i="3"/>
  <c r="AE138" i="3"/>
  <c r="AI53" i="3"/>
  <c r="Z250" i="3"/>
  <c r="H159" i="3"/>
  <c r="AI62" i="3"/>
  <c r="Y250" i="3"/>
  <c r="AG128" i="3"/>
  <c r="AF40" i="3"/>
  <c r="I208" i="3"/>
  <c r="X104" i="3"/>
  <c r="AJ337" i="3"/>
  <c r="AJ153" i="3"/>
  <c r="AI45" i="3"/>
  <c r="T247" i="3"/>
  <c r="AG103" i="3"/>
  <c r="AB9" i="3"/>
  <c r="X187" i="3"/>
  <c r="P59" i="3"/>
  <c r="L276" i="3"/>
  <c r="Y129" i="3"/>
  <c r="R27" i="3"/>
  <c r="AD188" i="3"/>
  <c r="R347" i="3"/>
  <c r="AK132" i="3"/>
  <c r="AC172" i="3"/>
  <c r="AJ294" i="3"/>
  <c r="L117" i="3"/>
  <c r="AI19" i="3"/>
  <c r="G148" i="3"/>
  <c r="AG11" i="3"/>
  <c r="M130" i="3"/>
  <c r="O5" i="3"/>
  <c r="P88" i="3"/>
  <c r="S31" i="3"/>
  <c r="M147" i="3"/>
  <c r="AD305" i="3"/>
  <c r="AE30" i="3"/>
  <c r="K93" i="3"/>
  <c r="Q170" i="3"/>
  <c r="N315" i="3"/>
  <c r="AA13" i="3"/>
  <c r="M219" i="3"/>
  <c r="Q184" i="3"/>
  <c r="M17" i="3"/>
  <c r="K72" i="3"/>
  <c r="AD51" i="3"/>
  <c r="M201" i="3"/>
  <c r="Q120" i="3"/>
  <c r="AB263" i="3"/>
  <c r="O406" i="3"/>
  <c r="Z402" i="3"/>
  <c r="AE192" i="3"/>
  <c r="H36" i="3"/>
  <c r="Q61" i="3"/>
  <c r="L240" i="3"/>
  <c r="M297" i="3"/>
  <c r="AA288" i="3"/>
  <c r="AK257" i="3"/>
  <c r="AG358" i="3"/>
  <c r="H5" i="3"/>
  <c r="AF89" i="3"/>
  <c r="X27" i="3"/>
  <c r="F312" i="3"/>
  <c r="F130" i="3"/>
  <c r="F198" i="3"/>
  <c r="Y392" i="3"/>
  <c r="I374" i="3"/>
  <c r="Y387" i="3"/>
  <c r="M400" i="3"/>
  <c r="J337" i="3"/>
  <c r="AK351" i="3"/>
  <c r="S327" i="3"/>
  <c r="M371" i="3"/>
  <c r="AE382" i="3"/>
  <c r="R358" i="3"/>
  <c r="M399" i="3"/>
  <c r="N313" i="3"/>
  <c r="AH300" i="3"/>
  <c r="AC304" i="3"/>
  <c r="M324" i="3"/>
  <c r="Z305" i="3"/>
  <c r="W319" i="3"/>
  <c r="AL324" i="3"/>
  <c r="T342" i="3"/>
  <c r="Q355" i="3"/>
  <c r="AI395" i="3"/>
  <c r="R250" i="3"/>
  <c r="Q271" i="3"/>
  <c r="AK319" i="3"/>
  <c r="G337" i="3"/>
  <c r="X219" i="3"/>
  <c r="Y373" i="3"/>
  <c r="AD226" i="3"/>
  <c r="U144" i="3"/>
  <c r="X252" i="3"/>
  <c r="I169" i="3"/>
  <c r="H312" i="3"/>
  <c r="P209" i="3"/>
  <c r="AL346" i="3"/>
  <c r="G196" i="3"/>
  <c r="U102" i="3"/>
  <c r="G254" i="3"/>
  <c r="AJ151" i="3"/>
  <c r="K396" i="3"/>
  <c r="O227" i="3"/>
  <c r="R136" i="3"/>
  <c r="T322" i="3"/>
  <c r="AJ196" i="3"/>
  <c r="K130" i="3"/>
  <c r="S310" i="3"/>
  <c r="Y170" i="3"/>
  <c r="J70" i="3"/>
  <c r="U249" i="3"/>
  <c r="P132" i="3"/>
  <c r="AL45" i="3"/>
  <c r="L215" i="3"/>
  <c r="I101" i="3"/>
  <c r="H345" i="3"/>
  <c r="AB182" i="3"/>
  <c r="M78" i="3"/>
  <c r="AL226" i="3"/>
  <c r="AK89" i="3"/>
  <c r="V6" i="3"/>
  <c r="N170" i="3"/>
  <c r="Q50" i="3"/>
  <c r="AA266" i="3"/>
  <c r="M114" i="3"/>
  <c r="U15" i="3"/>
  <c r="R193" i="3"/>
  <c r="AI70" i="3"/>
  <c r="AC241" i="3"/>
  <c r="W308" i="3"/>
  <c r="Y106" i="3"/>
  <c r="AE172" i="3"/>
  <c r="AB226" i="3"/>
  <c r="V290" i="3"/>
  <c r="P72" i="3"/>
  <c r="M260" i="3"/>
  <c r="AK64" i="3"/>
  <c r="Z234" i="3"/>
  <c r="T50" i="3"/>
  <c r="J217" i="3"/>
  <c r="J22" i="3"/>
  <c r="N104" i="3"/>
  <c r="N292" i="3"/>
  <c r="J204" i="3"/>
  <c r="AB29" i="3"/>
  <c r="AC156" i="3"/>
  <c r="U255" i="3"/>
  <c r="AF314" i="3"/>
  <c r="G12" i="3"/>
  <c r="M210" i="3"/>
  <c r="Z180" i="3"/>
  <c r="I152" i="3"/>
  <c r="AL310" i="3"/>
  <c r="AC115" i="3"/>
  <c r="N68" i="3"/>
  <c r="P239" i="3"/>
  <c r="AB209" i="3"/>
  <c r="AI32" i="3"/>
  <c r="AJ217" i="3"/>
  <c r="AK70" i="3"/>
  <c r="AK158" i="3"/>
  <c r="X10" i="3"/>
  <c r="AL225" i="3"/>
  <c r="N129" i="3"/>
  <c r="N82" i="3"/>
  <c r="AJ224" i="3"/>
  <c r="U46" i="3"/>
  <c r="M168" i="3"/>
  <c r="J75" i="3"/>
  <c r="F222" i="3"/>
  <c r="F44" i="3"/>
  <c r="F150" i="3"/>
  <c r="AC411" i="3"/>
  <c r="T373" i="3"/>
  <c r="P364" i="3"/>
  <c r="Y376" i="3"/>
  <c r="J368" i="3"/>
  <c r="P348" i="3"/>
  <c r="Y369" i="3"/>
  <c r="U361" i="3"/>
  <c r="Q382" i="3"/>
  <c r="AL401" i="3"/>
  <c r="AH378" i="3"/>
  <c r="AL383" i="3"/>
  <c r="I282" i="3"/>
  <c r="AF304" i="3"/>
  <c r="AH284" i="3"/>
  <c r="W297" i="3"/>
  <c r="AL295" i="3"/>
  <c r="AK308" i="3"/>
  <c r="P310" i="3"/>
  <c r="AD333" i="3"/>
  <c r="AC380" i="3"/>
  <c r="Z251" i="3"/>
  <c r="AC287" i="3"/>
  <c r="AL336" i="3"/>
  <c r="AI218" i="3"/>
  <c r="V368" i="3"/>
  <c r="I226" i="3"/>
  <c r="AF143" i="3"/>
  <c r="AE251" i="3"/>
  <c r="T168" i="3"/>
  <c r="AL311" i="3"/>
  <c r="AA208" i="3"/>
  <c r="N329" i="3"/>
  <c r="AL195" i="3"/>
  <c r="AF101" i="3"/>
  <c r="AL253" i="3"/>
  <c r="L151" i="3"/>
  <c r="AL395" i="3"/>
  <c r="AC250" i="3"/>
  <c r="AK156" i="3"/>
  <c r="G397" i="3"/>
  <c r="N223" i="3"/>
  <c r="U129" i="3"/>
  <c r="T305" i="3"/>
  <c r="W169" i="3"/>
  <c r="AD68" i="3"/>
  <c r="N248" i="3"/>
  <c r="O126" i="3"/>
  <c r="O340" i="3"/>
  <c r="Z187" i="3"/>
  <c r="I78" i="3"/>
  <c r="AC276" i="3"/>
  <c r="X145" i="3"/>
  <c r="T60" i="3"/>
  <c r="AD225" i="3"/>
  <c r="I89" i="3"/>
  <c r="AG5" i="3"/>
  <c r="AI168" i="3"/>
  <c r="V49" i="3"/>
  <c r="V254" i="3"/>
  <c r="L113" i="3"/>
  <c r="AF14" i="3"/>
  <c r="K192" i="3"/>
  <c r="G70" i="3"/>
  <c r="AA303" i="3"/>
  <c r="AK94" i="3"/>
  <c r="S140" i="3"/>
  <c r="V261" i="3"/>
  <c r="AF360" i="3"/>
  <c r="AJ132" i="3"/>
  <c r="G114" i="3"/>
  <c r="Q350" i="3"/>
  <c r="U92" i="3"/>
  <c r="AH298" i="3"/>
  <c r="W81" i="3"/>
  <c r="U287" i="3"/>
  <c r="N46" i="3"/>
  <c r="I172" i="3"/>
  <c r="AA268" i="3"/>
  <c r="Z45" i="3"/>
  <c r="G113" i="3"/>
  <c r="Q223" i="3"/>
  <c r="AD10" i="3"/>
  <c r="AA51" i="3"/>
  <c r="AK100" i="3"/>
  <c r="N253" i="3"/>
  <c r="T45" i="3"/>
  <c r="K52" i="3"/>
  <c r="G34" i="3"/>
  <c r="AH325" i="3"/>
  <c r="L13" i="3"/>
  <c r="AH409" i="3"/>
  <c r="AE22" i="3"/>
  <c r="AJ34" i="3"/>
  <c r="T134" i="3"/>
  <c r="AI210" i="3"/>
  <c r="AH89" i="3"/>
  <c r="Y33" i="3"/>
  <c r="L398" i="3"/>
  <c r="AD208" i="3"/>
  <c r="K240" i="3"/>
  <c r="J43" i="3"/>
  <c r="AC248" i="3"/>
  <c r="X189" i="3"/>
  <c r="J284" i="3"/>
  <c r="AF261" i="3"/>
  <c r="T163" i="3"/>
  <c r="H283" i="3"/>
  <c r="F231" i="3"/>
  <c r="F65" i="3"/>
  <c r="F268" i="3"/>
  <c r="I411" i="3"/>
  <c r="AG406" i="3"/>
  <c r="AB398" i="3"/>
  <c r="AF335" i="3"/>
  <c r="R401" i="3"/>
  <c r="T384" i="3"/>
  <c r="AF322" i="3"/>
  <c r="Z386" i="3"/>
  <c r="X326" i="3"/>
  <c r="AH331" i="3"/>
  <c r="AC317" i="3"/>
  <c r="J321" i="3"/>
  <c r="W353" i="3"/>
  <c r="H304" i="3"/>
  <c r="AH317" i="3"/>
  <c r="I323" i="3"/>
  <c r="H340" i="3"/>
  <c r="Q352" i="3"/>
  <c r="W376" i="3"/>
  <c r="I249" i="3"/>
  <c r="AB269" i="3"/>
  <c r="Z317" i="3"/>
  <c r="J335" i="3"/>
  <c r="O218" i="3"/>
  <c r="P249" i="3"/>
  <c r="N165" i="3"/>
  <c r="H285" i="3"/>
  <c r="AF185" i="3"/>
  <c r="AL352" i="3"/>
  <c r="L226" i="3"/>
  <c r="X144" i="3"/>
  <c r="AK223" i="3"/>
  <c r="AK123" i="3"/>
  <c r="AL341" i="3"/>
  <c r="T198" i="3"/>
  <c r="N108" i="3"/>
  <c r="U276" i="3"/>
  <c r="K181" i="3"/>
  <c r="AJ95" i="3"/>
  <c r="K245" i="3"/>
  <c r="J147" i="3"/>
  <c r="AF400" i="3"/>
  <c r="O197" i="3"/>
  <c r="AJ87" i="3"/>
  <c r="O299" i="3"/>
  <c r="J157" i="3"/>
  <c r="AK60" i="3"/>
  <c r="AE239" i="3"/>
  <c r="N126" i="3"/>
  <c r="AH38" i="3"/>
  <c r="J206" i="3"/>
  <c r="J102" i="3"/>
  <c r="O325" i="3"/>
  <c r="AJ149" i="3"/>
  <c r="AA38" i="3"/>
  <c r="AB100" i="3"/>
  <c r="AD7" i="3"/>
  <c r="AG183" i="3"/>
  <c r="AF56" i="3"/>
  <c r="W271" i="3"/>
  <c r="AA120" i="3"/>
  <c r="U183" i="3"/>
  <c r="J238" i="3"/>
  <c r="Y340" i="3"/>
  <c r="H129" i="3"/>
  <c r="G168" i="3"/>
  <c r="V211" i="3"/>
  <c r="AI44" i="3"/>
  <c r="I193" i="3"/>
  <c r="AJ31" i="3"/>
  <c r="AF183" i="3"/>
  <c r="AB134" i="3"/>
  <c r="O326" i="3"/>
  <c r="AC63" i="3"/>
  <c r="P194" i="3"/>
  <c r="M13" i="3"/>
  <c r="AJ66" i="3"/>
  <c r="N149" i="3"/>
  <c r="AJ249" i="3"/>
  <c r="K12" i="3"/>
  <c r="T55" i="3"/>
  <c r="K40" i="3"/>
  <c r="AH260" i="3"/>
  <c r="AK15" i="3"/>
  <c r="AC73" i="3"/>
  <c r="AB179" i="3"/>
  <c r="H34" i="3"/>
  <c r="AK41" i="3"/>
  <c r="AB211" i="3"/>
  <c r="AH9" i="3"/>
  <c r="X41" i="3"/>
  <c r="AG217" i="3"/>
  <c r="M375" i="3"/>
  <c r="M229" i="3"/>
  <c r="L262" i="3"/>
  <c r="R239" i="3"/>
  <c r="AA34" i="3"/>
  <c r="G127" i="3"/>
  <c r="AD20" i="3"/>
  <c r="AJ6" i="3"/>
  <c r="I279" i="3"/>
  <c r="Z29" i="3"/>
  <c r="F396" i="3"/>
  <c r="F311" i="3"/>
  <c r="F229" i="3"/>
  <c r="R410" i="3"/>
  <c r="K372" i="3"/>
  <c r="G363" i="3"/>
  <c r="L357" i="3"/>
  <c r="H350" i="3"/>
  <c r="W383" i="3"/>
  <c r="L322" i="3"/>
  <c r="X385" i="3"/>
  <c r="AG325" i="3"/>
  <c r="K331" i="3"/>
  <c r="I317" i="3"/>
  <c r="T320" i="3"/>
  <c r="W352" i="3"/>
  <c r="I330" i="3"/>
  <c r="T343" i="3"/>
  <c r="AA350" i="3"/>
  <c r="V376" i="3"/>
  <c r="AD407" i="3"/>
  <c r="K258" i="3"/>
  <c r="R271" i="3"/>
  <c r="T297" i="3"/>
  <c r="X352" i="3"/>
  <c r="AK385" i="3"/>
  <c r="R236" i="3"/>
  <c r="W153" i="3"/>
  <c r="X248" i="3"/>
  <c r="Y164" i="3"/>
  <c r="AJ276" i="3"/>
  <c r="L185" i="3"/>
  <c r="L351" i="3"/>
  <c r="V225" i="3"/>
  <c r="AI143" i="3"/>
  <c r="M223" i="3"/>
  <c r="P123" i="3"/>
  <c r="G252" i="3"/>
  <c r="U149" i="3"/>
  <c r="O382" i="3"/>
  <c r="H219" i="3"/>
  <c r="N134" i="3"/>
  <c r="AE316" i="3"/>
  <c r="U194" i="3"/>
  <c r="AL106" i="3"/>
  <c r="AL258" i="3"/>
  <c r="J135" i="3"/>
  <c r="H46" i="3"/>
  <c r="L217" i="3"/>
  <c r="AE102" i="3"/>
  <c r="Z335" i="3"/>
  <c r="N179" i="3"/>
  <c r="Y76" i="3"/>
  <c r="AB272" i="3"/>
  <c r="W143" i="3"/>
  <c r="K59" i="3"/>
  <c r="AK222" i="3"/>
  <c r="AK87" i="3"/>
  <c r="M378" i="3"/>
  <c r="Q166" i="3"/>
  <c r="AG46" i="3"/>
  <c r="U250" i="3"/>
  <c r="AK110" i="3"/>
  <c r="W13" i="3"/>
  <c r="W190" i="3"/>
  <c r="AB62" i="3"/>
  <c r="L297" i="3"/>
  <c r="T92" i="3"/>
  <c r="Y137" i="3"/>
  <c r="U218" i="3"/>
  <c r="J270" i="3"/>
  <c r="AA87" i="3"/>
  <c r="Y100" i="3"/>
  <c r="G338" i="3"/>
  <c r="Y88" i="3"/>
  <c r="P290" i="3"/>
  <c r="G79" i="3"/>
  <c r="M281" i="3"/>
  <c r="X44" i="3"/>
  <c r="G150" i="3"/>
  <c r="U5" i="3"/>
  <c r="AK77" i="3"/>
  <c r="AF173" i="3"/>
  <c r="Z353" i="3"/>
  <c r="AL37" i="3"/>
  <c r="J84" i="3"/>
  <c r="AB165" i="3"/>
  <c r="AE100" i="3"/>
  <c r="N277" i="3"/>
  <c r="AD97" i="3"/>
  <c r="Z334" i="3"/>
  <c r="O66" i="3"/>
  <c r="Y45" i="3"/>
  <c r="J131" i="3"/>
  <c r="AA212" i="3"/>
  <c r="O67" i="3"/>
  <c r="AH16" i="3"/>
  <c r="AE194" i="3"/>
  <c r="Z30" i="3"/>
  <c r="AJ28" i="3"/>
  <c r="AH234" i="3"/>
  <c r="I222" i="3"/>
  <c r="X284" i="3"/>
  <c r="T207" i="3"/>
  <c r="Y104" i="3"/>
  <c r="AG181" i="3"/>
  <c r="V11" i="3"/>
  <c r="F33" i="3"/>
  <c r="F134" i="3"/>
  <c r="F390" i="3"/>
  <c r="F302" i="3"/>
  <c r="Z399" i="3"/>
  <c r="O388" i="3"/>
  <c r="K348" i="3"/>
  <c r="AL362" i="3"/>
  <c r="AA374" i="3"/>
  <c r="L366" i="3"/>
  <c r="AG345" i="3"/>
  <c r="K367" i="3"/>
  <c r="M408" i="3"/>
  <c r="AH373" i="3"/>
  <c r="AJ396" i="3"/>
  <c r="AF375" i="3"/>
  <c r="G380" i="3"/>
  <c r="K280" i="3"/>
  <c r="AG409" i="3"/>
  <c r="H278" i="3"/>
  <c r="R290" i="3"/>
  <c r="AH293" i="3"/>
  <c r="AB305" i="3"/>
  <c r="AJ306" i="3"/>
  <c r="AE329" i="3"/>
  <c r="Z375" i="3"/>
  <c r="L245" i="3"/>
  <c r="Q263" i="3"/>
  <c r="AA235" i="3"/>
  <c r="AH152" i="3"/>
  <c r="AC247" i="3"/>
  <c r="AJ163" i="3"/>
  <c r="AH275" i="3"/>
  <c r="W184" i="3"/>
  <c r="AI348" i="3"/>
  <c r="AG224" i="3"/>
  <c r="O143" i="3"/>
  <c r="T222" i="3"/>
  <c r="G118" i="3"/>
  <c r="AL281" i="3"/>
  <c r="R168" i="3"/>
  <c r="L86" i="3"/>
  <c r="AJ247" i="3"/>
  <c r="X153" i="3"/>
  <c r="AJ383" i="3"/>
  <c r="AI219" i="3"/>
  <c r="T127" i="3"/>
  <c r="P299" i="3"/>
  <c r="AK159" i="3"/>
  <c r="AF66" i="3"/>
  <c r="U244" i="3"/>
  <c r="W123" i="3"/>
  <c r="AE332" i="3"/>
  <c r="AF97" i="3"/>
  <c r="AH323" i="3"/>
  <c r="G121" i="3"/>
  <c r="I37" i="3"/>
  <c r="I181" i="3"/>
  <c r="AH61" i="3"/>
  <c r="AH285" i="3"/>
  <c r="AJ125" i="3"/>
  <c r="P27" i="3"/>
  <c r="AF172" i="3"/>
  <c r="N55" i="3"/>
  <c r="R267" i="3"/>
  <c r="X118" i="3"/>
  <c r="AJ23" i="3"/>
  <c r="M180" i="3"/>
  <c r="X234" i="3"/>
  <c r="AC311" i="3"/>
  <c r="X127" i="3"/>
  <c r="M166" i="3"/>
  <c r="AJ208" i="3"/>
  <c r="AK42" i="3"/>
  <c r="AB190" i="3"/>
  <c r="O30" i="3"/>
  <c r="AC168" i="3"/>
  <c r="T22" i="3"/>
  <c r="AI131" i="3"/>
  <c r="Y319" i="3"/>
  <c r="L61" i="3"/>
  <c r="M125" i="3"/>
  <c r="O281" i="3"/>
  <c r="AA74" i="3"/>
  <c r="AD240" i="3"/>
  <c r="AF10" i="3"/>
  <c r="H95" i="3"/>
  <c r="AB97" i="3"/>
  <c r="AH276" i="3"/>
  <c r="H169" i="3"/>
  <c r="AG127" i="3"/>
  <c r="M68" i="3"/>
  <c r="Z260" i="3"/>
  <c r="T106" i="3"/>
  <c r="AJ43" i="3"/>
  <c r="O203" i="3"/>
  <c r="AJ184" i="3"/>
  <c r="G379" i="3"/>
  <c r="AK28" i="3"/>
  <c r="L28" i="3"/>
  <c r="G120" i="3"/>
  <c r="G226" i="3"/>
  <c r="S213" i="3"/>
  <c r="AK260" i="3"/>
  <c r="AI72" i="3"/>
  <c r="X96" i="3"/>
  <c r="AA123" i="3"/>
  <c r="AF148" i="3"/>
  <c r="H182" i="3"/>
  <c r="F239" i="3"/>
  <c r="F5" i="3"/>
  <c r="F406" i="3"/>
  <c r="AF404" i="3"/>
  <c r="Z387" i="3"/>
  <c r="S404" i="3"/>
  <c r="R340" i="3"/>
  <c r="O409" i="3"/>
  <c r="P398" i="3"/>
  <c r="AJ381" i="3"/>
  <c r="AI410" i="3"/>
  <c r="J376" i="3"/>
  <c r="AI352" i="3"/>
  <c r="W362" i="3"/>
  <c r="AE336" i="3"/>
  <c r="AE341" i="3"/>
  <c r="AI382" i="3"/>
  <c r="AG356" i="3"/>
  <c r="R386" i="3"/>
  <c r="H396" i="3"/>
  <c r="X274" i="3"/>
  <c r="AG280" i="3"/>
  <c r="J277" i="3"/>
  <c r="AC293" i="3"/>
  <c r="AI321" i="3"/>
  <c r="Q226" i="3"/>
  <c r="AB262" i="3"/>
  <c r="R254" i="3"/>
  <c r="T170" i="3"/>
  <c r="AF270" i="3"/>
  <c r="O183" i="3"/>
  <c r="AH315" i="3"/>
  <c r="Y206" i="3"/>
  <c r="AA125" i="3"/>
  <c r="AK241" i="3"/>
  <c r="L160" i="3"/>
  <c r="J245" i="3"/>
  <c r="AH140" i="3"/>
  <c r="AL335" i="3"/>
  <c r="AK195" i="3"/>
  <c r="P106" i="3"/>
  <c r="H272" i="3"/>
  <c r="Q173" i="3"/>
  <c r="G94" i="3"/>
  <c r="S241" i="3"/>
  <c r="V145" i="3"/>
  <c r="X366" i="3"/>
  <c r="I194" i="3"/>
  <c r="Z85" i="3"/>
  <c r="T282" i="3"/>
  <c r="AC122" i="3"/>
  <c r="AI38" i="3"/>
  <c r="AD209" i="3"/>
  <c r="H97" i="3"/>
  <c r="Z321" i="3"/>
  <c r="AK175" i="3"/>
  <c r="AB74" i="3"/>
  <c r="X254" i="3"/>
  <c r="G110" i="3"/>
  <c r="S19" i="3"/>
  <c r="Y198" i="3"/>
  <c r="AH65" i="3"/>
  <c r="X309" i="3"/>
  <c r="U137" i="3"/>
  <c r="AG29" i="3"/>
  <c r="AJ218" i="3"/>
  <c r="M88" i="3"/>
  <c r="M387" i="3"/>
  <c r="X124" i="3"/>
  <c r="AC188" i="3"/>
  <c r="L206" i="3"/>
  <c r="AC263" i="3"/>
  <c r="S389" i="3"/>
  <c r="AG98" i="3"/>
  <c r="AA330" i="3"/>
  <c r="AE85" i="3"/>
  <c r="U284" i="3"/>
  <c r="K71" i="3"/>
  <c r="N274" i="3"/>
  <c r="O42" i="3"/>
  <c r="R147" i="3"/>
  <c r="V390" i="3"/>
  <c r="L75" i="3"/>
  <c r="L105" i="3"/>
  <c r="AC211" i="3"/>
  <c r="AB373" i="3"/>
  <c r="AJ46" i="3"/>
  <c r="AL94" i="3"/>
  <c r="AF94" i="3"/>
  <c r="K268" i="3"/>
  <c r="AI94" i="3"/>
  <c r="V18" i="3"/>
  <c r="AD259" i="3"/>
  <c r="AG7" i="3"/>
  <c r="AC301" i="3"/>
  <c r="Q15" i="3"/>
  <c r="AJ173" i="3"/>
  <c r="AF115" i="3"/>
  <c r="AG158" i="3"/>
  <c r="P191" i="3"/>
  <c r="U174" i="3"/>
  <c r="W249" i="3"/>
  <c r="R57" i="3"/>
  <c r="R231" i="3"/>
  <c r="Z129" i="3"/>
  <c r="L94" i="3"/>
  <c r="K122" i="3"/>
  <c r="K32" i="3"/>
  <c r="L198" i="3"/>
  <c r="F191" i="3"/>
  <c r="F113" i="3"/>
  <c r="F269" i="3"/>
  <c r="F6" i="3"/>
  <c r="K406" i="3"/>
  <c r="AK386" i="3"/>
  <c r="AG379" i="3"/>
  <c r="AL373" i="3"/>
  <c r="AH364" i="3"/>
  <c r="P344" i="3"/>
  <c r="U365" i="3"/>
  <c r="AF397" i="3"/>
  <c r="AI372" i="3"/>
  <c r="H394" i="3"/>
  <c r="M373" i="3"/>
  <c r="AG378" i="3"/>
  <c r="AG278" i="3"/>
  <c r="S394" i="3"/>
  <c r="AB276" i="3"/>
  <c r="G289" i="3"/>
  <c r="S292" i="3"/>
  <c r="M304" i="3"/>
  <c r="I305" i="3"/>
  <c r="AJ326" i="3"/>
  <c r="AJ359" i="3"/>
  <c r="W313" i="3"/>
  <c r="T377" i="3"/>
  <c r="U253" i="3"/>
  <c r="AE169" i="3"/>
  <c r="AH269" i="3"/>
  <c r="Z182" i="3"/>
  <c r="Q314" i="3"/>
  <c r="AJ205" i="3"/>
  <c r="K121" i="3"/>
  <c r="O241" i="3"/>
  <c r="W159" i="3"/>
  <c r="O244" i="3"/>
  <c r="K140" i="3"/>
  <c r="Y333" i="3"/>
  <c r="M195" i="3"/>
  <c r="AA105" i="3"/>
  <c r="AL271" i="3"/>
  <c r="V172" i="3"/>
  <c r="AL93" i="3"/>
  <c r="U240" i="3"/>
  <c r="AD144" i="3"/>
  <c r="T362" i="3"/>
  <c r="L193" i="3"/>
  <c r="AC84" i="3"/>
  <c r="AL357" i="3"/>
  <c r="Q180" i="3"/>
  <c r="N75" i="3"/>
  <c r="AI281" i="3"/>
  <c r="S148" i="3"/>
  <c r="AG53" i="3"/>
  <c r="AG227" i="3"/>
  <c r="Z140" i="3"/>
  <c r="AG93" i="3"/>
  <c r="AF312" i="3"/>
  <c r="AG144" i="3"/>
  <c r="AD18" i="3"/>
  <c r="L197" i="3"/>
  <c r="J65" i="3"/>
  <c r="Z306" i="3"/>
  <c r="P136" i="3"/>
  <c r="M29" i="3"/>
  <c r="AF217" i="3"/>
  <c r="G87" i="3"/>
  <c r="V386" i="3"/>
  <c r="H123" i="3"/>
  <c r="I187" i="3"/>
  <c r="U252" i="3"/>
  <c r="U346" i="3"/>
  <c r="AG118" i="3"/>
  <c r="H148" i="3"/>
  <c r="R14" i="3"/>
  <c r="V128" i="3"/>
  <c r="AG6" i="3"/>
  <c r="J117" i="3"/>
  <c r="AE393" i="3"/>
  <c r="X71" i="3"/>
  <c r="I217" i="3"/>
  <c r="M188" i="3"/>
  <c r="M9" i="3"/>
  <c r="I53" i="3"/>
  <c r="G140" i="3"/>
  <c r="AA372" i="3"/>
  <c r="I80" i="3"/>
  <c r="AG268" i="3"/>
  <c r="Z6" i="3"/>
  <c r="V94" i="3"/>
  <c r="AA165" i="3"/>
  <c r="Y115" i="3"/>
  <c r="V191" i="3"/>
  <c r="AA82" i="3"/>
  <c r="X38" i="3"/>
  <c r="AL194" i="3"/>
  <c r="N54" i="3"/>
  <c r="AB288" i="3"/>
  <c r="L141" i="3"/>
  <c r="R22" i="3"/>
  <c r="AJ98" i="3"/>
  <c r="L229" i="3"/>
  <c r="AB101" i="3"/>
  <c r="I66" i="3"/>
  <c r="J82" i="3"/>
  <c r="AI68" i="3"/>
  <c r="O59" i="3"/>
  <c r="AK93" i="3"/>
  <c r="AH295" i="3"/>
  <c r="AE50" i="3"/>
  <c r="F297" i="3"/>
  <c r="F64" i="3"/>
  <c r="F250" i="3"/>
  <c r="W403" i="3"/>
  <c r="M346" i="3"/>
  <c r="I339" i="3"/>
  <c r="X407" i="3"/>
  <c r="Q396" i="3"/>
  <c r="O380" i="3"/>
  <c r="S401" i="3"/>
  <c r="AL374" i="3"/>
  <c r="G323" i="3"/>
  <c r="K327" i="3"/>
  <c r="V314" i="3"/>
  <c r="AB317" i="3"/>
  <c r="AD340" i="3"/>
  <c r="Q321" i="3"/>
  <c r="Q338" i="3"/>
  <c r="W344" i="3"/>
  <c r="V268" i="3"/>
  <c r="U279" i="3"/>
  <c r="K304" i="3"/>
  <c r="R367" i="3"/>
  <c r="AG245" i="3"/>
  <c r="R289" i="3"/>
  <c r="V344" i="3"/>
  <c r="AH256" i="3"/>
  <c r="Z252" i="3"/>
  <c r="K169" i="3"/>
  <c r="AE268" i="3"/>
  <c r="AK181" i="3"/>
  <c r="G351" i="3"/>
  <c r="T223" i="3"/>
  <c r="V142" i="3"/>
  <c r="AL267" i="3"/>
  <c r="AC182" i="3"/>
  <c r="AF161" i="3"/>
  <c r="H406" i="3"/>
  <c r="AG248" i="3"/>
  <c r="Y141" i="3"/>
  <c r="L367" i="3"/>
  <c r="W216" i="3"/>
  <c r="Q127" i="3"/>
  <c r="K310" i="3"/>
  <c r="M191" i="3"/>
  <c r="T104" i="3"/>
  <c r="M247" i="3"/>
  <c r="R131" i="3"/>
  <c r="U43" i="3"/>
  <c r="AF207" i="3"/>
  <c r="Q100" i="3"/>
  <c r="Z326" i="3"/>
  <c r="AB173" i="3"/>
  <c r="H70" i="3"/>
  <c r="AE267" i="3"/>
  <c r="AB139" i="3"/>
  <c r="AB52" i="3"/>
  <c r="AE217" i="3"/>
  <c r="AG83" i="3"/>
  <c r="H357" i="3"/>
  <c r="AI153" i="3"/>
  <c r="X43" i="3"/>
  <c r="G244" i="3"/>
  <c r="X101" i="3"/>
  <c r="AJ10" i="3"/>
  <c r="K185" i="3"/>
  <c r="S59" i="3"/>
  <c r="M270" i="3"/>
  <c r="AG385" i="3"/>
  <c r="AE131" i="3"/>
  <c r="M204" i="3"/>
  <c r="L204" i="3"/>
  <c r="AJ253" i="3"/>
  <c r="G65" i="3"/>
  <c r="J232" i="3"/>
  <c r="V52" i="3"/>
  <c r="AB222" i="3"/>
  <c r="AD41" i="3"/>
  <c r="Y185" i="3"/>
  <c r="N10" i="3"/>
  <c r="AD89" i="3"/>
  <c r="AA246" i="3"/>
  <c r="O32" i="3"/>
  <c r="AG100" i="3"/>
  <c r="AD207" i="3"/>
  <c r="N365" i="3"/>
  <c r="AB36" i="3"/>
  <c r="G5" i="3"/>
  <c r="Z87" i="3"/>
  <c r="AJ147" i="3"/>
  <c r="N109" i="3"/>
  <c r="L183" i="3"/>
  <c r="U40" i="3"/>
  <c r="AL108" i="3"/>
  <c r="O71" i="3"/>
  <c r="X194" i="3"/>
  <c r="AD255" i="3"/>
  <c r="W102" i="3"/>
  <c r="AE96" i="3"/>
  <c r="AA17" i="3"/>
  <c r="AH164" i="3"/>
  <c r="I122" i="3"/>
  <c r="V359" i="3"/>
  <c r="P89" i="3"/>
  <c r="X111" i="3"/>
  <c r="K63" i="3"/>
  <c r="S234" i="3"/>
  <c r="F32" i="3"/>
  <c r="F380" i="3"/>
  <c r="F407" i="3"/>
  <c r="F98" i="3"/>
  <c r="AH402" i="3"/>
  <c r="X367" i="3"/>
  <c r="T338" i="3"/>
  <c r="AA406" i="3"/>
  <c r="Y341" i="3"/>
  <c r="Y342" i="3"/>
  <c r="AH358" i="3"/>
  <c r="Y395" i="3"/>
  <c r="AL403" i="3"/>
  <c r="AB384" i="3"/>
  <c r="G402" i="3"/>
  <c r="AG291" i="3"/>
  <c r="H295" i="3"/>
  <c r="U318" i="3"/>
  <c r="AD299" i="3"/>
  <c r="AK312" i="3"/>
  <c r="L312" i="3"/>
  <c r="I326" i="3"/>
  <c r="AE333" i="3"/>
  <c r="Y316" i="3"/>
  <c r="AD356" i="3"/>
  <c r="L241" i="3"/>
  <c r="Y281" i="3"/>
  <c r="Z282" i="3"/>
  <c r="AB191" i="3"/>
  <c r="M295" i="3"/>
  <c r="J198" i="3"/>
  <c r="S350" i="3"/>
  <c r="AE222" i="3"/>
  <c r="J404" i="3"/>
  <c r="AF239" i="3"/>
  <c r="N158" i="3"/>
  <c r="R241" i="3"/>
  <c r="AB138" i="3"/>
  <c r="M329" i="3"/>
  <c r="Z188" i="3"/>
  <c r="AL104" i="3"/>
  <c r="T269" i="3"/>
  <c r="AE170" i="3"/>
  <c r="AC88" i="3"/>
  <c r="AC238" i="3"/>
  <c r="AL143" i="3"/>
  <c r="AC354" i="3"/>
  <c r="AE190" i="3"/>
  <c r="L83" i="3"/>
  <c r="X278" i="3"/>
  <c r="R144" i="3"/>
  <c r="J57" i="3"/>
  <c r="AL233" i="3"/>
  <c r="AG115" i="3"/>
  <c r="AJ409" i="3"/>
  <c r="W118" i="3"/>
  <c r="T393" i="3"/>
  <c r="Q174" i="3"/>
  <c r="T54" i="3"/>
  <c r="AE275" i="3"/>
  <c r="X121" i="3"/>
  <c r="G20" i="3"/>
  <c r="AC167" i="3"/>
  <c r="AI74" i="3"/>
  <c r="T310" i="3"/>
  <c r="Y143" i="3"/>
  <c r="AJ37" i="3"/>
  <c r="U267" i="3"/>
  <c r="AE384" i="3"/>
  <c r="P130" i="3"/>
  <c r="R202" i="3"/>
  <c r="R334" i="3"/>
  <c r="M116" i="3"/>
  <c r="AL145" i="3"/>
  <c r="AA12" i="3"/>
  <c r="AC124" i="3"/>
  <c r="Z381" i="3"/>
  <c r="AJ113" i="3"/>
  <c r="W372" i="3"/>
  <c r="AG68" i="3"/>
  <c r="O214" i="3"/>
  <c r="AJ22" i="3"/>
  <c r="O118" i="3"/>
  <c r="AA249" i="3"/>
  <c r="S20" i="3"/>
  <c r="T68" i="3"/>
  <c r="H131" i="3"/>
  <c r="R253" i="3"/>
  <c r="AL4" i="3"/>
  <c r="O80" i="3"/>
  <c r="L144" i="3"/>
  <c r="Q103" i="3"/>
  <c r="AK171" i="3"/>
  <c r="P78" i="3"/>
  <c r="AF29" i="3"/>
  <c r="O186" i="3"/>
  <c r="Q41" i="3"/>
  <c r="H149" i="3"/>
  <c r="AJ107" i="3"/>
  <c r="AJ16" i="3"/>
  <c r="AH92" i="3"/>
  <c r="AC220" i="3"/>
  <c r="P76" i="3"/>
  <c r="L59" i="3"/>
  <c r="S75" i="3"/>
  <c r="L43" i="3"/>
  <c r="AE74" i="3"/>
  <c r="AG42" i="3"/>
  <c r="N222" i="3"/>
  <c r="F367" i="3"/>
  <c r="F67" i="3"/>
  <c r="F4" i="3"/>
  <c r="F410" i="3"/>
  <c r="N402" i="3"/>
  <c r="AI377" i="3"/>
  <c r="AC348" i="3"/>
  <c r="AJ340" i="3"/>
  <c r="P403" i="3"/>
  <c r="AD336" i="3"/>
  <c r="AJ407" i="3"/>
  <c r="AI341" i="3"/>
  <c r="V351" i="3"/>
  <c r="T333" i="3"/>
  <c r="AA337" i="3"/>
  <c r="Y377" i="3"/>
  <c r="J352" i="3"/>
  <c r="AJ380" i="3"/>
  <c r="H378" i="3"/>
  <c r="M267" i="3"/>
  <c r="J278" i="3"/>
  <c r="AE273" i="3"/>
  <c r="M290" i="3"/>
  <c r="W317" i="3"/>
  <c r="AJ387" i="3"/>
  <c r="Y255" i="3"/>
  <c r="AH250" i="3"/>
  <c r="AG167" i="3"/>
  <c r="G267" i="3"/>
  <c r="AB180" i="3"/>
  <c r="X310" i="3"/>
  <c r="AC198" i="3"/>
  <c r="AK403" i="3"/>
  <c r="K239" i="3"/>
  <c r="Y157" i="3"/>
  <c r="Q240" i="3"/>
  <c r="AG137" i="3"/>
  <c r="AL314" i="3"/>
  <c r="AC187" i="3"/>
  <c r="V100" i="3"/>
  <c r="M268" i="3"/>
  <c r="G170" i="3"/>
  <c r="I88" i="3"/>
  <c r="AH237" i="3"/>
  <c r="N143" i="3"/>
  <c r="Z351" i="3"/>
  <c r="Y183" i="3"/>
  <c r="R60" i="3"/>
  <c r="AD238" i="3"/>
  <c r="M119" i="3"/>
  <c r="AA399" i="3"/>
  <c r="N198" i="3"/>
  <c r="AC93" i="3"/>
  <c r="AC312" i="3"/>
  <c r="V165" i="3"/>
  <c r="J72" i="3"/>
  <c r="AL248" i="3"/>
  <c r="L107" i="3"/>
  <c r="AJ12" i="3"/>
  <c r="P193" i="3"/>
  <c r="Z62" i="3"/>
  <c r="AF288" i="3"/>
  <c r="P166" i="3"/>
  <c r="K74" i="3"/>
  <c r="AE309" i="3"/>
  <c r="AD182" i="3"/>
  <c r="AG79" i="3"/>
  <c r="O372" i="3"/>
  <c r="O159" i="3"/>
  <c r="L225" i="3"/>
  <c r="W384" i="3"/>
  <c r="M159" i="3"/>
  <c r="Z241" i="3"/>
  <c r="L248" i="3"/>
  <c r="AK63" i="3"/>
  <c r="AF289" i="3"/>
  <c r="X81" i="3"/>
  <c r="H271" i="3"/>
  <c r="G67" i="3"/>
  <c r="Q247" i="3"/>
  <c r="V38" i="3"/>
  <c r="U139" i="3"/>
  <c r="U342" i="3"/>
  <c r="R70" i="3"/>
  <c r="AA157" i="3"/>
  <c r="N281" i="3"/>
  <c r="X128" i="3"/>
  <c r="AL237" i="3"/>
  <c r="G350" i="3"/>
  <c r="Z75" i="3"/>
  <c r="AD143" i="3"/>
  <c r="O68" i="3"/>
  <c r="AL159" i="3"/>
  <c r="W77" i="3"/>
  <c r="AJ368" i="3"/>
  <c r="O8" i="3"/>
  <c r="W132" i="3"/>
  <c r="W78" i="3"/>
  <c r="AK76" i="3"/>
  <c r="G13" i="3"/>
  <c r="AA140" i="3"/>
  <c r="AH159" i="3"/>
  <c r="R120" i="3"/>
  <c r="Z323" i="3"/>
  <c r="Q84" i="3"/>
  <c r="AI295" i="3"/>
  <c r="S12" i="3"/>
  <c r="AK180" i="3"/>
  <c r="F398" i="3"/>
  <c r="F224" i="3"/>
  <c r="F387" i="3"/>
  <c r="F292" i="3"/>
  <c r="X403" i="3"/>
  <c r="S384" i="3"/>
  <c r="H395" i="3"/>
  <c r="M388" i="3"/>
  <c r="I381" i="3"/>
  <c r="AC364" i="3"/>
  <c r="V383" i="3"/>
  <c r="Q376" i="3"/>
  <c r="L394" i="3"/>
  <c r="Y382" i="3"/>
  <c r="G400" i="3"/>
  <c r="AJ408" i="3"/>
  <c r="AD293" i="3"/>
  <c r="K317" i="3"/>
  <c r="Q298" i="3"/>
  <c r="G304" i="3"/>
  <c r="U310" i="3"/>
  <c r="O324" i="3"/>
  <c r="S331" i="3"/>
  <c r="Z361" i="3"/>
  <c r="AC285" i="3"/>
  <c r="AH239" i="3"/>
  <c r="AE279" i="3"/>
  <c r="U280" i="3"/>
  <c r="AH185" i="3"/>
  <c r="AF292" i="3"/>
  <c r="AF196" i="3"/>
  <c r="AI346" i="3"/>
  <c r="AE220" i="3"/>
  <c r="X140" i="3"/>
  <c r="T263" i="3"/>
  <c r="R174" i="3"/>
  <c r="L267" i="3"/>
  <c r="R159" i="3"/>
  <c r="V401" i="3"/>
  <c r="AF214" i="3"/>
  <c r="N121" i="3"/>
  <c r="S301" i="3"/>
  <c r="K190" i="3"/>
  <c r="X107" i="3"/>
  <c r="O261" i="3"/>
  <c r="AG161" i="3"/>
  <c r="AJ84" i="3"/>
  <c r="N215" i="3"/>
  <c r="H102" i="3"/>
  <c r="AA326" i="3"/>
  <c r="AA174" i="3"/>
  <c r="AA72" i="3"/>
  <c r="AC261" i="3"/>
  <c r="Q144" i="3"/>
  <c r="O51" i="3"/>
  <c r="AG261" i="3"/>
  <c r="U164" i="3"/>
  <c r="AB89" i="3"/>
  <c r="P294" i="3"/>
  <c r="AG139" i="3"/>
  <c r="K33" i="3"/>
  <c r="AJ226" i="3"/>
  <c r="AI85" i="3"/>
  <c r="Y399" i="3"/>
  <c r="AI164" i="3"/>
  <c r="P44" i="3"/>
  <c r="P212" i="3"/>
  <c r="AB78" i="3"/>
  <c r="AF371" i="3"/>
  <c r="AC117" i="3"/>
  <c r="I168" i="3"/>
  <c r="AA247" i="3"/>
  <c r="T323" i="3"/>
  <c r="AB113" i="3"/>
  <c r="G132" i="3"/>
  <c r="J11" i="3"/>
  <c r="AD120" i="3"/>
  <c r="U364" i="3"/>
  <c r="AE108" i="3"/>
  <c r="AG367" i="3"/>
  <c r="S66" i="3"/>
  <c r="AB196" i="3"/>
  <c r="AH21" i="3"/>
  <c r="Y114" i="3"/>
  <c r="AC240" i="3"/>
  <c r="AL18" i="3"/>
  <c r="R65" i="3"/>
  <c r="AB125" i="3"/>
  <c r="N233" i="3"/>
  <c r="Q345" i="3"/>
  <c r="T64" i="3"/>
  <c r="O140" i="3"/>
  <c r="V64" i="3"/>
  <c r="L147" i="3"/>
  <c r="G76" i="3"/>
  <c r="AC367" i="3"/>
  <c r="R175" i="3"/>
  <c r="AA30" i="3"/>
  <c r="J124" i="3"/>
  <c r="S98" i="3"/>
  <c r="AB12" i="3"/>
  <c r="Q81" i="3"/>
  <c r="AF165" i="3"/>
  <c r="AD56" i="3"/>
  <c r="J163" i="3"/>
  <c r="AC86" i="3"/>
  <c r="P113" i="3"/>
  <c r="T11" i="3"/>
  <c r="K36" i="3"/>
  <c r="Z345" i="3"/>
  <c r="AK116" i="3"/>
  <c r="F185" i="3"/>
  <c r="F211" i="3"/>
  <c r="F409" i="3"/>
  <c r="F218" i="3"/>
  <c r="AL400" i="3"/>
  <c r="Z343" i="3"/>
  <c r="AK353" i="3"/>
  <c r="T369" i="3"/>
  <c r="T380" i="3"/>
  <c r="AG386" i="3"/>
  <c r="Q401" i="3"/>
  <c r="S397" i="3"/>
  <c r="AL398" i="3"/>
  <c r="AH367" i="3"/>
  <c r="K387" i="3"/>
  <c r="AL399" i="3"/>
  <c r="H407" i="3"/>
  <c r="J293" i="3"/>
  <c r="V316" i="3"/>
  <c r="AI317" i="3"/>
  <c r="K369" i="3"/>
  <c r="AB375" i="3"/>
  <c r="AA289" i="3"/>
  <c r="M323" i="3"/>
  <c r="AF329" i="3"/>
  <c r="AK359" i="3"/>
  <c r="AG241" i="3"/>
  <c r="I258" i="3"/>
  <c r="I303" i="3"/>
  <c r="Q313" i="3"/>
  <c r="AJ207" i="3"/>
  <c r="S179" i="3"/>
  <c r="AI139" i="3"/>
  <c r="AI196" i="3"/>
  <c r="I210" i="3"/>
  <c r="AF237" i="3"/>
  <c r="X120" i="3"/>
  <c r="Z299" i="3"/>
  <c r="R189" i="3"/>
  <c r="AI106" i="3"/>
  <c r="AD230" i="3"/>
  <c r="AA410" i="3"/>
  <c r="T398" i="3"/>
  <c r="AF395" i="3"/>
  <c r="V409" i="3"/>
  <c r="W399" i="3"/>
  <c r="L381" i="3"/>
  <c r="W358" i="3"/>
  <c r="H341" i="3"/>
  <c r="AF390" i="3"/>
  <c r="L368" i="3"/>
  <c r="S351" i="3"/>
  <c r="R404" i="3"/>
  <c r="AK384" i="3"/>
  <c r="Q362" i="3"/>
  <c r="AG344" i="3"/>
  <c r="AB395" i="3"/>
  <c r="AG377" i="3"/>
  <c r="M355" i="3"/>
  <c r="AC337" i="3"/>
  <c r="X383" i="3"/>
  <c r="Z360" i="3"/>
  <c r="AK331" i="3"/>
  <c r="I390" i="3"/>
  <c r="O403" i="3"/>
  <c r="S375" i="3"/>
  <c r="K353" i="3"/>
  <c r="Q327" i="3"/>
  <c r="AC393" i="3"/>
  <c r="U366" i="3"/>
  <c r="AI387" i="3"/>
  <c r="M394" i="3"/>
  <c r="I369" i="3"/>
  <c r="AD388" i="3"/>
  <c r="AL365" i="3"/>
  <c r="O337" i="3"/>
  <c r="AB405" i="3"/>
  <c r="S377" i="3"/>
  <c r="AD374" i="3"/>
  <c r="AB344" i="3"/>
  <c r="U316" i="3"/>
  <c r="G394" i="3"/>
  <c r="S354" i="3"/>
  <c r="AG327" i="3"/>
  <c r="J304" i="3"/>
  <c r="AF401" i="3"/>
  <c r="M359" i="3"/>
  <c r="AA332" i="3"/>
  <c r="G308" i="3"/>
  <c r="P285" i="3"/>
  <c r="AC410" i="3"/>
  <c r="O360" i="3"/>
  <c r="V333" i="3"/>
  <c r="S309" i="3"/>
  <c r="AK380" i="3"/>
  <c r="L336" i="3"/>
  <c r="U315" i="3"/>
  <c r="AC289" i="3"/>
  <c r="N271" i="3"/>
  <c r="R363" i="3"/>
  <c r="G330" i="3"/>
  <c r="K301" i="3"/>
  <c r="AL277" i="3"/>
  <c r="J369" i="3"/>
  <c r="H329" i="3"/>
  <c r="AE304" i="3"/>
  <c r="AB280" i="3"/>
  <c r="I403" i="3"/>
  <c r="S348" i="3"/>
  <c r="Z319" i="3"/>
  <c r="P293" i="3"/>
  <c r="G274" i="3"/>
  <c r="AE361" i="3"/>
  <c r="W324" i="3"/>
  <c r="N291" i="3"/>
  <c r="AA262" i="3"/>
  <c r="AD410" i="3"/>
  <c r="U341" i="3"/>
  <c r="L309" i="3"/>
  <c r="AH277" i="3"/>
  <c r="U257" i="3"/>
  <c r="H393" i="3"/>
  <c r="N346" i="3"/>
  <c r="AL304" i="3"/>
  <c r="Q281" i="3"/>
  <c r="V255" i="3"/>
  <c r="AA236" i="3"/>
  <c r="X373" i="3"/>
  <c r="X324" i="3"/>
  <c r="U299" i="3"/>
  <c r="T271" i="3"/>
  <c r="R252" i="3"/>
  <c r="AK346" i="3"/>
  <c r="O306" i="3"/>
  <c r="AG270" i="3"/>
  <c r="AL246" i="3"/>
  <c r="V223" i="3"/>
  <c r="AL205" i="3"/>
  <c r="AA182" i="3"/>
  <c r="AK163" i="3"/>
  <c r="O383" i="3"/>
  <c r="R321" i="3"/>
  <c r="O287" i="3"/>
  <c r="J255" i="3"/>
  <c r="AJ234" i="3"/>
  <c r="T212" i="3"/>
  <c r="Y193" i="3"/>
  <c r="AD169" i="3"/>
  <c r="M152" i="3"/>
  <c r="M396" i="3"/>
  <c r="AF340" i="3"/>
  <c r="AE292" i="3"/>
  <c r="S262" i="3"/>
  <c r="P236" i="3"/>
  <c r="H213" i="3"/>
  <c r="AG194" i="3"/>
  <c r="AA171" i="3"/>
  <c r="J132" i="3"/>
  <c r="AH383" i="3"/>
  <c r="R317" i="3"/>
  <c r="L285" i="3"/>
  <c r="T254" i="3"/>
  <c r="H235" i="3"/>
  <c r="W212" i="3"/>
  <c r="Q194" i="3"/>
  <c r="K171" i="3"/>
  <c r="I149" i="3"/>
  <c r="AD360" i="3"/>
  <c r="U295" i="3"/>
  <c r="N259" i="3"/>
  <c r="AI229" i="3"/>
  <c r="AF206" i="3"/>
  <c r="AD128" i="3"/>
  <c r="M110" i="3"/>
  <c r="K88" i="3"/>
  <c r="J379" i="3"/>
  <c r="P306" i="3"/>
  <c r="L259" i="3"/>
  <c r="L234" i="3"/>
  <c r="H205" i="3"/>
  <c r="AI182" i="3"/>
  <c r="AL156" i="3"/>
  <c r="AB135" i="3"/>
  <c r="J114" i="3"/>
  <c r="Z96" i="3"/>
  <c r="AC79" i="3"/>
  <c r="AJ335" i="3"/>
  <c r="Y293" i="3"/>
  <c r="G255" i="3"/>
  <c r="Z231" i="3"/>
  <c r="AD206" i="3"/>
  <c r="K186" i="3"/>
  <c r="G166" i="3"/>
  <c r="I140" i="3"/>
  <c r="AH121" i="3"/>
  <c r="U100" i="3"/>
  <c r="M84" i="3"/>
  <c r="AA333" i="3"/>
  <c r="AH290" i="3"/>
  <c r="P256" i="3"/>
  <c r="R227" i="3"/>
  <c r="H206" i="3"/>
  <c r="U180" i="3"/>
  <c r="AG157" i="3"/>
  <c r="Q134" i="3"/>
  <c r="AD116" i="3"/>
  <c r="O99" i="3"/>
  <c r="V78" i="3"/>
  <c r="AG332" i="3"/>
  <c r="Q269" i="3"/>
  <c r="X237" i="3"/>
  <c r="AB205" i="3"/>
  <c r="AE175" i="3"/>
  <c r="V148" i="3"/>
  <c r="R119" i="3"/>
  <c r="H98" i="3"/>
  <c r="Q73" i="3"/>
  <c r="V56" i="3"/>
  <c r="AG399" i="3"/>
  <c r="O314" i="3"/>
  <c r="N266" i="3"/>
  <c r="Z226" i="3"/>
  <c r="O198" i="3"/>
  <c r="L163" i="3"/>
  <c r="AA137" i="3"/>
  <c r="Y108" i="3"/>
  <c r="AB88" i="3"/>
  <c r="I70" i="3"/>
  <c r="R49" i="3"/>
  <c r="Y371" i="3"/>
  <c r="N299" i="3"/>
  <c r="O255" i="3"/>
  <c r="P220" i="3"/>
  <c r="J193" i="3"/>
  <c r="R165" i="3"/>
  <c r="O132" i="3"/>
  <c r="J110" i="3"/>
  <c r="J83" i="3"/>
  <c r="L64" i="3"/>
  <c r="S43" i="3"/>
  <c r="AB358" i="3"/>
  <c r="V299" i="3"/>
  <c r="O247" i="3"/>
  <c r="O217" i="3"/>
  <c r="AL187" i="3"/>
  <c r="K159" i="3"/>
  <c r="L128" i="3"/>
  <c r="AI107" i="3"/>
  <c r="U86" i="3"/>
  <c r="AA63" i="3"/>
  <c r="J46" i="3"/>
  <c r="G348" i="3"/>
  <c r="K281" i="3"/>
  <c r="AA232" i="3"/>
  <c r="Z198" i="3"/>
  <c r="U166" i="3"/>
  <c r="L126" i="3"/>
  <c r="Z101" i="3"/>
  <c r="AH70" i="3"/>
  <c r="W49" i="3"/>
  <c r="AC9" i="3"/>
  <c r="N325" i="3"/>
  <c r="W254" i="3"/>
  <c r="AE218" i="3"/>
  <c r="V143" i="3"/>
  <c r="J107" i="3"/>
  <c r="AF81" i="3"/>
  <c r="W58" i="3"/>
  <c r="J33" i="3"/>
  <c r="K16" i="3"/>
  <c r="AI347" i="3"/>
  <c r="AD275" i="3"/>
  <c r="P225" i="3"/>
  <c r="AC191" i="3"/>
  <c r="Q158" i="3"/>
  <c r="V119" i="3"/>
  <c r="N93" i="3"/>
  <c r="Y62" i="3"/>
  <c r="O40" i="3"/>
  <c r="AB18" i="3"/>
  <c r="L385" i="3"/>
  <c r="AE298" i="3"/>
  <c r="AA239" i="3"/>
  <c r="X206" i="3"/>
  <c r="AA166" i="3"/>
  <c r="Q135" i="3"/>
  <c r="AC99" i="3"/>
  <c r="AL74" i="3"/>
  <c r="AH52" i="3"/>
  <c r="P29" i="3"/>
  <c r="Z13" i="3"/>
  <c r="T319" i="3"/>
  <c r="AF252" i="3"/>
  <c r="AD195" i="3"/>
  <c r="N148" i="3"/>
  <c r="AB109" i="3"/>
  <c r="S319" i="3"/>
  <c r="W261" i="3"/>
  <c r="R204" i="3"/>
  <c r="AE160" i="3"/>
  <c r="AI114" i="3"/>
  <c r="AJ360" i="3"/>
  <c r="J287" i="3"/>
  <c r="T230" i="3"/>
  <c r="O190" i="3"/>
  <c r="H139" i="3"/>
  <c r="Z102" i="3"/>
  <c r="G290" i="3"/>
  <c r="V234" i="3"/>
  <c r="J190" i="3"/>
  <c r="G139" i="3"/>
  <c r="N105" i="3"/>
  <c r="J311" i="3"/>
  <c r="AB234" i="3"/>
  <c r="U173" i="3"/>
  <c r="AD124" i="3"/>
  <c r="U84" i="3"/>
  <c r="W52" i="3"/>
  <c r="AD28" i="3"/>
  <c r="N389" i="3"/>
  <c r="S270" i="3"/>
  <c r="H207" i="3"/>
  <c r="Q157" i="3"/>
  <c r="AK113" i="3"/>
  <c r="AK68" i="3"/>
  <c r="AG43" i="3"/>
  <c r="J15" i="3"/>
  <c r="P350" i="3"/>
  <c r="G193" i="3"/>
  <c r="AK147" i="3"/>
  <c r="AJ61" i="3"/>
  <c r="N30" i="3"/>
  <c r="V8" i="3"/>
  <c r="AJ313" i="3"/>
  <c r="W228" i="3"/>
  <c r="N167" i="3"/>
  <c r="O94" i="3"/>
  <c r="M61" i="3"/>
  <c r="AD393" i="3"/>
  <c r="AI246" i="3"/>
  <c r="X185" i="3"/>
  <c r="AC127" i="3"/>
  <c r="W71" i="3"/>
  <c r="M42" i="3"/>
  <c r="N13" i="3"/>
  <c r="U319" i="3"/>
  <c r="T210" i="3"/>
  <c r="G156" i="3"/>
  <c r="O102" i="3"/>
  <c r="AG54" i="3"/>
  <c r="R329" i="3"/>
  <c r="AD223" i="3"/>
  <c r="P128" i="3"/>
  <c r="AI77" i="3"/>
  <c r="Z40" i="3"/>
  <c r="V7" i="3"/>
  <c r="AG258" i="3"/>
  <c r="AK169" i="3"/>
  <c r="L103" i="3"/>
  <c r="AH49" i="3"/>
  <c r="AD17" i="3"/>
  <c r="J316" i="3"/>
  <c r="Z186" i="3"/>
  <c r="V115" i="3"/>
  <c r="AI58" i="3"/>
  <c r="S27" i="3"/>
  <c r="S339" i="3"/>
  <c r="AJ219" i="3"/>
  <c r="O131" i="3"/>
  <c r="J63" i="3"/>
  <c r="W27" i="3"/>
  <c r="K188" i="3"/>
  <c r="AB7" i="3"/>
  <c r="AA75" i="3"/>
  <c r="M253" i="3"/>
  <c r="P28" i="3"/>
  <c r="T88" i="3"/>
  <c r="T337" i="3"/>
  <c r="S197" i="3"/>
  <c r="N131" i="3"/>
  <c r="AD62" i="3"/>
  <c r="S236" i="3"/>
  <c r="AK29" i="3"/>
  <c r="AJ138" i="3"/>
  <c r="AE127" i="3"/>
  <c r="K6" i="3"/>
  <c r="AK99" i="3"/>
  <c r="K356" i="3"/>
  <c r="AK227" i="3"/>
  <c r="AK127" i="3"/>
  <c r="Z70" i="3"/>
  <c r="AE21" i="3"/>
  <c r="S106" i="3"/>
  <c r="K118" i="3"/>
  <c r="L252" i="3"/>
  <c r="G55" i="3"/>
  <c r="Y87" i="3"/>
  <c r="H309" i="3"/>
  <c r="AC142" i="3"/>
  <c r="AA52" i="3"/>
  <c r="X306" i="3"/>
  <c r="K395" i="3"/>
  <c r="AB5" i="3"/>
  <c r="P61" i="3"/>
  <c r="AI76" i="3"/>
  <c r="L67" i="3"/>
  <c r="Q63" i="3"/>
  <c r="W174" i="3"/>
  <c r="AA64" i="3"/>
  <c r="H4" i="3"/>
  <c r="AI28" i="3"/>
  <c r="AL14" i="3"/>
  <c r="AE331" i="3"/>
  <c r="AF96" i="3"/>
  <c r="AA217" i="3"/>
  <c r="G130" i="3"/>
  <c r="AF50" i="3"/>
  <c r="AC67" i="3"/>
  <c r="AB333" i="3"/>
  <c r="Y19" i="3"/>
  <c r="T33" i="3"/>
  <c r="W86" i="3"/>
  <c r="AK72" i="3"/>
  <c r="U30" i="3"/>
  <c r="Q43" i="3"/>
  <c r="I270" i="3"/>
  <c r="I138" i="3"/>
  <c r="AJ318" i="3"/>
  <c r="AJ144" i="3"/>
  <c r="X29" i="3"/>
  <c r="N63" i="3"/>
  <c r="AH104" i="3"/>
  <c r="L62" i="3"/>
  <c r="AA31" i="3"/>
  <c r="N59" i="3"/>
  <c r="M7" i="3"/>
  <c r="AF234" i="3"/>
  <c r="I309" i="3"/>
  <c r="Y34" i="3"/>
  <c r="AF255" i="3"/>
  <c r="AJ39" i="3"/>
  <c r="I54" i="3"/>
  <c r="H117" i="3"/>
  <c r="AH136" i="3"/>
  <c r="O16" i="3"/>
  <c r="H49" i="3"/>
  <c r="M4" i="3"/>
  <c r="AH17" i="3"/>
  <c r="AF34" i="3"/>
  <c r="X50" i="3"/>
  <c r="H82" i="3"/>
  <c r="AG282" i="3"/>
  <c r="AC23" i="3"/>
  <c r="F59" i="3"/>
  <c r="F51" i="3"/>
  <c r="F97" i="3"/>
  <c r="F207" i="3"/>
  <c r="F279" i="3"/>
  <c r="F80" i="3"/>
  <c r="F156" i="3"/>
  <c r="F249" i="3"/>
  <c r="F359" i="3"/>
  <c r="F41" i="3"/>
  <c r="F101" i="3"/>
  <c r="F252" i="3"/>
  <c r="F272" i="3"/>
  <c r="K397" i="3"/>
  <c r="W389" i="3"/>
  <c r="AB383" i="3"/>
  <c r="X376" i="3"/>
  <c r="M353" i="3"/>
  <c r="AA373" i="3"/>
  <c r="AD364" i="3"/>
  <c r="Y386" i="3"/>
  <c r="J375" i="3"/>
  <c r="W392" i="3"/>
  <c r="K388" i="3"/>
  <c r="G284" i="3"/>
  <c r="J308" i="3"/>
  <c r="R288" i="3"/>
  <c r="AC299" i="3"/>
  <c r="N303" i="3"/>
  <c r="AK317" i="3"/>
  <c r="T314" i="3"/>
  <c r="AH339" i="3"/>
  <c r="AD389" i="3"/>
  <c r="M254" i="3"/>
  <c r="AC297" i="3"/>
  <c r="X303" i="3"/>
  <c r="AE198" i="3"/>
  <c r="AL319" i="3"/>
  <c r="K211" i="3"/>
  <c r="I389" i="3"/>
  <c r="I255" i="3"/>
  <c r="X193" i="3"/>
  <c r="AF130" i="3"/>
  <c r="AB252" i="3"/>
  <c r="AG169" i="3"/>
  <c r="L257" i="3"/>
  <c r="AD152" i="3"/>
  <c r="Y352" i="3"/>
  <c r="Q203" i="3"/>
  <c r="U111" i="3"/>
  <c r="AE290" i="3"/>
  <c r="U184" i="3"/>
  <c r="L99" i="3"/>
  <c r="AI248" i="3"/>
  <c r="O156" i="3"/>
  <c r="M77" i="3"/>
  <c r="AB203" i="3"/>
  <c r="J97" i="3"/>
  <c r="R310" i="3"/>
  <c r="L161" i="3"/>
  <c r="M64" i="3"/>
  <c r="AD253" i="3"/>
  <c r="V130" i="3"/>
  <c r="J42" i="3"/>
  <c r="P215" i="3"/>
  <c r="L106" i="3"/>
  <c r="P343" i="3"/>
  <c r="AA156" i="3"/>
  <c r="AH46" i="3"/>
  <c r="V250" i="3"/>
  <c r="AG105" i="3"/>
  <c r="AG14" i="3"/>
  <c r="G189" i="3"/>
  <c r="AG60" i="3"/>
  <c r="H279" i="3"/>
  <c r="AD131" i="3"/>
  <c r="G28" i="3"/>
  <c r="X192" i="3"/>
  <c r="N257" i="3"/>
  <c r="AD354" i="3"/>
  <c r="K136" i="3"/>
  <c r="S230" i="3"/>
  <c r="K300" i="3"/>
  <c r="AE120" i="3"/>
  <c r="G27" i="3"/>
  <c r="S152" i="3"/>
  <c r="AE41" i="3"/>
  <c r="L239" i="3"/>
  <c r="Z59" i="3"/>
  <c r="R298" i="3"/>
  <c r="Y59" i="3"/>
  <c r="O180" i="3"/>
  <c r="Q11" i="3"/>
  <c r="AD87" i="3"/>
  <c r="Y215" i="3"/>
  <c r="H32" i="3"/>
  <c r="L98" i="3"/>
  <c r="L279" i="3"/>
  <c r="N61" i="3"/>
  <c r="U64" i="3"/>
  <c r="V70" i="3"/>
  <c r="K125" i="3"/>
  <c r="AD408" i="3"/>
  <c r="AG124" i="3"/>
  <c r="W82" i="3"/>
  <c r="Y75" i="3"/>
  <c r="AA271" i="3"/>
  <c r="K70" i="3"/>
  <c r="J58" i="3"/>
  <c r="V300" i="3"/>
  <c r="V12" i="3"/>
  <c r="M403" i="3"/>
  <c r="AE14" i="3"/>
  <c r="L249" i="3"/>
  <c r="T99" i="3"/>
  <c r="AA244" i="3"/>
  <c r="AK197" i="3"/>
  <c r="I262" i="3"/>
  <c r="T291" i="3"/>
  <c r="AH181" i="3"/>
  <c r="F128" i="3"/>
  <c r="F52" i="3"/>
  <c r="F275" i="3"/>
  <c r="V396" i="3"/>
  <c r="R375" i="3"/>
  <c r="N366" i="3"/>
  <c r="S360" i="3"/>
  <c r="S405" i="3"/>
  <c r="AD387" i="3"/>
  <c r="R389" i="3"/>
  <c r="L360" i="3"/>
  <c r="AE401" i="3"/>
  <c r="W314" i="3"/>
  <c r="L302" i="3"/>
  <c r="AL305" i="3"/>
  <c r="AJ331" i="3"/>
  <c r="K308" i="3"/>
  <c r="P321" i="3"/>
  <c r="AI325" i="3"/>
  <c r="AJ344" i="3"/>
  <c r="Z358" i="3"/>
  <c r="O401" i="3"/>
  <c r="W255" i="3"/>
  <c r="AI272" i="3"/>
  <c r="AL321" i="3"/>
  <c r="O341" i="3"/>
  <c r="AG220" i="3"/>
  <c r="R377" i="3"/>
  <c r="AI232" i="3"/>
  <c r="AD145" i="3"/>
  <c r="L254" i="3"/>
  <c r="R170" i="3"/>
  <c r="AG314" i="3"/>
  <c r="Y210" i="3"/>
  <c r="AD352" i="3"/>
  <c r="P204" i="3"/>
  <c r="AD103" i="3"/>
  <c r="J256" i="3"/>
  <c r="Z153" i="3"/>
  <c r="AK330" i="3"/>
  <c r="AL204" i="3"/>
  <c r="AH119" i="3"/>
  <c r="Q285" i="3"/>
  <c r="AF114" i="3"/>
  <c r="G263" i="3"/>
  <c r="Z139" i="3"/>
  <c r="X54" i="3"/>
  <c r="S223" i="3"/>
  <c r="AG106" i="3"/>
  <c r="AC365" i="3"/>
  <c r="AC190" i="3"/>
  <c r="W80" i="3"/>
  <c r="W282" i="3"/>
  <c r="S105" i="3"/>
  <c r="AA342" i="3"/>
  <c r="AB66" i="3"/>
  <c r="AI23" i="3"/>
  <c r="K215" i="3"/>
  <c r="Z78" i="3"/>
  <c r="Q332" i="3"/>
  <c r="AE144" i="3"/>
  <c r="AG37" i="3"/>
  <c r="W235" i="3"/>
  <c r="W96" i="3"/>
  <c r="AB11" i="3"/>
  <c r="AB143" i="3"/>
  <c r="AD254" i="3"/>
  <c r="S267" i="3"/>
  <c r="I397" i="3"/>
  <c r="J136" i="3"/>
  <c r="AJ166" i="3"/>
  <c r="V266" i="3"/>
  <c r="AK96" i="3"/>
  <c r="Y330" i="3"/>
  <c r="AD85" i="3"/>
  <c r="R294" i="3"/>
  <c r="P58" i="3"/>
  <c r="AE179" i="3"/>
  <c r="M10" i="3"/>
  <c r="O86" i="3"/>
  <c r="AG211" i="3"/>
  <c r="K4" i="3"/>
  <c r="AC43" i="3"/>
  <c r="AD107" i="3"/>
  <c r="J207" i="3"/>
  <c r="V156" i="3"/>
  <c r="T368" i="3"/>
  <c r="AH124" i="3"/>
  <c r="AD21" i="3"/>
  <c r="AB73" i="3"/>
  <c r="W64" i="3"/>
  <c r="AK209" i="3"/>
  <c r="AI126" i="3"/>
  <c r="Y271" i="3"/>
  <c r="X159" i="3"/>
  <c r="AJ394" i="3"/>
  <c r="T107" i="3"/>
  <c r="AE308" i="3"/>
  <c r="AD351" i="3"/>
  <c r="Y123" i="3"/>
  <c r="AL53" i="3"/>
  <c r="U9" i="3"/>
  <c r="K23" i="3"/>
  <c r="AG17" i="3"/>
  <c r="W42" i="3"/>
  <c r="K43" i="3"/>
  <c r="F363" i="3"/>
  <c r="F123" i="3"/>
  <c r="F153" i="3"/>
  <c r="F103" i="3"/>
  <c r="AC408" i="3"/>
  <c r="O397" i="3"/>
  <c r="S409" i="3"/>
  <c r="K401" i="3"/>
  <c r="AG392" i="3"/>
  <c r="P380" i="3"/>
  <c r="N399" i="3"/>
  <c r="AD324" i="3"/>
  <c r="AF389" i="3"/>
  <c r="AJ333" i="3"/>
  <c r="AC340" i="3"/>
  <c r="AE319" i="3"/>
  <c r="P323" i="3"/>
  <c r="Q356" i="3"/>
  <c r="G333" i="3"/>
  <c r="AJ357" i="3"/>
  <c r="Q363" i="3"/>
  <c r="N383" i="3"/>
  <c r="Q267" i="3"/>
  <c r="AC260" i="3"/>
  <c r="Y274" i="3"/>
  <c r="M301" i="3"/>
  <c r="V365" i="3"/>
  <c r="AE249" i="3"/>
  <c r="I239" i="3"/>
  <c r="AH156" i="3"/>
  <c r="AF251" i="3"/>
  <c r="L167" i="3"/>
  <c r="M288" i="3"/>
  <c r="O192" i="3"/>
  <c r="I357" i="3"/>
  <c r="N228" i="3"/>
  <c r="V146" i="3"/>
  <c r="V226" i="3"/>
  <c r="H126" i="3"/>
  <c r="AA299" i="3"/>
  <c r="Y179" i="3"/>
  <c r="H94" i="3"/>
  <c r="AH252" i="3"/>
  <c r="W158" i="3"/>
  <c r="Z81" i="3"/>
  <c r="G224" i="3"/>
  <c r="AG130" i="3"/>
  <c r="AA312" i="3"/>
  <c r="W171" i="3"/>
  <c r="AD70" i="3"/>
  <c r="V222" i="3"/>
  <c r="I106" i="3"/>
  <c r="X347" i="3"/>
  <c r="AE189" i="3"/>
  <c r="Z79" i="3"/>
  <c r="R280" i="3"/>
  <c r="AH153" i="3"/>
  <c r="AC61" i="3"/>
  <c r="H227" i="3"/>
  <c r="O23" i="3"/>
  <c r="V206" i="3"/>
  <c r="Z77" i="3"/>
  <c r="M325" i="3"/>
  <c r="R143" i="3"/>
  <c r="J37" i="3"/>
  <c r="AJ233" i="3"/>
  <c r="W95" i="3"/>
  <c r="L7" i="3"/>
  <c r="I142" i="3"/>
  <c r="AD197" i="3"/>
  <c r="Y266" i="3"/>
  <c r="AL396" i="3"/>
  <c r="AK135" i="3"/>
  <c r="T164" i="3"/>
  <c r="AI359" i="3"/>
  <c r="Z95" i="3"/>
  <c r="U327" i="3"/>
  <c r="U51" i="3"/>
  <c r="AB142" i="3"/>
  <c r="N368" i="3"/>
  <c r="R66" i="3"/>
  <c r="AE49" i="3"/>
  <c r="AD117" i="3"/>
  <c r="R229" i="3"/>
  <c r="P13" i="3"/>
  <c r="Y54" i="3"/>
  <c r="V106" i="3"/>
  <c r="Q365" i="3"/>
  <c r="AE56" i="3"/>
  <c r="S55" i="3"/>
  <c r="H55" i="3"/>
  <c r="H337" i="3"/>
  <c r="AJ15" i="3"/>
  <c r="AD11" i="3"/>
  <c r="L39" i="3"/>
  <c r="P41" i="3"/>
  <c r="AG150" i="3"/>
  <c r="N227" i="3"/>
  <c r="AD96" i="3"/>
  <c r="Y306" i="3"/>
  <c r="AD331" i="3"/>
  <c r="AA104" i="3"/>
  <c r="Y42" i="3"/>
  <c r="T359" i="3"/>
  <c r="AI256" i="3"/>
  <c r="AH281" i="3"/>
  <c r="H40" i="3"/>
  <c r="AB34" i="3"/>
  <c r="F74" i="3"/>
  <c r="F408" i="3"/>
  <c r="F192" i="3"/>
  <c r="I408" i="3"/>
  <c r="X396" i="3"/>
  <c r="P355" i="3"/>
  <c r="AJ364" i="3"/>
  <c r="N377" i="3"/>
  <c r="K392" i="3"/>
  <c r="Q403" i="3"/>
  <c r="H386" i="3"/>
  <c r="Q343" i="3"/>
  <c r="H375" i="3"/>
  <c r="S383" i="3"/>
  <c r="N372" i="3"/>
  <c r="H380" i="3"/>
  <c r="G384" i="3"/>
  <c r="AC282" i="3"/>
  <c r="U305" i="3"/>
  <c r="X285" i="3"/>
  <c r="N298" i="3"/>
  <c r="G296" i="3"/>
  <c r="AD309" i="3"/>
  <c r="M311" i="3"/>
  <c r="Q335" i="3"/>
  <c r="P383" i="3"/>
  <c r="O252" i="3"/>
  <c r="AG294" i="3"/>
  <c r="AK292" i="3"/>
  <c r="AG196" i="3"/>
  <c r="AI315" i="3"/>
  <c r="M209" i="3"/>
  <c r="Z382" i="3"/>
  <c r="AH232" i="3"/>
  <c r="AL146" i="3"/>
  <c r="AH272" i="3"/>
  <c r="Y186" i="3"/>
  <c r="Y289" i="3"/>
  <c r="S173" i="3"/>
  <c r="AI84" i="3"/>
  <c r="AH229" i="3"/>
  <c r="T131" i="3"/>
  <c r="U326" i="3"/>
  <c r="P203" i="3"/>
  <c r="R115" i="3"/>
  <c r="N282" i="3"/>
  <c r="K175" i="3"/>
  <c r="L92" i="3"/>
  <c r="G232" i="3"/>
  <c r="Z89" i="3"/>
  <c r="R301" i="3"/>
  <c r="G158" i="3"/>
  <c r="O62" i="3"/>
  <c r="T249" i="3"/>
  <c r="AH127" i="3"/>
  <c r="L40" i="3"/>
  <c r="G207" i="3"/>
  <c r="AA103" i="3"/>
  <c r="H333" i="3"/>
  <c r="V152" i="3"/>
  <c r="K45" i="3"/>
  <c r="AB245" i="3"/>
  <c r="AB102" i="3"/>
  <c r="G321" i="3"/>
  <c r="K142" i="3"/>
  <c r="Q36" i="3"/>
  <c r="AB232" i="3"/>
  <c r="S94" i="3"/>
  <c r="W6" i="3"/>
  <c r="M96" i="3"/>
  <c r="J150" i="3"/>
  <c r="AA223" i="3"/>
  <c r="AA279" i="3"/>
  <c r="X93" i="3"/>
  <c r="AB115" i="3"/>
  <c r="K351" i="3"/>
  <c r="AI93" i="3"/>
  <c r="AB321" i="3"/>
  <c r="AF82" i="3"/>
  <c r="Z292" i="3"/>
  <c r="T86" i="3"/>
  <c r="T231" i="3"/>
  <c r="R30" i="3"/>
  <c r="AG146" i="3"/>
  <c r="AF297" i="3"/>
  <c r="AL378" i="3"/>
  <c r="Y40" i="3"/>
  <c r="S88" i="3"/>
  <c r="AK201" i="3"/>
  <c r="L131" i="3"/>
  <c r="T325" i="3"/>
  <c r="N118" i="3"/>
  <c r="AH8" i="3"/>
  <c r="AJ71" i="3"/>
  <c r="AB49" i="3"/>
  <c r="V196" i="3"/>
  <c r="L116" i="3"/>
  <c r="AB250" i="3"/>
  <c r="AE405" i="3"/>
  <c r="X397" i="3"/>
  <c r="AF184" i="3"/>
  <c r="AH35" i="3"/>
  <c r="M52" i="3"/>
  <c r="S239" i="3"/>
  <c r="AF295" i="3"/>
  <c r="AJ175" i="3"/>
  <c r="U233" i="3"/>
  <c r="AI290" i="3"/>
  <c r="AD4" i="3"/>
  <c r="T71" i="3"/>
  <c r="AB23" i="3"/>
  <c r="F273" i="3"/>
  <c r="F174" i="3"/>
  <c r="F28" i="3"/>
  <c r="X409" i="3"/>
  <c r="Z407" i="3"/>
  <c r="U399" i="3"/>
  <c r="AD390" i="3"/>
  <c r="AD378" i="3"/>
  <c r="H390" i="3"/>
  <c r="G382" i="3"/>
  <c r="K411" i="3"/>
  <c r="I398" i="3"/>
  <c r="Y312" i="3"/>
  <c r="N300" i="3"/>
  <c r="I304" i="3"/>
  <c r="S323" i="3"/>
  <c r="AH304" i="3"/>
  <c r="AB318" i="3"/>
  <c r="AJ323" i="3"/>
  <c r="P341" i="3"/>
  <c r="AF353" i="3"/>
  <c r="AA378" i="3"/>
  <c r="AC249" i="3"/>
  <c r="T270" i="3"/>
  <c r="AG318" i="3"/>
  <c r="AA291" i="3"/>
  <c r="M196" i="3"/>
  <c r="AC314" i="3"/>
  <c r="X208" i="3"/>
  <c r="K380" i="3"/>
  <c r="M232" i="3"/>
  <c r="R146" i="3"/>
  <c r="AH271" i="3"/>
  <c r="AJ185" i="3"/>
  <c r="I288" i="3"/>
  <c r="X172" i="3"/>
  <c r="O84" i="3"/>
  <c r="L223" i="3"/>
  <c r="AH108" i="3"/>
  <c r="AC277" i="3"/>
  <c r="AI181" i="3"/>
  <c r="Y96" i="3"/>
  <c r="H246" i="3"/>
  <c r="AI147" i="3"/>
  <c r="H401" i="3"/>
  <c r="P198" i="3"/>
  <c r="AG88" i="3"/>
  <c r="AI300" i="3"/>
  <c r="AL157" i="3"/>
  <c r="Z61" i="3"/>
  <c r="AI213" i="3"/>
  <c r="P100" i="3"/>
  <c r="AE344" i="3"/>
  <c r="Y181" i="3"/>
  <c r="U77" i="3"/>
  <c r="K261" i="3"/>
  <c r="Y121" i="3"/>
  <c r="AK21" i="3"/>
  <c r="AG203" i="3"/>
  <c r="AC75" i="3"/>
  <c r="AL320" i="3"/>
  <c r="G141" i="3"/>
  <c r="T32" i="3"/>
  <c r="O231" i="3"/>
  <c r="Q93" i="3"/>
  <c r="AH5" i="3"/>
  <c r="J139" i="3"/>
  <c r="J194" i="3"/>
  <c r="G220" i="3"/>
  <c r="AA275" i="3"/>
  <c r="AE159" i="3"/>
  <c r="AF45" i="3"/>
  <c r="S195" i="3"/>
  <c r="AC32" i="3"/>
  <c r="L184" i="3"/>
  <c r="P214" i="3"/>
  <c r="H21" i="3"/>
  <c r="P102" i="3"/>
  <c r="Q7" i="3"/>
  <c r="L81" i="3"/>
  <c r="X290" i="3"/>
  <c r="V28" i="3"/>
  <c r="AL79" i="3"/>
  <c r="I164" i="3"/>
  <c r="Q302" i="3"/>
  <c r="AL11" i="3"/>
  <c r="W205" i="3"/>
  <c r="AC179" i="3"/>
  <c r="Z147" i="3"/>
  <c r="AF227" i="3"/>
  <c r="I113" i="3"/>
  <c r="U187" i="3"/>
  <c r="AJ115" i="3"/>
  <c r="Y249" i="3"/>
  <c r="AI314" i="3"/>
  <c r="Z308" i="3"/>
  <c r="U158" i="3"/>
  <c r="AF150" i="3"/>
  <c r="AD235" i="3"/>
  <c r="Z263" i="3"/>
  <c r="M66" i="3"/>
  <c r="AI33" i="3"/>
  <c r="Z359" i="3"/>
  <c r="O181" i="3"/>
  <c r="G245" i="3"/>
  <c r="Y27" i="3"/>
  <c r="AG283" i="3"/>
  <c r="AI13" i="3"/>
  <c r="P16" i="3"/>
  <c r="F323" i="3"/>
  <c r="F348" i="3"/>
  <c r="F305" i="3"/>
  <c r="G411" i="3"/>
  <c r="AE372" i="3"/>
  <c r="T382" i="3"/>
  <c r="AJ375" i="3"/>
  <c r="J390" i="3"/>
  <c r="AK377" i="3"/>
  <c r="O389" i="3"/>
  <c r="AL381" i="3"/>
  <c r="AE410" i="3"/>
  <c r="AH397" i="3"/>
  <c r="AJ311" i="3"/>
  <c r="Y299" i="3"/>
  <c r="AI298" i="3"/>
  <c r="Z322" i="3"/>
  <c r="AJ330" i="3"/>
  <c r="Q392" i="3"/>
  <c r="AH399" i="3"/>
  <c r="Z276" i="3"/>
  <c r="T288" i="3"/>
  <c r="AJ278" i="3"/>
  <c r="X296" i="3"/>
  <c r="U324" i="3"/>
  <c r="O228" i="3"/>
  <c r="M266" i="3"/>
  <c r="U262" i="3"/>
  <c r="P313" i="3"/>
  <c r="AI207" i="3"/>
  <c r="AK379" i="3"/>
  <c r="AC226" i="3"/>
  <c r="AC145" i="3"/>
  <c r="AI270" i="3"/>
  <c r="P185" i="3"/>
  <c r="W326" i="3"/>
  <c r="N195" i="3"/>
  <c r="L101" i="3"/>
  <c r="J253" i="3"/>
  <c r="Q150" i="3"/>
  <c r="Q387" i="3"/>
  <c r="AF219" i="3"/>
  <c r="AJ134" i="3"/>
  <c r="AH318" i="3"/>
  <c r="O195" i="3"/>
  <c r="AH110" i="3"/>
  <c r="W224" i="3"/>
  <c r="Y113" i="3"/>
  <c r="W366" i="3"/>
  <c r="AD184" i="3"/>
  <c r="K83" i="3"/>
  <c r="AI285" i="3"/>
  <c r="Y152" i="3"/>
  <c r="T56" i="3"/>
  <c r="Z237" i="3"/>
  <c r="G122" i="3"/>
  <c r="R38" i="3"/>
  <c r="V190" i="3"/>
  <c r="U63" i="3"/>
  <c r="Q291" i="3"/>
  <c r="N127" i="3"/>
  <c r="Y28" i="3"/>
  <c r="I215" i="3"/>
  <c r="AB80" i="3"/>
  <c r="S353" i="3"/>
  <c r="T158" i="3"/>
  <c r="AC42" i="3"/>
  <c r="M227" i="3"/>
  <c r="AI302" i="3"/>
  <c r="I104" i="3"/>
  <c r="Z169" i="3"/>
  <c r="Y223" i="3"/>
  <c r="J280" i="3"/>
  <c r="P70" i="3"/>
  <c r="H63" i="3"/>
  <c r="AH231" i="3"/>
  <c r="L80" i="3"/>
  <c r="M211" i="3"/>
  <c r="L20" i="3"/>
  <c r="M100" i="3"/>
  <c r="N262" i="3"/>
  <c r="V44" i="3"/>
  <c r="Q110" i="3"/>
  <c r="P222" i="3"/>
  <c r="AE9" i="3"/>
  <c r="K50" i="3"/>
  <c r="K98" i="3"/>
  <c r="AG235" i="3"/>
  <c r="S38" i="3"/>
  <c r="AE51" i="3"/>
  <c r="I314" i="3"/>
  <c r="AJ11" i="3"/>
  <c r="O387" i="3"/>
  <c r="X20" i="3"/>
  <c r="R33" i="3"/>
  <c r="AH126" i="3"/>
  <c r="P202" i="3"/>
  <c r="AD84" i="3"/>
  <c r="AD251" i="3"/>
  <c r="AK297" i="3"/>
  <c r="AF65" i="3"/>
  <c r="AA27" i="3"/>
  <c r="AG216" i="3"/>
  <c r="Z144" i="3"/>
  <c r="AA128" i="3"/>
  <c r="T256" i="3"/>
  <c r="AG18" i="3"/>
  <c r="F241" i="3"/>
  <c r="F327" i="3"/>
  <c r="F169" i="3"/>
  <c r="F259" i="3"/>
  <c r="K408" i="3"/>
  <c r="R394" i="3"/>
  <c r="AJ405" i="3"/>
  <c r="AJ397" i="3"/>
  <c r="U389" i="3"/>
  <c r="O371" i="3"/>
  <c r="V388" i="3"/>
  <c r="N381" i="3"/>
  <c r="N409" i="3"/>
  <c r="AF396" i="3"/>
  <c r="P311" i="3"/>
  <c r="AJ298" i="3"/>
  <c r="O298" i="3"/>
  <c r="AH321" i="3"/>
  <c r="P303" i="3"/>
  <c r="AK316" i="3"/>
  <c r="I322" i="3"/>
  <c r="AI339" i="3"/>
  <c r="AK339" i="3"/>
  <c r="AA375" i="3"/>
  <c r="T248" i="3"/>
  <c r="AK268" i="3"/>
  <c r="AA316" i="3"/>
  <c r="AL334" i="3"/>
  <c r="Z217" i="3"/>
  <c r="AL350" i="3"/>
  <c r="AD224" i="3"/>
  <c r="W142" i="3"/>
  <c r="H250" i="3"/>
  <c r="K167" i="3"/>
  <c r="V309" i="3"/>
  <c r="V203" i="3"/>
  <c r="R324" i="3"/>
  <c r="T194" i="3"/>
  <c r="W100" i="3"/>
  <c r="G282" i="3"/>
  <c r="AA197" i="3"/>
  <c r="AL125" i="3"/>
  <c r="Q322" i="3"/>
  <c r="T113" i="3"/>
  <c r="O272" i="3"/>
  <c r="Y172" i="3"/>
  <c r="U89" i="3"/>
  <c r="W223" i="3"/>
  <c r="AG111" i="3"/>
  <c r="AD365" i="3"/>
  <c r="X183" i="3"/>
  <c r="R77" i="3"/>
  <c r="N284" i="3"/>
  <c r="V151" i="3"/>
  <c r="AE55" i="3"/>
  <c r="Y236" i="3"/>
  <c r="AG121" i="3"/>
  <c r="AC37" i="3"/>
  <c r="X182" i="3"/>
  <c r="AA62" i="3"/>
  <c r="AG288" i="3"/>
  <c r="K126" i="3"/>
  <c r="AJ27" i="3"/>
  <c r="AI214" i="3"/>
  <c r="W79" i="3"/>
  <c r="P325" i="3"/>
  <c r="L157" i="3"/>
  <c r="AJ41" i="3"/>
  <c r="AE181" i="3"/>
  <c r="M236" i="3"/>
  <c r="G312" i="3"/>
  <c r="AK128" i="3"/>
  <c r="AL167" i="3"/>
  <c r="G209" i="3"/>
  <c r="AB16" i="3"/>
  <c r="L134" i="3"/>
  <c r="Q9" i="3"/>
  <c r="P122" i="3"/>
  <c r="I363" i="3"/>
  <c r="Z82" i="3"/>
  <c r="J223" i="3"/>
  <c r="U27" i="3"/>
  <c r="AB127" i="3"/>
  <c r="AJ288" i="3"/>
  <c r="J146" i="3"/>
  <c r="P245" i="3"/>
  <c r="L11" i="3"/>
  <c r="AF53" i="3"/>
  <c r="AK36" i="3"/>
  <c r="Y258" i="3"/>
  <c r="Y6" i="3"/>
  <c r="L72" i="3"/>
  <c r="M172" i="3"/>
  <c r="P31" i="3"/>
  <c r="I40" i="3"/>
  <c r="AC185" i="3"/>
  <c r="AJ7" i="3"/>
  <c r="AH30" i="3"/>
  <c r="O211" i="3"/>
  <c r="AJ374" i="3"/>
  <c r="X226" i="3"/>
  <c r="R249" i="3"/>
  <c r="X230" i="3"/>
  <c r="AH33" i="3"/>
  <c r="AK126" i="3"/>
  <c r="AC341" i="3"/>
  <c r="AF223" i="3"/>
  <c r="AG276" i="3"/>
  <c r="AF212" i="3"/>
  <c r="F284" i="3"/>
  <c r="F353" i="3"/>
  <c r="F383" i="3"/>
  <c r="P410" i="3"/>
  <c r="V371" i="3"/>
  <c r="AL340" i="3"/>
  <c r="N410" i="3"/>
  <c r="L344" i="3"/>
  <c r="Y408" i="3"/>
  <c r="G340" i="3"/>
  <c r="AI371" i="3"/>
  <c r="AD353" i="3"/>
  <c r="AC363" i="3"/>
  <c r="AA344" i="3"/>
  <c r="AB342" i="3"/>
  <c r="J384" i="3"/>
  <c r="AK357" i="3"/>
  <c r="S388" i="3"/>
  <c r="Z397" i="3"/>
  <c r="O275" i="3"/>
  <c r="W281" i="3"/>
  <c r="AI277" i="3"/>
  <c r="AE294" i="3"/>
  <c r="AK322" i="3"/>
  <c r="AK226" i="3"/>
  <c r="AL284" i="3"/>
  <c r="O288" i="3"/>
  <c r="I171" i="3"/>
  <c r="AC271" i="3"/>
  <c r="AI183" i="3"/>
  <c r="AI316" i="3"/>
  <c r="N207" i="3"/>
  <c r="P126" i="3"/>
  <c r="G184" i="3"/>
  <c r="L282" i="3"/>
  <c r="I170" i="3"/>
  <c r="AF77" i="3"/>
  <c r="AL251" i="3"/>
  <c r="Z148" i="3"/>
  <c r="I379" i="3"/>
  <c r="AL218" i="3"/>
  <c r="T111" i="3"/>
  <c r="AJ270" i="3"/>
  <c r="N146" i="3"/>
  <c r="AB388" i="3"/>
  <c r="K195" i="3"/>
  <c r="S86" i="3"/>
  <c r="P284" i="3"/>
  <c r="G102" i="3"/>
  <c r="T43" i="3"/>
  <c r="AJ210" i="3"/>
  <c r="AG75" i="3"/>
  <c r="I271" i="3"/>
  <c r="AA142" i="3"/>
  <c r="V58" i="3"/>
  <c r="S220" i="3"/>
  <c r="AK86" i="3"/>
  <c r="W375" i="3"/>
  <c r="AJ164" i="3"/>
  <c r="AH45" i="3"/>
  <c r="AJ248" i="3"/>
  <c r="AJ109" i="3"/>
  <c r="AH12" i="3"/>
  <c r="N189" i="3"/>
  <c r="AI61" i="3"/>
  <c r="I293" i="3"/>
  <c r="X190" i="3"/>
  <c r="I257" i="3"/>
  <c r="T348" i="3"/>
  <c r="AF128" i="3"/>
  <c r="X152" i="3"/>
  <c r="AI15" i="3"/>
  <c r="AK131" i="3"/>
  <c r="W8" i="3"/>
  <c r="AC120" i="3"/>
  <c r="AF362" i="3"/>
  <c r="N81" i="3"/>
  <c r="Z222" i="3"/>
  <c r="Q191" i="3"/>
  <c r="P11" i="3"/>
  <c r="AH55" i="3"/>
  <c r="X215" i="3"/>
  <c r="Z36" i="3"/>
  <c r="AB157" i="3"/>
  <c r="Y277" i="3"/>
  <c r="L52" i="3"/>
  <c r="W35" i="3"/>
  <c r="AJ30" i="3"/>
  <c r="AC49" i="3"/>
  <c r="AE301" i="3"/>
  <c r="U62" i="3"/>
  <c r="G44" i="3"/>
  <c r="N124" i="3"/>
  <c r="L104" i="3"/>
  <c r="X220" i="3"/>
  <c r="AD14" i="3"/>
  <c r="AA209" i="3"/>
  <c r="N249" i="3"/>
  <c r="AE185" i="3"/>
  <c r="T238" i="3"/>
  <c r="H222" i="3"/>
  <c r="Z23" i="3"/>
  <c r="H29" i="3"/>
  <c r="T79" i="3"/>
  <c r="J138" i="3"/>
  <c r="AC207" i="3"/>
  <c r="AH353" i="3"/>
  <c r="F188" i="3"/>
  <c r="F350" i="3"/>
  <c r="F342" i="3"/>
  <c r="F215" i="3"/>
  <c r="AH408" i="3"/>
  <c r="V369" i="3"/>
  <c r="V380" i="3"/>
  <c r="G374" i="3"/>
  <c r="AA383" i="3"/>
  <c r="AH368" i="3"/>
  <c r="AE386" i="3"/>
  <c r="X379" i="3"/>
  <c r="Z406" i="3"/>
  <c r="T394" i="3"/>
  <c r="G310" i="3"/>
  <c r="AE293" i="3"/>
  <c r="AK296" i="3"/>
  <c r="W320" i="3"/>
  <c r="AH301" i="3"/>
  <c r="T315" i="3"/>
  <c r="Q320" i="3"/>
  <c r="K330" i="3"/>
  <c r="AB336" i="3"/>
  <c r="Q371" i="3"/>
  <c r="K247" i="3"/>
  <c r="W267" i="3"/>
  <c r="Y314" i="3"/>
  <c r="Y331" i="3"/>
  <c r="AF211" i="3"/>
  <c r="AJ346" i="3"/>
  <c r="U223" i="3"/>
  <c r="N141" i="3"/>
  <c r="W248" i="3"/>
  <c r="AG165" i="3"/>
  <c r="AG297" i="3"/>
  <c r="M202" i="3"/>
  <c r="Z320" i="3"/>
  <c r="AC192" i="3"/>
  <c r="N99" i="3"/>
  <c r="AD250" i="3"/>
  <c r="AG147" i="3"/>
  <c r="AF374" i="3"/>
  <c r="J218" i="3"/>
  <c r="G128" i="3"/>
  <c r="Z313" i="3"/>
  <c r="AD192" i="3"/>
  <c r="AC105" i="3"/>
  <c r="W256" i="3"/>
  <c r="G134" i="3"/>
  <c r="AD44" i="3"/>
  <c r="AE209" i="3"/>
  <c r="AL101" i="3"/>
  <c r="T330" i="3"/>
  <c r="AC175" i="3"/>
  <c r="M75" i="3"/>
  <c r="S269" i="3"/>
  <c r="W141" i="3"/>
  <c r="AK53" i="3"/>
  <c r="G219" i="3"/>
  <c r="AJ85" i="3"/>
  <c r="Z368" i="3"/>
  <c r="AD163" i="3"/>
  <c r="J45" i="3"/>
  <c r="S247" i="3"/>
  <c r="AF103" i="3"/>
  <c r="N12" i="3"/>
  <c r="I188" i="3"/>
  <c r="S40" i="3"/>
  <c r="I220" i="3"/>
  <c r="AK282" i="3"/>
  <c r="K100" i="3"/>
  <c r="W164" i="3"/>
  <c r="K206" i="3"/>
  <c r="M271" i="3"/>
  <c r="I67" i="3"/>
  <c r="O237" i="3"/>
  <c r="AC54" i="3"/>
  <c r="G225" i="3"/>
  <c r="AF43" i="3"/>
  <c r="S191" i="3"/>
  <c r="AK17" i="3"/>
  <c r="AH95" i="3"/>
  <c r="V251" i="3"/>
  <c r="L10" i="3"/>
  <c r="Q54" i="3"/>
  <c r="AI142" i="3"/>
  <c r="T237" i="3"/>
  <c r="AG9" i="3"/>
  <c r="V42" i="3"/>
  <c r="AL33" i="3"/>
  <c r="R248" i="3"/>
  <c r="AB334" i="3"/>
  <c r="P66" i="3"/>
  <c r="AG168" i="3"/>
  <c r="Z14" i="3"/>
  <c r="P408" i="3"/>
  <c r="AD150" i="3"/>
  <c r="AJ297" i="3"/>
  <c r="AD22" i="3"/>
  <c r="H202" i="3"/>
  <c r="AF317" i="3"/>
  <c r="AD194" i="3"/>
  <c r="J149" i="3"/>
  <c r="AD212" i="3"/>
  <c r="S15" i="3"/>
  <c r="X372" i="3"/>
  <c r="AA41" i="3"/>
  <c r="T94" i="3"/>
  <c r="S9" i="3"/>
  <c r="AL121" i="3"/>
  <c r="F140" i="3"/>
  <c r="F61" i="3"/>
  <c r="F310" i="3"/>
  <c r="Y403" i="3"/>
  <c r="AG368" i="3"/>
  <c r="AC361" i="3"/>
  <c r="R351" i="3"/>
  <c r="AH342" i="3"/>
  <c r="T406" i="3"/>
  <c r="N339" i="3"/>
  <c r="L411" i="3"/>
  <c r="AH351" i="3"/>
  <c r="Q361" i="3"/>
  <c r="AC335" i="3"/>
  <c r="AA340" i="3"/>
  <c r="X381" i="3"/>
  <c r="AB355" i="3"/>
  <c r="AC384" i="3"/>
  <c r="J394" i="3"/>
  <c r="K269" i="3"/>
  <c r="L280" i="3"/>
  <c r="Q276" i="3"/>
  <c r="AH292" i="3"/>
  <c r="AF320" i="3"/>
  <c r="AB225" i="3"/>
  <c r="H262" i="3"/>
  <c r="P234" i="3"/>
  <c r="Y151" i="3"/>
  <c r="O246" i="3"/>
  <c r="AE158" i="3"/>
  <c r="AI273" i="3"/>
  <c r="N183" i="3"/>
  <c r="O345" i="3"/>
  <c r="X223" i="3"/>
  <c r="AK141" i="3"/>
  <c r="I214" i="3"/>
  <c r="R117" i="3"/>
  <c r="W279" i="3"/>
  <c r="AF166" i="3"/>
  <c r="AH84" i="3"/>
  <c r="AJ245" i="3"/>
  <c r="AI151" i="3"/>
  <c r="I375" i="3"/>
  <c r="Q213" i="3"/>
  <c r="I126" i="3"/>
  <c r="AE295" i="3"/>
  <c r="H158" i="3"/>
  <c r="W65" i="3"/>
  <c r="AL241" i="3"/>
  <c r="AC121" i="3"/>
  <c r="J409" i="3"/>
  <c r="AG208" i="3"/>
  <c r="O96" i="3"/>
  <c r="Q319" i="3"/>
  <c r="AD174" i="3"/>
  <c r="Q53" i="3"/>
  <c r="AF218" i="3"/>
  <c r="AI60" i="3"/>
  <c r="J281" i="3"/>
  <c r="AF123" i="3"/>
  <c r="P21" i="3"/>
  <c r="AA210" i="3"/>
  <c r="AB76" i="3"/>
  <c r="AC315" i="3"/>
  <c r="AK153" i="3"/>
  <c r="V39" i="3"/>
  <c r="W218" i="3"/>
  <c r="AG279" i="3"/>
  <c r="AK98" i="3"/>
  <c r="AJ162" i="3"/>
  <c r="AC205" i="3"/>
  <c r="J268" i="3"/>
  <c r="H66" i="3"/>
  <c r="AA234" i="3"/>
  <c r="W53" i="3"/>
  <c r="AL224" i="3"/>
  <c r="AI42" i="3"/>
  <c r="O188" i="3"/>
  <c r="J17" i="3"/>
  <c r="N94" i="3"/>
  <c r="N247" i="3"/>
  <c r="O33" i="3"/>
  <c r="M103" i="3"/>
  <c r="N208" i="3"/>
  <c r="AA233" i="3"/>
  <c r="AC8" i="3"/>
  <c r="W40" i="3"/>
  <c r="AA32" i="3"/>
  <c r="X246" i="3"/>
  <c r="AF325" i="3"/>
  <c r="M60" i="3"/>
  <c r="Z165" i="3"/>
  <c r="AI11" i="3"/>
  <c r="M407" i="3"/>
  <c r="W114" i="3"/>
  <c r="K226" i="3"/>
  <c r="W20" i="3"/>
  <c r="AL201" i="3"/>
  <c r="AF308" i="3"/>
  <c r="Q149" i="3"/>
  <c r="AL129" i="3"/>
  <c r="M207" i="3"/>
  <c r="AH13" i="3"/>
  <c r="AG234" i="3"/>
  <c r="Y20" i="3"/>
  <c r="AD105" i="3"/>
  <c r="AG74" i="3"/>
  <c r="K30" i="3"/>
  <c r="F92" i="3"/>
  <c r="F238" i="3"/>
  <c r="F93" i="3"/>
  <c r="AB397" i="3"/>
  <c r="AC402" i="3"/>
  <c r="K390" i="3"/>
  <c r="N364" i="3"/>
  <c r="S343" i="3"/>
  <c r="AA359" i="3"/>
  <c r="AD396" i="3"/>
  <c r="AG371" i="3"/>
  <c r="X392" i="3"/>
  <c r="AC371" i="3"/>
  <c r="V377" i="3"/>
  <c r="M278" i="3"/>
  <c r="R392" i="3"/>
  <c r="G276" i="3"/>
  <c r="AL288" i="3"/>
  <c r="AJ312" i="3"/>
  <c r="R369" i="3"/>
  <c r="AJ395" i="3"/>
  <c r="V275" i="3"/>
  <c r="X317" i="3"/>
  <c r="X358" i="3"/>
  <c r="J266" i="3"/>
  <c r="T312" i="3"/>
  <c r="W318" i="3"/>
  <c r="W210" i="3"/>
  <c r="AJ150" i="3"/>
  <c r="AC239" i="3"/>
  <c r="K158" i="3"/>
  <c r="AD272" i="3"/>
  <c r="Y182" i="3"/>
  <c r="O343" i="3"/>
  <c r="Q141" i="3"/>
  <c r="P213" i="3"/>
  <c r="AC116" i="3"/>
  <c r="U331" i="3"/>
  <c r="S189" i="3"/>
  <c r="O123" i="3"/>
  <c r="AG305" i="3"/>
  <c r="AC196" i="3"/>
  <c r="V109" i="3"/>
  <c r="N267" i="3"/>
  <c r="S164" i="3"/>
  <c r="AH86" i="3"/>
  <c r="R218" i="3"/>
  <c r="V104" i="3"/>
  <c r="W354" i="3"/>
  <c r="O179" i="3"/>
  <c r="Y74" i="3"/>
  <c r="N269" i="3"/>
  <c r="S147" i="3"/>
  <c r="M53" i="3"/>
  <c r="AF226" i="3"/>
  <c r="T119" i="3"/>
  <c r="AL404" i="3"/>
  <c r="U175" i="3"/>
  <c r="Q55" i="3"/>
  <c r="Z278" i="3"/>
  <c r="AG122" i="3"/>
  <c r="AA20" i="3"/>
  <c r="T209" i="3"/>
  <c r="AB75" i="3"/>
  <c r="AG312" i="3"/>
  <c r="AH144" i="3"/>
  <c r="AB38" i="3"/>
  <c r="AF216" i="3"/>
  <c r="AA276" i="3"/>
  <c r="Y97" i="3"/>
  <c r="T161" i="3"/>
  <c r="P259" i="3"/>
  <c r="V117" i="3"/>
  <c r="H146" i="3"/>
  <c r="U13" i="3"/>
  <c r="AE126" i="3"/>
  <c r="AC388" i="3"/>
  <c r="Z115" i="3"/>
  <c r="X390" i="3"/>
  <c r="T70" i="3"/>
  <c r="AL216" i="3"/>
  <c r="AF23" i="3"/>
  <c r="AB120" i="3"/>
  <c r="N250" i="3"/>
  <c r="X21" i="3"/>
  <c r="M70" i="3"/>
  <c r="S134" i="3"/>
  <c r="AJ260" i="3"/>
  <c r="I39" i="3"/>
  <c r="Q28" i="3"/>
  <c r="AJ88" i="3"/>
  <c r="T215" i="3"/>
  <c r="V80" i="3"/>
  <c r="T10" i="3"/>
  <c r="P406" i="3"/>
  <c r="AH107" i="3"/>
  <c r="W217" i="3"/>
  <c r="AA19" i="3"/>
  <c r="V158" i="3"/>
  <c r="AG306" i="3"/>
  <c r="AK140" i="3"/>
  <c r="K124" i="3"/>
  <c r="U205" i="3"/>
  <c r="AC6" i="3"/>
  <c r="AJ215" i="3"/>
  <c r="W61" i="3"/>
  <c r="AJ169" i="3"/>
  <c r="F18" i="3"/>
  <c r="F402" i="3"/>
  <c r="F131" i="3"/>
  <c r="F213" i="3"/>
  <c r="P402" i="3"/>
  <c r="AB385" i="3"/>
  <c r="X345" i="3"/>
  <c r="AI355" i="3"/>
  <c r="V389" i="3"/>
  <c r="R382" i="3"/>
  <c r="T366" i="3"/>
  <c r="N385" i="3"/>
  <c r="T400" i="3"/>
  <c r="J374" i="3"/>
  <c r="AL322" i="3"/>
  <c r="S326" i="3"/>
  <c r="AG313" i="3"/>
  <c r="H317" i="3"/>
  <c r="AF339" i="3"/>
  <c r="S320" i="3"/>
  <c r="P337" i="3"/>
  <c r="R343" i="3"/>
  <c r="AD367" i="3"/>
  <c r="AE278" i="3"/>
  <c r="AI303" i="3"/>
  <c r="S365" i="3"/>
  <c r="M245" i="3"/>
  <c r="AH263" i="3"/>
  <c r="J305" i="3"/>
  <c r="P317" i="3"/>
  <c r="AH209" i="3"/>
  <c r="AL342" i="3"/>
  <c r="AF220" i="3"/>
  <c r="P139" i="3"/>
  <c r="N246" i="3"/>
  <c r="AJ181" i="3"/>
  <c r="R341" i="3"/>
  <c r="O222" i="3"/>
  <c r="AI383" i="3"/>
  <c r="V212" i="3"/>
  <c r="I116" i="3"/>
  <c r="V276" i="3"/>
  <c r="AL165" i="3"/>
  <c r="Y83" i="3"/>
  <c r="AD237" i="3"/>
  <c r="M150" i="3"/>
  <c r="Y367" i="3"/>
  <c r="AA211" i="3"/>
  <c r="AB124" i="3"/>
  <c r="W291" i="3"/>
  <c r="AI156" i="3"/>
  <c r="AL60" i="3"/>
  <c r="AG239" i="3"/>
  <c r="K120" i="3"/>
  <c r="AC400" i="3"/>
  <c r="AH206" i="3"/>
  <c r="W94" i="3"/>
  <c r="AH314" i="3"/>
  <c r="Y166" i="3"/>
  <c r="AD72" i="3"/>
  <c r="G249" i="3"/>
  <c r="I108" i="3"/>
  <c r="U17" i="3"/>
  <c r="R228" i="3"/>
  <c r="Q94" i="3"/>
  <c r="AI404" i="3"/>
  <c r="Y132" i="3"/>
  <c r="AI27" i="3"/>
  <c r="Q215" i="3"/>
  <c r="AK85" i="3"/>
  <c r="AG384" i="3"/>
  <c r="O120" i="3"/>
  <c r="O171" i="3"/>
  <c r="AL249" i="3"/>
  <c r="AH258" i="3"/>
  <c r="H365" i="3"/>
  <c r="AA95" i="3"/>
  <c r="T290" i="3"/>
  <c r="AG82" i="3"/>
  <c r="AD274" i="3"/>
  <c r="AI67" i="3"/>
  <c r="Y263" i="3"/>
  <c r="AE39" i="3"/>
  <c r="AF141" i="3"/>
  <c r="AB343" i="3"/>
  <c r="V71" i="3"/>
  <c r="T160" i="3"/>
  <c r="AE288" i="3"/>
  <c r="G32" i="3"/>
  <c r="AJ77" i="3"/>
  <c r="AE148" i="3"/>
  <c r="AE58" i="3"/>
  <c r="AF231" i="3"/>
  <c r="I86" i="3"/>
  <c r="O206" i="3"/>
  <c r="AH36" i="3"/>
  <c r="AG38" i="3"/>
  <c r="O103" i="3"/>
  <c r="AE67" i="3"/>
  <c r="AI171" i="3"/>
  <c r="Z254" i="3"/>
  <c r="K97" i="3"/>
  <c r="L54" i="3"/>
  <c r="O15" i="3"/>
  <c r="Y146" i="3"/>
  <c r="N163" i="3"/>
  <c r="H121" i="3"/>
  <c r="AF345" i="3"/>
  <c r="M87" i="3"/>
  <c r="Q29" i="3"/>
  <c r="AC71" i="3"/>
  <c r="Q151" i="3"/>
  <c r="F204" i="3"/>
  <c r="F75" i="3"/>
  <c r="F37" i="3"/>
  <c r="F399" i="3"/>
  <c r="AA401" i="3"/>
  <c r="H385" i="3"/>
  <c r="AI366" i="3"/>
  <c r="O355" i="3"/>
  <c r="I372" i="3"/>
  <c r="AJ362" i="3"/>
  <c r="H336" i="3"/>
  <c r="J358" i="3"/>
  <c r="N394" i="3"/>
  <c r="H369" i="3"/>
  <c r="AA389" i="3"/>
  <c r="Q368" i="3"/>
  <c r="T374" i="3"/>
  <c r="S272" i="3"/>
  <c r="AL389" i="3"/>
  <c r="Q275" i="3"/>
  <c r="AG304" i="3"/>
  <c r="R311" i="3"/>
  <c r="L325" i="3"/>
  <c r="W332" i="3"/>
  <c r="AF363" i="3"/>
  <c r="X244" i="3"/>
  <c r="N263" i="3"/>
  <c r="N304" i="3"/>
  <c r="AJ315" i="3"/>
  <c r="N209" i="3"/>
  <c r="K341" i="3"/>
  <c r="L220" i="3"/>
  <c r="AA138" i="3"/>
  <c r="AB239" i="3"/>
  <c r="AD158" i="3"/>
  <c r="H293" i="3"/>
  <c r="M198" i="3"/>
  <c r="Y313" i="3"/>
  <c r="T189" i="3"/>
  <c r="AA96" i="3"/>
  <c r="V239" i="3"/>
  <c r="J140" i="3"/>
  <c r="M364" i="3"/>
  <c r="AE214" i="3"/>
  <c r="AK125" i="3"/>
  <c r="I297" i="3"/>
  <c r="U189" i="3"/>
  <c r="K103" i="3"/>
  <c r="Z245" i="3"/>
  <c r="AD129" i="3"/>
  <c r="L42" i="3"/>
  <c r="AA205" i="3"/>
  <c r="X94" i="3"/>
  <c r="I321" i="3"/>
  <c r="U171" i="3"/>
  <c r="H68" i="3"/>
  <c r="I263" i="3"/>
  <c r="AD137" i="3"/>
  <c r="S51" i="3"/>
  <c r="W206" i="3"/>
  <c r="AG81" i="3"/>
  <c r="AF352" i="3"/>
  <c r="J151" i="3"/>
  <c r="AH41" i="3"/>
  <c r="AK240" i="3"/>
  <c r="AA131" i="3"/>
  <c r="O27" i="3"/>
  <c r="AI257" i="3"/>
  <c r="N142" i="3"/>
  <c r="AB57" i="3"/>
  <c r="AF263" i="3"/>
  <c r="AJ118" i="3"/>
  <c r="I129" i="3"/>
  <c r="I248" i="3"/>
  <c r="V327" i="3"/>
  <c r="S157" i="3"/>
  <c r="AH197" i="3"/>
  <c r="W33" i="3"/>
  <c r="AC229" i="3"/>
  <c r="U50" i="3"/>
  <c r="AB206" i="3"/>
  <c r="AF39" i="3"/>
  <c r="AG182" i="3"/>
  <c r="N8" i="3"/>
  <c r="AE87" i="3"/>
  <c r="U237" i="3"/>
  <c r="Q30" i="3"/>
  <c r="AG85" i="3"/>
  <c r="R201" i="3"/>
  <c r="I354" i="3"/>
  <c r="Q34" i="3"/>
  <c r="AE35" i="3"/>
  <c r="AH4" i="3"/>
  <c r="AK237" i="3"/>
  <c r="U294" i="3"/>
  <c r="J31" i="3"/>
  <c r="N157" i="3"/>
  <c r="S266" i="3"/>
  <c r="X399" i="3"/>
  <c r="AK34" i="3"/>
  <c r="X102" i="3"/>
  <c r="AH130" i="3"/>
  <c r="AA273" i="3"/>
  <c r="AA119" i="3"/>
  <c r="J85" i="3"/>
  <c r="AG180" i="3"/>
  <c r="R123" i="3"/>
  <c r="T62" i="3"/>
  <c r="W46" i="3"/>
  <c r="R79" i="3"/>
  <c r="S83" i="3"/>
  <c r="F36" i="3"/>
  <c r="F283" i="3"/>
  <c r="F219" i="3"/>
  <c r="F167" i="3"/>
  <c r="G401" i="3"/>
  <c r="O344" i="3"/>
  <c r="K337" i="3"/>
  <c r="I348" i="3"/>
  <c r="P340" i="3"/>
  <c r="S402" i="3"/>
  <c r="AK335" i="3"/>
  <c r="AI406" i="3"/>
  <c r="I341" i="3"/>
  <c r="V350" i="3"/>
  <c r="AB332" i="3"/>
  <c r="AC336" i="3"/>
  <c r="R376" i="3"/>
  <c r="AI351" i="3"/>
  <c r="R372" i="3"/>
  <c r="AC377" i="3"/>
  <c r="X266" i="3"/>
  <c r="T277" i="3"/>
  <c r="AK272" i="3"/>
  <c r="S289" i="3"/>
  <c r="X316" i="3"/>
  <c r="L340" i="3"/>
  <c r="AJ254" i="3"/>
  <c r="J250" i="3"/>
  <c r="M167" i="3"/>
  <c r="AL266" i="3"/>
  <c r="H180" i="3"/>
  <c r="AB298" i="3"/>
  <c r="I198" i="3"/>
  <c r="AD400" i="3"/>
  <c r="U238" i="3"/>
  <c r="AJ156" i="3"/>
  <c r="W239" i="3"/>
  <c r="K137" i="3"/>
  <c r="X313" i="3"/>
  <c r="AJ186" i="3"/>
  <c r="AG99" i="3"/>
  <c r="I267" i="3"/>
  <c r="AL169" i="3"/>
  <c r="T87" i="3"/>
  <c r="AH236" i="3"/>
  <c r="T142" i="3"/>
  <c r="AH347" i="3"/>
  <c r="W182" i="3"/>
  <c r="T81" i="3"/>
  <c r="R274" i="3"/>
  <c r="U142" i="3"/>
  <c r="AF55" i="3"/>
  <c r="AJ231" i="3"/>
  <c r="P114" i="3"/>
  <c r="Q378" i="3"/>
  <c r="Q197" i="3"/>
  <c r="U71" i="3"/>
  <c r="U247" i="3"/>
  <c r="AE106" i="3"/>
  <c r="P12" i="3"/>
  <c r="AE191" i="3"/>
  <c r="AG61" i="3"/>
  <c r="AG285" i="3"/>
  <c r="T130" i="3"/>
  <c r="R256" i="3"/>
  <c r="N111" i="3"/>
  <c r="AG16" i="3"/>
  <c r="Z157" i="3"/>
  <c r="AB223" i="3"/>
  <c r="J297" i="3"/>
  <c r="Z109" i="3"/>
  <c r="O153" i="3"/>
  <c r="T195" i="3"/>
  <c r="AD32" i="3"/>
  <c r="AI166" i="3"/>
  <c r="P157" i="3"/>
  <c r="Y12" i="3"/>
  <c r="AC118" i="3"/>
  <c r="U285" i="3"/>
  <c r="AF49" i="3"/>
  <c r="U234" i="3"/>
  <c r="AA68" i="3"/>
  <c r="N153" i="3"/>
  <c r="J279" i="3"/>
  <c r="AG22" i="3"/>
  <c r="AD74" i="3"/>
  <c r="P140" i="3"/>
  <c r="V23" i="3"/>
  <c r="L201" i="3"/>
  <c r="Q83" i="3"/>
  <c r="V187" i="3"/>
  <c r="G17" i="3"/>
  <c r="Y35" i="3"/>
  <c r="O85" i="3"/>
  <c r="AB64" i="3"/>
  <c r="L149" i="3"/>
  <c r="J239" i="3"/>
  <c r="O54" i="3"/>
  <c r="AF12" i="3"/>
  <c r="J119" i="3"/>
  <c r="I158" i="3"/>
  <c r="G117" i="3"/>
  <c r="R285" i="3"/>
  <c r="AI6" i="3"/>
  <c r="V9" i="3"/>
  <c r="L84" i="3"/>
  <c r="AK215" i="3"/>
  <c r="O225" i="3"/>
  <c r="F58" i="3"/>
  <c r="AD402" i="3"/>
  <c r="T356" i="3"/>
  <c r="AJ320" i="3"/>
  <c r="AG365" i="3"/>
  <c r="AB335" i="3"/>
  <c r="AE374" i="3"/>
  <c r="S386" i="3"/>
  <c r="W292" i="3"/>
  <c r="AL303" i="3"/>
  <c r="W339" i="3"/>
  <c r="H410" i="3"/>
  <c r="W369" i="3"/>
  <c r="M272" i="3"/>
  <c r="V288" i="3"/>
  <c r="O352" i="3"/>
  <c r="N239" i="3"/>
  <c r="AK278" i="3"/>
  <c r="T279" i="3"/>
  <c r="N185" i="3"/>
  <c r="AG338" i="3"/>
  <c r="Z291" i="3"/>
  <c r="AH218" i="3"/>
  <c r="O407" i="3"/>
  <c r="AD268" i="3"/>
  <c r="T197" i="3"/>
  <c r="AA396" i="3"/>
  <c r="AA257" i="3"/>
  <c r="AC173" i="3"/>
  <c r="J310" i="3"/>
  <c r="AG187" i="3"/>
  <c r="K114" i="3"/>
  <c r="U273" i="3"/>
  <c r="W163" i="3"/>
  <c r="AA81" i="3"/>
  <c r="J235" i="3"/>
  <c r="Y124" i="3"/>
  <c r="V295" i="3"/>
  <c r="G410" i="3"/>
  <c r="AE397" i="3"/>
  <c r="L395" i="3"/>
  <c r="AE408" i="3"/>
  <c r="AD398" i="3"/>
  <c r="W380" i="3"/>
  <c r="AH357" i="3"/>
  <c r="AH335" i="3"/>
  <c r="L390" i="3"/>
  <c r="W367" i="3"/>
  <c r="AD350" i="3"/>
  <c r="U403" i="3"/>
  <c r="Q384" i="3"/>
  <c r="AB361" i="3"/>
  <c r="M344" i="3"/>
  <c r="AK394" i="3"/>
  <c r="M377" i="3"/>
  <c r="X354" i="3"/>
  <c r="I337" i="3"/>
  <c r="AD382" i="3"/>
  <c r="L354" i="3"/>
  <c r="Q331" i="3"/>
  <c r="P389" i="3"/>
  <c r="R402" i="3"/>
  <c r="V374" i="3"/>
  <c r="R352" i="3"/>
  <c r="AB326" i="3"/>
  <c r="AD392" i="3"/>
  <c r="AB365" i="3"/>
  <c r="AA386" i="3"/>
  <c r="L393" i="3"/>
  <c r="I368" i="3"/>
  <c r="AG387" i="3"/>
  <c r="AK360" i="3"/>
  <c r="P336" i="3"/>
  <c r="O404" i="3"/>
  <c r="M376" i="3"/>
  <c r="N373" i="3"/>
  <c r="AF343" i="3"/>
  <c r="AF315" i="3"/>
  <c r="AL393" i="3"/>
  <c r="U353" i="3"/>
  <c r="J327" i="3"/>
  <c r="U303" i="3"/>
  <c r="AK399" i="3"/>
  <c r="K358" i="3"/>
  <c r="Y325" i="3"/>
  <c r="AA306" i="3"/>
  <c r="AA284" i="3"/>
  <c r="H409" i="3"/>
  <c r="R359" i="3"/>
  <c r="AD332" i="3"/>
  <c r="AD308" i="3"/>
  <c r="AA379" i="3"/>
  <c r="G335" i="3"/>
  <c r="AB314" i="3"/>
  <c r="H289" i="3"/>
  <c r="X270" i="3"/>
  <c r="AG361" i="3"/>
  <c r="J323" i="3"/>
  <c r="T300" i="3"/>
  <c r="Q277" i="3"/>
  <c r="Z367" i="3"/>
  <c r="AC327" i="3"/>
  <c r="AK303" i="3"/>
  <c r="G280" i="3"/>
  <c r="AE402" i="3"/>
  <c r="L347" i="3"/>
  <c r="AE318" i="3"/>
  <c r="Y292" i="3"/>
  <c r="AL273" i="3"/>
  <c r="G360" i="3"/>
  <c r="Y315" i="3"/>
  <c r="N290" i="3"/>
  <c r="G262" i="3"/>
  <c r="AC407" i="3"/>
  <c r="J340" i="3"/>
  <c r="N308" i="3"/>
  <c r="I277" i="3"/>
  <c r="AF256" i="3"/>
  <c r="P390" i="3"/>
  <c r="S344" i="3"/>
  <c r="AG303" i="3"/>
  <c r="W280" i="3"/>
  <c r="AG254" i="3"/>
  <c r="K232" i="3"/>
  <c r="W371" i="3"/>
  <c r="O323" i="3"/>
  <c r="X298" i="3"/>
  <c r="AA270" i="3"/>
  <c r="AC251" i="3"/>
  <c r="M345" i="3"/>
  <c r="AB304" i="3"/>
  <c r="AI269" i="3"/>
  <c r="P246" i="3"/>
  <c r="AG222" i="3"/>
  <c r="R205" i="3"/>
  <c r="G182" i="3"/>
  <c r="AF158" i="3"/>
  <c r="AA382" i="3"/>
  <c r="H320" i="3"/>
  <c r="I285" i="3"/>
  <c r="Q254" i="3"/>
  <c r="O234" i="3"/>
  <c r="AE211" i="3"/>
  <c r="AJ192" i="3"/>
  <c r="J169" i="3"/>
  <c r="X151" i="3"/>
  <c r="AF392" i="3"/>
  <c r="AF338" i="3"/>
  <c r="Y291" i="3"/>
  <c r="AG255" i="3"/>
  <c r="Y235" i="3"/>
  <c r="S212" i="3"/>
  <c r="M194" i="3"/>
  <c r="G171" i="3"/>
  <c r="U153" i="3"/>
  <c r="U131" i="3"/>
  <c r="AA380" i="3"/>
  <c r="G316" i="3"/>
  <c r="AE283" i="3"/>
  <c r="W253" i="3"/>
  <c r="R234" i="3"/>
  <c r="AH211" i="3"/>
  <c r="L189" i="3"/>
  <c r="V170" i="3"/>
  <c r="T148" i="3"/>
  <c r="AB357" i="3"/>
  <c r="H294" i="3"/>
  <c r="M258" i="3"/>
  <c r="J229" i="3"/>
  <c r="AG205" i="3"/>
  <c r="AA153" i="3"/>
  <c r="I128" i="3"/>
  <c r="X109" i="3"/>
  <c r="V87" i="3"/>
  <c r="J355" i="3"/>
  <c r="U304" i="3"/>
  <c r="H258" i="3"/>
  <c r="Q233" i="3"/>
  <c r="O204" i="3"/>
  <c r="K182" i="3"/>
  <c r="J156" i="3"/>
  <c r="AK134" i="3"/>
  <c r="U113" i="3"/>
  <c r="AK95" i="3"/>
  <c r="I79" i="3"/>
  <c r="X333" i="3"/>
  <c r="O292" i="3"/>
  <c r="AL254" i="3"/>
  <c r="AA230" i="3"/>
  <c r="AE205" i="3"/>
  <c r="R185" i="3"/>
  <c r="AJ165" i="3"/>
  <c r="Q139" i="3"/>
  <c r="M121" i="3"/>
  <c r="AF99" i="3"/>
  <c r="X83" i="3"/>
  <c r="Z331" i="3"/>
  <c r="AD289" i="3"/>
  <c r="N255" i="3"/>
  <c r="W226" i="3"/>
  <c r="AH205" i="3"/>
  <c r="AA179" i="3"/>
  <c r="I157" i="3"/>
  <c r="AH132" i="3"/>
  <c r="J116" i="3"/>
  <c r="Z98" i="3"/>
  <c r="AG77" i="3"/>
  <c r="V330" i="3"/>
  <c r="AC267" i="3"/>
  <c r="W236" i="3"/>
  <c r="Z204" i="3"/>
  <c r="AB174" i="3"/>
  <c r="U147" i="3"/>
  <c r="U118" i="3"/>
  <c r="AL97" i="3"/>
  <c r="AB72" i="3"/>
  <c r="AG55" i="3"/>
  <c r="AD394" i="3"/>
  <c r="V312" i="3"/>
  <c r="AK262" i="3"/>
  <c r="W225" i="3"/>
  <c r="N197" i="3"/>
  <c r="O162" i="3"/>
  <c r="AF136" i="3"/>
  <c r="AF107" i="3"/>
  <c r="AI87" i="3"/>
  <c r="AC68" i="3"/>
  <c r="AG369" i="3"/>
  <c r="P297" i="3"/>
  <c r="AK254" i="3"/>
  <c r="O219" i="3"/>
  <c r="H192" i="3"/>
  <c r="M164" i="3"/>
  <c r="P131" i="3"/>
  <c r="Q109" i="3"/>
  <c r="K82" i="3"/>
  <c r="W63" i="3"/>
  <c r="AD42" i="3"/>
  <c r="AF355" i="3"/>
  <c r="AH297" i="3"/>
  <c r="AC245" i="3"/>
  <c r="M216" i="3"/>
  <c r="AE186" i="3"/>
  <c r="M158" i="3"/>
  <c r="M127" i="3"/>
  <c r="K107" i="3"/>
  <c r="AB85" i="3"/>
  <c r="G63" i="3"/>
  <c r="U45" i="3"/>
  <c r="AL347" i="3"/>
  <c r="G279" i="3"/>
  <c r="N231" i="3"/>
  <c r="P197" i="3"/>
  <c r="AK164" i="3"/>
  <c r="H125" i="3"/>
  <c r="AC100" i="3"/>
  <c r="R68" i="3"/>
  <c r="I9" i="3"/>
  <c r="H321" i="3"/>
  <c r="AA252" i="3"/>
  <c r="AD217" i="3"/>
  <c r="T175" i="3"/>
  <c r="L142" i="3"/>
  <c r="AD106" i="3"/>
  <c r="AC80" i="3"/>
  <c r="Z57" i="3"/>
  <c r="U32" i="3"/>
  <c r="V15" i="3"/>
  <c r="X342" i="3"/>
  <c r="S273" i="3"/>
  <c r="O224" i="3"/>
  <c r="P190" i="3"/>
  <c r="Y156" i="3"/>
  <c r="Q118" i="3"/>
  <c r="G92" i="3"/>
  <c r="AF61" i="3"/>
  <c r="S39" i="3"/>
  <c r="H18" i="3"/>
  <c r="T378" i="3"/>
  <c r="N296" i="3"/>
  <c r="O238" i="3"/>
  <c r="O205" i="3"/>
  <c r="G165" i="3"/>
  <c r="AB132" i="3"/>
  <c r="AB98" i="3"/>
  <c r="N74" i="3"/>
  <c r="J52" i="3"/>
  <c r="AA28" i="3"/>
  <c r="AK12" i="3"/>
  <c r="I316" i="3"/>
  <c r="M250" i="3"/>
  <c r="L194" i="3"/>
  <c r="AC146" i="3"/>
  <c r="S108" i="3"/>
  <c r="H316" i="3"/>
  <c r="W259" i="3"/>
  <c r="AI202" i="3"/>
  <c r="N159" i="3"/>
  <c r="AD113" i="3"/>
  <c r="AK355" i="3"/>
  <c r="AB285" i="3"/>
  <c r="Z228" i="3"/>
  <c r="X188" i="3"/>
  <c r="T137" i="3"/>
  <c r="S101" i="3"/>
  <c r="AG289" i="3"/>
  <c r="R232" i="3"/>
  <c r="V188" i="3"/>
  <c r="AL138" i="3"/>
  <c r="G104" i="3"/>
  <c r="O305" i="3"/>
  <c r="L232" i="3"/>
  <c r="AI170" i="3"/>
  <c r="R122" i="3"/>
  <c r="I83" i="3"/>
  <c r="W51" i="3"/>
  <c r="AE27" i="3"/>
  <c r="AA381" i="3"/>
  <c r="I268" i="3"/>
  <c r="AK206" i="3"/>
  <c r="X110" i="3"/>
  <c r="AJ67" i="3"/>
  <c r="AJ42" i="3"/>
  <c r="Q14" i="3"/>
  <c r="R346" i="3"/>
  <c r="Y241" i="3"/>
  <c r="AH192" i="3"/>
  <c r="AE145" i="3"/>
  <c r="X88" i="3"/>
  <c r="AA60" i="3"/>
  <c r="U29" i="3"/>
  <c r="Y7" i="3"/>
  <c r="AC305" i="3"/>
  <c r="AJ225" i="3"/>
  <c r="AF164" i="3"/>
  <c r="W92" i="3"/>
  <c r="AF60" i="3"/>
  <c r="W390" i="3"/>
  <c r="S244" i="3"/>
  <c r="AF182" i="3"/>
  <c r="U125" i="3"/>
  <c r="S70" i="3"/>
  <c r="AK40" i="3"/>
  <c r="M12" i="3"/>
  <c r="AA313" i="3"/>
  <c r="O208" i="3"/>
  <c r="H153" i="3"/>
  <c r="H100" i="3"/>
  <c r="U53" i="3"/>
  <c r="AE23" i="3"/>
  <c r="J325" i="3"/>
  <c r="T219" i="3"/>
  <c r="Z125" i="3"/>
  <c r="L76" i="3"/>
  <c r="O39" i="3"/>
  <c r="S6" i="3"/>
  <c r="R255" i="3"/>
  <c r="H167" i="3"/>
  <c r="AF100" i="3"/>
  <c r="AC46" i="3"/>
  <c r="X16" i="3"/>
  <c r="M314" i="3"/>
  <c r="K183" i="3"/>
  <c r="H113" i="3"/>
  <c r="U57" i="3"/>
  <c r="U337" i="3"/>
  <c r="AI215" i="3"/>
  <c r="K129" i="3"/>
  <c r="AE62" i="3"/>
  <c r="Z183" i="3"/>
  <c r="M6" i="3"/>
  <c r="AD73" i="3"/>
  <c r="Q246" i="3"/>
  <c r="H27" i="3"/>
  <c r="T82" i="3"/>
  <c r="X336" i="3"/>
  <c r="Z196" i="3"/>
  <c r="Y128" i="3"/>
  <c r="X60" i="3"/>
  <c r="X23" i="3"/>
  <c r="AJ227" i="3"/>
  <c r="AE28" i="3"/>
  <c r="K131" i="3"/>
  <c r="W115" i="3"/>
  <c r="AG4" i="3"/>
  <c r="K80" i="3"/>
  <c r="L350" i="3"/>
  <c r="T224" i="3"/>
  <c r="J125" i="3"/>
  <c r="W68" i="3"/>
  <c r="Q20" i="3"/>
  <c r="Q85" i="3"/>
  <c r="P103" i="3"/>
  <c r="AH227" i="3"/>
  <c r="P53" i="3"/>
  <c r="N85" i="3"/>
  <c r="AL308" i="3"/>
  <c r="R141" i="3"/>
  <c r="G49" i="3"/>
  <c r="X304" i="3"/>
  <c r="Y308" i="3"/>
  <c r="H397" i="3"/>
  <c r="Z60" i="3"/>
  <c r="V73" i="3"/>
  <c r="AH57" i="3"/>
  <c r="I28" i="3"/>
  <c r="R167" i="3"/>
  <c r="U61" i="3"/>
  <c r="R316" i="3"/>
  <c r="W397" i="3"/>
  <c r="R304" i="3"/>
  <c r="Z92" i="3"/>
  <c r="R209" i="3"/>
  <c r="X125" i="3"/>
  <c r="Y46" i="3"/>
  <c r="V174" i="3"/>
  <c r="Z64" i="3"/>
  <c r="P332" i="3"/>
  <c r="Y10" i="3"/>
  <c r="AB30" i="3"/>
  <c r="AJ80" i="3"/>
  <c r="K67" i="3"/>
  <c r="K28" i="3"/>
  <c r="AB40" i="3"/>
  <c r="AK269" i="3"/>
  <c r="AJ137" i="3"/>
  <c r="H270" i="3"/>
  <c r="AF142" i="3"/>
  <c r="I21" i="3"/>
  <c r="W55" i="3"/>
  <c r="V101" i="3"/>
  <c r="X42" i="3"/>
  <c r="S18" i="3"/>
  <c r="L29" i="3"/>
  <c r="I283" i="3"/>
  <c r="AB212" i="3"/>
  <c r="J262" i="3"/>
  <c r="AG33" i="3"/>
  <c r="Q239" i="3"/>
  <c r="S11" i="3"/>
  <c r="Z39" i="3"/>
  <c r="I72" i="3"/>
  <c r="W116" i="3"/>
  <c r="AD6" i="3"/>
  <c r="H43" i="3"/>
  <c r="T83" i="3"/>
  <c r="AE320" i="3"/>
  <c r="T9" i="3"/>
  <c r="AL6" i="3"/>
  <c r="AK44" i="3"/>
  <c r="U59" i="3"/>
  <c r="Z248" i="3"/>
  <c r="U116" i="3"/>
  <c r="F181" i="3"/>
  <c r="F137" i="3"/>
  <c r="F405" i="3"/>
  <c r="F89" i="3"/>
  <c r="F54" i="3"/>
  <c r="F258" i="3"/>
  <c r="F244" i="3"/>
  <c r="F46" i="3"/>
  <c r="F147" i="3"/>
  <c r="F62" i="3"/>
  <c r="F19" i="3"/>
  <c r="F369" i="3"/>
  <c r="F57" i="3"/>
  <c r="G408" i="3"/>
  <c r="G398" i="3"/>
  <c r="S411" i="3"/>
  <c r="AB402" i="3"/>
  <c r="O394" i="3"/>
  <c r="U406" i="3"/>
  <c r="W388" i="3"/>
  <c r="H326" i="3"/>
  <c r="I392" i="3"/>
  <c r="K360" i="3"/>
  <c r="AD371" i="3"/>
  <c r="U352" i="3"/>
  <c r="J357" i="3"/>
  <c r="K407" i="3"/>
  <c r="J378" i="3"/>
  <c r="J398" i="3"/>
  <c r="AK411" i="3"/>
  <c r="AL279" i="3"/>
  <c r="AH291" i="3"/>
  <c r="T289" i="3"/>
  <c r="AI306" i="3"/>
  <c r="I343" i="3"/>
  <c r="V231" i="3"/>
  <c r="AG269" i="3"/>
  <c r="AF268" i="3"/>
  <c r="AL181" i="3"/>
  <c r="T253" i="3"/>
  <c r="U168" i="3"/>
  <c r="Y290" i="3"/>
  <c r="AL170" i="3"/>
  <c r="AL315" i="3"/>
  <c r="N211" i="3"/>
  <c r="W355" i="3"/>
  <c r="I205" i="3"/>
  <c r="S104" i="3"/>
  <c r="K257" i="3"/>
  <c r="Q95" i="3"/>
  <c r="AK253" i="3"/>
  <c r="M160" i="3"/>
  <c r="AI82" i="3"/>
  <c r="AC225" i="3"/>
  <c r="M132" i="3"/>
  <c r="N327" i="3"/>
  <c r="AE173" i="3"/>
  <c r="H72" i="3"/>
  <c r="AE253" i="3"/>
  <c r="AI135" i="3"/>
  <c r="H218" i="3"/>
  <c r="X108" i="3"/>
  <c r="AF354" i="3"/>
  <c r="AD185" i="3"/>
  <c r="AA80" i="3"/>
  <c r="AF278" i="3"/>
  <c r="AK124" i="3"/>
  <c r="T216" i="3"/>
  <c r="X79" i="3"/>
  <c r="Z337" i="3"/>
  <c r="AH145" i="3"/>
  <c r="Y38" i="3"/>
  <c r="L237" i="3"/>
  <c r="X97" i="3"/>
  <c r="Q12" i="3"/>
  <c r="L145" i="3"/>
  <c r="J201" i="3"/>
  <c r="K270" i="3"/>
  <c r="AL103" i="3"/>
  <c r="U204" i="3"/>
  <c r="H134" i="3"/>
  <c r="V147" i="3"/>
  <c r="U110" i="3"/>
  <c r="AI204" i="3"/>
  <c r="AK324" i="3"/>
  <c r="J5" i="3"/>
  <c r="H45" i="3"/>
  <c r="S110" i="3"/>
  <c r="R210" i="3"/>
  <c r="AF168" i="3"/>
  <c r="W386" i="3"/>
  <c r="AJ58" i="3"/>
  <c r="AF127" i="3"/>
  <c r="R345" i="3"/>
  <c r="X18" i="3"/>
  <c r="U18" i="3"/>
  <c r="AE44" i="3"/>
  <c r="AI50" i="3"/>
  <c r="Q162" i="3"/>
  <c r="G396" i="3"/>
  <c r="AG113" i="3"/>
  <c r="AA317" i="3"/>
  <c r="AH394" i="3"/>
  <c r="O129" i="3"/>
  <c r="H54" i="3"/>
  <c r="AL17" i="3"/>
  <c r="S32" i="3"/>
  <c r="O107" i="3"/>
  <c r="J318" i="3"/>
  <c r="I409" i="3"/>
  <c r="F195" i="3"/>
  <c r="F31" i="3"/>
  <c r="F304" i="3"/>
  <c r="V403" i="3"/>
  <c r="AH388" i="3"/>
  <c r="H383" i="3"/>
  <c r="O353" i="3"/>
  <c r="H330" i="3"/>
  <c r="Z350" i="3"/>
  <c r="Q377" i="3"/>
  <c r="P359" i="3"/>
  <c r="P369" i="3"/>
  <c r="U351" i="3"/>
  <c r="N356" i="3"/>
  <c r="O405" i="3"/>
  <c r="T376" i="3"/>
  <c r="AG397" i="3"/>
  <c r="M409" i="3"/>
  <c r="Q279" i="3"/>
  <c r="K291" i="3"/>
  <c r="W288" i="3"/>
  <c r="AI305" i="3"/>
  <c r="P331" i="3"/>
  <c r="AG230" i="3"/>
  <c r="I269" i="3"/>
  <c r="AI267" i="3"/>
  <c r="R181" i="3"/>
  <c r="AB283" i="3"/>
  <c r="AA191" i="3"/>
  <c r="AC322" i="3"/>
  <c r="J211" i="3"/>
  <c r="L130" i="3"/>
  <c r="AI251" i="3"/>
  <c r="M169" i="3"/>
  <c r="O256" i="3"/>
  <c r="M146" i="3"/>
  <c r="G347" i="3"/>
  <c r="X202" i="3"/>
  <c r="AF110" i="3"/>
  <c r="P289" i="3"/>
  <c r="AA183" i="3"/>
  <c r="W98" i="3"/>
  <c r="H248" i="3"/>
  <c r="X76" i="3"/>
  <c r="AA202" i="3"/>
  <c r="Q96" i="3"/>
  <c r="Q305" i="3"/>
  <c r="AJ159" i="3"/>
  <c r="X63" i="3"/>
  <c r="N252" i="3"/>
  <c r="AB129" i="3"/>
  <c r="U41" i="3"/>
  <c r="M214" i="3"/>
  <c r="AH79" i="3"/>
  <c r="J276" i="3"/>
  <c r="H124" i="3"/>
  <c r="AE7" i="3"/>
  <c r="AG172" i="3"/>
  <c r="AH51" i="3"/>
  <c r="J269" i="3"/>
  <c r="Q116" i="3"/>
  <c r="AD16" i="3"/>
  <c r="AH202" i="3"/>
  <c r="W72" i="3"/>
  <c r="J312" i="3"/>
  <c r="AL98" i="3"/>
  <c r="Q153" i="3"/>
  <c r="AG186" i="3"/>
  <c r="Y228" i="3"/>
  <c r="M299" i="3"/>
  <c r="S74" i="3"/>
  <c r="N202" i="3"/>
  <c r="AD40" i="3"/>
  <c r="P188" i="3"/>
  <c r="AC27" i="3"/>
  <c r="Y144" i="3"/>
  <c r="V372" i="3"/>
  <c r="AA67" i="3"/>
  <c r="AK202" i="3"/>
  <c r="AK50" i="3"/>
  <c r="AD119" i="3"/>
  <c r="Z249" i="3"/>
  <c r="V14" i="3"/>
  <c r="AJ55" i="3"/>
  <c r="AC109" i="3"/>
  <c r="AK368" i="3"/>
  <c r="Q58" i="3"/>
  <c r="L57" i="3"/>
  <c r="AE124" i="3"/>
  <c r="Q339" i="3"/>
  <c r="N17" i="3"/>
  <c r="I13" i="3"/>
  <c r="Z41" i="3"/>
  <c r="AG63" i="3"/>
  <c r="U55" i="3"/>
  <c r="Q299" i="3"/>
  <c r="AD405" i="3"/>
  <c r="AG398" i="3"/>
  <c r="X12" i="3"/>
  <c r="AD248" i="3"/>
  <c r="AD95" i="3"/>
  <c r="AK225" i="3"/>
  <c r="W93" i="3"/>
  <c r="AA89" i="3"/>
  <c r="L288" i="3"/>
  <c r="AG287" i="3"/>
  <c r="F72" i="3"/>
  <c r="F114" i="3"/>
  <c r="F338" i="3"/>
  <c r="N393" i="3"/>
  <c r="AC374" i="3"/>
  <c r="Y365" i="3"/>
  <c r="S382" i="3"/>
  <c r="S369" i="3"/>
  <c r="Y351" i="3"/>
  <c r="AK371" i="3"/>
  <c r="M363" i="3"/>
  <c r="X384" i="3"/>
  <c r="K373" i="3"/>
  <c r="U381" i="3"/>
  <c r="R385" i="3"/>
  <c r="R283" i="3"/>
  <c r="J306" i="3"/>
  <c r="G287" i="3"/>
  <c r="AL298" i="3"/>
  <c r="AF301" i="3"/>
  <c r="AC310" i="3"/>
  <c r="S312" i="3"/>
  <c r="AA336" i="3"/>
  <c r="M385" i="3"/>
  <c r="AI252" i="3"/>
  <c r="AD295" i="3"/>
  <c r="M294" i="3"/>
  <c r="V197" i="3"/>
  <c r="O317" i="3"/>
  <c r="AG209" i="3"/>
  <c r="M383" i="3"/>
  <c r="X233" i="3"/>
  <c r="W151" i="3"/>
  <c r="J273" i="3"/>
  <c r="N187" i="3"/>
  <c r="L255" i="3"/>
  <c r="U145" i="3"/>
  <c r="AH346" i="3"/>
  <c r="AE201" i="3"/>
  <c r="L110" i="3"/>
  <c r="AI280" i="3"/>
  <c r="AH182" i="3"/>
  <c r="AH97" i="3"/>
  <c r="H247" i="3"/>
  <c r="AB153" i="3"/>
  <c r="L409" i="3"/>
  <c r="Z201" i="3"/>
  <c r="U377" i="3"/>
  <c r="AA187" i="3"/>
  <c r="U85" i="3"/>
  <c r="U291" i="3"/>
  <c r="AD156" i="3"/>
  <c r="Y61" i="3"/>
  <c r="AJ240" i="3"/>
  <c r="W124" i="3"/>
  <c r="AA39" i="3"/>
  <c r="Q193" i="3"/>
  <c r="AI65" i="3"/>
  <c r="L296" i="3"/>
  <c r="AF138" i="3"/>
  <c r="W30" i="3"/>
  <c r="AD218" i="3"/>
  <c r="AE83" i="3"/>
  <c r="AC368" i="3"/>
  <c r="W162" i="3"/>
  <c r="L45" i="3"/>
  <c r="AG311" i="3"/>
  <c r="R108" i="3"/>
  <c r="L173" i="3"/>
  <c r="AI282" i="3"/>
  <c r="AH94" i="3"/>
  <c r="U73" i="3"/>
  <c r="AC262" i="3"/>
  <c r="O34" i="3"/>
  <c r="G186" i="3"/>
  <c r="AC219" i="3"/>
  <c r="AG49" i="3"/>
  <c r="AD234" i="3"/>
  <c r="N9" i="3"/>
  <c r="W84" i="3"/>
  <c r="V208" i="3"/>
  <c r="H379" i="3"/>
  <c r="Q42" i="3"/>
  <c r="S206" i="3"/>
  <c r="K139" i="3"/>
  <c r="O365" i="3"/>
  <c r="AA121" i="3"/>
  <c r="W160" i="3"/>
  <c r="O312" i="3"/>
  <c r="M118" i="3"/>
  <c r="M72" i="3"/>
  <c r="AG263" i="3"/>
  <c r="AJ32" i="3"/>
  <c r="AF54" i="3"/>
  <c r="Q270" i="3"/>
  <c r="S403" i="3"/>
  <c r="N395" i="3"/>
  <c r="AB331" i="3"/>
  <c r="Z246" i="3"/>
  <c r="O50" i="3"/>
  <c r="T206" i="3"/>
  <c r="AJ79" i="3"/>
  <c r="Y50" i="3"/>
  <c r="AB175" i="3"/>
  <c r="Y284" i="3"/>
  <c r="F300" i="3"/>
  <c r="F343" i="3"/>
  <c r="F214" i="3"/>
  <c r="F197" i="3"/>
  <c r="M402" i="3"/>
  <c r="AF350" i="3"/>
  <c r="N362" i="3"/>
  <c r="V357" i="3"/>
  <c r="I367" i="3"/>
  <c r="J319" i="3"/>
  <c r="W322" i="3"/>
  <c r="U355" i="3"/>
  <c r="AL332" i="3"/>
  <c r="AF356" i="3"/>
  <c r="AF361" i="3"/>
  <c r="Y381" i="3"/>
  <c r="AB266" i="3"/>
  <c r="I260" i="3"/>
  <c r="AD273" i="3"/>
  <c r="O300" i="3"/>
  <c r="G364" i="3"/>
  <c r="AL392" i="3"/>
  <c r="S238" i="3"/>
  <c r="N156" i="3"/>
  <c r="AG250" i="3"/>
  <c r="W166" i="3"/>
  <c r="N287" i="3"/>
  <c r="Z191" i="3"/>
  <c r="H355" i="3"/>
  <c r="X227" i="3"/>
  <c r="AG145" i="3"/>
  <c r="AA225" i="3"/>
  <c r="R125" i="3"/>
  <c r="J298" i="3"/>
  <c r="Z171" i="3"/>
  <c r="S93" i="3"/>
  <c r="AK251" i="3"/>
  <c r="AD157" i="3"/>
  <c r="AK80" i="3"/>
  <c r="AL223" i="3"/>
  <c r="W113" i="3"/>
  <c r="AE261" i="3"/>
  <c r="AB137" i="3"/>
  <c r="O53" i="3"/>
  <c r="Q220" i="3"/>
  <c r="P105" i="3"/>
  <c r="AJ343" i="3"/>
  <c r="AE188" i="3"/>
  <c r="AJ60" i="3"/>
  <c r="AK239" i="3"/>
  <c r="Z123" i="3"/>
  <c r="G39" i="3"/>
  <c r="G192" i="3"/>
  <c r="K65" i="3"/>
  <c r="N294" i="3"/>
  <c r="V137" i="3"/>
  <c r="AH29" i="3"/>
  <c r="AC217" i="3"/>
  <c r="AB82" i="3"/>
  <c r="AC362" i="3"/>
  <c r="P161" i="3"/>
  <c r="S44" i="3"/>
  <c r="M187" i="3"/>
  <c r="AB241" i="3"/>
  <c r="V346" i="3"/>
  <c r="Z131" i="3"/>
  <c r="M171" i="3"/>
  <c r="I225" i="3"/>
  <c r="M46" i="3"/>
  <c r="AG197" i="3"/>
  <c r="V33" i="3"/>
  <c r="AL185" i="3"/>
  <c r="V139" i="3"/>
  <c r="AF367" i="3"/>
  <c r="H65" i="3"/>
  <c r="AJ198" i="3"/>
  <c r="L15" i="3"/>
  <c r="Q70" i="3"/>
  <c r="Q167" i="3"/>
  <c r="AB21" i="3"/>
  <c r="AK58" i="3"/>
  <c r="Z49" i="3"/>
  <c r="Y269" i="3"/>
  <c r="Y18" i="3"/>
  <c r="U88" i="3"/>
  <c r="P184" i="3"/>
  <c r="I74" i="3"/>
  <c r="P49" i="3"/>
  <c r="AL228" i="3"/>
  <c r="Q22" i="3"/>
  <c r="T52" i="3"/>
  <c r="Q251" i="3"/>
  <c r="R399" i="3"/>
  <c r="O334" i="3"/>
  <c r="O270" i="3"/>
  <c r="Q245" i="3"/>
  <c r="L49" i="3"/>
  <c r="Y203" i="3"/>
  <c r="AB61" i="3"/>
  <c r="O233" i="3"/>
  <c r="AC203" i="3"/>
  <c r="P8" i="3"/>
  <c r="F247" i="3"/>
  <c r="F172" i="3"/>
  <c r="F141" i="3"/>
  <c r="X401" i="3"/>
  <c r="AJ386" i="3"/>
  <c r="U358" i="3"/>
  <c r="Q351" i="3"/>
  <c r="O385" i="3"/>
  <c r="U323" i="3"/>
  <c r="AH387" i="3"/>
  <c r="U332" i="3"/>
  <c r="AC332" i="3"/>
  <c r="S318" i="3"/>
  <c r="AE321" i="3"/>
  <c r="U354" i="3"/>
  <c r="K332" i="3"/>
  <c r="Y355" i="3"/>
  <c r="H353" i="3"/>
  <c r="AC379" i="3"/>
  <c r="H266" i="3"/>
  <c r="T259" i="3"/>
  <c r="AJ272" i="3"/>
  <c r="R299" i="3"/>
  <c r="AI363" i="3"/>
  <c r="K389" i="3"/>
  <c r="AC237" i="3"/>
  <c r="H274" i="3"/>
  <c r="AG185" i="3"/>
  <c r="AC319" i="3"/>
  <c r="L209" i="3"/>
  <c r="N128" i="3"/>
  <c r="L250" i="3"/>
  <c r="O167" i="3"/>
  <c r="AL247" i="3"/>
  <c r="AK143" i="3"/>
  <c r="G342" i="3"/>
  <c r="AB126" i="3"/>
  <c r="P324" i="3"/>
  <c r="W202" i="3"/>
  <c r="AC114" i="3"/>
  <c r="G281" i="3"/>
  <c r="M174" i="3"/>
  <c r="V260" i="3"/>
  <c r="AG136" i="3"/>
  <c r="P219" i="3"/>
  <c r="U104" i="3"/>
  <c r="R45" i="3"/>
  <c r="AF240" i="3"/>
  <c r="AD153" i="3"/>
  <c r="I57" i="3"/>
  <c r="AG238" i="3"/>
  <c r="AF122" i="3"/>
  <c r="AL38" i="3"/>
  <c r="AF191" i="3"/>
  <c r="R64" i="3"/>
  <c r="V293" i="3"/>
  <c r="S128" i="3"/>
  <c r="N29" i="3"/>
  <c r="R216" i="3"/>
  <c r="AE81" i="3"/>
  <c r="U357" i="3"/>
  <c r="AD159" i="3"/>
  <c r="Z43" i="3"/>
  <c r="V185" i="3"/>
  <c r="I240" i="3"/>
  <c r="Q341" i="3"/>
  <c r="O130" i="3"/>
  <c r="X169" i="3"/>
  <c r="AG213" i="3"/>
  <c r="R18" i="3"/>
  <c r="G146" i="3"/>
  <c r="AH10" i="3"/>
  <c r="Z126" i="3"/>
  <c r="AG380" i="3"/>
  <c r="Y84" i="3"/>
  <c r="V228" i="3"/>
  <c r="S29" i="3"/>
  <c r="P144" i="3"/>
  <c r="J183" i="3"/>
  <c r="Y372" i="3"/>
  <c r="N39" i="3"/>
  <c r="H86" i="3"/>
  <c r="AI197" i="3"/>
  <c r="Q121" i="3"/>
  <c r="AA323" i="3"/>
  <c r="AJ100" i="3"/>
  <c r="Z369" i="3"/>
  <c r="K68" i="3"/>
  <c r="W62" i="3"/>
  <c r="R230" i="3"/>
  <c r="AF193" i="3"/>
  <c r="J28" i="3"/>
  <c r="L212" i="3"/>
  <c r="AA43" i="3"/>
  <c r="AD290" i="3"/>
  <c r="Q231" i="3"/>
  <c r="P231" i="3"/>
  <c r="AD65" i="3"/>
  <c r="F403" i="3"/>
  <c r="F303" i="3"/>
  <c r="F232" i="3"/>
  <c r="AI400" i="3"/>
  <c r="AA341" i="3"/>
  <c r="U367" i="3"/>
  <c r="AG410" i="3"/>
  <c r="AD341" i="3"/>
  <c r="AJ373" i="3"/>
  <c r="Z355" i="3"/>
  <c r="AH365" i="3"/>
  <c r="Y346" i="3"/>
  <c r="S352" i="3"/>
  <c r="L387" i="3"/>
  <c r="Y360" i="3"/>
  <c r="Q354" i="3"/>
  <c r="AF351" i="3"/>
  <c r="L378" i="3"/>
  <c r="X411" i="3"/>
  <c r="AE258" i="3"/>
  <c r="L272" i="3"/>
  <c r="U298" i="3"/>
  <c r="AG353" i="3"/>
  <c r="K386" i="3"/>
  <c r="H237" i="3"/>
  <c r="I351" i="3"/>
  <c r="S225" i="3"/>
  <c r="L143" i="3"/>
  <c r="AF250" i="3"/>
  <c r="AE167" i="3"/>
  <c r="AG310" i="3"/>
  <c r="G208" i="3"/>
  <c r="O285" i="3"/>
  <c r="AD171" i="3"/>
  <c r="Z83" i="3"/>
  <c r="S222" i="3"/>
  <c r="G126" i="3"/>
  <c r="AI323" i="3"/>
  <c r="AD201" i="3"/>
  <c r="I114" i="3"/>
  <c r="AL280" i="3"/>
  <c r="T173" i="3"/>
  <c r="G259" i="3"/>
  <c r="AJ135" i="3"/>
  <c r="AB46" i="3"/>
  <c r="I218" i="3"/>
  <c r="X103" i="3"/>
  <c r="Q336" i="3"/>
  <c r="AA186" i="3"/>
  <c r="Q77" i="3"/>
  <c r="U274" i="3"/>
  <c r="W144" i="3"/>
  <c r="AE59" i="3"/>
  <c r="Q224" i="3"/>
  <c r="H88" i="3"/>
  <c r="M5" i="3"/>
  <c r="AD167" i="3"/>
  <c r="K318" i="3"/>
  <c r="AL140" i="3"/>
  <c r="AE31" i="3"/>
  <c r="AA229" i="3"/>
  <c r="R92" i="3"/>
  <c r="N5" i="3"/>
  <c r="AC137" i="3"/>
  <c r="AK193" i="3"/>
  <c r="V259" i="3"/>
  <c r="G355" i="3"/>
  <c r="X131" i="3"/>
  <c r="R157" i="3"/>
  <c r="Y17" i="3"/>
  <c r="AF145" i="3"/>
  <c r="AH294" i="3"/>
  <c r="Y285" i="3"/>
  <c r="AB45" i="3"/>
  <c r="AF169" i="3"/>
  <c r="Q6" i="3"/>
  <c r="U79" i="3"/>
  <c r="K179" i="3"/>
  <c r="J365" i="3"/>
  <c r="G38" i="3"/>
  <c r="AL85" i="3"/>
  <c r="Y192" i="3"/>
  <c r="L118" i="3"/>
  <c r="G311" i="3"/>
  <c r="I98" i="3"/>
  <c r="AA366" i="3"/>
  <c r="AL67" i="3"/>
  <c r="O46" i="3"/>
  <c r="M183" i="3"/>
  <c r="AD109" i="3"/>
  <c r="W238" i="3"/>
  <c r="G309" i="3"/>
  <c r="V302" i="3"/>
  <c r="R138" i="3"/>
  <c r="AG30" i="3"/>
  <c r="T44" i="3"/>
  <c r="Y230" i="3"/>
  <c r="V287" i="3"/>
  <c r="T284" i="3"/>
  <c r="Z230" i="3"/>
  <c r="Z277" i="3"/>
  <c r="Z257" i="3"/>
  <c r="AK310" i="3"/>
  <c r="AD233" i="3"/>
  <c r="F39" i="3"/>
  <c r="F397" i="3"/>
  <c r="F106" i="3"/>
  <c r="AL410" i="3"/>
  <c r="AE348" i="3"/>
  <c r="G341" i="3"/>
  <c r="Q411" i="3"/>
  <c r="S400" i="3"/>
  <c r="AD409" i="3"/>
  <c r="AE340" i="3"/>
  <c r="I373" i="3"/>
  <c r="AE354" i="3"/>
  <c r="AE364" i="3"/>
  <c r="AB345" i="3"/>
  <c r="AC343" i="3"/>
  <c r="U385" i="3"/>
  <c r="S359" i="3"/>
  <c r="AK389" i="3"/>
  <c r="H398" i="3"/>
  <c r="AJ275" i="3"/>
  <c r="AD287" i="3"/>
  <c r="I278" i="3"/>
  <c r="Z295" i="3"/>
  <c r="H323" i="3"/>
  <c r="Z227" i="3"/>
  <c r="AK263" i="3"/>
  <c r="Z261" i="3"/>
  <c r="AC171" i="3"/>
  <c r="AE272" i="3"/>
  <c r="X184" i="3"/>
  <c r="N317" i="3"/>
  <c r="AH207" i="3"/>
  <c r="AJ126" i="3"/>
  <c r="AA248" i="3"/>
  <c r="U161" i="3"/>
  <c r="G246" i="3"/>
  <c r="S142" i="3"/>
  <c r="Z338" i="3"/>
  <c r="O169" i="3"/>
  <c r="AF86" i="3"/>
  <c r="AF248" i="3"/>
  <c r="P95" i="3"/>
  <c r="P244" i="3"/>
  <c r="AK146" i="3"/>
  <c r="AE394" i="3"/>
  <c r="R196" i="3"/>
  <c r="L87" i="3"/>
  <c r="AK285" i="3"/>
  <c r="AE156" i="3"/>
  <c r="Q60" i="3"/>
  <c r="X238" i="3"/>
  <c r="N125" i="3"/>
  <c r="N38" i="3"/>
  <c r="AD205" i="3"/>
  <c r="S96" i="3"/>
  <c r="X321" i="3"/>
  <c r="AC148" i="3"/>
  <c r="AI37" i="3"/>
  <c r="G241" i="3"/>
  <c r="Z99" i="3"/>
  <c r="J7" i="3"/>
  <c r="H174" i="3"/>
  <c r="H56" i="3"/>
  <c r="R269" i="3"/>
  <c r="Y119" i="3"/>
  <c r="M225" i="3"/>
  <c r="I300" i="3"/>
  <c r="AI102" i="3"/>
  <c r="H168" i="3"/>
  <c r="S209" i="3"/>
  <c r="AK279" i="3"/>
  <c r="AL68" i="3"/>
  <c r="AD241" i="3"/>
  <c r="H31" i="3"/>
  <c r="AC170" i="3"/>
  <c r="Q23" i="3"/>
  <c r="N132" i="3"/>
  <c r="J320" i="3"/>
  <c r="Q62" i="3"/>
  <c r="AG193" i="3"/>
  <c r="L12" i="3"/>
  <c r="M56" i="3"/>
  <c r="K76" i="3"/>
  <c r="U160" i="3"/>
  <c r="AE281" i="3"/>
  <c r="K9" i="3"/>
  <c r="J121" i="3"/>
  <c r="N172" i="3"/>
  <c r="AK138" i="3"/>
  <c r="AA218" i="3"/>
  <c r="O109" i="3"/>
  <c r="W45" i="3"/>
  <c r="AA108" i="3"/>
  <c r="R226" i="3"/>
  <c r="P120" i="3"/>
  <c r="U126" i="3"/>
  <c r="AG126" i="3"/>
  <c r="N332" i="3"/>
  <c r="AJ157" i="3"/>
  <c r="N76" i="3"/>
  <c r="K21" i="3"/>
  <c r="AA106" i="3"/>
  <c r="AA163" i="3"/>
  <c r="AI189" i="3"/>
  <c r="AG27" i="3"/>
  <c r="O18" i="3"/>
  <c r="F374" i="3"/>
  <c r="F83" i="3"/>
  <c r="F248" i="3"/>
  <c r="T407" i="3"/>
  <c r="K381" i="3"/>
  <c r="W356" i="3"/>
  <c r="P399" i="3"/>
  <c r="AC382" i="3"/>
  <c r="J411" i="3"/>
  <c r="L377" i="3"/>
  <c r="K325" i="3"/>
  <c r="R330" i="3"/>
  <c r="T316" i="3"/>
  <c r="AD319" i="3"/>
  <c r="X351" i="3"/>
  <c r="AL329" i="3"/>
  <c r="M342" i="3"/>
  <c r="L348" i="3"/>
  <c r="Q374" i="3"/>
  <c r="Z404" i="3"/>
  <c r="V257" i="3"/>
  <c r="W270" i="3"/>
  <c r="J291" i="3"/>
  <c r="AK350" i="3"/>
  <c r="AF383" i="3"/>
  <c r="AG260" i="3"/>
  <c r="O194" i="3"/>
  <c r="AD310" i="3"/>
  <c r="Z206" i="3"/>
  <c r="U356" i="3"/>
  <c r="R225" i="3"/>
  <c r="T144" i="3"/>
  <c r="AL269" i="3"/>
  <c r="AF160" i="3"/>
  <c r="AL245" i="3"/>
  <c r="Z141" i="3"/>
  <c r="I336" i="3"/>
  <c r="AD196" i="3"/>
  <c r="AJ106" i="3"/>
  <c r="T273" i="3"/>
  <c r="J174" i="3"/>
  <c r="AA94" i="3"/>
  <c r="AF171" i="3"/>
  <c r="AF88" i="3"/>
  <c r="W222" i="3"/>
  <c r="I111" i="3"/>
  <c r="O362" i="3"/>
  <c r="V182" i="3"/>
  <c r="AB59" i="3"/>
  <c r="V237" i="3"/>
  <c r="S124" i="3"/>
  <c r="Y37" i="3"/>
  <c r="AF204" i="3"/>
  <c r="Q75" i="3"/>
  <c r="Q256" i="3"/>
  <c r="V118" i="3"/>
  <c r="H20" i="3"/>
  <c r="V98" i="3"/>
  <c r="U6" i="3"/>
  <c r="W213" i="3"/>
  <c r="Y78" i="3"/>
  <c r="AA321" i="3"/>
  <c r="AB156" i="3"/>
  <c r="L41" i="3"/>
  <c r="AC223" i="3"/>
  <c r="AL299" i="3"/>
  <c r="T101" i="3"/>
  <c r="N166" i="3"/>
  <c r="U207" i="3"/>
  <c r="P275" i="3"/>
  <c r="AK67" i="3"/>
  <c r="M239" i="3"/>
  <c r="AK61" i="3"/>
  <c r="Y227" i="3"/>
  <c r="AG44" i="3"/>
  <c r="W194" i="3"/>
  <c r="AK18" i="3"/>
  <c r="K96" i="3"/>
  <c r="Z255" i="3"/>
  <c r="I42" i="3"/>
  <c r="L170" i="3"/>
  <c r="AE351" i="3"/>
  <c r="N210" i="3"/>
  <c r="G95" i="3"/>
  <c r="AC209" i="3"/>
  <c r="AI8" i="3"/>
  <c r="AC15" i="3"/>
  <c r="AL63" i="3"/>
  <c r="AF281" i="3"/>
  <c r="L166" i="3"/>
  <c r="Q334" i="3"/>
  <c r="N273" i="3"/>
  <c r="AH148" i="3"/>
  <c r="X75" i="3"/>
  <c r="O189" i="3"/>
  <c r="AF180" i="3"/>
  <c r="AE203" i="3"/>
  <c r="U16" i="3"/>
  <c r="AJ180" i="3"/>
  <c r="F107" i="3"/>
  <c r="F209" i="3"/>
  <c r="F324" i="3"/>
  <c r="AK398" i="3"/>
  <c r="T396" i="3"/>
  <c r="W365" i="3"/>
  <c r="Q407" i="3"/>
  <c r="AL339" i="3"/>
  <c r="H371" i="3"/>
  <c r="T324" i="3"/>
  <c r="Y329" i="3"/>
  <c r="AE315" i="3"/>
  <c r="I319" i="3"/>
  <c r="W350" i="3"/>
  <c r="K323" i="3"/>
  <c r="M341" i="3"/>
  <c r="H347" i="3"/>
  <c r="U372" i="3"/>
  <c r="T401" i="3"/>
  <c r="AG256" i="3"/>
  <c r="AC269" i="3"/>
  <c r="AK290" i="3"/>
  <c r="AF347" i="3"/>
  <c r="Y380" i="3"/>
  <c r="AK234" i="3"/>
  <c r="N152" i="3"/>
  <c r="AK246" i="3"/>
  <c r="T159" i="3"/>
  <c r="AI274" i="3"/>
  <c r="AH183" i="3"/>
  <c r="K347" i="3"/>
  <c r="M224" i="3"/>
  <c r="Z142" i="3"/>
  <c r="AA220" i="3"/>
  <c r="AL117" i="3"/>
  <c r="AJ280" i="3"/>
  <c r="Y167" i="3"/>
  <c r="W85" i="3"/>
  <c r="AE246" i="3"/>
  <c r="AB152" i="3"/>
  <c r="T379" i="3"/>
  <c r="J214" i="3"/>
  <c r="AD126" i="3"/>
  <c r="R297" i="3"/>
  <c r="I159" i="3"/>
  <c r="L66" i="3"/>
  <c r="AE153" i="3"/>
  <c r="H59" i="3"/>
  <c r="U236" i="3"/>
  <c r="S118" i="3"/>
  <c r="AJ36" i="3"/>
  <c r="AD203" i="3"/>
  <c r="AE94" i="3"/>
  <c r="AB315" i="3"/>
  <c r="AJ145" i="3"/>
  <c r="S36" i="3"/>
  <c r="Z232" i="3"/>
  <c r="V97" i="3"/>
  <c r="AF5" i="3"/>
  <c r="S171" i="3"/>
  <c r="R54" i="3"/>
  <c r="J263" i="3"/>
  <c r="U117" i="3"/>
  <c r="I20" i="3"/>
  <c r="AE174" i="3"/>
  <c r="T232" i="3"/>
  <c r="Q308" i="3"/>
  <c r="AF125" i="3"/>
  <c r="V164" i="3"/>
  <c r="I207" i="3"/>
  <c r="G36" i="3"/>
  <c r="Q188" i="3"/>
  <c r="V29" i="3"/>
  <c r="AD166" i="3"/>
  <c r="Y21" i="3"/>
  <c r="AI129" i="3"/>
  <c r="AB313" i="3"/>
  <c r="AH54" i="3"/>
  <c r="J123" i="3"/>
  <c r="M280" i="3"/>
  <c r="G23" i="3"/>
  <c r="H73" i="3"/>
  <c r="N140" i="3"/>
  <c r="Z269" i="3"/>
  <c r="AI7" i="3"/>
  <c r="G100" i="3"/>
  <c r="AL168" i="3"/>
  <c r="AF124" i="3"/>
  <c r="U196" i="3"/>
  <c r="P83" i="3"/>
  <c r="H42" i="3"/>
  <c r="H195" i="3"/>
  <c r="AK57" i="3"/>
  <c r="N297" i="3"/>
  <c r="AJ158" i="3"/>
  <c r="J99" i="3"/>
  <c r="Z271" i="3"/>
  <c r="P138" i="3"/>
  <c r="AF67" i="3"/>
  <c r="T153" i="3"/>
  <c r="W89" i="3"/>
  <c r="AC78" i="3"/>
  <c r="N107" i="3"/>
  <c r="Z175" i="3"/>
  <c r="I75" i="3"/>
  <c r="F226" i="3"/>
  <c r="F301" i="3"/>
  <c r="F138" i="3"/>
  <c r="L404" i="3"/>
  <c r="Z403" i="3"/>
  <c r="AC395" i="3"/>
  <c r="G383" i="3"/>
  <c r="AK367" i="3"/>
  <c r="G386" i="3"/>
  <c r="AE378" i="3"/>
  <c r="P405" i="3"/>
  <c r="Q393" i="3"/>
  <c r="I405" i="3"/>
  <c r="K293" i="3"/>
  <c r="Q296" i="3"/>
  <c r="AG319" i="3"/>
  <c r="L301" i="3"/>
  <c r="AA314" i="3"/>
  <c r="V319" i="3"/>
  <c r="L329" i="3"/>
  <c r="R335" i="3"/>
  <c r="M369" i="3"/>
  <c r="V246" i="3"/>
  <c r="AF266" i="3"/>
  <c r="M283" i="3"/>
  <c r="J285" i="3"/>
  <c r="AK192" i="3"/>
  <c r="N306" i="3"/>
  <c r="AG352" i="3"/>
  <c r="I224" i="3"/>
  <c r="K143" i="3"/>
  <c r="H268" i="3"/>
  <c r="R183" i="3"/>
  <c r="Y279" i="3"/>
  <c r="AE162" i="3"/>
  <c r="W76" i="3"/>
  <c r="K218" i="3"/>
  <c r="AJ123" i="3"/>
  <c r="L306" i="3"/>
  <c r="Z197" i="3"/>
  <c r="K110" i="3"/>
  <c r="T268" i="3"/>
  <c r="J170" i="3"/>
  <c r="W87" i="3"/>
  <c r="Q219" i="3"/>
  <c r="Q105" i="3"/>
  <c r="AJ281" i="3"/>
  <c r="Z152" i="3"/>
  <c r="S58" i="3"/>
  <c r="O235" i="3"/>
  <c r="X117" i="3"/>
  <c r="P36" i="3"/>
  <c r="AF202" i="3"/>
  <c r="H74" i="3"/>
  <c r="AC252" i="3"/>
  <c r="H85" i="3"/>
  <c r="AA362" i="3"/>
  <c r="U162" i="3"/>
  <c r="Q44" i="3"/>
  <c r="T245" i="3"/>
  <c r="AA102" i="3"/>
  <c r="Y11" i="3"/>
  <c r="T186" i="3"/>
  <c r="L60" i="3"/>
  <c r="K290" i="3"/>
  <c r="L386" i="3"/>
  <c r="AL132" i="3"/>
  <c r="AI205" i="3"/>
  <c r="U261" i="3"/>
  <c r="H382" i="3"/>
  <c r="G97" i="3"/>
  <c r="AJ327" i="3"/>
  <c r="T84" i="3"/>
  <c r="AI279" i="3"/>
  <c r="N70" i="3"/>
  <c r="X269" i="3"/>
  <c r="G41" i="3"/>
  <c r="V144" i="3"/>
  <c r="AC389" i="3"/>
  <c r="AF73" i="3"/>
  <c r="G164" i="3"/>
  <c r="O297" i="3"/>
  <c r="I34" i="3"/>
  <c r="N45" i="3"/>
  <c r="Y92" i="3"/>
  <c r="J188" i="3"/>
  <c r="W357" i="3"/>
  <c r="P46" i="3"/>
  <c r="P365" i="3"/>
  <c r="X258" i="3"/>
  <c r="N6" i="3"/>
  <c r="X291" i="3"/>
  <c r="AC13" i="3"/>
  <c r="AD165" i="3"/>
  <c r="AK114" i="3"/>
  <c r="M149" i="3"/>
  <c r="S184" i="3"/>
  <c r="AK166" i="3"/>
  <c r="AI198" i="3"/>
  <c r="Y56" i="3"/>
  <c r="G222" i="3"/>
  <c r="S123" i="3"/>
  <c r="AB93" i="3"/>
  <c r="Q113" i="3"/>
  <c r="P4" i="3"/>
  <c r="AB170" i="3"/>
  <c r="F296" i="3"/>
  <c r="F187" i="3"/>
  <c r="F351" i="3"/>
  <c r="F368" i="3"/>
  <c r="V405" i="3"/>
  <c r="Q386" i="3"/>
  <c r="M379" i="3"/>
  <c r="R373" i="3"/>
  <c r="AL382" i="3"/>
  <c r="M367" i="3"/>
  <c r="AL385" i="3"/>
  <c r="G378" i="3"/>
  <c r="G404" i="3"/>
  <c r="P392" i="3"/>
  <c r="AD403" i="3"/>
  <c r="V292" i="3"/>
  <c r="AB295" i="3"/>
  <c r="L319" i="3"/>
  <c r="U300" i="3"/>
  <c r="AD313" i="3"/>
  <c r="R303" i="3"/>
  <c r="H292" i="3"/>
  <c r="AF241" i="3"/>
  <c r="Z373" i="3"/>
  <c r="Z233" i="3"/>
  <c r="H343" i="3"/>
  <c r="AD198" i="3"/>
  <c r="K313" i="3"/>
  <c r="P205" i="3"/>
  <c r="Q408" i="3"/>
  <c r="V240" i="3"/>
  <c r="AD316" i="3"/>
  <c r="L191" i="3"/>
  <c r="AJ97" i="3"/>
  <c r="R217" i="3"/>
  <c r="G105" i="3"/>
  <c r="AC270" i="3"/>
  <c r="Y171" i="3"/>
  <c r="R89" i="3"/>
  <c r="X239" i="3"/>
  <c r="G144" i="3"/>
  <c r="P358" i="3"/>
  <c r="J192" i="3"/>
  <c r="AJ83" i="3"/>
  <c r="O280" i="3"/>
  <c r="Q145" i="3"/>
  <c r="AD57" i="3"/>
  <c r="G234" i="3"/>
  <c r="AE116" i="3"/>
  <c r="J410" i="3"/>
  <c r="AB201" i="3"/>
  <c r="I93" i="3"/>
  <c r="AD300" i="3"/>
  <c r="X143" i="3"/>
  <c r="I35" i="3"/>
  <c r="T229" i="3"/>
  <c r="N95" i="3"/>
  <c r="W4" i="3"/>
  <c r="AH168" i="3"/>
  <c r="AF46" i="3"/>
  <c r="T261" i="3"/>
  <c r="Q115" i="3"/>
  <c r="AE18" i="3"/>
  <c r="P171" i="3"/>
  <c r="AD228" i="3"/>
  <c r="AH302" i="3"/>
  <c r="AH114" i="3"/>
  <c r="Z160" i="3"/>
  <c r="O202" i="3"/>
  <c r="N35" i="3"/>
  <c r="M184" i="3"/>
  <c r="AD27" i="3"/>
  <c r="I162" i="3"/>
  <c r="I15" i="3"/>
  <c r="W125" i="3"/>
  <c r="H298" i="3"/>
  <c r="R52" i="3"/>
  <c r="W185" i="3"/>
  <c r="L8" i="3"/>
  <c r="Z51" i="3"/>
  <c r="AC119" i="3"/>
  <c r="Q230" i="3"/>
  <c r="W7" i="3"/>
  <c r="K89" i="3"/>
  <c r="V183" i="3"/>
  <c r="L356" i="3"/>
  <c r="AC45" i="3"/>
  <c r="AB312" i="3"/>
  <c r="P253" i="3"/>
  <c r="U215" i="3"/>
  <c r="M246" i="3"/>
  <c r="M11" i="3"/>
  <c r="K149" i="3"/>
  <c r="W108" i="3"/>
  <c r="W126" i="3"/>
  <c r="O182" i="3"/>
  <c r="P81" i="3"/>
  <c r="S193" i="3"/>
  <c r="J49" i="3"/>
  <c r="G190" i="3"/>
  <c r="X55" i="3"/>
  <c r="H87" i="3"/>
  <c r="Q111" i="3"/>
  <c r="O56" i="3"/>
  <c r="AK167" i="3"/>
  <c r="F146" i="3"/>
  <c r="F375" i="3"/>
  <c r="F203" i="3"/>
  <c r="T411" i="3"/>
  <c r="X378" i="3"/>
  <c r="I350" i="3"/>
  <c r="V395" i="3"/>
  <c r="AF410" i="3"/>
  <c r="AL377" i="3"/>
  <c r="AI369" i="3"/>
  <c r="AI390" i="3"/>
  <c r="O369" i="3"/>
  <c r="AE375" i="3"/>
  <c r="H273" i="3"/>
  <c r="G390" i="3"/>
  <c r="AL275" i="3"/>
  <c r="Q288" i="3"/>
  <c r="G291" i="3"/>
  <c r="AA302" i="3"/>
  <c r="AA274" i="3"/>
  <c r="M291" i="3"/>
  <c r="Z318" i="3"/>
  <c r="AE407" i="3"/>
  <c r="N256" i="3"/>
  <c r="AG251" i="3"/>
  <c r="V168" i="3"/>
  <c r="AH267" i="3"/>
  <c r="Q181" i="3"/>
  <c r="AD311" i="3"/>
  <c r="AG141" i="3"/>
  <c r="J267" i="3"/>
  <c r="I182" i="3"/>
  <c r="V269" i="3"/>
  <c r="H161" i="3"/>
  <c r="AL405" i="3"/>
  <c r="X216" i="3"/>
  <c r="Y122" i="3"/>
  <c r="T304" i="3"/>
  <c r="AJ195" i="3"/>
  <c r="AG108" i="3"/>
  <c r="W263" i="3"/>
  <c r="Y163" i="3"/>
  <c r="N86" i="3"/>
  <c r="M217" i="3"/>
  <c r="Y103" i="3"/>
  <c r="O351" i="3"/>
  <c r="X99" i="3"/>
  <c r="AD323" i="3"/>
  <c r="Z172" i="3"/>
  <c r="AB68" i="3"/>
  <c r="R266" i="3"/>
  <c r="AG138" i="3"/>
  <c r="H52" i="3"/>
  <c r="U216" i="3"/>
  <c r="AD82" i="3"/>
  <c r="S356" i="3"/>
  <c r="U152" i="3"/>
  <c r="T63" i="3"/>
  <c r="AJ290" i="3"/>
  <c r="AA100" i="3"/>
  <c r="P10" i="3"/>
  <c r="J184" i="3"/>
  <c r="Y58" i="3"/>
  <c r="S215" i="3"/>
  <c r="AC275" i="3"/>
  <c r="L96" i="3"/>
  <c r="AA160" i="3"/>
  <c r="Q202" i="3"/>
  <c r="T251" i="3"/>
  <c r="P34" i="3"/>
  <c r="AA181" i="3"/>
  <c r="AI161" i="3"/>
  <c r="P14" i="3"/>
  <c r="L123" i="3"/>
  <c r="X292" i="3"/>
  <c r="G51" i="3"/>
  <c r="AK184" i="3"/>
  <c r="P7" i="3"/>
  <c r="I50" i="3"/>
  <c r="M117" i="3"/>
  <c r="P226" i="3"/>
  <c r="X6" i="3"/>
  <c r="P37" i="3"/>
  <c r="I27" i="3"/>
  <c r="W241" i="3"/>
  <c r="AI312" i="3"/>
  <c r="Z32" i="3"/>
  <c r="X160" i="3"/>
  <c r="AH312" i="3"/>
  <c r="AF405" i="3"/>
  <c r="R98" i="3"/>
  <c r="I209" i="3"/>
  <c r="AB17" i="3"/>
  <c r="X132" i="3"/>
  <c r="O274" i="3"/>
  <c r="AI132" i="3"/>
  <c r="AB111" i="3"/>
  <c r="AH204" i="3"/>
  <c r="W5" i="3"/>
  <c r="T213" i="3"/>
  <c r="V59" i="3"/>
  <c r="I87" i="3"/>
  <c r="N182" i="3"/>
  <c r="S16" i="3"/>
  <c r="F189" i="3"/>
  <c r="F330" i="3"/>
  <c r="F205" i="3"/>
  <c r="M404" i="3"/>
  <c r="AI344" i="3"/>
  <c r="AE337" i="3"/>
  <c r="AH405" i="3"/>
  <c r="Y394" i="3"/>
  <c r="AC409" i="3"/>
  <c r="Q399" i="3"/>
  <c r="AI373" i="3"/>
  <c r="P322" i="3"/>
  <c r="AA325" i="3"/>
  <c r="M313" i="3"/>
  <c r="AH311" i="3"/>
  <c r="AD338" i="3"/>
  <c r="X319" i="3"/>
  <c r="K336" i="3"/>
  <c r="L342" i="3"/>
  <c r="S366" i="3"/>
  <c r="S390" i="3"/>
  <c r="AD249" i="3"/>
  <c r="Q261" i="3"/>
  <c r="W287" i="3"/>
  <c r="W341" i="3"/>
  <c r="W368" i="3"/>
  <c r="O232" i="3"/>
  <c r="AH403" i="3"/>
  <c r="R238" i="3"/>
  <c r="AG156" i="3"/>
  <c r="AE270" i="3"/>
  <c r="P181" i="3"/>
  <c r="L339" i="3"/>
  <c r="AI220" i="3"/>
  <c r="X382" i="3"/>
  <c r="Z211" i="3"/>
  <c r="T115" i="3"/>
  <c r="I275" i="3"/>
  <c r="J165" i="3"/>
  <c r="AJ82" i="3"/>
  <c r="AE236" i="3"/>
  <c r="T149" i="3"/>
  <c r="T364" i="3"/>
  <c r="AH210" i="3"/>
  <c r="Z120" i="3"/>
  <c r="AK289" i="3"/>
  <c r="M82" i="3"/>
  <c r="U330" i="3"/>
  <c r="AD175" i="3"/>
  <c r="P73" i="3"/>
  <c r="AJ262" i="3"/>
  <c r="P145" i="3"/>
  <c r="AI51" i="3"/>
  <c r="Y224" i="3"/>
  <c r="AA113" i="3"/>
  <c r="M296" i="3"/>
  <c r="I141" i="3"/>
  <c r="AE33" i="3"/>
  <c r="G227" i="3"/>
  <c r="AJ86" i="3"/>
  <c r="AJ403" i="3"/>
  <c r="I45" i="3"/>
  <c r="M37" i="3"/>
  <c r="K273" i="3"/>
  <c r="AG114" i="3"/>
  <c r="AJ93" i="3"/>
  <c r="AD168" i="3"/>
  <c r="AH380" i="3"/>
  <c r="W110" i="3"/>
  <c r="O368" i="3"/>
  <c r="AB67" i="3"/>
  <c r="I22" i="3"/>
  <c r="X116" i="3"/>
  <c r="O245" i="3"/>
  <c r="H19" i="3"/>
  <c r="AI66" i="3"/>
  <c r="M76" i="3"/>
  <c r="M144" i="3"/>
  <c r="T151" i="3"/>
  <c r="AA351" i="3"/>
  <c r="W34" i="3"/>
  <c r="AD288" i="3"/>
  <c r="O184" i="3"/>
  <c r="AG223" i="3"/>
  <c r="W22" i="3"/>
  <c r="AK129" i="3"/>
  <c r="Y73" i="3"/>
  <c r="AL208" i="3"/>
  <c r="J64" i="3"/>
  <c r="R171" i="3"/>
  <c r="O45" i="3"/>
  <c r="I95" i="3"/>
  <c r="X181" i="3"/>
  <c r="S56" i="3"/>
  <c r="T46" i="3"/>
  <c r="Y357" i="3"/>
  <c r="H127" i="3"/>
  <c r="F373" i="3"/>
  <c r="F132" i="3"/>
  <c r="F142" i="3"/>
  <c r="T409" i="3"/>
  <c r="Z354" i="3"/>
  <c r="J405" i="3"/>
  <c r="G387" i="3"/>
  <c r="X408" i="3"/>
  <c r="R398" i="3"/>
  <c r="H373" i="3"/>
  <c r="Y321" i="3"/>
  <c r="AI324" i="3"/>
  <c r="X312" i="3"/>
  <c r="N311" i="3"/>
  <c r="AH337" i="3"/>
  <c r="AC318" i="3"/>
  <c r="AF334" i="3"/>
  <c r="L341" i="3"/>
  <c r="I365" i="3"/>
  <c r="R371" i="3"/>
  <c r="J249" i="3"/>
  <c r="AB260" i="3"/>
  <c r="AC258" i="3"/>
  <c r="AJ303" i="3"/>
  <c r="AE314" i="3"/>
  <c r="Y208" i="3"/>
  <c r="AI340" i="3"/>
  <c r="W219" i="3"/>
  <c r="G138" i="3"/>
  <c r="G239" i="3"/>
  <c r="J158" i="3"/>
  <c r="AI291" i="3"/>
  <c r="X197" i="3"/>
  <c r="AA311" i="3"/>
  <c r="AA188" i="3"/>
  <c r="K92" i="3"/>
  <c r="AA238" i="3"/>
  <c r="R139" i="3"/>
  <c r="AL363" i="3"/>
  <c r="G214" i="3"/>
  <c r="P125" i="3"/>
  <c r="AJ296" i="3"/>
  <c r="AB188" i="3"/>
  <c r="V102" i="3"/>
  <c r="V244" i="3"/>
  <c r="AJ128" i="3"/>
  <c r="W41" i="3"/>
  <c r="Y204" i="3"/>
  <c r="AD93" i="3"/>
  <c r="M319" i="3"/>
  <c r="W170" i="3"/>
  <c r="S67" i="3"/>
  <c r="Z223" i="3"/>
  <c r="AI111" i="3"/>
  <c r="K385" i="3"/>
  <c r="AH172" i="3"/>
  <c r="AG52" i="3"/>
  <c r="U271" i="3"/>
  <c r="W119" i="3"/>
  <c r="R19" i="3"/>
  <c r="X198" i="3"/>
  <c r="M73" i="3"/>
  <c r="AF306" i="3"/>
  <c r="J141" i="3"/>
  <c r="U36" i="3"/>
  <c r="R213" i="3"/>
  <c r="AG272" i="3"/>
  <c r="M382" i="3"/>
  <c r="T157" i="3"/>
  <c r="AK198" i="3"/>
  <c r="X247" i="3"/>
  <c r="I63" i="3"/>
  <c r="AA227" i="3"/>
  <c r="N49" i="3"/>
  <c r="T204" i="3"/>
  <c r="AD38" i="3"/>
  <c r="W180" i="3"/>
  <c r="R7" i="3"/>
  <c r="P86" i="3"/>
  <c r="T169" i="3"/>
  <c r="T5" i="3"/>
  <c r="H197" i="3"/>
  <c r="AB353" i="3"/>
  <c r="H33" i="3"/>
  <c r="AA85" i="3"/>
  <c r="Y147" i="3"/>
  <c r="N350" i="3"/>
  <c r="AG32" i="3"/>
  <c r="Q266" i="3"/>
  <c r="W156" i="3"/>
  <c r="T241" i="3"/>
  <c r="Y390" i="3"/>
  <c r="G15" i="3"/>
  <c r="Z192" i="3"/>
  <c r="AB13" i="3"/>
  <c r="AD125" i="3"/>
  <c r="AC255" i="3"/>
  <c r="AH96" i="3"/>
  <c r="AL72" i="3"/>
  <c r="W56" i="3"/>
  <c r="AD320" i="3"/>
  <c r="X65" i="3"/>
  <c r="AD283" i="3"/>
  <c r="H261" i="3"/>
  <c r="R135" i="3"/>
  <c r="F313" i="3"/>
  <c r="F322" i="3"/>
  <c r="F329" i="3"/>
  <c r="F295" i="3"/>
  <c r="F23" i="3"/>
  <c r="AI402" i="3"/>
  <c r="AD383" i="3"/>
  <c r="Q394" i="3"/>
  <c r="V336" i="3"/>
  <c r="T347" i="3"/>
  <c r="AE357" i="3"/>
  <c r="AJ363" i="3"/>
  <c r="P407" i="3"/>
  <c r="L335" i="3"/>
  <c r="J392" i="3"/>
  <c r="K393" i="3"/>
  <c r="V381" i="3"/>
  <c r="K324" i="3"/>
  <c r="AB306" i="3"/>
  <c r="Y310" i="3"/>
  <c r="AH336" i="3"/>
  <c r="AH350" i="3"/>
  <c r="AJ273" i="3"/>
  <c r="AG284" i="3"/>
  <c r="Z309" i="3"/>
  <c r="U363" i="3"/>
  <c r="AD276" i="3"/>
  <c r="AF294" i="3"/>
  <c r="U248" i="3"/>
  <c r="H260" i="3"/>
  <c r="AE284" i="3"/>
  <c r="M338" i="3"/>
  <c r="AK365" i="3"/>
  <c r="J226" i="3"/>
  <c r="N396" i="3"/>
  <c r="G266" i="3"/>
  <c r="L196" i="3"/>
  <c r="K345" i="3"/>
  <c r="AL238" i="3"/>
  <c r="G180" i="3"/>
  <c r="M337" i="3"/>
  <c r="AE237" i="3"/>
  <c r="P156" i="3"/>
  <c r="V263" i="3"/>
  <c r="Y158" i="3"/>
  <c r="Z396" i="3"/>
  <c r="H214" i="3"/>
  <c r="Y138" i="3"/>
  <c r="I344" i="3"/>
  <c r="AL213" i="3"/>
  <c r="I143" i="3"/>
  <c r="AE86" i="3"/>
  <c r="R260" i="3"/>
  <c r="R400" i="3"/>
  <c r="AI333" i="3"/>
  <c r="O357" i="3"/>
  <c r="L284" i="3"/>
  <c r="X350" i="3"/>
  <c r="Z290" i="3"/>
  <c r="AD256" i="3"/>
  <c r="O213" i="3"/>
  <c r="O259" i="3"/>
  <c r="V272" i="3"/>
  <c r="W316" i="3"/>
  <c r="G372" i="3"/>
  <c r="J50" i="3"/>
  <c r="V32" i="3"/>
  <c r="AB35" i="3"/>
  <c r="V43" i="3"/>
  <c r="K56" i="3"/>
  <c r="H220" i="3"/>
  <c r="AJ239" i="3"/>
  <c r="AK31" i="3"/>
  <c r="V267" i="3"/>
  <c r="Q102" i="3"/>
  <c r="W330" i="3"/>
  <c r="AE46" i="3"/>
  <c r="J73" i="3"/>
  <c r="V325" i="3"/>
  <c r="AA168" i="3"/>
  <c r="O236" i="3"/>
  <c r="L85" i="3"/>
  <c r="U119" i="3"/>
  <c r="AF113" i="3"/>
  <c r="N32" i="3"/>
  <c r="AB216" i="3"/>
  <c r="G53" i="3"/>
  <c r="F139" i="3"/>
  <c r="V218" i="3"/>
  <c r="U329" i="3"/>
  <c r="AD301" i="3"/>
  <c r="N224" i="3"/>
  <c r="J81" i="3"/>
  <c r="AG89" i="3"/>
  <c r="S207" i="3"/>
  <c r="F76" i="3"/>
  <c r="S119" i="3"/>
  <c r="S358" i="3"/>
  <c r="T191" i="3"/>
  <c r="F344" i="3"/>
  <c r="V334" i="3"/>
  <c r="AF380" i="3"/>
  <c r="X98" i="3"/>
  <c r="V202" i="3"/>
  <c r="R291" i="3"/>
  <c r="X15" i="3"/>
  <c r="R152" i="3"/>
  <c r="X357" i="3"/>
  <c r="P182" i="3"/>
  <c r="AH68" i="3"/>
  <c r="R396" i="3"/>
  <c r="G81" i="3"/>
  <c r="P196" i="3"/>
  <c r="P304" i="3"/>
  <c r="T98" i="3"/>
  <c r="G229" i="3"/>
  <c r="AF118" i="3"/>
  <c r="W83" i="3"/>
  <c r="U292" i="3"/>
  <c r="R406" i="3"/>
  <c r="AB151" i="3"/>
  <c r="Q244" i="3"/>
  <c r="AE362" i="3"/>
  <c r="AJ96" i="3"/>
  <c r="X228" i="3"/>
  <c r="P107" i="3"/>
  <c r="P65" i="3"/>
  <c r="AC294" i="3"/>
  <c r="Q262" i="3"/>
  <c r="T141" i="3"/>
  <c r="Q225" i="3"/>
  <c r="AA296" i="3"/>
  <c r="AH109" i="3"/>
  <c r="T389" i="3"/>
  <c r="AE34" i="3"/>
  <c r="AC397" i="3"/>
  <c r="AG237" i="3"/>
  <c r="U140" i="3"/>
  <c r="P224" i="3"/>
  <c r="AC292" i="3"/>
  <c r="V280" i="3"/>
  <c r="G228" i="3"/>
  <c r="M203" i="3"/>
  <c r="F86" i="3"/>
  <c r="S367" i="3"/>
  <c r="K234" i="3"/>
  <c r="R163" i="3"/>
  <c r="H211" i="3"/>
  <c r="G119" i="3"/>
  <c r="Z63" i="3"/>
  <c r="AF174" i="3"/>
  <c r="AE95" i="3"/>
  <c r="AI386" i="3"/>
  <c r="Q238" i="3"/>
  <c r="R100" i="3"/>
  <c r="O170" i="3"/>
  <c r="L236" i="3"/>
  <c r="T27" i="3"/>
  <c r="X236" i="3"/>
  <c r="Y29" i="3"/>
  <c r="F361" i="3"/>
  <c r="G367" i="3"/>
  <c r="I274" i="3"/>
  <c r="Y188" i="3"/>
  <c r="S113" i="3"/>
  <c r="AC163" i="3"/>
  <c r="M193" i="3"/>
  <c r="Q4" i="3"/>
  <c r="L139" i="3"/>
  <c r="G160" i="3"/>
  <c r="AE346" i="3"/>
  <c r="AE196" i="3"/>
  <c r="AF79" i="3"/>
  <c r="X129" i="3"/>
  <c r="H152" i="3"/>
  <c r="H132" i="3"/>
  <c r="Q78" i="3"/>
  <c r="J8" i="3"/>
  <c r="F228" i="3"/>
  <c r="G317" i="3"/>
  <c r="T225" i="3"/>
  <c r="I81" i="3"/>
  <c r="H92" i="3"/>
  <c r="AE123" i="3"/>
  <c r="AL131" i="3"/>
  <c r="S237" i="3"/>
  <c r="AJ75" i="3"/>
  <c r="I49" i="3"/>
  <c r="X380" i="3"/>
  <c r="AI123" i="3"/>
  <c r="AE122" i="3"/>
  <c r="S130" i="3"/>
  <c r="W233" i="3"/>
  <c r="J74" i="3"/>
  <c r="G45" i="3"/>
  <c r="K357" i="3"/>
  <c r="O139" i="3"/>
  <c r="G344" i="3"/>
  <c r="AI88" i="3"/>
  <c r="H110" i="3"/>
  <c r="R23" i="3"/>
  <c r="J197" i="3"/>
  <c r="Z110" i="3"/>
  <c r="X287" i="3"/>
  <c r="K86" i="3"/>
  <c r="J66" i="3"/>
  <c r="AL84" i="3"/>
  <c r="X106" i="3"/>
  <c r="AA45" i="3"/>
  <c r="T266" i="3"/>
  <c r="X86" i="3"/>
  <c r="F262" i="3"/>
  <c r="I386" i="3"/>
  <c r="AK392" i="3"/>
  <c r="AD355" i="3"/>
  <c r="Z50" i="3"/>
  <c r="T72" i="3"/>
  <c r="AB56" i="3"/>
  <c r="AC83" i="3"/>
  <c r="U151" i="3"/>
  <c r="AK358" i="3"/>
  <c r="U398" i="3"/>
  <c r="AF236" i="3"/>
  <c r="U388" i="3"/>
  <c r="AH60" i="3"/>
  <c r="P319" i="3"/>
  <c r="AL20" i="3"/>
  <c r="AL36" i="3"/>
  <c r="N51" i="3"/>
  <c r="AA18" i="3"/>
  <c r="AD397" i="3"/>
  <c r="K400" i="3"/>
  <c r="J331" i="3"/>
  <c r="L374" i="3"/>
  <c r="AH306" i="3"/>
  <c r="M263" i="3"/>
  <c r="J237" i="3"/>
  <c r="S185" i="3"/>
  <c r="AJ229" i="3"/>
  <c r="AH240" i="3"/>
  <c r="AK270" i="3"/>
  <c r="N314" i="3"/>
  <c r="AJ371" i="3"/>
  <c r="U49" i="3"/>
  <c r="AG31" i="3"/>
  <c r="H35" i="3"/>
  <c r="Z42" i="3"/>
  <c r="R55" i="3"/>
  <c r="H238" i="3"/>
  <c r="I31" i="3"/>
  <c r="U266" i="3"/>
  <c r="N100" i="3"/>
  <c r="M45" i="3"/>
  <c r="AF71" i="3"/>
  <c r="V160" i="3"/>
  <c r="U114" i="3"/>
  <c r="M21" i="3"/>
  <c r="Q39" i="3"/>
  <c r="T214" i="3"/>
  <c r="N20" i="3"/>
  <c r="L246" i="3"/>
  <c r="U360" i="3"/>
  <c r="AB171" i="3"/>
  <c r="V180" i="3"/>
  <c r="Z342" i="3"/>
  <c r="AG125" i="3"/>
  <c r="Q35" i="3"/>
  <c r="G109" i="3"/>
  <c r="Q171" i="3"/>
  <c r="F13" i="3"/>
  <c r="N353" i="3"/>
  <c r="AI336" i="3"/>
  <c r="AA152" i="3"/>
  <c r="AD245" i="3"/>
  <c r="AF369" i="3"/>
  <c r="H225" i="3"/>
  <c r="T110" i="3"/>
  <c r="AJ348" i="3"/>
  <c r="AB123" i="3"/>
  <c r="F165" i="3"/>
  <c r="O322" i="3"/>
  <c r="AI309" i="3"/>
  <c r="AA172" i="3"/>
  <c r="AC257" i="3"/>
  <c r="AD369" i="3"/>
  <c r="V5" i="3"/>
  <c r="S345" i="3"/>
  <c r="AG117" i="3"/>
  <c r="F27" i="3"/>
  <c r="AH390" i="3"/>
  <c r="I298" i="3"/>
  <c r="AH203" i="3"/>
  <c r="X259" i="3"/>
  <c r="AK65" i="3"/>
  <c r="W139" i="3"/>
  <c r="AK238" i="3"/>
  <c r="F179" i="3"/>
  <c r="O373" i="3"/>
  <c r="AA253" i="3"/>
  <c r="AI140" i="3"/>
  <c r="Q195" i="3"/>
  <c r="R244" i="3"/>
  <c r="K162" i="3"/>
  <c r="AB107" i="3"/>
  <c r="P372" i="3"/>
  <c r="AD23" i="3"/>
  <c r="AH371" i="3"/>
  <c r="AF267" i="3"/>
  <c r="O101" i="3"/>
  <c r="X171" i="3"/>
  <c r="U211" i="3"/>
  <c r="AD37" i="3"/>
  <c r="AJ70" i="3"/>
  <c r="V74" i="3"/>
  <c r="K285" i="3"/>
  <c r="AG315" i="3"/>
  <c r="AB118" i="3"/>
  <c r="R162" i="3"/>
  <c r="AD210" i="3"/>
  <c r="AH193" i="3"/>
  <c r="X136" i="3"/>
  <c r="U74" i="3"/>
  <c r="F127" i="3"/>
  <c r="AF293" i="3"/>
  <c r="AF157" i="3"/>
  <c r="Y80" i="3"/>
  <c r="Y130" i="3"/>
  <c r="R153" i="3"/>
  <c r="AF11" i="3"/>
  <c r="AH32" i="3"/>
  <c r="AG12" i="3"/>
  <c r="U322" i="3"/>
  <c r="AG339" i="3"/>
  <c r="AE130" i="3"/>
  <c r="M92" i="3"/>
  <c r="O147" i="3"/>
  <c r="AB195" i="3"/>
  <c r="AB379" i="3"/>
  <c r="Y135" i="3"/>
  <c r="AG159" i="3"/>
  <c r="P320" i="3"/>
  <c r="V113" i="3"/>
  <c r="G72" i="3"/>
  <c r="R118" i="3"/>
  <c r="P153" i="3"/>
  <c r="U76" i="3"/>
  <c r="U31" i="3"/>
  <c r="O52" i="3"/>
  <c r="F66" i="3"/>
  <c r="Y358" i="3"/>
  <c r="P207" i="3"/>
  <c r="T80" i="3"/>
  <c r="R110" i="3"/>
  <c r="AI138" i="3"/>
  <c r="L46" i="3"/>
  <c r="AF330" i="3"/>
  <c r="I4" i="3"/>
  <c r="AC256" i="3"/>
  <c r="AD386" i="3"/>
  <c r="R387" i="3"/>
  <c r="AD66" i="3"/>
  <c r="U97" i="3"/>
  <c r="O149" i="3"/>
  <c r="V34" i="3"/>
  <c r="V84" i="3"/>
  <c r="AA347" i="3"/>
  <c r="S393" i="3"/>
  <c r="N40" i="3"/>
  <c r="AA78" i="3"/>
  <c r="T334" i="3"/>
  <c r="AI237" i="3"/>
  <c r="W18" i="3"/>
  <c r="U44" i="3"/>
  <c r="AC108" i="3"/>
  <c r="AK332" i="3"/>
  <c r="V321" i="3"/>
  <c r="AE323" i="3"/>
  <c r="I52" i="3"/>
  <c r="L270" i="3"/>
  <c r="M123" i="3"/>
  <c r="AJ140" i="3"/>
  <c r="F184" i="3"/>
  <c r="L363" i="3"/>
  <c r="AK336" i="3"/>
  <c r="I294" i="3"/>
  <c r="AK49" i="3"/>
  <c r="Y71" i="3"/>
  <c r="AA55" i="3"/>
  <c r="AJ81" i="3"/>
  <c r="X135" i="3"/>
  <c r="K135" i="3"/>
  <c r="F35" i="3"/>
  <c r="AB411" i="3"/>
  <c r="S406" i="3"/>
  <c r="H306" i="3"/>
  <c r="O338" i="3"/>
  <c r="AI283" i="3"/>
  <c r="AL236" i="3"/>
  <c r="U214" i="3"/>
  <c r="AC162" i="3"/>
  <c r="Q209" i="3"/>
  <c r="K214" i="3"/>
  <c r="AL230" i="3"/>
  <c r="T260" i="3"/>
  <c r="R308" i="3"/>
  <c r="S378" i="3"/>
  <c r="AA11" i="3"/>
  <c r="AC18" i="3"/>
  <c r="AH31" i="3"/>
  <c r="O166" i="3"/>
  <c r="W197" i="3"/>
  <c r="AI10" i="3"/>
  <c r="L202" i="3"/>
  <c r="M65" i="3"/>
  <c r="AK233" i="3"/>
  <c r="K11" i="3"/>
  <c r="I32" i="3"/>
  <c r="AL54" i="3"/>
  <c r="U258" i="3"/>
  <c r="Y334" i="3"/>
  <c r="AK7" i="3"/>
  <c r="AL197" i="3"/>
  <c r="F316" i="3"/>
  <c r="U82" i="3"/>
  <c r="W101" i="3"/>
  <c r="AI409" i="3"/>
  <c r="AJ230" i="3"/>
  <c r="I385" i="3"/>
  <c r="Q143" i="3"/>
  <c r="AD164" i="3"/>
  <c r="K17" i="3"/>
  <c r="AK59" i="3"/>
  <c r="F321" i="3"/>
  <c r="AJ309" i="3"/>
  <c r="I161" i="3"/>
  <c r="Y222" i="3"/>
  <c r="N283" i="3"/>
  <c r="AB110" i="3"/>
  <c r="AL196" i="3"/>
  <c r="V127" i="3"/>
  <c r="Z113" i="3"/>
  <c r="F94" i="3"/>
  <c r="G368" i="3"/>
  <c r="N302" i="3"/>
  <c r="P160" i="3"/>
  <c r="I195" i="3"/>
  <c r="I281" i="3"/>
  <c r="T109" i="3"/>
  <c r="T108" i="3"/>
  <c r="AI130" i="3"/>
  <c r="X32" i="3"/>
  <c r="F378" i="3"/>
  <c r="AK375" i="3"/>
  <c r="K278" i="3"/>
  <c r="AA141" i="3"/>
  <c r="U169" i="3"/>
  <c r="L238" i="3"/>
  <c r="M351" i="3"/>
  <c r="H281" i="3"/>
  <c r="L233" i="3"/>
  <c r="Y212" i="3"/>
  <c r="F126" i="3"/>
  <c r="I276" i="3"/>
  <c r="S263" i="3"/>
  <c r="P168" i="3"/>
  <c r="AD236" i="3"/>
  <c r="R350" i="3"/>
  <c r="N58" i="3"/>
  <c r="T14" i="3"/>
  <c r="AL153" i="3"/>
  <c r="F306" i="3"/>
  <c r="AG335" i="3"/>
  <c r="H364" i="3"/>
  <c r="Q119" i="3"/>
  <c r="Z137" i="3"/>
  <c r="K197" i="3"/>
  <c r="AI244" i="3"/>
  <c r="R28" i="3"/>
  <c r="M237" i="3"/>
  <c r="J30" i="3"/>
  <c r="F43" i="3"/>
  <c r="H392" i="3"/>
  <c r="AF311" i="3"/>
  <c r="M181" i="3"/>
  <c r="AF116" i="3"/>
  <c r="AE195" i="3"/>
  <c r="AE36" i="3"/>
  <c r="I62" i="3"/>
  <c r="V167" i="3"/>
  <c r="V89" i="3"/>
  <c r="AE368" i="3"/>
  <c r="AG101" i="3"/>
  <c r="G136" i="3"/>
  <c r="AI179" i="3"/>
  <c r="L73" i="3"/>
  <c r="W21" i="3"/>
  <c r="V61" i="3"/>
  <c r="M63" i="3"/>
  <c r="S271" i="3"/>
  <c r="Q168" i="3"/>
  <c r="AE111" i="3"/>
  <c r="T162" i="3"/>
  <c r="O72" i="3"/>
  <c r="R20" i="3"/>
  <c r="K58" i="3"/>
  <c r="N50" i="3"/>
  <c r="AI397" i="3"/>
  <c r="Q142" i="3"/>
  <c r="K111" i="3"/>
  <c r="P116" i="3"/>
  <c r="Y359" i="3"/>
  <c r="J313" i="3"/>
  <c r="AA54" i="3"/>
  <c r="AG162" i="3"/>
  <c r="AD291" i="3"/>
  <c r="AF156" i="3"/>
  <c r="T58" i="3"/>
  <c r="AE104" i="3"/>
  <c r="AJ114" i="3"/>
  <c r="N345" i="3"/>
  <c r="AI301" i="3"/>
  <c r="Y44" i="3"/>
  <c r="AH116" i="3"/>
  <c r="R312" i="3"/>
  <c r="AH40" i="3"/>
  <c r="Y79" i="3"/>
  <c r="Z340" i="3"/>
  <c r="P20" i="3"/>
  <c r="AK9" i="3"/>
  <c r="O4" i="3"/>
  <c r="AA367" i="3"/>
  <c r="I310" i="3"/>
  <c r="AA50" i="3"/>
  <c r="T96" i="3"/>
  <c r="Z88" i="3"/>
  <c r="O146" i="3"/>
  <c r="AF32" i="3"/>
  <c r="AF74" i="3"/>
  <c r="R323" i="3"/>
  <c r="I272" i="3"/>
  <c r="AF393" i="3"/>
  <c r="H61" i="3"/>
  <c r="AG322" i="3"/>
  <c r="G21" i="3"/>
  <c r="AC38" i="3"/>
  <c r="Z145" i="3"/>
  <c r="X398" i="3"/>
  <c r="Q284" i="3"/>
  <c r="Y65" i="3"/>
  <c r="AF76" i="3"/>
  <c r="AG362" i="3"/>
  <c r="S122" i="3"/>
  <c r="S22" i="3"/>
  <c r="V322" i="3"/>
  <c r="AK401" i="3"/>
  <c r="AI381" i="3"/>
  <c r="AK406" i="3"/>
  <c r="AG308" i="3"/>
  <c r="T257" i="3"/>
  <c r="N218" i="3"/>
  <c r="O196" i="3"/>
  <c r="AF137" i="3"/>
  <c r="T208" i="3"/>
  <c r="AK213" i="3"/>
  <c r="AE229" i="3"/>
  <c r="AJ258" i="3"/>
  <c r="W305" i="3"/>
  <c r="AB377" i="3"/>
  <c r="G11" i="3"/>
  <c r="I18" i="3"/>
  <c r="N31" i="3"/>
  <c r="AA164" i="3"/>
  <c r="AA195" i="3"/>
  <c r="K10" i="3"/>
  <c r="AE64" i="3"/>
  <c r="S231" i="3"/>
  <c r="AE10" i="3"/>
  <c r="AF30" i="3"/>
  <c r="J40" i="3"/>
  <c r="J236" i="3"/>
  <c r="AB323" i="3"/>
  <c r="H114" i="3"/>
  <c r="AI379" i="3"/>
  <c r="R43" i="3"/>
  <c r="P195" i="3"/>
  <c r="G295" i="3"/>
  <c r="J122" i="3"/>
  <c r="F193" i="3"/>
  <c r="J383" i="3"/>
  <c r="AA355" i="3"/>
  <c r="U362" i="3"/>
  <c r="AK288" i="3"/>
  <c r="Y238" i="3"/>
  <c r="W195" i="3"/>
  <c r="I173" i="3"/>
  <c r="AI119" i="3"/>
  <c r="AI187" i="3"/>
  <c r="W181" i="3"/>
  <c r="AA203" i="3"/>
  <c r="G231" i="3"/>
  <c r="V252" i="3"/>
  <c r="X293" i="3"/>
  <c r="N343" i="3"/>
  <c r="G392" i="3"/>
  <c r="K5" i="3"/>
  <c r="M16" i="3"/>
  <c r="R126" i="3"/>
  <c r="AL144" i="3"/>
  <c r="AJ279" i="3"/>
  <c r="O36" i="3"/>
  <c r="I167" i="3"/>
  <c r="U278" i="3"/>
  <c r="G115" i="3"/>
  <c r="Z190" i="3"/>
  <c r="R63" i="3"/>
  <c r="F45" i="3"/>
  <c r="AH334" i="3"/>
  <c r="G187" i="3"/>
  <c r="O251" i="3"/>
  <c r="V4" i="3"/>
  <c r="N275" i="3"/>
  <c r="G272" i="3"/>
  <c r="W70" i="3"/>
  <c r="AK244" i="3"/>
  <c r="AK342" i="3"/>
  <c r="AL369" i="3"/>
  <c r="AD173" i="3"/>
  <c r="Z259" i="3"/>
  <c r="K371" i="3"/>
  <c r="R6" i="3"/>
  <c r="T138" i="3"/>
  <c r="AG34" i="3"/>
  <c r="Z393" i="3"/>
  <c r="AK341" i="3"/>
  <c r="T220" i="3"/>
  <c r="AF303" i="3"/>
  <c r="H223" i="3"/>
  <c r="T193" i="3"/>
  <c r="I121" i="3"/>
  <c r="S111" i="3"/>
  <c r="U270" i="3"/>
  <c r="G343" i="3"/>
  <c r="AD122" i="3"/>
  <c r="T196" i="3"/>
  <c r="AE245" i="3"/>
  <c r="L164" i="3"/>
  <c r="W59" i="3"/>
  <c r="AL16" i="3"/>
  <c r="W198" i="3"/>
  <c r="Q353" i="3"/>
  <c r="P296" i="3"/>
  <c r="AD121" i="3"/>
  <c r="AB202" i="3"/>
  <c r="O257" i="3"/>
  <c r="AI64" i="3"/>
  <c r="Y136" i="3"/>
  <c r="I230" i="3"/>
  <c r="W189" i="3"/>
  <c r="AI335" i="3"/>
  <c r="O209" i="3"/>
  <c r="Y117" i="3"/>
  <c r="T190" i="3"/>
  <c r="I238" i="3"/>
  <c r="V194" i="3"/>
  <c r="M139" i="3"/>
  <c r="I77" i="3"/>
  <c r="F372" i="3"/>
  <c r="H327" i="3"/>
  <c r="N213" i="3"/>
  <c r="AE136" i="3"/>
  <c r="K189" i="3"/>
  <c r="Z209" i="3"/>
  <c r="AL118" i="3"/>
  <c r="Y68" i="3"/>
  <c r="N71" i="3"/>
  <c r="Q79" i="3"/>
  <c r="AD384" i="3"/>
  <c r="V219" i="3"/>
  <c r="AK92" i="3"/>
  <c r="W148" i="3"/>
  <c r="Y197" i="3"/>
  <c r="AA134" i="3"/>
  <c r="Z80" i="3"/>
  <c r="Z10" i="3"/>
  <c r="F212" i="3"/>
  <c r="AJ339" i="3"/>
  <c r="Y248" i="3"/>
  <c r="M101" i="3"/>
  <c r="AL135" i="3"/>
  <c r="O191" i="3"/>
  <c r="AG10" i="3"/>
  <c r="V31" i="3"/>
  <c r="AA10" i="3"/>
  <c r="AC320" i="3"/>
  <c r="AF247" i="3"/>
  <c r="AL179" i="3"/>
  <c r="I59" i="3"/>
  <c r="AH105" i="3"/>
  <c r="AH139" i="3"/>
  <c r="H331" i="3"/>
  <c r="AK5" i="3"/>
  <c r="T339" i="3"/>
  <c r="AE379" i="3"/>
  <c r="AL71" i="3"/>
  <c r="O117" i="3"/>
  <c r="AE151" i="3"/>
  <c r="P75" i="3"/>
  <c r="H30" i="3"/>
  <c r="S41" i="3"/>
  <c r="F347" i="3"/>
  <c r="O273" i="3"/>
  <c r="Y184" i="3"/>
  <c r="O106" i="3"/>
  <c r="P51" i="3"/>
  <c r="G85" i="3"/>
  <c r="Q108" i="3"/>
  <c r="AA240" i="3"/>
  <c r="W268" i="3"/>
  <c r="AB92" i="3"/>
  <c r="F173" i="3"/>
  <c r="G339" i="3"/>
  <c r="AI165" i="3"/>
  <c r="AL343" i="3"/>
  <c r="G88" i="3"/>
  <c r="K109" i="3"/>
  <c r="U22" i="3"/>
  <c r="AD193" i="3"/>
  <c r="H8" i="3"/>
  <c r="G198" i="3"/>
  <c r="S259" i="3"/>
  <c r="AK287" i="3"/>
  <c r="N66" i="3"/>
  <c r="AB77" i="3"/>
  <c r="O363" i="3"/>
  <c r="H143" i="3"/>
  <c r="H64" i="3"/>
  <c r="AB31" i="3"/>
  <c r="O303" i="3"/>
  <c r="Z289" i="3"/>
  <c r="U321" i="3"/>
  <c r="AL51" i="3"/>
  <c r="T267" i="3"/>
  <c r="N175" i="3"/>
  <c r="W135" i="3"/>
  <c r="AC132" i="3"/>
  <c r="AC132" i="2" l="1"/>
  <c r="W135" i="2"/>
  <c r="N175" i="2"/>
  <c r="T267" i="2"/>
  <c r="AL51" i="2"/>
  <c r="U321" i="2"/>
  <c r="Z289" i="2"/>
  <c r="O303" i="2"/>
  <c r="AB31" i="2"/>
  <c r="H64" i="2"/>
  <c r="H143" i="2"/>
  <c r="O363" i="2"/>
  <c r="AB77" i="2"/>
  <c r="N66" i="2"/>
  <c r="AK286" i="3"/>
  <c r="AK286" i="2" s="1"/>
  <c r="AK287" i="2"/>
  <c r="S259" i="2"/>
  <c r="G198" i="2"/>
  <c r="H8" i="2"/>
  <c r="AD193" i="2"/>
  <c r="U22" i="2"/>
  <c r="K109" i="2"/>
  <c r="G88" i="2"/>
  <c r="AL343" i="2"/>
  <c r="AI165" i="2"/>
  <c r="G339" i="2"/>
  <c r="F173" i="2"/>
  <c r="AB92" i="2"/>
  <c r="AB91" i="3"/>
  <c r="AB91" i="2" s="1"/>
  <c r="W268" i="2"/>
  <c r="AA240" i="2"/>
  <c r="Q108" i="2"/>
  <c r="G85" i="2"/>
  <c r="P51" i="2"/>
  <c r="O106" i="2"/>
  <c r="Y184" i="2"/>
  <c r="O273" i="2"/>
  <c r="F347" i="2"/>
  <c r="S41" i="2"/>
  <c r="H30" i="2"/>
  <c r="P75" i="2"/>
  <c r="AE151" i="2"/>
  <c r="O117" i="2"/>
  <c r="AL71" i="2"/>
  <c r="AE379" i="2"/>
  <c r="T339" i="2"/>
  <c r="AK5" i="2"/>
  <c r="H331" i="2"/>
  <c r="AH139" i="2"/>
  <c r="AH105" i="2"/>
  <c r="I59" i="2"/>
  <c r="AL178" i="3"/>
  <c r="AL179" i="2"/>
  <c r="AF247" i="2"/>
  <c r="AC320" i="2"/>
  <c r="AA10" i="2"/>
  <c r="V31" i="2"/>
  <c r="AG10" i="2"/>
  <c r="O191" i="2"/>
  <c r="AL135" i="2"/>
  <c r="M101" i="2"/>
  <c r="Y248" i="2"/>
  <c r="AJ339" i="2"/>
  <c r="F212" i="2"/>
  <c r="Z10" i="2"/>
  <c r="Z80" i="2"/>
  <c r="AA133" i="3"/>
  <c r="AA134" i="2"/>
  <c r="Y197" i="2"/>
  <c r="W148" i="2"/>
  <c r="AK91" i="3"/>
  <c r="AK91" i="2" s="1"/>
  <c r="AK92" i="2"/>
  <c r="V219" i="2"/>
  <c r="AD384" i="2"/>
  <c r="Q79" i="2"/>
  <c r="N71" i="2"/>
  <c r="Y68" i="2"/>
  <c r="AL118" i="2"/>
  <c r="Z209" i="2"/>
  <c r="K189" i="2"/>
  <c r="AE136" i="2"/>
  <c r="N213" i="2"/>
  <c r="H327" i="2"/>
  <c r="F372" i="2"/>
  <c r="I77" i="2"/>
  <c r="M139" i="2"/>
  <c r="V194" i="2"/>
  <c r="I238" i="2"/>
  <c r="T190" i="2"/>
  <c r="Y117" i="2"/>
  <c r="O209" i="2"/>
  <c r="AI335" i="2"/>
  <c r="W189" i="2"/>
  <c r="I230" i="2"/>
  <c r="Y136" i="2"/>
  <c r="AI64" i="2"/>
  <c r="O257" i="2"/>
  <c r="AB202" i="2"/>
  <c r="AD121" i="2"/>
  <c r="P296" i="2"/>
  <c r="Q353" i="2"/>
  <c r="W198" i="2"/>
  <c r="AL16" i="2"/>
  <c r="W59" i="2"/>
  <c r="L164" i="2"/>
  <c r="AE245" i="2"/>
  <c r="T196" i="2"/>
  <c r="AD122" i="2"/>
  <c r="G343" i="2"/>
  <c r="U270" i="2"/>
  <c r="S111" i="2"/>
  <c r="I121" i="2"/>
  <c r="T193" i="2"/>
  <c r="H223" i="2"/>
  <c r="AF303" i="2"/>
  <c r="T220" i="2"/>
  <c r="AK341" i="2"/>
  <c r="Z393" i="2"/>
  <c r="AG34" i="2"/>
  <c r="T138" i="2"/>
  <c r="R6" i="2"/>
  <c r="K370" i="3"/>
  <c r="K370" i="2" s="1"/>
  <c r="K371" i="2"/>
  <c r="Z259" i="2"/>
  <c r="AD173" i="2"/>
  <c r="AL369" i="2"/>
  <c r="AK342" i="2"/>
  <c r="AK243" i="3"/>
  <c r="AK244" i="2"/>
  <c r="W69" i="3"/>
  <c r="W70" i="2"/>
  <c r="G272" i="2"/>
  <c r="N275" i="2"/>
  <c r="V3" i="3"/>
  <c r="V3" i="2" s="1"/>
  <c r="V4" i="2"/>
  <c r="O251" i="2"/>
  <c r="G187" i="2"/>
  <c r="AH334" i="2"/>
  <c r="F45" i="2"/>
  <c r="R63" i="2"/>
  <c r="Z190" i="2"/>
  <c r="G115" i="2"/>
  <c r="U278" i="2"/>
  <c r="I167" i="2"/>
  <c r="O36" i="2"/>
  <c r="AJ279" i="2"/>
  <c r="AL144" i="2"/>
  <c r="R126" i="2"/>
  <c r="M16" i="2"/>
  <c r="K5" i="2"/>
  <c r="G391" i="3"/>
  <c r="G391" i="2" s="1"/>
  <c r="G392" i="2"/>
  <c r="N343" i="2"/>
  <c r="X293" i="2"/>
  <c r="V252" i="2"/>
  <c r="G231" i="2"/>
  <c r="AA203" i="2"/>
  <c r="W181" i="2"/>
  <c r="AI187" i="2"/>
  <c r="AI119" i="2"/>
  <c r="I173" i="2"/>
  <c r="W195" i="2"/>
  <c r="Y238" i="2"/>
  <c r="AK288" i="2"/>
  <c r="U362" i="2"/>
  <c r="AA355" i="2"/>
  <c r="J383" i="2"/>
  <c r="F193" i="2"/>
  <c r="J122" i="2"/>
  <c r="G295" i="2"/>
  <c r="P195" i="2"/>
  <c r="R43" i="2"/>
  <c r="AI379" i="2"/>
  <c r="H114" i="2"/>
  <c r="AB323" i="2"/>
  <c r="J236" i="2"/>
  <c r="J40" i="2"/>
  <c r="AF30" i="2"/>
  <c r="AE10" i="2"/>
  <c r="S231" i="2"/>
  <c r="AE64" i="2"/>
  <c r="K10" i="2"/>
  <c r="AA195" i="2"/>
  <c r="AA164" i="2"/>
  <c r="N31" i="2"/>
  <c r="I18" i="2"/>
  <c r="G11" i="2"/>
  <c r="AB377" i="2"/>
  <c r="W305" i="2"/>
  <c r="AJ258" i="2"/>
  <c r="AE229" i="2"/>
  <c r="AK213" i="2"/>
  <c r="T208" i="2"/>
  <c r="AF137" i="2"/>
  <c r="O196" i="2"/>
  <c r="N218" i="2"/>
  <c r="T257" i="2"/>
  <c r="AG307" i="3"/>
  <c r="AG307" i="2" s="1"/>
  <c r="AG308" i="2"/>
  <c r="AK406" i="2"/>
  <c r="AI381" i="2"/>
  <c r="AK401" i="2"/>
  <c r="V322" i="2"/>
  <c r="S22" i="2"/>
  <c r="S122" i="2"/>
  <c r="AG362" i="2"/>
  <c r="AF76" i="2"/>
  <c r="Y65" i="2"/>
  <c r="Q284" i="2"/>
  <c r="X398" i="2"/>
  <c r="Z145" i="2"/>
  <c r="AC38" i="2"/>
  <c r="G21" i="2"/>
  <c r="AG322" i="2"/>
  <c r="H61" i="2"/>
  <c r="AF393" i="2"/>
  <c r="I272" i="2"/>
  <c r="R323" i="2"/>
  <c r="AF74" i="2"/>
  <c r="AF32" i="2"/>
  <c r="O146" i="2"/>
  <c r="Z88" i="2"/>
  <c r="T96" i="2"/>
  <c r="AA50" i="2"/>
  <c r="I310" i="2"/>
  <c r="AA367" i="2"/>
  <c r="O3" i="3"/>
  <c r="O3" i="2" s="1"/>
  <c r="O4" i="2"/>
  <c r="AK9" i="2"/>
  <c r="P20" i="2"/>
  <c r="Z340" i="2"/>
  <c r="Y79" i="2"/>
  <c r="AH40" i="2"/>
  <c r="R312" i="2"/>
  <c r="AH116" i="2"/>
  <c r="Y44" i="2"/>
  <c r="AI301" i="2"/>
  <c r="N345" i="2"/>
  <c r="AJ114" i="2"/>
  <c r="AE104" i="2"/>
  <c r="T58" i="2"/>
  <c r="AF155" i="3"/>
  <c r="AF156" i="2"/>
  <c r="AD291" i="2"/>
  <c r="AG162" i="2"/>
  <c r="AA54" i="2"/>
  <c r="J313" i="2"/>
  <c r="Y359" i="2"/>
  <c r="P116" i="2"/>
  <c r="K111" i="2"/>
  <c r="Q142" i="2"/>
  <c r="AI397" i="2"/>
  <c r="N50" i="2"/>
  <c r="K58" i="2"/>
  <c r="R20" i="2"/>
  <c r="O72" i="2"/>
  <c r="T162" i="2"/>
  <c r="AE111" i="2"/>
  <c r="Q168" i="2"/>
  <c r="S271" i="2"/>
  <c r="M63" i="2"/>
  <c r="V61" i="2"/>
  <c r="W21" i="2"/>
  <c r="L73" i="2"/>
  <c r="AI179" i="2"/>
  <c r="AI178" i="3"/>
  <c r="G136" i="2"/>
  <c r="AG101" i="2"/>
  <c r="AE368" i="2"/>
  <c r="V89" i="2"/>
  <c r="V167" i="2"/>
  <c r="I62" i="2"/>
  <c r="AE36" i="2"/>
  <c r="AE195" i="2"/>
  <c r="AF116" i="2"/>
  <c r="M181" i="2"/>
  <c r="AF311" i="2"/>
  <c r="H391" i="3"/>
  <c r="H391" i="2" s="1"/>
  <c r="H392" i="2"/>
  <c r="F43" i="2"/>
  <c r="J30" i="2"/>
  <c r="M237" i="2"/>
  <c r="R28" i="2"/>
  <c r="AI243" i="3"/>
  <c r="AI244" i="2"/>
  <c r="K197" i="2"/>
  <c r="Z137" i="2"/>
  <c r="Q119" i="2"/>
  <c r="H364" i="2"/>
  <c r="AG335" i="2"/>
  <c r="F306" i="2"/>
  <c r="AL153" i="2"/>
  <c r="T14" i="2"/>
  <c r="N58" i="2"/>
  <c r="R349" i="3"/>
  <c r="R349" i="2" s="1"/>
  <c r="R350" i="2"/>
  <c r="AD236" i="2"/>
  <c r="P168" i="2"/>
  <c r="S263" i="2"/>
  <c r="I276" i="2"/>
  <c r="F126" i="2"/>
  <c r="Y212" i="2"/>
  <c r="L233" i="2"/>
  <c r="H281" i="2"/>
  <c r="M351" i="2"/>
  <c r="L238" i="2"/>
  <c r="U169" i="2"/>
  <c r="AA141" i="2"/>
  <c r="K278" i="2"/>
  <c r="AK375" i="2"/>
  <c r="F378" i="2"/>
  <c r="X32" i="2"/>
  <c r="AI130" i="2"/>
  <c r="T108" i="2"/>
  <c r="T109" i="2"/>
  <c r="I281" i="2"/>
  <c r="I195" i="2"/>
  <c r="P160" i="2"/>
  <c r="N302" i="2"/>
  <c r="G368" i="2"/>
  <c r="F94" i="2"/>
  <c r="Z112" i="3"/>
  <c r="Z112" i="2" s="1"/>
  <c r="Z113" i="2"/>
  <c r="V127" i="2"/>
  <c r="AL196" i="2"/>
  <c r="AB110" i="2"/>
  <c r="N283" i="2"/>
  <c r="Y221" i="3"/>
  <c r="Y221" i="2" s="1"/>
  <c r="Y222" i="2"/>
  <c r="I161" i="2"/>
  <c r="AJ309" i="2"/>
  <c r="F321" i="2"/>
  <c r="AK59" i="2"/>
  <c r="K17" i="2"/>
  <c r="AD164" i="2"/>
  <c r="Q143" i="2"/>
  <c r="I385" i="2"/>
  <c r="AJ230" i="2"/>
  <c r="AI409" i="2"/>
  <c r="W101" i="2"/>
  <c r="U82" i="2"/>
  <c r="F316" i="2"/>
  <c r="AL197" i="2"/>
  <c r="AK7" i="2"/>
  <c r="Y334" i="2"/>
  <c r="U258" i="2"/>
  <c r="AL54" i="2"/>
  <c r="I32" i="2"/>
  <c r="K11" i="2"/>
  <c r="AK233" i="2"/>
  <c r="M65" i="2"/>
  <c r="L202" i="2"/>
  <c r="AI10" i="2"/>
  <c r="W197" i="2"/>
  <c r="O166" i="2"/>
  <c r="AH31" i="2"/>
  <c r="AC18" i="2"/>
  <c r="AA11" i="2"/>
  <c r="S378" i="2"/>
  <c r="R307" i="3"/>
  <c r="R307" i="2" s="1"/>
  <c r="R308" i="2"/>
  <c r="T260" i="2"/>
  <c r="AL230" i="2"/>
  <c r="K214" i="2"/>
  <c r="Q209" i="2"/>
  <c r="AC162" i="2"/>
  <c r="U214" i="2"/>
  <c r="AL236" i="2"/>
  <c r="AI283" i="2"/>
  <c r="O338" i="2"/>
  <c r="H306" i="2"/>
  <c r="S406" i="2"/>
  <c r="AB411" i="2"/>
  <c r="F35" i="2"/>
  <c r="K135" i="2"/>
  <c r="X135" i="2"/>
  <c r="AJ81" i="2"/>
  <c r="AA55" i="2"/>
  <c r="Y71" i="2"/>
  <c r="AK49" i="2"/>
  <c r="AK48" i="3"/>
  <c r="I294" i="2"/>
  <c r="AK336" i="2"/>
  <c r="L363" i="2"/>
  <c r="F184" i="2"/>
  <c r="AJ140" i="2"/>
  <c r="M123" i="2"/>
  <c r="L270" i="2"/>
  <c r="I52" i="2"/>
  <c r="AE323" i="2"/>
  <c r="V321" i="2"/>
  <c r="AK332" i="2"/>
  <c r="AC108" i="2"/>
  <c r="U44" i="2"/>
  <c r="W18" i="2"/>
  <c r="AI237" i="2"/>
  <c r="T334" i="2"/>
  <c r="AA78" i="2"/>
  <c r="N40" i="2"/>
  <c r="S393" i="2"/>
  <c r="AA347" i="2"/>
  <c r="V84" i="2"/>
  <c r="V34" i="2"/>
  <c r="O149" i="2"/>
  <c r="U97" i="2"/>
  <c r="AD66" i="2"/>
  <c r="R387" i="2"/>
  <c r="AD386" i="2"/>
  <c r="AC256" i="2"/>
  <c r="I3" i="3"/>
  <c r="I3" i="2" s="1"/>
  <c r="I4" i="2"/>
  <c r="AF330" i="2"/>
  <c r="L46" i="2"/>
  <c r="AI138" i="2"/>
  <c r="R110" i="2"/>
  <c r="T80" i="2"/>
  <c r="P207" i="2"/>
  <c r="Y358" i="2"/>
  <c r="F66" i="2"/>
  <c r="O52" i="2"/>
  <c r="U31" i="2"/>
  <c r="U76" i="2"/>
  <c r="P153" i="2"/>
  <c r="R118" i="2"/>
  <c r="G72" i="2"/>
  <c r="V112" i="3"/>
  <c r="V112" i="2" s="1"/>
  <c r="V113" i="2"/>
  <c r="P320" i="2"/>
  <c r="AG159" i="2"/>
  <c r="Y135" i="2"/>
  <c r="AB379" i="2"/>
  <c r="AB195" i="2"/>
  <c r="O147" i="2"/>
  <c r="M91" i="3"/>
  <c r="M91" i="2" s="1"/>
  <c r="M92" i="2"/>
  <c r="AE130" i="2"/>
  <c r="AG339" i="2"/>
  <c r="U322" i="2"/>
  <c r="AG12" i="2"/>
  <c r="AH32" i="2"/>
  <c r="AF11" i="2"/>
  <c r="R153" i="2"/>
  <c r="Y130" i="2"/>
  <c r="Y80" i="2"/>
  <c r="AF157" i="2"/>
  <c r="AF293" i="2"/>
  <c r="F127" i="2"/>
  <c r="U74" i="2"/>
  <c r="X136" i="2"/>
  <c r="AH193" i="2"/>
  <c r="AD210" i="2"/>
  <c r="R162" i="2"/>
  <c r="AB118" i="2"/>
  <c r="AG315" i="2"/>
  <c r="K285" i="2"/>
  <c r="V74" i="2"/>
  <c r="AJ69" i="3"/>
  <c r="AJ70" i="2"/>
  <c r="AD37" i="2"/>
  <c r="U211" i="2"/>
  <c r="X171" i="2"/>
  <c r="O101" i="2"/>
  <c r="AF267" i="2"/>
  <c r="AH370" i="3"/>
  <c r="AH370" i="2" s="1"/>
  <c r="AH371" i="2"/>
  <c r="AD23" i="2"/>
  <c r="P372" i="2"/>
  <c r="AB107" i="2"/>
  <c r="K162" i="2"/>
  <c r="R243" i="3"/>
  <c r="R244" i="2"/>
  <c r="Q195" i="2"/>
  <c r="AI140" i="2"/>
  <c r="AA253" i="2"/>
  <c r="O373" i="2"/>
  <c r="F178" i="3"/>
  <c r="F179" i="2"/>
  <c r="AK238" i="2"/>
  <c r="W139" i="2"/>
  <c r="AK65" i="2"/>
  <c r="X259" i="2"/>
  <c r="AH203" i="2"/>
  <c r="I298" i="2"/>
  <c r="AH390" i="2"/>
  <c r="F26" i="3"/>
  <c r="F27" i="2"/>
  <c r="AG117" i="2"/>
  <c r="S345" i="2"/>
  <c r="V5" i="2"/>
  <c r="AD369" i="2"/>
  <c r="AC257" i="2"/>
  <c r="AA172" i="2"/>
  <c r="AI309" i="2"/>
  <c r="O322" i="2"/>
  <c r="F165" i="2"/>
  <c r="AB123" i="2"/>
  <c r="AJ348" i="2"/>
  <c r="T110" i="2"/>
  <c r="H225" i="2"/>
  <c r="AF369" i="2"/>
  <c r="AD245" i="2"/>
  <c r="AA152" i="2"/>
  <c r="AI336" i="2"/>
  <c r="N353" i="2"/>
  <c r="F13" i="2"/>
  <c r="Q171" i="2"/>
  <c r="G109" i="2"/>
  <c r="Q35" i="2"/>
  <c r="AG125" i="2"/>
  <c r="Z342" i="2"/>
  <c r="V180" i="2"/>
  <c r="AB171" i="2"/>
  <c r="U360" i="2"/>
  <c r="L246" i="2"/>
  <c r="N20" i="2"/>
  <c r="T214" i="2"/>
  <c r="Q39" i="2"/>
  <c r="M21" i="2"/>
  <c r="U114" i="2"/>
  <c r="V160" i="2"/>
  <c r="AF71" i="2"/>
  <c r="M45" i="2"/>
  <c r="N100" i="2"/>
  <c r="U265" i="3"/>
  <c r="U266" i="2"/>
  <c r="I31" i="2"/>
  <c r="H238" i="2"/>
  <c r="R55" i="2"/>
  <c r="Z42" i="2"/>
  <c r="H35" i="2"/>
  <c r="AG31" i="2"/>
  <c r="U48" i="3"/>
  <c r="U49" i="2"/>
  <c r="AJ370" i="3"/>
  <c r="AJ370" i="2" s="1"/>
  <c r="AJ371" i="2"/>
  <c r="N314" i="2"/>
  <c r="AK270" i="2"/>
  <c r="AH240" i="2"/>
  <c r="AJ229" i="2"/>
  <c r="S185" i="2"/>
  <c r="J237" i="2"/>
  <c r="M263" i="2"/>
  <c r="AH306" i="2"/>
  <c r="L374" i="2"/>
  <c r="J331" i="2"/>
  <c r="K400" i="2"/>
  <c r="AD397" i="2"/>
  <c r="AA18" i="2"/>
  <c r="N51" i="2"/>
  <c r="AL36" i="2"/>
  <c r="AL20" i="2"/>
  <c r="P319" i="2"/>
  <c r="AH60" i="2"/>
  <c r="U388" i="2"/>
  <c r="AF236" i="2"/>
  <c r="U398" i="2"/>
  <c r="AK358" i="2"/>
  <c r="U151" i="2"/>
  <c r="AC83" i="2"/>
  <c r="AB56" i="2"/>
  <c r="T72" i="2"/>
  <c r="Z50" i="2"/>
  <c r="AD355" i="2"/>
  <c r="AK391" i="3"/>
  <c r="AK391" i="2" s="1"/>
  <c r="AK392" i="2"/>
  <c r="I386" i="2"/>
  <c r="F262" i="2"/>
  <c r="X86" i="2"/>
  <c r="T265" i="3"/>
  <c r="T266" i="2"/>
  <c r="AA45" i="2"/>
  <c r="X106" i="2"/>
  <c r="AL84" i="2"/>
  <c r="J66" i="2"/>
  <c r="K86" i="2"/>
  <c r="X286" i="3"/>
  <c r="X286" i="2" s="1"/>
  <c r="X287" i="2"/>
  <c r="Z110" i="2"/>
  <c r="J197" i="2"/>
  <c r="R23" i="2"/>
  <c r="H110" i="2"/>
  <c r="AI88" i="2"/>
  <c r="G344" i="2"/>
  <c r="O139" i="2"/>
  <c r="K357" i="2"/>
  <c r="G45" i="2"/>
  <c r="J74" i="2"/>
  <c r="W233" i="2"/>
  <c r="S130" i="2"/>
  <c r="AE122" i="2"/>
  <c r="AI123" i="2"/>
  <c r="X380" i="2"/>
  <c r="I48" i="3"/>
  <c r="I49" i="2"/>
  <c r="AJ75" i="2"/>
  <c r="S237" i="2"/>
  <c r="AL131" i="2"/>
  <c r="AE123" i="2"/>
  <c r="H92" i="2"/>
  <c r="H91" i="3"/>
  <c r="H91" i="2" s="1"/>
  <c r="I81" i="2"/>
  <c r="T225" i="2"/>
  <c r="G317" i="2"/>
  <c r="F228" i="2"/>
  <c r="J8" i="2"/>
  <c r="Q78" i="2"/>
  <c r="H132" i="2"/>
  <c r="H152" i="2"/>
  <c r="X129" i="2"/>
  <c r="AF79" i="2"/>
  <c r="AE196" i="2"/>
  <c r="AE346" i="2"/>
  <c r="G160" i="2"/>
  <c r="L139" i="2"/>
  <c r="Q3" i="3"/>
  <c r="Q3" i="2" s="1"/>
  <c r="Q4" i="2"/>
  <c r="M193" i="2"/>
  <c r="AC163" i="2"/>
  <c r="S112" i="3"/>
  <c r="S112" i="2" s="1"/>
  <c r="S113" i="2"/>
  <c r="Y188" i="2"/>
  <c r="I274" i="2"/>
  <c r="G367" i="2"/>
  <c r="F361" i="2"/>
  <c r="Y29" i="2"/>
  <c r="X236" i="2"/>
  <c r="T26" i="3"/>
  <c r="T27" i="2"/>
  <c r="L236" i="2"/>
  <c r="O170" i="2"/>
  <c r="R100" i="2"/>
  <c r="Q238" i="2"/>
  <c r="AI386" i="2"/>
  <c r="AE95" i="2"/>
  <c r="AF174" i="2"/>
  <c r="Z63" i="2"/>
  <c r="G119" i="2"/>
  <c r="H211" i="2"/>
  <c r="R163" i="2"/>
  <c r="K234" i="2"/>
  <c r="S367" i="2"/>
  <c r="F86" i="2"/>
  <c r="M203" i="2"/>
  <c r="G228" i="2"/>
  <c r="V280" i="2"/>
  <c r="AC292" i="2"/>
  <c r="P224" i="2"/>
  <c r="U140" i="2"/>
  <c r="AG237" i="2"/>
  <c r="AC397" i="2"/>
  <c r="AE34" i="2"/>
  <c r="T389" i="2"/>
  <c r="AH109" i="2"/>
  <c r="AA296" i="2"/>
  <c r="Q225" i="2"/>
  <c r="T141" i="2"/>
  <c r="Q262" i="2"/>
  <c r="AC294" i="2"/>
  <c r="P65" i="2"/>
  <c r="P107" i="2"/>
  <c r="X228" i="2"/>
  <c r="AJ96" i="2"/>
  <c r="AE362" i="2"/>
  <c r="Q243" i="3"/>
  <c r="Q244" i="2"/>
  <c r="AB151" i="2"/>
  <c r="R406" i="2"/>
  <c r="U292" i="2"/>
  <c r="W83" i="2"/>
  <c r="AF118" i="2"/>
  <c r="G229" i="2"/>
  <c r="T98" i="2"/>
  <c r="P304" i="2"/>
  <c r="P196" i="2"/>
  <c r="G81" i="2"/>
  <c r="R396" i="2"/>
  <c r="AH68" i="2"/>
  <c r="P182" i="2"/>
  <c r="X357" i="2"/>
  <c r="R152" i="2"/>
  <c r="X15" i="2"/>
  <c r="R291" i="2"/>
  <c r="V202" i="2"/>
  <c r="X98" i="2"/>
  <c r="AF380" i="2"/>
  <c r="V334" i="2"/>
  <c r="F344" i="2"/>
  <c r="T191" i="2"/>
  <c r="S358" i="2"/>
  <c r="S119" i="2"/>
  <c r="F76" i="2"/>
  <c r="S207" i="2"/>
  <c r="AG89" i="2"/>
  <c r="J81" i="2"/>
  <c r="N224" i="2"/>
  <c r="AD301" i="2"/>
  <c r="U328" i="3"/>
  <c r="U328" i="2" s="1"/>
  <c r="U329" i="2"/>
  <c r="V218" i="2"/>
  <c r="F139" i="2"/>
  <c r="G53" i="2"/>
  <c r="AB216" i="2"/>
  <c r="N32" i="2"/>
  <c r="AF112" i="3"/>
  <c r="AF112" i="2" s="1"/>
  <c r="AF113" i="2"/>
  <c r="U119" i="2"/>
  <c r="L85" i="2"/>
  <c r="O236" i="2"/>
  <c r="AA168" i="2"/>
  <c r="V325" i="2"/>
  <c r="J73" i="2"/>
  <c r="AE46" i="2"/>
  <c r="W330" i="2"/>
  <c r="Q102" i="2"/>
  <c r="V267" i="2"/>
  <c r="AK31" i="2"/>
  <c r="AJ239" i="2"/>
  <c r="H220" i="2"/>
  <c r="K56" i="2"/>
  <c r="V43" i="2"/>
  <c r="AB35" i="2"/>
  <c r="V32" i="2"/>
  <c r="J50" i="2"/>
  <c r="G372" i="2"/>
  <c r="W316" i="2"/>
  <c r="V272" i="2"/>
  <c r="O259" i="2"/>
  <c r="O213" i="2"/>
  <c r="AD256" i="2"/>
  <c r="Z290" i="2"/>
  <c r="X349" i="3"/>
  <c r="X349" i="2" s="1"/>
  <c r="X350" i="2"/>
  <c r="L284" i="2"/>
  <c r="O357" i="2"/>
  <c r="AI333" i="2"/>
  <c r="R400" i="2"/>
  <c r="R260" i="2"/>
  <c r="AE86" i="2"/>
  <c r="I143" i="2"/>
  <c r="AL213" i="2"/>
  <c r="I344" i="2"/>
  <c r="Y138" i="2"/>
  <c r="H214" i="2"/>
  <c r="Z396" i="2"/>
  <c r="Y158" i="2"/>
  <c r="V263" i="2"/>
  <c r="P155" i="3"/>
  <c r="P156" i="2"/>
  <c r="AE237" i="2"/>
  <c r="M337" i="2"/>
  <c r="G180" i="2"/>
  <c r="AL238" i="2"/>
  <c r="K345" i="2"/>
  <c r="L196" i="2"/>
  <c r="G265" i="3"/>
  <c r="G266" i="2"/>
  <c r="N396" i="2"/>
  <c r="J226" i="2"/>
  <c r="AK365" i="2"/>
  <c r="M338" i="2"/>
  <c r="AE284" i="2"/>
  <c r="H260" i="2"/>
  <c r="U248" i="2"/>
  <c r="AF294" i="2"/>
  <c r="AD276" i="2"/>
  <c r="U363" i="2"/>
  <c r="Z309" i="2"/>
  <c r="AG284" i="2"/>
  <c r="AJ273" i="2"/>
  <c r="AH349" i="3"/>
  <c r="AH349" i="2" s="1"/>
  <c r="AH350" i="2"/>
  <c r="AH336" i="2"/>
  <c r="Y310" i="2"/>
  <c r="AB306" i="2"/>
  <c r="K324" i="2"/>
  <c r="V381" i="2"/>
  <c r="K393" i="2"/>
  <c r="J391" i="3"/>
  <c r="J391" i="2" s="1"/>
  <c r="J392" i="2"/>
  <c r="L335" i="2"/>
  <c r="P407" i="2"/>
  <c r="AJ363" i="2"/>
  <c r="AE357" i="2"/>
  <c r="T347" i="2"/>
  <c r="V336" i="2"/>
  <c r="Q394" i="2"/>
  <c r="AD383" i="2"/>
  <c r="AI402" i="2"/>
  <c r="F23" i="2"/>
  <c r="F295" i="2"/>
  <c r="F328" i="3"/>
  <c r="F328" i="2" s="1"/>
  <c r="F329" i="2"/>
  <c r="F322" i="2"/>
  <c r="F313" i="2"/>
  <c r="R135" i="2"/>
  <c r="H261" i="2"/>
  <c r="AD283" i="2"/>
  <c r="X65" i="2"/>
  <c r="AD320" i="2"/>
  <c r="W56" i="2"/>
  <c r="AL72" i="2"/>
  <c r="AH96" i="2"/>
  <c r="AC255" i="2"/>
  <c r="AD125" i="2"/>
  <c r="AB13" i="2"/>
  <c r="Z192" i="2"/>
  <c r="G15" i="2"/>
  <c r="Y390" i="2"/>
  <c r="T241" i="2"/>
  <c r="W155" i="3"/>
  <c r="W156" i="2"/>
  <c r="Q266" i="2"/>
  <c r="Q265" i="3"/>
  <c r="AG32" i="2"/>
  <c r="N349" i="3"/>
  <c r="N349" i="2" s="1"/>
  <c r="N350" i="2"/>
  <c r="Y147" i="2"/>
  <c r="AA85" i="2"/>
  <c r="H33" i="2"/>
  <c r="AB353" i="2"/>
  <c r="H197" i="2"/>
  <c r="T5" i="2"/>
  <c r="T169" i="2"/>
  <c r="P86" i="2"/>
  <c r="R7" i="2"/>
  <c r="W180" i="2"/>
  <c r="AD38" i="2"/>
  <c r="T204" i="2"/>
  <c r="N48" i="3"/>
  <c r="N49" i="2"/>
  <c r="AA227" i="2"/>
  <c r="I63" i="2"/>
  <c r="X247" i="2"/>
  <c r="AK198" i="2"/>
  <c r="T157" i="2"/>
  <c r="M382" i="2"/>
  <c r="AG272" i="2"/>
  <c r="R213" i="2"/>
  <c r="U36" i="2"/>
  <c r="J141" i="2"/>
  <c r="AF306" i="2"/>
  <c r="M73" i="2"/>
  <c r="X198" i="2"/>
  <c r="R19" i="2"/>
  <c r="W119" i="2"/>
  <c r="U271" i="2"/>
  <c r="AG52" i="2"/>
  <c r="AH172" i="2"/>
  <c r="K385" i="2"/>
  <c r="AI111" i="2"/>
  <c r="Z223" i="2"/>
  <c r="S67" i="2"/>
  <c r="W170" i="2"/>
  <c r="M319" i="2"/>
  <c r="AD93" i="2"/>
  <c r="Y204" i="2"/>
  <c r="W41" i="2"/>
  <c r="AJ128" i="2"/>
  <c r="V243" i="3"/>
  <c r="V244" i="2"/>
  <c r="V102" i="2"/>
  <c r="AB188" i="2"/>
  <c r="AJ296" i="2"/>
  <c r="P125" i="2"/>
  <c r="G214" i="2"/>
  <c r="AL363" i="2"/>
  <c r="R139" i="2"/>
  <c r="AA238" i="2"/>
  <c r="K91" i="3"/>
  <c r="K91" i="2" s="1"/>
  <c r="K92" i="2"/>
  <c r="AA188" i="2"/>
  <c r="AA311" i="2"/>
  <c r="X197" i="2"/>
  <c r="AI291" i="2"/>
  <c r="J158" i="2"/>
  <c r="G239" i="2"/>
  <c r="G138" i="2"/>
  <c r="W219" i="2"/>
  <c r="AI340" i="2"/>
  <c r="Y208" i="2"/>
  <c r="AE314" i="2"/>
  <c r="AJ303" i="2"/>
  <c r="AC258" i="2"/>
  <c r="AB260" i="2"/>
  <c r="J249" i="2"/>
  <c r="R370" i="3"/>
  <c r="R370" i="2" s="1"/>
  <c r="R371" i="2"/>
  <c r="I365" i="2"/>
  <c r="L341" i="2"/>
  <c r="AF334" i="2"/>
  <c r="AC318" i="2"/>
  <c r="AH337" i="2"/>
  <c r="N311" i="2"/>
  <c r="X312" i="2"/>
  <c r="AI324" i="2"/>
  <c r="Y321" i="2"/>
  <c r="H373" i="2"/>
  <c r="R398" i="2"/>
  <c r="X408" i="2"/>
  <c r="G387" i="2"/>
  <c r="J405" i="2"/>
  <c r="Z354" i="2"/>
  <c r="T409" i="2"/>
  <c r="F142" i="2"/>
  <c r="F132" i="2"/>
  <c r="F373" i="2"/>
  <c r="H127" i="2"/>
  <c r="Y357" i="2"/>
  <c r="T46" i="2"/>
  <c r="S56" i="2"/>
  <c r="X181" i="2"/>
  <c r="I95" i="2"/>
  <c r="O45" i="2"/>
  <c r="R171" i="2"/>
  <c r="J64" i="2"/>
  <c r="AL208" i="2"/>
  <c r="Y73" i="2"/>
  <c r="AK129" i="2"/>
  <c r="W22" i="2"/>
  <c r="AG223" i="2"/>
  <c r="O184" i="2"/>
  <c r="AD288" i="2"/>
  <c r="W34" i="2"/>
  <c r="AA351" i="2"/>
  <c r="T151" i="2"/>
  <c r="M144" i="2"/>
  <c r="M76" i="2"/>
  <c r="AI66" i="2"/>
  <c r="H19" i="2"/>
  <c r="O245" i="2"/>
  <c r="X116" i="2"/>
  <c r="I22" i="2"/>
  <c r="AB67" i="2"/>
  <c r="O368" i="2"/>
  <c r="W110" i="2"/>
  <c r="AH380" i="2"/>
  <c r="AD168" i="2"/>
  <c r="AJ93" i="2"/>
  <c r="AG114" i="2"/>
  <c r="K273" i="2"/>
  <c r="M37" i="2"/>
  <c r="I45" i="2"/>
  <c r="AJ403" i="2"/>
  <c r="AJ86" i="2"/>
  <c r="G227" i="2"/>
  <c r="AE33" i="2"/>
  <c r="I141" i="2"/>
  <c r="M296" i="2"/>
  <c r="AA112" i="3"/>
  <c r="AA112" i="2" s="1"/>
  <c r="AA113" i="2"/>
  <c r="Y224" i="2"/>
  <c r="AI51" i="2"/>
  <c r="P145" i="2"/>
  <c r="AJ262" i="2"/>
  <c r="P73" i="2"/>
  <c r="AD175" i="2"/>
  <c r="U330" i="2"/>
  <c r="M82" i="2"/>
  <c r="AK289" i="2"/>
  <c r="Z120" i="2"/>
  <c r="AH210" i="2"/>
  <c r="T364" i="2"/>
  <c r="T149" i="2"/>
  <c r="AE236" i="2"/>
  <c r="AJ82" i="2"/>
  <c r="J165" i="2"/>
  <c r="I275" i="2"/>
  <c r="T115" i="2"/>
  <c r="Z211" i="2"/>
  <c r="X382" i="2"/>
  <c r="AI220" i="2"/>
  <c r="L339" i="2"/>
  <c r="P181" i="2"/>
  <c r="AE270" i="2"/>
  <c r="AG155" i="3"/>
  <c r="AG156" i="2"/>
  <c r="R238" i="2"/>
  <c r="AH403" i="2"/>
  <c r="O232" i="2"/>
  <c r="W368" i="2"/>
  <c r="W341" i="2"/>
  <c r="W286" i="3"/>
  <c r="W286" i="2" s="1"/>
  <c r="W287" i="2"/>
  <c r="Q261" i="2"/>
  <c r="AD249" i="2"/>
  <c r="S390" i="2"/>
  <c r="S366" i="2"/>
  <c r="L342" i="2"/>
  <c r="K336" i="2"/>
  <c r="X319" i="2"/>
  <c r="AD338" i="2"/>
  <c r="AH311" i="2"/>
  <c r="M313" i="2"/>
  <c r="AA325" i="2"/>
  <c r="P322" i="2"/>
  <c r="AI373" i="2"/>
  <c r="Q399" i="2"/>
  <c r="AC409" i="2"/>
  <c r="Y394" i="2"/>
  <c r="AH405" i="2"/>
  <c r="AE337" i="2"/>
  <c r="AI344" i="2"/>
  <c r="M404" i="2"/>
  <c r="F205" i="2"/>
  <c r="F330" i="2"/>
  <c r="F189" i="2"/>
  <c r="S16" i="2"/>
  <c r="N182" i="2"/>
  <c r="I87" i="2"/>
  <c r="V59" i="2"/>
  <c r="T213" i="2"/>
  <c r="W5" i="2"/>
  <c r="AH204" i="2"/>
  <c r="AB111" i="2"/>
  <c r="AI132" i="2"/>
  <c r="O274" i="2"/>
  <c r="X132" i="2"/>
  <c r="AB17" i="2"/>
  <c r="I209" i="2"/>
  <c r="R98" i="2"/>
  <c r="AF405" i="2"/>
  <c r="AH312" i="2"/>
  <c r="X160" i="2"/>
  <c r="Z32" i="2"/>
  <c r="AI312" i="2"/>
  <c r="W241" i="2"/>
  <c r="I26" i="3"/>
  <c r="I27" i="2"/>
  <c r="P37" i="2"/>
  <c r="X6" i="2"/>
  <c r="P226" i="2"/>
  <c r="M117" i="2"/>
  <c r="I50" i="2"/>
  <c r="P7" i="2"/>
  <c r="AK184" i="2"/>
  <c r="G51" i="2"/>
  <c r="X292" i="2"/>
  <c r="L123" i="2"/>
  <c r="P14" i="2"/>
  <c r="AI161" i="2"/>
  <c r="AA181" i="2"/>
  <c r="P34" i="2"/>
  <c r="T251" i="2"/>
  <c r="Q202" i="2"/>
  <c r="AA160" i="2"/>
  <c r="L96" i="2"/>
  <c r="AC275" i="2"/>
  <c r="S215" i="2"/>
  <c r="Y58" i="2"/>
  <c r="J184" i="2"/>
  <c r="P10" i="2"/>
  <c r="AA100" i="2"/>
  <c r="AJ290" i="2"/>
  <c r="T63" i="2"/>
  <c r="U152" i="2"/>
  <c r="S356" i="2"/>
  <c r="AD82" i="2"/>
  <c r="U216" i="2"/>
  <c r="H52" i="2"/>
  <c r="AG138" i="2"/>
  <c r="R265" i="3"/>
  <c r="R266" i="2"/>
  <c r="AB68" i="2"/>
  <c r="Z172" i="2"/>
  <c r="AD323" i="2"/>
  <c r="X99" i="2"/>
  <c r="O351" i="2"/>
  <c r="Y103" i="2"/>
  <c r="M217" i="2"/>
  <c r="N86" i="2"/>
  <c r="Y163" i="2"/>
  <c r="W263" i="2"/>
  <c r="AG108" i="2"/>
  <c r="AJ195" i="2"/>
  <c r="T304" i="2"/>
  <c r="Y122" i="2"/>
  <c r="X216" i="2"/>
  <c r="AL405" i="2"/>
  <c r="H161" i="2"/>
  <c r="V269" i="2"/>
  <c r="I182" i="2"/>
  <c r="J267" i="2"/>
  <c r="AG141" i="2"/>
  <c r="AD311" i="2"/>
  <c r="Q181" i="2"/>
  <c r="AH267" i="2"/>
  <c r="V168" i="2"/>
  <c r="AG251" i="2"/>
  <c r="N256" i="2"/>
  <c r="AE407" i="2"/>
  <c r="Z318" i="2"/>
  <c r="M291" i="2"/>
  <c r="AA274" i="2"/>
  <c r="AA302" i="2"/>
  <c r="G291" i="2"/>
  <c r="Q288" i="2"/>
  <c r="AL275" i="2"/>
  <c r="G390" i="2"/>
  <c r="H273" i="2"/>
  <c r="AE375" i="2"/>
  <c r="O369" i="2"/>
  <c r="AI390" i="2"/>
  <c r="AI369" i="2"/>
  <c r="AL377" i="2"/>
  <c r="AF410" i="2"/>
  <c r="V395" i="2"/>
  <c r="I349" i="3"/>
  <c r="I349" i="2" s="1"/>
  <c r="I350" i="2"/>
  <c r="X378" i="2"/>
  <c r="T411" i="2"/>
  <c r="F203" i="2"/>
  <c r="F375" i="2"/>
  <c r="F146" i="2"/>
  <c r="AK167" i="2"/>
  <c r="O56" i="2"/>
  <c r="Q111" i="2"/>
  <c r="H87" i="2"/>
  <c r="X55" i="2"/>
  <c r="G190" i="2"/>
  <c r="J48" i="3"/>
  <c r="J49" i="2"/>
  <c r="S193" i="2"/>
  <c r="P81" i="2"/>
  <c r="O182" i="2"/>
  <c r="W126" i="2"/>
  <c r="W108" i="2"/>
  <c r="K149" i="2"/>
  <c r="M11" i="2"/>
  <c r="M246" i="2"/>
  <c r="U215" i="2"/>
  <c r="P253" i="2"/>
  <c r="AB312" i="2"/>
  <c r="AC45" i="2"/>
  <c r="L356" i="2"/>
  <c r="V183" i="2"/>
  <c r="K89" i="2"/>
  <c r="W7" i="2"/>
  <c r="Q230" i="2"/>
  <c r="AC119" i="2"/>
  <c r="Z51" i="2"/>
  <c r="L8" i="2"/>
  <c r="W185" i="2"/>
  <c r="R52" i="2"/>
  <c r="H298" i="2"/>
  <c r="W125" i="2"/>
  <c r="I15" i="2"/>
  <c r="I162" i="2"/>
  <c r="AD26" i="3"/>
  <c r="AD27" i="2"/>
  <c r="M184" i="2"/>
  <c r="N35" i="2"/>
  <c r="O202" i="2"/>
  <c r="Z160" i="2"/>
  <c r="AH114" i="2"/>
  <c r="AH302" i="2"/>
  <c r="AD228" i="2"/>
  <c r="P171" i="2"/>
  <c r="AE18" i="2"/>
  <c r="Q115" i="2"/>
  <c r="T261" i="2"/>
  <c r="AF46" i="2"/>
  <c r="AH168" i="2"/>
  <c r="W3" i="3"/>
  <c r="W3" i="2" s="1"/>
  <c r="W4" i="2"/>
  <c r="N95" i="2"/>
  <c r="T229" i="2"/>
  <c r="I35" i="2"/>
  <c r="X143" i="2"/>
  <c r="AD300" i="2"/>
  <c r="I93" i="2"/>
  <c r="AB201" i="2"/>
  <c r="AB200" i="3"/>
  <c r="J410" i="2"/>
  <c r="AE116" i="2"/>
  <c r="G234" i="2"/>
  <c r="AD57" i="2"/>
  <c r="Q145" i="2"/>
  <c r="O280" i="2"/>
  <c r="AJ83" i="2"/>
  <c r="J192" i="2"/>
  <c r="P358" i="2"/>
  <c r="G144" i="2"/>
  <c r="X239" i="2"/>
  <c r="R89" i="2"/>
  <c r="Y171" i="2"/>
  <c r="AC270" i="2"/>
  <c r="G105" i="2"/>
  <c r="R217" i="2"/>
  <c r="AJ97" i="2"/>
  <c r="L191" i="2"/>
  <c r="AD316" i="2"/>
  <c r="V240" i="2"/>
  <c r="Q408" i="2"/>
  <c r="P205" i="2"/>
  <c r="K313" i="2"/>
  <c r="AD198" i="2"/>
  <c r="H343" i="2"/>
  <c r="Z233" i="2"/>
  <c r="Z373" i="2"/>
  <c r="AF241" i="2"/>
  <c r="H292" i="2"/>
  <c r="R303" i="2"/>
  <c r="AD313" i="2"/>
  <c r="U300" i="2"/>
  <c r="L319" i="2"/>
  <c r="AB295" i="2"/>
  <c r="V292" i="2"/>
  <c r="AD403" i="2"/>
  <c r="P391" i="3"/>
  <c r="P391" i="2" s="1"/>
  <c r="P392" i="2"/>
  <c r="G404" i="2"/>
  <c r="G378" i="2"/>
  <c r="AL385" i="2"/>
  <c r="M367" i="2"/>
  <c r="AL382" i="2"/>
  <c r="R373" i="2"/>
  <c r="M379" i="2"/>
  <c r="Q386" i="2"/>
  <c r="V405" i="2"/>
  <c r="F368" i="2"/>
  <c r="F351" i="2"/>
  <c r="F187" i="2"/>
  <c r="F296" i="2"/>
  <c r="AB170" i="2"/>
  <c r="P3" i="3"/>
  <c r="P3" i="2" s="1"/>
  <c r="P4" i="2"/>
  <c r="Q112" i="3"/>
  <c r="Q112" i="2" s="1"/>
  <c r="Q113" i="2"/>
  <c r="AB93" i="2"/>
  <c r="S123" i="2"/>
  <c r="G221" i="3"/>
  <c r="G221" i="2" s="1"/>
  <c r="G222" i="2"/>
  <c r="Y56" i="2"/>
  <c r="AI198" i="2"/>
  <c r="AK166" i="2"/>
  <c r="S184" i="2"/>
  <c r="M149" i="2"/>
  <c r="AK114" i="2"/>
  <c r="AD165" i="2"/>
  <c r="AC13" i="2"/>
  <c r="X291" i="2"/>
  <c r="N6" i="2"/>
  <c r="X258" i="2"/>
  <c r="P365" i="2"/>
  <c r="P46" i="2"/>
  <c r="W357" i="2"/>
  <c r="J188" i="2"/>
  <c r="Y91" i="3"/>
  <c r="Y91" i="2" s="1"/>
  <c r="Y92" i="2"/>
  <c r="N45" i="2"/>
  <c r="I34" i="2"/>
  <c r="O297" i="2"/>
  <c r="G164" i="2"/>
  <c r="AF73" i="2"/>
  <c r="AC389" i="2"/>
  <c r="V144" i="2"/>
  <c r="G41" i="2"/>
  <c r="X269" i="2"/>
  <c r="N69" i="3"/>
  <c r="N70" i="2"/>
  <c r="AI279" i="2"/>
  <c r="T84" i="2"/>
  <c r="AJ327" i="2"/>
  <c r="G97" i="2"/>
  <c r="H382" i="2"/>
  <c r="U261" i="2"/>
  <c r="AI205" i="2"/>
  <c r="AL132" i="2"/>
  <c r="L386" i="2"/>
  <c r="K290" i="2"/>
  <c r="L60" i="2"/>
  <c r="T186" i="2"/>
  <c r="Y11" i="2"/>
  <c r="AA102" i="2"/>
  <c r="T245" i="2"/>
  <c r="Q44" i="2"/>
  <c r="U162" i="2"/>
  <c r="AA362" i="2"/>
  <c r="H85" i="2"/>
  <c r="AC252" i="2"/>
  <c r="H74" i="2"/>
  <c r="AF202" i="2"/>
  <c r="P36" i="2"/>
  <c r="X117" i="2"/>
  <c r="O235" i="2"/>
  <c r="S58" i="2"/>
  <c r="Z152" i="2"/>
  <c r="AJ281" i="2"/>
  <c r="Q105" i="2"/>
  <c r="Q219" i="2"/>
  <c r="W87" i="2"/>
  <c r="J170" i="2"/>
  <c r="T268" i="2"/>
  <c r="K110" i="2"/>
  <c r="Z197" i="2"/>
  <c r="L306" i="2"/>
  <c r="AJ123" i="2"/>
  <c r="K218" i="2"/>
  <c r="W76" i="2"/>
  <c r="AE162" i="2"/>
  <c r="Y279" i="2"/>
  <c r="R183" i="2"/>
  <c r="H268" i="2"/>
  <c r="K143" i="2"/>
  <c r="I224" i="2"/>
  <c r="AG352" i="2"/>
  <c r="N306" i="2"/>
  <c r="AK192" i="2"/>
  <c r="J285" i="2"/>
  <c r="M283" i="2"/>
  <c r="AF265" i="3"/>
  <c r="AF266" i="2"/>
  <c r="V246" i="2"/>
  <c r="M369" i="2"/>
  <c r="R335" i="2"/>
  <c r="L328" i="3"/>
  <c r="L328" i="2" s="1"/>
  <c r="L329" i="2"/>
  <c r="V319" i="2"/>
  <c r="AA314" i="2"/>
  <c r="L301" i="2"/>
  <c r="AG319" i="2"/>
  <c r="Q296" i="2"/>
  <c r="K293" i="2"/>
  <c r="I405" i="2"/>
  <c r="Q393" i="2"/>
  <c r="P405" i="2"/>
  <c r="AE378" i="2"/>
  <c r="G386" i="2"/>
  <c r="AK367" i="2"/>
  <c r="G383" i="2"/>
  <c r="AC395" i="2"/>
  <c r="Z403" i="2"/>
  <c r="L404" i="2"/>
  <c r="F138" i="2"/>
  <c r="F301" i="2"/>
  <c r="F226" i="2"/>
  <c r="I75" i="2"/>
  <c r="Z175" i="2"/>
  <c r="N107" i="2"/>
  <c r="AC78" i="2"/>
  <c r="W89" i="2"/>
  <c r="T153" i="2"/>
  <c r="AF67" i="2"/>
  <c r="P138" i="2"/>
  <c r="Z271" i="2"/>
  <c r="J99" i="2"/>
  <c r="AJ158" i="2"/>
  <c r="N297" i="2"/>
  <c r="AK57" i="2"/>
  <c r="H195" i="2"/>
  <c r="H42" i="2"/>
  <c r="P83" i="2"/>
  <c r="U196" i="2"/>
  <c r="AF124" i="2"/>
  <c r="AL168" i="2"/>
  <c r="G100" i="2"/>
  <c r="AI7" i="2"/>
  <c r="Z269" i="2"/>
  <c r="N140" i="2"/>
  <c r="H73" i="2"/>
  <c r="G23" i="2"/>
  <c r="M280" i="2"/>
  <c r="J123" i="2"/>
  <c r="AH54" i="2"/>
  <c r="AB313" i="2"/>
  <c r="AI129" i="2"/>
  <c r="Y21" i="2"/>
  <c r="AD166" i="2"/>
  <c r="V29" i="2"/>
  <c r="Q188" i="2"/>
  <c r="G36" i="2"/>
  <c r="I207" i="2"/>
  <c r="V164" i="2"/>
  <c r="AF125" i="2"/>
  <c r="Q308" i="2"/>
  <c r="Q307" i="3"/>
  <c r="Q307" i="2" s="1"/>
  <c r="T232" i="2"/>
  <c r="AE174" i="2"/>
  <c r="I20" i="2"/>
  <c r="U117" i="2"/>
  <c r="J263" i="2"/>
  <c r="R54" i="2"/>
  <c r="S171" i="2"/>
  <c r="AF5" i="2"/>
  <c r="V97" i="2"/>
  <c r="Z232" i="2"/>
  <c r="S36" i="2"/>
  <c r="AJ145" i="2"/>
  <c r="AB315" i="2"/>
  <c r="AE94" i="2"/>
  <c r="AD203" i="2"/>
  <c r="AJ36" i="2"/>
  <c r="S118" i="2"/>
  <c r="U236" i="2"/>
  <c r="H59" i="2"/>
  <c r="AE153" i="2"/>
  <c r="L66" i="2"/>
  <c r="I159" i="2"/>
  <c r="R297" i="2"/>
  <c r="AD126" i="2"/>
  <c r="J214" i="2"/>
  <c r="T379" i="2"/>
  <c r="AB152" i="2"/>
  <c r="AE246" i="2"/>
  <c r="W85" i="2"/>
  <c r="Y167" i="2"/>
  <c r="AJ280" i="2"/>
  <c r="AL117" i="2"/>
  <c r="AA220" i="2"/>
  <c r="Z142" i="2"/>
  <c r="M224" i="2"/>
  <c r="K347" i="2"/>
  <c r="AH183" i="2"/>
  <c r="AI274" i="2"/>
  <c r="T159" i="2"/>
  <c r="AK246" i="2"/>
  <c r="N152" i="2"/>
  <c r="AK234" i="2"/>
  <c r="Y380" i="2"/>
  <c r="AF347" i="2"/>
  <c r="AK290" i="2"/>
  <c r="AC269" i="2"/>
  <c r="AG256" i="2"/>
  <c r="T401" i="2"/>
  <c r="U372" i="2"/>
  <c r="H347" i="2"/>
  <c r="M341" i="2"/>
  <c r="K323" i="2"/>
  <c r="W349" i="3"/>
  <c r="W349" i="2" s="1"/>
  <c r="W350" i="2"/>
  <c r="I319" i="2"/>
  <c r="AE315" i="2"/>
  <c r="Y328" i="3"/>
  <c r="Y328" i="2" s="1"/>
  <c r="Y329" i="2"/>
  <c r="T324" i="2"/>
  <c r="H370" i="3"/>
  <c r="H370" i="2" s="1"/>
  <c r="H371" i="2"/>
  <c r="AL339" i="2"/>
  <c r="Q407" i="2"/>
  <c r="W365" i="2"/>
  <c r="T396" i="2"/>
  <c r="AK398" i="2"/>
  <c r="F324" i="2"/>
  <c r="F209" i="2"/>
  <c r="F107" i="2"/>
  <c r="AJ180" i="2"/>
  <c r="U16" i="2"/>
  <c r="AE203" i="2"/>
  <c r="AF180" i="2"/>
  <c r="O189" i="2"/>
  <c r="X75" i="2"/>
  <c r="AH148" i="2"/>
  <c r="N273" i="2"/>
  <c r="Q334" i="2"/>
  <c r="L166" i="2"/>
  <c r="AF281" i="2"/>
  <c r="AL63" i="2"/>
  <c r="AC15" i="2"/>
  <c r="AI8" i="2"/>
  <c r="AC209" i="2"/>
  <c r="G95" i="2"/>
  <c r="N210" i="2"/>
  <c r="AE351" i="2"/>
  <c r="L170" i="2"/>
  <c r="I42" i="2"/>
  <c r="Z255" i="2"/>
  <c r="K96" i="2"/>
  <c r="AK18" i="2"/>
  <c r="W194" i="2"/>
  <c r="AG44" i="2"/>
  <c r="Y227" i="2"/>
  <c r="AK61" i="2"/>
  <c r="M239" i="2"/>
  <c r="AK67" i="2"/>
  <c r="P275" i="2"/>
  <c r="U207" i="2"/>
  <c r="N166" i="2"/>
  <c r="T101" i="2"/>
  <c r="AL299" i="2"/>
  <c r="AC223" i="2"/>
  <c r="L41" i="2"/>
  <c r="AB155" i="3"/>
  <c r="AB156" i="2"/>
  <c r="AA321" i="2"/>
  <c r="Y78" i="2"/>
  <c r="W213" i="2"/>
  <c r="U6" i="2"/>
  <c r="V98" i="2"/>
  <c r="H20" i="2"/>
  <c r="V118" i="2"/>
  <c r="Q256" i="2"/>
  <c r="Q75" i="2"/>
  <c r="AF204" i="2"/>
  <c r="Y37" i="2"/>
  <c r="S124" i="2"/>
  <c r="V237" i="2"/>
  <c r="AB59" i="2"/>
  <c r="V182" i="2"/>
  <c r="O362" i="2"/>
  <c r="I111" i="2"/>
  <c r="W221" i="3"/>
  <c r="W221" i="2" s="1"/>
  <c r="W222" i="2"/>
  <c r="AF88" i="2"/>
  <c r="AF171" i="2"/>
  <c r="AA94" i="2"/>
  <c r="J174" i="2"/>
  <c r="T273" i="2"/>
  <c r="AJ106" i="2"/>
  <c r="AD196" i="2"/>
  <c r="I336" i="2"/>
  <c r="Z141" i="2"/>
  <c r="AL245" i="2"/>
  <c r="AF160" i="2"/>
  <c r="AL269" i="2"/>
  <c r="T144" i="2"/>
  <c r="R225" i="2"/>
  <c r="U356" i="2"/>
  <c r="Z206" i="2"/>
  <c r="AD310" i="2"/>
  <c r="O194" i="2"/>
  <c r="AG260" i="2"/>
  <c r="AF383" i="2"/>
  <c r="AK349" i="3"/>
  <c r="AK349" i="2" s="1"/>
  <c r="AK350" i="2"/>
  <c r="J291" i="2"/>
  <c r="W270" i="2"/>
  <c r="V257" i="2"/>
  <c r="Z404" i="2"/>
  <c r="Q374" i="2"/>
  <c r="L348" i="2"/>
  <c r="M342" i="2"/>
  <c r="AL328" i="3"/>
  <c r="AL328" i="2" s="1"/>
  <c r="AL329" i="2"/>
  <c r="X351" i="2"/>
  <c r="AD319" i="2"/>
  <c r="T316" i="2"/>
  <c r="R330" i="2"/>
  <c r="K325" i="2"/>
  <c r="L377" i="2"/>
  <c r="J411" i="2"/>
  <c r="AC382" i="2"/>
  <c r="P399" i="2"/>
  <c r="W356" i="2"/>
  <c r="K381" i="2"/>
  <c r="T407" i="2"/>
  <c r="F248" i="2"/>
  <c r="F83" i="2"/>
  <c r="F374" i="2"/>
  <c r="O18" i="2"/>
  <c r="AG27" i="2"/>
  <c r="AG26" i="3"/>
  <c r="AI189" i="2"/>
  <c r="AA163" i="2"/>
  <c r="AA106" i="2"/>
  <c r="K21" i="2"/>
  <c r="N76" i="2"/>
  <c r="AJ157" i="2"/>
  <c r="N332" i="2"/>
  <c r="AG126" i="2"/>
  <c r="U126" i="2"/>
  <c r="P120" i="2"/>
  <c r="R226" i="2"/>
  <c r="AA108" i="2"/>
  <c r="W45" i="2"/>
  <c r="O109" i="2"/>
  <c r="AA218" i="2"/>
  <c r="AK138" i="2"/>
  <c r="N172" i="2"/>
  <c r="J121" i="2"/>
  <c r="K9" i="2"/>
  <c r="AE281" i="2"/>
  <c r="U160" i="2"/>
  <c r="K76" i="2"/>
  <c r="M56" i="2"/>
  <c r="L12" i="2"/>
  <c r="AG193" i="2"/>
  <c r="Q62" i="2"/>
  <c r="J320" i="2"/>
  <c r="N132" i="2"/>
  <c r="Q23" i="2"/>
  <c r="AC170" i="2"/>
  <c r="H31" i="2"/>
  <c r="AD241" i="2"/>
  <c r="AL68" i="2"/>
  <c r="AK279" i="2"/>
  <c r="S209" i="2"/>
  <c r="H168" i="2"/>
  <c r="AI102" i="2"/>
  <c r="I300" i="2"/>
  <c r="M225" i="2"/>
  <c r="Y119" i="2"/>
  <c r="R269" i="2"/>
  <c r="H56" i="2"/>
  <c r="H174" i="2"/>
  <c r="J7" i="2"/>
  <c r="Z99" i="2"/>
  <c r="G241" i="2"/>
  <c r="AI37" i="2"/>
  <c r="AC148" i="2"/>
  <c r="X321" i="2"/>
  <c r="S96" i="2"/>
  <c r="AD205" i="2"/>
  <c r="N38" i="2"/>
  <c r="N125" i="2"/>
  <c r="X238" i="2"/>
  <c r="Q60" i="2"/>
  <c r="AE155" i="3"/>
  <c r="AE156" i="2"/>
  <c r="AK285" i="2"/>
  <c r="L87" i="2"/>
  <c r="R196" i="2"/>
  <c r="AE394" i="2"/>
  <c r="AK146" i="2"/>
  <c r="P243" i="3"/>
  <c r="P244" i="2"/>
  <c r="P95" i="2"/>
  <c r="AF248" i="2"/>
  <c r="AF86" i="2"/>
  <c r="O169" i="2"/>
  <c r="Z338" i="2"/>
  <c r="S142" i="2"/>
  <c r="G246" i="2"/>
  <c r="U161" i="2"/>
  <c r="AA248" i="2"/>
  <c r="AJ126" i="2"/>
  <c r="AH207" i="2"/>
  <c r="N317" i="2"/>
  <c r="X184" i="2"/>
  <c r="AE272" i="2"/>
  <c r="AC171" i="2"/>
  <c r="Z261" i="2"/>
  <c r="AK263" i="2"/>
  <c r="Z227" i="2"/>
  <c r="H323" i="2"/>
  <c r="Z295" i="2"/>
  <c r="I278" i="2"/>
  <c r="AD286" i="3"/>
  <c r="AD286" i="2" s="1"/>
  <c r="AD287" i="2"/>
  <c r="AJ275" i="2"/>
  <c r="H398" i="2"/>
  <c r="AK389" i="2"/>
  <c r="S359" i="2"/>
  <c r="U385" i="2"/>
  <c r="AC343" i="2"/>
  <c r="AB345" i="2"/>
  <c r="AE364" i="2"/>
  <c r="AE354" i="2"/>
  <c r="I373" i="2"/>
  <c r="AE340" i="2"/>
  <c r="AD409" i="2"/>
  <c r="S400" i="2"/>
  <c r="Q411" i="2"/>
  <c r="G341" i="2"/>
  <c r="AE348" i="2"/>
  <c r="AL410" i="2"/>
  <c r="F106" i="2"/>
  <c r="F397" i="2"/>
  <c r="F39" i="2"/>
  <c r="AD233" i="2"/>
  <c r="AK310" i="2"/>
  <c r="Z257" i="2"/>
  <c r="Z277" i="2"/>
  <c r="Z230" i="2"/>
  <c r="T284" i="2"/>
  <c r="V286" i="3"/>
  <c r="V286" i="2" s="1"/>
  <c r="V287" i="2"/>
  <c r="Y230" i="2"/>
  <c r="T44" i="2"/>
  <c r="AG30" i="2"/>
  <c r="R138" i="2"/>
  <c r="V302" i="2"/>
  <c r="G309" i="2"/>
  <c r="W238" i="2"/>
  <c r="AD109" i="2"/>
  <c r="M183" i="2"/>
  <c r="O46" i="2"/>
  <c r="AL67" i="2"/>
  <c r="AA366" i="2"/>
  <c r="I98" i="2"/>
  <c r="G311" i="2"/>
  <c r="L118" i="2"/>
  <c r="Y192" i="2"/>
  <c r="AL85" i="2"/>
  <c r="G38" i="2"/>
  <c r="J365" i="2"/>
  <c r="K178" i="3"/>
  <c r="K179" i="2"/>
  <c r="U79" i="2"/>
  <c r="Q6" i="2"/>
  <c r="AF169" i="2"/>
  <c r="AB45" i="2"/>
  <c r="Y285" i="2"/>
  <c r="AH294" i="2"/>
  <c r="AF145" i="2"/>
  <c r="Y17" i="2"/>
  <c r="R157" i="2"/>
  <c r="X131" i="2"/>
  <c r="G355" i="2"/>
  <c r="V259" i="2"/>
  <c r="AK193" i="2"/>
  <c r="AC137" i="2"/>
  <c r="N5" i="2"/>
  <c r="R92" i="2"/>
  <c r="R91" i="3"/>
  <c r="R91" i="2" s="1"/>
  <c r="AA229" i="2"/>
  <c r="AE31" i="2"/>
  <c r="AL140" i="2"/>
  <c r="K318" i="2"/>
  <c r="AD167" i="2"/>
  <c r="M5" i="2"/>
  <c r="H88" i="2"/>
  <c r="Q224" i="2"/>
  <c r="AE59" i="2"/>
  <c r="W144" i="2"/>
  <c r="U274" i="2"/>
  <c r="Q77" i="2"/>
  <c r="AA186" i="2"/>
  <c r="Q336" i="2"/>
  <c r="X103" i="2"/>
  <c r="I218" i="2"/>
  <c r="AB46" i="2"/>
  <c r="AJ135" i="2"/>
  <c r="G259" i="2"/>
  <c r="T173" i="2"/>
  <c r="AL280" i="2"/>
  <c r="I114" i="2"/>
  <c r="AD200" i="3"/>
  <c r="AD201" i="2"/>
  <c r="AI323" i="2"/>
  <c r="G126" i="2"/>
  <c r="S221" i="3"/>
  <c r="S221" i="2" s="1"/>
  <c r="S222" i="2"/>
  <c r="Z83" i="2"/>
  <c r="AD171" i="2"/>
  <c r="O285" i="2"/>
  <c r="G208" i="2"/>
  <c r="AG310" i="2"/>
  <c r="AE167" i="2"/>
  <c r="AF250" i="2"/>
  <c r="L143" i="2"/>
  <c r="S225" i="2"/>
  <c r="I351" i="2"/>
  <c r="H237" i="2"/>
  <c r="K386" i="2"/>
  <c r="AG353" i="2"/>
  <c r="U298" i="2"/>
  <c r="L272" i="2"/>
  <c r="AE258" i="2"/>
  <c r="X411" i="2"/>
  <c r="L378" i="2"/>
  <c r="AF351" i="2"/>
  <c r="Q354" i="2"/>
  <c r="Y360" i="2"/>
  <c r="L387" i="2"/>
  <c r="S352" i="2"/>
  <c r="Y346" i="2"/>
  <c r="AH365" i="2"/>
  <c r="Z355" i="2"/>
  <c r="AJ373" i="2"/>
  <c r="AD341" i="2"/>
  <c r="AG410" i="2"/>
  <c r="U367" i="2"/>
  <c r="AA341" i="2"/>
  <c r="AI400" i="2"/>
  <c r="F232" i="2"/>
  <c r="F303" i="2"/>
  <c r="F403" i="2"/>
  <c r="AD65" i="2"/>
  <c r="P231" i="2"/>
  <c r="Q231" i="2"/>
  <c r="AD290" i="2"/>
  <c r="AA43" i="2"/>
  <c r="L212" i="2"/>
  <c r="J28" i="2"/>
  <c r="AF193" i="2"/>
  <c r="R230" i="2"/>
  <c r="W62" i="2"/>
  <c r="K68" i="2"/>
  <c r="Z369" i="2"/>
  <c r="AJ100" i="2"/>
  <c r="AA323" i="2"/>
  <c r="Q121" i="2"/>
  <c r="AI197" i="2"/>
  <c r="H86" i="2"/>
  <c r="N39" i="2"/>
  <c r="Y372" i="2"/>
  <c r="J183" i="2"/>
  <c r="P144" i="2"/>
  <c r="S29" i="2"/>
  <c r="V228" i="2"/>
  <c r="Y84" i="2"/>
  <c r="AG380" i="2"/>
  <c r="Z126" i="2"/>
  <c r="AH10" i="2"/>
  <c r="G146" i="2"/>
  <c r="R18" i="2"/>
  <c r="AG213" i="2"/>
  <c r="X169" i="2"/>
  <c r="O130" i="2"/>
  <c r="Q341" i="2"/>
  <c r="I240" i="2"/>
  <c r="V185" i="2"/>
  <c r="Z43" i="2"/>
  <c r="AD159" i="2"/>
  <c r="U357" i="2"/>
  <c r="AE81" i="2"/>
  <c r="R216" i="2"/>
  <c r="N29" i="2"/>
  <c r="S128" i="2"/>
  <c r="V293" i="2"/>
  <c r="R64" i="2"/>
  <c r="AF191" i="2"/>
  <c r="AL38" i="2"/>
  <c r="AF122" i="2"/>
  <c r="AG238" i="2"/>
  <c r="I57" i="2"/>
  <c r="AD153" i="2"/>
  <c r="AF240" i="2"/>
  <c r="R45" i="2"/>
  <c r="U104" i="2"/>
  <c r="P219" i="2"/>
  <c r="AG136" i="2"/>
  <c r="V260" i="2"/>
  <c r="M174" i="2"/>
  <c r="G281" i="2"/>
  <c r="AC114" i="2"/>
  <c r="W202" i="2"/>
  <c r="P324" i="2"/>
  <c r="AB126" i="2"/>
  <c r="G342" i="2"/>
  <c r="AK143" i="2"/>
  <c r="AL247" i="2"/>
  <c r="O167" i="2"/>
  <c r="L250" i="2"/>
  <c r="N128" i="2"/>
  <c r="L209" i="2"/>
  <c r="AC319" i="2"/>
  <c r="AG185" i="2"/>
  <c r="H274" i="2"/>
  <c r="AC237" i="2"/>
  <c r="K389" i="2"/>
  <c r="AI363" i="2"/>
  <c r="R299" i="2"/>
  <c r="AJ272" i="2"/>
  <c r="T259" i="2"/>
  <c r="H265" i="3"/>
  <c r="H266" i="2"/>
  <c r="AC379" i="2"/>
  <c r="H353" i="2"/>
  <c r="Y355" i="2"/>
  <c r="K332" i="2"/>
  <c r="U354" i="2"/>
  <c r="AE321" i="2"/>
  <c r="S318" i="2"/>
  <c r="AC332" i="2"/>
  <c r="U332" i="2"/>
  <c r="AH387" i="2"/>
  <c r="U323" i="2"/>
  <c r="O385" i="2"/>
  <c r="Q351" i="2"/>
  <c r="U358" i="2"/>
  <c r="AJ386" i="2"/>
  <c r="X401" i="2"/>
  <c r="F141" i="2"/>
  <c r="F172" i="2"/>
  <c r="F247" i="2"/>
  <c r="P8" i="2"/>
  <c r="AC203" i="2"/>
  <c r="O233" i="2"/>
  <c r="AB61" i="2"/>
  <c r="Y203" i="2"/>
  <c r="L48" i="3"/>
  <c r="L49" i="2"/>
  <c r="Q245" i="2"/>
  <c r="O270" i="2"/>
  <c r="O334" i="2"/>
  <c r="R399" i="2"/>
  <c r="Q251" i="2"/>
  <c r="T52" i="2"/>
  <c r="Q22" i="2"/>
  <c r="AL228" i="2"/>
  <c r="P48" i="3"/>
  <c r="P49" i="2"/>
  <c r="I74" i="2"/>
  <c r="P184" i="2"/>
  <c r="U88" i="2"/>
  <c r="Y18" i="2"/>
  <c r="Y269" i="2"/>
  <c r="Z48" i="3"/>
  <c r="Z49" i="2"/>
  <c r="AK58" i="2"/>
  <c r="AB21" i="2"/>
  <c r="Q167" i="2"/>
  <c r="Q70" i="2"/>
  <c r="Q69" i="3"/>
  <c r="L15" i="2"/>
  <c r="AJ198" i="2"/>
  <c r="H65" i="2"/>
  <c r="AF367" i="2"/>
  <c r="V139" i="2"/>
  <c r="AL185" i="2"/>
  <c r="V33" i="2"/>
  <c r="AG197" i="2"/>
  <c r="M46" i="2"/>
  <c r="I225" i="2"/>
  <c r="M171" i="2"/>
  <c r="Z131" i="2"/>
  <c r="V346" i="2"/>
  <c r="AB241" i="2"/>
  <c r="M187" i="2"/>
  <c r="S44" i="2"/>
  <c r="P161" i="2"/>
  <c r="AC362" i="2"/>
  <c r="AB82" i="2"/>
  <c r="AC217" i="2"/>
  <c r="AH29" i="2"/>
  <c r="V137" i="2"/>
  <c r="N294" i="2"/>
  <c r="K65" i="2"/>
  <c r="G192" i="2"/>
  <c r="G39" i="2"/>
  <c r="Z123" i="2"/>
  <c r="AK239" i="2"/>
  <c r="AJ60" i="2"/>
  <c r="AE188" i="2"/>
  <c r="AJ343" i="2"/>
  <c r="P105" i="2"/>
  <c r="Q220" i="2"/>
  <c r="O53" i="2"/>
  <c r="AB137" i="2"/>
  <c r="AE261" i="2"/>
  <c r="W112" i="3"/>
  <c r="W112" i="2" s="1"/>
  <c r="W113" i="2"/>
  <c r="AL223" i="2"/>
  <c r="AK80" i="2"/>
  <c r="AD157" i="2"/>
  <c r="AK251" i="2"/>
  <c r="S93" i="2"/>
  <c r="Z171" i="2"/>
  <c r="J298" i="2"/>
  <c r="R125" i="2"/>
  <c r="AA225" i="2"/>
  <c r="AG145" i="2"/>
  <c r="X227" i="2"/>
  <c r="H355" i="2"/>
  <c r="Z191" i="2"/>
  <c r="N286" i="3"/>
  <c r="N286" i="2" s="1"/>
  <c r="N287" i="2"/>
  <c r="W166" i="2"/>
  <c r="AG250" i="2"/>
  <c r="N156" i="2"/>
  <c r="N155" i="3"/>
  <c r="S238" i="2"/>
  <c r="AL391" i="3"/>
  <c r="AL391" i="2" s="1"/>
  <c r="AL392" i="2"/>
  <c r="G364" i="2"/>
  <c r="O300" i="2"/>
  <c r="AD273" i="2"/>
  <c r="I260" i="2"/>
  <c r="AB265" i="3"/>
  <c r="AB266" i="2"/>
  <c r="Y381" i="2"/>
  <c r="AF361" i="2"/>
  <c r="AF356" i="2"/>
  <c r="AL332" i="2"/>
  <c r="U355" i="2"/>
  <c r="W322" i="2"/>
  <c r="J319" i="2"/>
  <c r="I367" i="2"/>
  <c r="V357" i="2"/>
  <c r="N362" i="2"/>
  <c r="AF349" i="3"/>
  <c r="AF349" i="2" s="1"/>
  <c r="AF350" i="2"/>
  <c r="M402" i="2"/>
  <c r="F197" i="2"/>
  <c r="F214" i="2"/>
  <c r="F343" i="2"/>
  <c r="F300" i="2"/>
  <c r="Y284" i="2"/>
  <c r="AB175" i="2"/>
  <c r="Y50" i="2"/>
  <c r="AJ79" i="2"/>
  <c r="T206" i="2"/>
  <c r="O50" i="2"/>
  <c r="Z246" i="2"/>
  <c r="AB331" i="2"/>
  <c r="N395" i="2"/>
  <c r="S403" i="2"/>
  <c r="Q270" i="2"/>
  <c r="AF54" i="2"/>
  <c r="AJ32" i="2"/>
  <c r="AG263" i="2"/>
  <c r="M72" i="2"/>
  <c r="M118" i="2"/>
  <c r="O312" i="2"/>
  <c r="W160" i="2"/>
  <c r="AA121" i="2"/>
  <c r="O365" i="2"/>
  <c r="K139" i="2"/>
  <c r="S206" i="2"/>
  <c r="Q42" i="2"/>
  <c r="H379" i="2"/>
  <c r="V208" i="2"/>
  <c r="W84" i="2"/>
  <c r="N9" i="2"/>
  <c r="AD234" i="2"/>
  <c r="AG48" i="3"/>
  <c r="AG49" i="2"/>
  <c r="AC219" i="2"/>
  <c r="G186" i="2"/>
  <c r="O34" i="2"/>
  <c r="AC262" i="2"/>
  <c r="U73" i="2"/>
  <c r="AH94" i="2"/>
  <c r="AI282" i="2"/>
  <c r="L173" i="2"/>
  <c r="R108" i="2"/>
  <c r="AG311" i="2"/>
  <c r="L45" i="2"/>
  <c r="W162" i="2"/>
  <c r="AC368" i="2"/>
  <c r="AE83" i="2"/>
  <c r="AD218" i="2"/>
  <c r="W30" i="2"/>
  <c r="AF138" i="2"/>
  <c r="L296" i="2"/>
  <c r="AI65" i="2"/>
  <c r="Q193" i="2"/>
  <c r="AA39" i="2"/>
  <c r="W124" i="2"/>
  <c r="AJ240" i="2"/>
  <c r="Y61" i="2"/>
  <c r="AD155" i="3"/>
  <c r="AD156" i="2"/>
  <c r="U291" i="2"/>
  <c r="U85" i="2"/>
  <c r="AA187" i="2"/>
  <c r="U377" i="2"/>
  <c r="Z201" i="2"/>
  <c r="Z200" i="3"/>
  <c r="L409" i="2"/>
  <c r="AB153" i="2"/>
  <c r="H247" i="2"/>
  <c r="AH97" i="2"/>
  <c r="AH182" i="2"/>
  <c r="AI280" i="2"/>
  <c r="L110" i="2"/>
  <c r="AE200" i="3"/>
  <c r="AE201" i="2"/>
  <c r="AH346" i="2"/>
  <c r="U145" i="2"/>
  <c r="L255" i="2"/>
  <c r="N187" i="2"/>
  <c r="J273" i="2"/>
  <c r="W151" i="2"/>
  <c r="X233" i="2"/>
  <c r="M383" i="2"/>
  <c r="AG209" i="2"/>
  <c r="O317" i="2"/>
  <c r="V197" i="2"/>
  <c r="M294" i="2"/>
  <c r="AD295" i="2"/>
  <c r="AI252" i="2"/>
  <c r="M385" i="2"/>
  <c r="AA336" i="2"/>
  <c r="S312" i="2"/>
  <c r="AC310" i="2"/>
  <c r="AF301" i="2"/>
  <c r="AL298" i="2"/>
  <c r="G286" i="3"/>
  <c r="G286" i="2" s="1"/>
  <c r="G287" i="2"/>
  <c r="J306" i="2"/>
  <c r="R283" i="2"/>
  <c r="R385" i="2"/>
  <c r="U381" i="2"/>
  <c r="K373" i="2"/>
  <c r="X384" i="2"/>
  <c r="M363" i="2"/>
  <c r="AK370" i="3"/>
  <c r="AK370" i="2" s="1"/>
  <c r="AK371" i="2"/>
  <c r="Y351" i="2"/>
  <c r="S369" i="2"/>
  <c r="S382" i="2"/>
  <c r="Y365" i="2"/>
  <c r="AC374" i="2"/>
  <c r="N393" i="2"/>
  <c r="F338" i="2"/>
  <c r="F114" i="2"/>
  <c r="F72" i="2"/>
  <c r="AG286" i="3"/>
  <c r="AG286" i="2" s="1"/>
  <c r="AG287" i="2"/>
  <c r="L288" i="2"/>
  <c r="AA89" i="2"/>
  <c r="W93" i="2"/>
  <c r="AK225" i="2"/>
  <c r="AD95" i="2"/>
  <c r="AD248" i="2"/>
  <c r="X12" i="2"/>
  <c r="AG398" i="2"/>
  <c r="AD405" i="2"/>
  <c r="Q299" i="2"/>
  <c r="U55" i="2"/>
  <c r="AG63" i="2"/>
  <c r="Z41" i="2"/>
  <c r="I13" i="2"/>
  <c r="N17" i="2"/>
  <c r="Q339" i="2"/>
  <c r="AE124" i="2"/>
  <c r="L57" i="2"/>
  <c r="Q58" i="2"/>
  <c r="AK368" i="2"/>
  <c r="AC109" i="2"/>
  <c r="AJ55" i="2"/>
  <c r="V14" i="2"/>
  <c r="Z249" i="2"/>
  <c r="AD119" i="2"/>
  <c r="AK50" i="2"/>
  <c r="AK202" i="2"/>
  <c r="AA67" i="2"/>
  <c r="V372" i="2"/>
  <c r="Y144" i="2"/>
  <c r="AC26" i="3"/>
  <c r="AC27" i="2"/>
  <c r="P188" i="2"/>
  <c r="AD40" i="2"/>
  <c r="N202" i="2"/>
  <c r="S74" i="2"/>
  <c r="M299" i="2"/>
  <c r="Y228" i="2"/>
  <c r="AG186" i="2"/>
  <c r="Q153" i="2"/>
  <c r="AL98" i="2"/>
  <c r="J312" i="2"/>
  <c r="W72" i="2"/>
  <c r="AH202" i="2"/>
  <c r="AD16" i="2"/>
  <c r="Q116" i="2"/>
  <c r="J269" i="2"/>
  <c r="AH51" i="2"/>
  <c r="AG172" i="2"/>
  <c r="AE7" i="2"/>
  <c r="H124" i="2"/>
  <c r="J276" i="2"/>
  <c r="AH79" i="2"/>
  <c r="M214" i="2"/>
  <c r="U41" i="2"/>
  <c r="AB129" i="2"/>
  <c r="N252" i="2"/>
  <c r="X63" i="2"/>
  <c r="AJ159" i="2"/>
  <c r="Q305" i="2"/>
  <c r="Q96" i="2"/>
  <c r="AA202" i="2"/>
  <c r="X76" i="2"/>
  <c r="H248" i="2"/>
  <c r="W98" i="2"/>
  <c r="AA183" i="2"/>
  <c r="P289" i="2"/>
  <c r="AF110" i="2"/>
  <c r="X202" i="2"/>
  <c r="G347" i="2"/>
  <c r="M146" i="2"/>
  <c r="O256" i="2"/>
  <c r="M169" i="2"/>
  <c r="AI251" i="2"/>
  <c r="L130" i="2"/>
  <c r="J211" i="2"/>
  <c r="AC322" i="2"/>
  <c r="AA191" i="2"/>
  <c r="AB283" i="2"/>
  <c r="R181" i="2"/>
  <c r="AI267" i="2"/>
  <c r="I269" i="2"/>
  <c r="AG230" i="2"/>
  <c r="P331" i="2"/>
  <c r="AI305" i="2"/>
  <c r="W288" i="2"/>
  <c r="K291" i="2"/>
  <c r="Q279" i="2"/>
  <c r="M409" i="2"/>
  <c r="AG397" i="2"/>
  <c r="T376" i="2"/>
  <c r="O405" i="2"/>
  <c r="N356" i="2"/>
  <c r="U351" i="2"/>
  <c r="P369" i="2"/>
  <c r="P359" i="2"/>
  <c r="Q377" i="2"/>
  <c r="Z349" i="3"/>
  <c r="Z349" i="2" s="1"/>
  <c r="Z350" i="2"/>
  <c r="H330" i="2"/>
  <c r="O353" i="2"/>
  <c r="H383" i="2"/>
  <c r="AH388" i="2"/>
  <c r="V403" i="2"/>
  <c r="F304" i="2"/>
  <c r="F31" i="2"/>
  <c r="F195" i="2"/>
  <c r="I409" i="2"/>
  <c r="J318" i="2"/>
  <c r="O107" i="2"/>
  <c r="S32" i="2"/>
  <c r="AL17" i="2"/>
  <c r="H54" i="2"/>
  <c r="O129" i="2"/>
  <c r="AH394" i="2"/>
  <c r="AA317" i="2"/>
  <c r="AG112" i="3"/>
  <c r="AG112" i="2" s="1"/>
  <c r="AG113" i="2"/>
  <c r="G396" i="2"/>
  <c r="Q162" i="2"/>
  <c r="AI50" i="2"/>
  <c r="AE44" i="2"/>
  <c r="U18" i="2"/>
  <c r="X18" i="2"/>
  <c r="R345" i="2"/>
  <c r="AF127" i="2"/>
  <c r="AJ58" i="2"/>
  <c r="W386" i="2"/>
  <c r="AF168" i="2"/>
  <c r="R210" i="2"/>
  <c r="S110" i="2"/>
  <c r="H45" i="2"/>
  <c r="J5" i="2"/>
  <c r="AK324" i="2"/>
  <c r="AI204" i="2"/>
  <c r="U110" i="2"/>
  <c r="V147" i="2"/>
  <c r="H133" i="3"/>
  <c r="H134" i="2"/>
  <c r="U204" i="2"/>
  <c r="AL103" i="2"/>
  <c r="K270" i="2"/>
  <c r="J200" i="3"/>
  <c r="J201" i="2"/>
  <c r="L145" i="2"/>
  <c r="Q12" i="2"/>
  <c r="X97" i="2"/>
  <c r="L237" i="2"/>
  <c r="Y38" i="2"/>
  <c r="AH145" i="2"/>
  <c r="Z337" i="2"/>
  <c r="X79" i="2"/>
  <c r="T216" i="2"/>
  <c r="AK124" i="2"/>
  <c r="AF278" i="2"/>
  <c r="AA80" i="2"/>
  <c r="AD185" i="2"/>
  <c r="AF354" i="2"/>
  <c r="X108" i="2"/>
  <c r="H218" i="2"/>
  <c r="AI135" i="2"/>
  <c r="AE253" i="2"/>
  <c r="H72" i="2"/>
  <c r="AE173" i="2"/>
  <c r="N327" i="2"/>
  <c r="M132" i="2"/>
  <c r="AC225" i="2"/>
  <c r="AI82" i="2"/>
  <c r="M160" i="2"/>
  <c r="AK253" i="2"/>
  <c r="Q95" i="2"/>
  <c r="K257" i="2"/>
  <c r="S104" i="2"/>
  <c r="I205" i="2"/>
  <c r="W355" i="2"/>
  <c r="N211" i="2"/>
  <c r="AL315" i="2"/>
  <c r="AL170" i="2"/>
  <c r="Y290" i="2"/>
  <c r="U168" i="2"/>
  <c r="T253" i="2"/>
  <c r="AL181" i="2"/>
  <c r="AF268" i="2"/>
  <c r="AG269" i="2"/>
  <c r="V231" i="2"/>
  <c r="I343" i="2"/>
  <c r="AI306" i="2"/>
  <c r="T289" i="2"/>
  <c r="AH291" i="2"/>
  <c r="AL279" i="2"/>
  <c r="AK411" i="2"/>
  <c r="J398" i="2"/>
  <c r="J378" i="2"/>
  <c r="K407" i="2"/>
  <c r="J357" i="2"/>
  <c r="U352" i="2"/>
  <c r="AD370" i="3"/>
  <c r="AD370" i="2" s="1"/>
  <c r="AD371" i="2"/>
  <c r="K360" i="2"/>
  <c r="I391" i="3"/>
  <c r="I391" i="2" s="1"/>
  <c r="I392" i="2"/>
  <c r="H326" i="2"/>
  <c r="W388" i="2"/>
  <c r="U406" i="2"/>
  <c r="O394" i="2"/>
  <c r="AB402" i="2"/>
  <c r="S411" i="2"/>
  <c r="G398" i="2"/>
  <c r="G408" i="2"/>
  <c r="F57" i="2"/>
  <c r="F369" i="2"/>
  <c r="F19" i="2"/>
  <c r="F62" i="2"/>
  <c r="F147" i="2"/>
  <c r="F46" i="2"/>
  <c r="F243" i="3"/>
  <c r="F244" i="2"/>
  <c r="F258" i="2"/>
  <c r="F54" i="2"/>
  <c r="F89" i="2"/>
  <c r="F405" i="2"/>
  <c r="F137" i="2"/>
  <c r="F181" i="2"/>
  <c r="U116" i="2"/>
  <c r="Z248" i="2"/>
  <c r="U59" i="2"/>
  <c r="AK44" i="2"/>
  <c r="AL6" i="2"/>
  <c r="T9" i="2"/>
  <c r="AE320" i="2"/>
  <c r="T83" i="2"/>
  <c r="H43" i="2"/>
  <c r="AD6" i="2"/>
  <c r="W116" i="2"/>
  <c r="I72" i="2"/>
  <c r="Z39" i="2"/>
  <c r="S11" i="2"/>
  <c r="Q239" i="2"/>
  <c r="AG33" i="2"/>
  <c r="J262" i="2"/>
  <c r="AB212" i="2"/>
  <c r="I283" i="2"/>
  <c r="L29" i="2"/>
  <c r="S18" i="2"/>
  <c r="X42" i="2"/>
  <c r="V101" i="2"/>
  <c r="W55" i="2"/>
  <c r="I21" i="2"/>
  <c r="AF142" i="2"/>
  <c r="H270" i="2"/>
  <c r="AJ137" i="2"/>
  <c r="AK269" i="2"/>
  <c r="AB40" i="2"/>
  <c r="K28" i="2"/>
  <c r="K67" i="2"/>
  <c r="AJ80" i="2"/>
  <c r="AB30" i="2"/>
  <c r="Y10" i="2"/>
  <c r="P332" i="2"/>
  <c r="Z64" i="2"/>
  <c r="V174" i="2"/>
  <c r="Y46" i="2"/>
  <c r="X125" i="2"/>
  <c r="R209" i="2"/>
  <c r="Z92" i="2"/>
  <c r="Z91" i="3"/>
  <c r="Z91" i="2" s="1"/>
  <c r="R304" i="2"/>
  <c r="W397" i="2"/>
  <c r="R316" i="2"/>
  <c r="U61" i="2"/>
  <c r="R167" i="2"/>
  <c r="I28" i="2"/>
  <c r="AH57" i="2"/>
  <c r="V73" i="2"/>
  <c r="Z60" i="2"/>
  <c r="H397" i="2"/>
  <c r="Y307" i="3"/>
  <c r="Y307" i="2" s="1"/>
  <c r="Y308" i="2"/>
  <c r="X304" i="2"/>
  <c r="G48" i="3"/>
  <c r="G49" i="2"/>
  <c r="R141" i="2"/>
  <c r="AL307" i="3"/>
  <c r="AL307" i="2" s="1"/>
  <c r="AL308" i="2"/>
  <c r="N85" i="2"/>
  <c r="P53" i="2"/>
  <c r="AH227" i="2"/>
  <c r="P103" i="2"/>
  <c r="Q85" i="2"/>
  <c r="Q20" i="2"/>
  <c r="W68" i="2"/>
  <c r="J125" i="2"/>
  <c r="T224" i="2"/>
  <c r="L349" i="3"/>
  <c r="L349" i="2" s="1"/>
  <c r="L350" i="2"/>
  <c r="K80" i="2"/>
  <c r="AG3" i="3"/>
  <c r="AG3" i="2" s="1"/>
  <c r="AG4" i="2"/>
  <c r="W115" i="2"/>
  <c r="K131" i="2"/>
  <c r="AE28" i="2"/>
  <c r="AJ227" i="2"/>
  <c r="X23" i="2"/>
  <c r="X60" i="2"/>
  <c r="Y128" i="2"/>
  <c r="Z196" i="2"/>
  <c r="X336" i="2"/>
  <c r="T82" i="2"/>
  <c r="H26" i="3"/>
  <c r="H27" i="2"/>
  <c r="Q246" i="2"/>
  <c r="AD73" i="2"/>
  <c r="M6" i="2"/>
  <c r="Z183" i="2"/>
  <c r="AE62" i="2"/>
  <c r="K129" i="2"/>
  <c r="AI215" i="2"/>
  <c r="U337" i="2"/>
  <c r="U57" i="2"/>
  <c r="H113" i="2"/>
  <c r="H112" i="3"/>
  <c r="H112" i="2" s="1"/>
  <c r="K183" i="2"/>
  <c r="M314" i="2"/>
  <c r="X16" i="2"/>
  <c r="AC46" i="2"/>
  <c r="AF100" i="2"/>
  <c r="H167" i="2"/>
  <c r="R255" i="2"/>
  <c r="S6" i="2"/>
  <c r="O39" i="2"/>
  <c r="L76" i="2"/>
  <c r="Z125" i="2"/>
  <c r="T219" i="2"/>
  <c r="J325" i="2"/>
  <c r="AE23" i="2"/>
  <c r="U53" i="2"/>
  <c r="H100" i="2"/>
  <c r="H153" i="2"/>
  <c r="O208" i="2"/>
  <c r="AA313" i="2"/>
  <c r="M12" i="2"/>
  <c r="AK40" i="2"/>
  <c r="S69" i="3"/>
  <c r="S70" i="2"/>
  <c r="U125" i="2"/>
  <c r="AF182" i="2"/>
  <c r="S243" i="3"/>
  <c r="S244" i="2"/>
  <c r="W390" i="2"/>
  <c r="AF60" i="2"/>
  <c r="W91" i="3"/>
  <c r="W91" i="2" s="1"/>
  <c r="W92" i="2"/>
  <c r="AF164" i="2"/>
  <c r="AJ225" i="2"/>
  <c r="AC305" i="2"/>
  <c r="Y7" i="2"/>
  <c r="U29" i="2"/>
  <c r="AA60" i="2"/>
  <c r="X88" i="2"/>
  <c r="AE145" i="2"/>
  <c r="AH192" i="2"/>
  <c r="Y241" i="2"/>
  <c r="R346" i="2"/>
  <c r="Q14" i="2"/>
  <c r="AJ42" i="2"/>
  <c r="AJ67" i="2"/>
  <c r="X110" i="2"/>
  <c r="AK206" i="2"/>
  <c r="I268" i="2"/>
  <c r="AA381" i="2"/>
  <c r="AE27" i="2"/>
  <c r="AE26" i="3"/>
  <c r="W51" i="2"/>
  <c r="I83" i="2"/>
  <c r="R122" i="2"/>
  <c r="AI170" i="2"/>
  <c r="L232" i="2"/>
  <c r="O305" i="2"/>
  <c r="G104" i="2"/>
  <c r="AL138" i="2"/>
  <c r="V188" i="2"/>
  <c r="R232" i="2"/>
  <c r="AG289" i="2"/>
  <c r="S101" i="2"/>
  <c r="T137" i="2"/>
  <c r="X188" i="2"/>
  <c r="Z228" i="2"/>
  <c r="AB285" i="2"/>
  <c r="AK355" i="2"/>
  <c r="AD112" i="3"/>
  <c r="AD112" i="2" s="1"/>
  <c r="AD113" i="2"/>
  <c r="N159" i="2"/>
  <c r="AI202" i="2"/>
  <c r="W259" i="2"/>
  <c r="H316" i="2"/>
  <c r="S108" i="2"/>
  <c r="AC146" i="2"/>
  <c r="L194" i="2"/>
  <c r="M250" i="2"/>
  <c r="I316" i="2"/>
  <c r="AK12" i="2"/>
  <c r="AA28" i="2"/>
  <c r="J52" i="2"/>
  <c r="N74" i="2"/>
  <c r="AB98" i="2"/>
  <c r="AB132" i="2"/>
  <c r="G165" i="2"/>
  <c r="O205" i="2"/>
  <c r="O238" i="2"/>
  <c r="N296" i="2"/>
  <c r="T378" i="2"/>
  <c r="H18" i="2"/>
  <c r="S39" i="2"/>
  <c r="AF61" i="2"/>
  <c r="G92" i="2"/>
  <c r="G91" i="3"/>
  <c r="G91" i="2" s="1"/>
  <c r="Q118" i="2"/>
  <c r="Y155" i="3"/>
  <c r="Y156" i="2"/>
  <c r="P190" i="2"/>
  <c r="O224" i="2"/>
  <c r="S273" i="2"/>
  <c r="X342" i="2"/>
  <c r="V15" i="2"/>
  <c r="U32" i="2"/>
  <c r="Z57" i="2"/>
  <c r="AC80" i="2"/>
  <c r="AD106" i="2"/>
  <c r="L142" i="2"/>
  <c r="T175" i="2"/>
  <c r="AD217" i="2"/>
  <c r="AA252" i="2"/>
  <c r="H321" i="2"/>
  <c r="I9" i="2"/>
  <c r="R68" i="2"/>
  <c r="AC100" i="2"/>
  <c r="H125" i="2"/>
  <c r="AK164" i="2"/>
  <c r="P197" i="2"/>
  <c r="N231" i="2"/>
  <c r="G279" i="2"/>
  <c r="AL347" i="2"/>
  <c r="U45" i="2"/>
  <c r="G63" i="2"/>
  <c r="AB85" i="2"/>
  <c r="K107" i="2"/>
  <c r="M127" i="2"/>
  <c r="M158" i="2"/>
  <c r="AE186" i="2"/>
  <c r="M216" i="2"/>
  <c r="AC245" i="2"/>
  <c r="AH297" i="2"/>
  <c r="AF355" i="2"/>
  <c r="AD42" i="2"/>
  <c r="W63" i="2"/>
  <c r="K82" i="2"/>
  <c r="Q109" i="2"/>
  <c r="P131" i="2"/>
  <c r="M164" i="2"/>
  <c r="H192" i="2"/>
  <c r="O219" i="2"/>
  <c r="AK254" i="2"/>
  <c r="P297" i="2"/>
  <c r="AG369" i="2"/>
  <c r="AC68" i="2"/>
  <c r="AI87" i="2"/>
  <c r="AF107" i="2"/>
  <c r="AF136" i="2"/>
  <c r="O162" i="2"/>
  <c r="N197" i="2"/>
  <c r="W225" i="2"/>
  <c r="AK262" i="2"/>
  <c r="V312" i="2"/>
  <c r="AD394" i="2"/>
  <c r="AG55" i="2"/>
  <c r="AB72" i="2"/>
  <c r="AL97" i="2"/>
  <c r="U118" i="2"/>
  <c r="U147" i="2"/>
  <c r="AB174" i="2"/>
  <c r="Z204" i="2"/>
  <c r="W236" i="2"/>
  <c r="AC267" i="2"/>
  <c r="V330" i="2"/>
  <c r="AG77" i="2"/>
  <c r="Z98" i="2"/>
  <c r="J116" i="2"/>
  <c r="AH132" i="2"/>
  <c r="I157" i="2"/>
  <c r="AA178" i="3"/>
  <c r="AA179" i="2"/>
  <c r="AH205" i="2"/>
  <c r="W226" i="2"/>
  <c r="N255" i="2"/>
  <c r="AD289" i="2"/>
  <c r="Z331" i="2"/>
  <c r="X83" i="2"/>
  <c r="AF99" i="2"/>
  <c r="M121" i="2"/>
  <c r="Q139" i="2"/>
  <c r="AJ165" i="2"/>
  <c r="R185" i="2"/>
  <c r="AE205" i="2"/>
  <c r="AA230" i="2"/>
  <c r="AL254" i="2"/>
  <c r="O292" i="2"/>
  <c r="X333" i="2"/>
  <c r="I79" i="2"/>
  <c r="AK95" i="2"/>
  <c r="U112" i="3"/>
  <c r="U112" i="2" s="1"/>
  <c r="U113" i="2"/>
  <c r="AK133" i="3"/>
  <c r="AK134" i="2"/>
  <c r="J155" i="3"/>
  <c r="J156" i="2"/>
  <c r="K182" i="2"/>
  <c r="O204" i="2"/>
  <c r="Q233" i="2"/>
  <c r="H258" i="2"/>
  <c r="U304" i="2"/>
  <c r="J355" i="2"/>
  <c r="V87" i="2"/>
  <c r="X109" i="2"/>
  <c r="I128" i="2"/>
  <c r="AA153" i="2"/>
  <c r="AG205" i="2"/>
  <c r="J229" i="2"/>
  <c r="M258" i="2"/>
  <c r="H294" i="2"/>
  <c r="AB357" i="2"/>
  <c r="T148" i="2"/>
  <c r="V170" i="2"/>
  <c r="L189" i="2"/>
  <c r="AH211" i="2"/>
  <c r="R234" i="2"/>
  <c r="W253" i="2"/>
  <c r="AE283" i="2"/>
  <c r="G316" i="2"/>
  <c r="AA380" i="2"/>
  <c r="U131" i="2"/>
  <c r="U153" i="2"/>
  <c r="G171" i="2"/>
  <c r="M194" i="2"/>
  <c r="S212" i="2"/>
  <c r="Y235" i="2"/>
  <c r="AG255" i="2"/>
  <c r="Y291" i="2"/>
  <c r="AF338" i="2"/>
  <c r="AF391" i="3"/>
  <c r="AF391" i="2" s="1"/>
  <c r="AF392" i="2"/>
  <c r="X151" i="2"/>
  <c r="J169" i="2"/>
  <c r="AJ192" i="2"/>
  <c r="AE211" i="2"/>
  <c r="O234" i="2"/>
  <c r="Q254" i="2"/>
  <c r="I285" i="2"/>
  <c r="H320" i="2"/>
  <c r="AA382" i="2"/>
  <c r="AF158" i="2"/>
  <c r="G182" i="2"/>
  <c r="R205" i="2"/>
  <c r="AG221" i="3"/>
  <c r="AG221" i="2" s="1"/>
  <c r="AG222" i="2"/>
  <c r="P246" i="2"/>
  <c r="AI269" i="2"/>
  <c r="AB304" i="2"/>
  <c r="M345" i="2"/>
  <c r="AC251" i="2"/>
  <c r="AA270" i="2"/>
  <c r="X298" i="2"/>
  <c r="O323" i="2"/>
  <c r="W370" i="3"/>
  <c r="W370" i="2" s="1"/>
  <c r="W371" i="2"/>
  <c r="K232" i="2"/>
  <c r="AG254" i="2"/>
  <c r="W280" i="2"/>
  <c r="AG303" i="2"/>
  <c r="S344" i="2"/>
  <c r="P390" i="2"/>
  <c r="AF256" i="2"/>
  <c r="I277" i="2"/>
  <c r="N307" i="3"/>
  <c r="N307" i="2" s="1"/>
  <c r="N308" i="2"/>
  <c r="J340" i="2"/>
  <c r="AC407" i="2"/>
  <c r="G262" i="2"/>
  <c r="N290" i="2"/>
  <c r="Y315" i="2"/>
  <c r="G360" i="2"/>
  <c r="AL273" i="2"/>
  <c r="Y292" i="2"/>
  <c r="AE318" i="2"/>
  <c r="L347" i="2"/>
  <c r="AE402" i="2"/>
  <c r="G280" i="2"/>
  <c r="AK303" i="2"/>
  <c r="AC327" i="2"/>
  <c r="Z367" i="2"/>
  <c r="Q277" i="2"/>
  <c r="T300" i="2"/>
  <c r="J323" i="2"/>
  <c r="AG361" i="2"/>
  <c r="X270" i="2"/>
  <c r="H289" i="2"/>
  <c r="AB314" i="2"/>
  <c r="G335" i="2"/>
  <c r="AA379" i="2"/>
  <c r="AD307" i="3"/>
  <c r="AD307" i="2" s="1"/>
  <c r="AD308" i="2"/>
  <c r="AD332" i="2"/>
  <c r="R359" i="2"/>
  <c r="H409" i="2"/>
  <c r="AA284" i="2"/>
  <c r="AA306" i="2"/>
  <c r="Y325" i="2"/>
  <c r="K358" i="2"/>
  <c r="AK399" i="2"/>
  <c r="U303" i="2"/>
  <c r="J327" i="2"/>
  <c r="U353" i="2"/>
  <c r="AL393" i="2"/>
  <c r="AF315" i="2"/>
  <c r="AF343" i="2"/>
  <c r="N373" i="2"/>
  <c r="M376" i="2"/>
  <c r="O404" i="2"/>
  <c r="P336" i="2"/>
  <c r="AK360" i="2"/>
  <c r="AG387" i="2"/>
  <c r="I368" i="2"/>
  <c r="L393" i="2"/>
  <c r="AA386" i="2"/>
  <c r="AB365" i="2"/>
  <c r="AD391" i="3"/>
  <c r="AD391" i="2" s="1"/>
  <c r="AD392" i="2"/>
  <c r="AB326" i="2"/>
  <c r="R352" i="2"/>
  <c r="V374" i="2"/>
  <c r="R402" i="2"/>
  <c r="P389" i="2"/>
  <c r="Q331" i="2"/>
  <c r="L354" i="2"/>
  <c r="AD382" i="2"/>
  <c r="I337" i="2"/>
  <c r="X354" i="2"/>
  <c r="M377" i="2"/>
  <c r="AK394" i="2"/>
  <c r="M344" i="2"/>
  <c r="AB361" i="2"/>
  <c r="Q384" i="2"/>
  <c r="U403" i="2"/>
  <c r="AD349" i="3"/>
  <c r="AD349" i="2" s="1"/>
  <c r="AD350" i="2"/>
  <c r="W367" i="2"/>
  <c r="L390" i="2"/>
  <c r="AH335" i="2"/>
  <c r="AH357" i="2"/>
  <c r="W380" i="2"/>
  <c r="AD398" i="2"/>
  <c r="AE408" i="2"/>
  <c r="L395" i="2"/>
  <c r="AE397" i="2"/>
  <c r="G410" i="2"/>
  <c r="V295" i="2"/>
  <c r="Y124" i="2"/>
  <c r="J235" i="2"/>
  <c r="AA81" i="2"/>
  <c r="W163" i="2"/>
  <c r="U273" i="2"/>
  <c r="K114" i="2"/>
  <c r="AG187" i="2"/>
  <c r="J310" i="2"/>
  <c r="AC173" i="2"/>
  <c r="AA257" i="2"/>
  <c r="AA396" i="2"/>
  <c r="T197" i="2"/>
  <c r="AD268" i="2"/>
  <c r="O407" i="2"/>
  <c r="AH218" i="2"/>
  <c r="Z291" i="2"/>
  <c r="AG338" i="2"/>
  <c r="N185" i="2"/>
  <c r="T279" i="2"/>
  <c r="AK278" i="2"/>
  <c r="N239" i="2"/>
  <c r="O352" i="2"/>
  <c r="V288" i="2"/>
  <c r="M272" i="2"/>
  <c r="W369" i="2"/>
  <c r="H410" i="2"/>
  <c r="W339" i="2"/>
  <c r="AL303" i="2"/>
  <c r="W292" i="2"/>
  <c r="S386" i="2"/>
  <c r="AE374" i="2"/>
  <c r="AB335" i="2"/>
  <c r="AG365" i="2"/>
  <c r="AJ320" i="2"/>
  <c r="T356" i="2"/>
  <c r="AD402" i="2"/>
  <c r="F58" i="2"/>
  <c r="O225" i="2"/>
  <c r="AK215" i="2"/>
  <c r="L84" i="2"/>
  <c r="V9" i="2"/>
  <c r="AI6" i="2"/>
  <c r="R285" i="2"/>
  <c r="G117" i="2"/>
  <c r="I158" i="2"/>
  <c r="J119" i="2"/>
  <c r="AF12" i="2"/>
  <c r="O54" i="2"/>
  <c r="J239" i="2"/>
  <c r="L149" i="2"/>
  <c r="AB64" i="2"/>
  <c r="O85" i="2"/>
  <c r="Y35" i="2"/>
  <c r="G17" i="2"/>
  <c r="V187" i="2"/>
  <c r="Q83" i="2"/>
  <c r="L200" i="3"/>
  <c r="L201" i="2"/>
  <c r="V23" i="2"/>
  <c r="P140" i="2"/>
  <c r="AD74" i="2"/>
  <c r="AG22" i="2"/>
  <c r="J279" i="2"/>
  <c r="N153" i="2"/>
  <c r="AA68" i="2"/>
  <c r="U234" i="2"/>
  <c r="AF48" i="3"/>
  <c r="AF49" i="2"/>
  <c r="U285" i="2"/>
  <c r="AC118" i="2"/>
  <c r="Y12" i="2"/>
  <c r="P157" i="2"/>
  <c r="AI166" i="2"/>
  <c r="AD32" i="2"/>
  <c r="T195" i="2"/>
  <c r="O153" i="2"/>
  <c r="Z109" i="2"/>
  <c r="J297" i="2"/>
  <c r="AB223" i="2"/>
  <c r="Z157" i="2"/>
  <c r="AG16" i="2"/>
  <c r="N111" i="2"/>
  <c r="R256" i="2"/>
  <c r="T130" i="2"/>
  <c r="AG285" i="2"/>
  <c r="AG61" i="2"/>
  <c r="AE191" i="2"/>
  <c r="P12" i="2"/>
  <c r="AE106" i="2"/>
  <c r="U247" i="2"/>
  <c r="U71" i="2"/>
  <c r="Q197" i="2"/>
  <c r="Q378" i="2"/>
  <c r="P114" i="2"/>
  <c r="AJ231" i="2"/>
  <c r="AF55" i="2"/>
  <c r="U142" i="2"/>
  <c r="R274" i="2"/>
  <c r="T81" i="2"/>
  <c r="W182" i="2"/>
  <c r="AH347" i="2"/>
  <c r="T142" i="2"/>
  <c r="AH236" i="2"/>
  <c r="T87" i="2"/>
  <c r="AL169" i="2"/>
  <c r="I267" i="2"/>
  <c r="AG99" i="2"/>
  <c r="AJ186" i="2"/>
  <c r="X313" i="2"/>
  <c r="K137" i="2"/>
  <c r="W239" i="2"/>
  <c r="AJ156" i="2"/>
  <c r="AJ155" i="3"/>
  <c r="U238" i="2"/>
  <c r="AD400" i="2"/>
  <c r="I198" i="2"/>
  <c r="AB298" i="2"/>
  <c r="H180" i="2"/>
  <c r="AL265" i="3"/>
  <c r="AL266" i="2"/>
  <c r="M167" i="2"/>
  <c r="J250" i="2"/>
  <c r="AJ254" i="2"/>
  <c r="L340" i="2"/>
  <c r="X316" i="2"/>
  <c r="S289" i="2"/>
  <c r="AK272" i="2"/>
  <c r="T277" i="2"/>
  <c r="X266" i="2"/>
  <c r="X265" i="3"/>
  <c r="AC377" i="2"/>
  <c r="R372" i="2"/>
  <c r="AI351" i="2"/>
  <c r="R376" i="2"/>
  <c r="AC336" i="2"/>
  <c r="AB332" i="2"/>
  <c r="V349" i="3"/>
  <c r="V349" i="2" s="1"/>
  <c r="V350" i="2"/>
  <c r="I341" i="2"/>
  <c r="AI406" i="2"/>
  <c r="AK335" i="2"/>
  <c r="S402" i="2"/>
  <c r="P340" i="2"/>
  <c r="I348" i="2"/>
  <c r="K337" i="2"/>
  <c r="O344" i="2"/>
  <c r="G401" i="2"/>
  <c r="F167" i="2"/>
  <c r="F219" i="2"/>
  <c r="F283" i="2"/>
  <c r="F36" i="2"/>
  <c r="S83" i="2"/>
  <c r="R79" i="2"/>
  <c r="W46" i="2"/>
  <c r="T62" i="2"/>
  <c r="R123" i="2"/>
  <c r="AG180" i="2"/>
  <c r="J85" i="2"/>
  <c r="AA119" i="2"/>
  <c r="AA273" i="2"/>
  <c r="AH130" i="2"/>
  <c r="X102" i="2"/>
  <c r="AK34" i="2"/>
  <c r="X399" i="2"/>
  <c r="S265" i="3"/>
  <c r="S266" i="2"/>
  <c r="N157" i="2"/>
  <c r="J31" i="2"/>
  <c r="U294" i="2"/>
  <c r="AK237" i="2"/>
  <c r="AH3" i="3"/>
  <c r="AH3" i="2" s="1"/>
  <c r="AH4" i="2"/>
  <c r="AE35" i="2"/>
  <c r="Q34" i="2"/>
  <c r="I354" i="2"/>
  <c r="R200" i="3"/>
  <c r="R201" i="2"/>
  <c r="AG85" i="2"/>
  <c r="Q30" i="2"/>
  <c r="U237" i="2"/>
  <c r="AE87" i="2"/>
  <c r="N8" i="2"/>
  <c r="AG182" i="2"/>
  <c r="AF39" i="2"/>
  <c r="AB206" i="2"/>
  <c r="U50" i="2"/>
  <c r="AC229" i="2"/>
  <c r="W33" i="2"/>
  <c r="AH197" i="2"/>
  <c r="S157" i="2"/>
  <c r="V327" i="2"/>
  <c r="I248" i="2"/>
  <c r="I129" i="2"/>
  <c r="AJ118" i="2"/>
  <c r="AF263" i="2"/>
  <c r="AB57" i="2"/>
  <c r="N142" i="2"/>
  <c r="AI257" i="2"/>
  <c r="O27" i="2"/>
  <c r="O26" i="3"/>
  <c r="AA131" i="2"/>
  <c r="AK240" i="2"/>
  <c r="AH41" i="2"/>
  <c r="J151" i="2"/>
  <c r="AF352" i="2"/>
  <c r="AG81" i="2"/>
  <c r="W206" i="2"/>
  <c r="S51" i="2"/>
  <c r="AD137" i="2"/>
  <c r="I263" i="2"/>
  <c r="H68" i="2"/>
  <c r="U171" i="2"/>
  <c r="I321" i="2"/>
  <c r="X94" i="2"/>
  <c r="AA205" i="2"/>
  <c r="L42" i="2"/>
  <c r="AD129" i="2"/>
  <c r="Z245" i="2"/>
  <c r="K103" i="2"/>
  <c r="U189" i="2"/>
  <c r="I297" i="2"/>
  <c r="AK125" i="2"/>
  <c r="AE214" i="2"/>
  <c r="M364" i="2"/>
  <c r="J140" i="2"/>
  <c r="V239" i="2"/>
  <c r="AA96" i="2"/>
  <c r="T189" i="2"/>
  <c r="Y313" i="2"/>
  <c r="M198" i="2"/>
  <c r="H293" i="2"/>
  <c r="AD158" i="2"/>
  <c r="AB239" i="2"/>
  <c r="AA138" i="2"/>
  <c r="L220" i="2"/>
  <c r="K341" i="2"/>
  <c r="N209" i="2"/>
  <c r="AJ315" i="2"/>
  <c r="N304" i="2"/>
  <c r="N263" i="2"/>
  <c r="X244" i="2"/>
  <c r="X243" i="3"/>
  <c r="AF363" i="2"/>
  <c r="W332" i="2"/>
  <c r="L325" i="2"/>
  <c r="R311" i="2"/>
  <c r="AG304" i="2"/>
  <c r="Q275" i="2"/>
  <c r="AL389" i="2"/>
  <c r="S272" i="2"/>
  <c r="T374" i="2"/>
  <c r="Q368" i="2"/>
  <c r="AA389" i="2"/>
  <c r="H369" i="2"/>
  <c r="N394" i="2"/>
  <c r="J358" i="2"/>
  <c r="H336" i="2"/>
  <c r="AJ362" i="2"/>
  <c r="I372" i="2"/>
  <c r="O355" i="2"/>
  <c r="AI366" i="2"/>
  <c r="H385" i="2"/>
  <c r="AA401" i="2"/>
  <c r="F399" i="2"/>
  <c r="F37" i="2"/>
  <c r="F75" i="2"/>
  <c r="F204" i="2"/>
  <c r="Q151" i="2"/>
  <c r="AC71" i="2"/>
  <c r="Q29" i="2"/>
  <c r="M87" i="2"/>
  <c r="AF345" i="2"/>
  <c r="H121" i="2"/>
  <c r="N163" i="2"/>
  <c r="Y146" i="2"/>
  <c r="O15" i="2"/>
  <c r="L54" i="2"/>
  <c r="K97" i="2"/>
  <c r="Z254" i="2"/>
  <c r="AI171" i="2"/>
  <c r="AE67" i="2"/>
  <c r="O103" i="2"/>
  <c r="AG38" i="2"/>
  <c r="AH36" i="2"/>
  <c r="O206" i="2"/>
  <c r="I86" i="2"/>
  <c r="AF231" i="2"/>
  <c r="AE58" i="2"/>
  <c r="AE148" i="2"/>
  <c r="AJ77" i="2"/>
  <c r="G32" i="2"/>
  <c r="AE288" i="2"/>
  <c r="T160" i="2"/>
  <c r="V71" i="2"/>
  <c r="AB343" i="2"/>
  <c r="AF141" i="2"/>
  <c r="AE39" i="2"/>
  <c r="Y263" i="2"/>
  <c r="AI67" i="2"/>
  <c r="AD274" i="2"/>
  <c r="AG82" i="2"/>
  <c r="T290" i="2"/>
  <c r="AA95" i="2"/>
  <c r="H365" i="2"/>
  <c r="AH258" i="2"/>
  <c r="AL249" i="2"/>
  <c r="O171" i="2"/>
  <c r="O120" i="2"/>
  <c r="AG384" i="2"/>
  <c r="AK85" i="2"/>
  <c r="Q215" i="2"/>
  <c r="AI26" i="3"/>
  <c r="AI27" i="2"/>
  <c r="Y132" i="2"/>
  <c r="AI404" i="2"/>
  <c r="Q94" i="2"/>
  <c r="R228" i="2"/>
  <c r="U17" i="2"/>
  <c r="I108" i="2"/>
  <c r="G249" i="2"/>
  <c r="AD72" i="2"/>
  <c r="Y166" i="2"/>
  <c r="AH314" i="2"/>
  <c r="W94" i="2"/>
  <c r="AH206" i="2"/>
  <c r="AC400" i="2"/>
  <c r="K120" i="2"/>
  <c r="AG239" i="2"/>
  <c r="AL60" i="2"/>
  <c r="AI155" i="3"/>
  <c r="AI156" i="2"/>
  <c r="W291" i="2"/>
  <c r="AB124" i="2"/>
  <c r="AA211" i="2"/>
  <c r="Y367" i="2"/>
  <c r="M150" i="2"/>
  <c r="AD237" i="2"/>
  <c r="Y83" i="2"/>
  <c r="AL165" i="2"/>
  <c r="V276" i="2"/>
  <c r="I116" i="2"/>
  <c r="V212" i="2"/>
  <c r="AI383" i="2"/>
  <c r="O221" i="3"/>
  <c r="O221" i="2" s="1"/>
  <c r="O222" i="2"/>
  <c r="R341" i="2"/>
  <c r="AJ181" i="2"/>
  <c r="N246" i="2"/>
  <c r="P139" i="2"/>
  <c r="AF220" i="2"/>
  <c r="AL342" i="2"/>
  <c r="AH209" i="2"/>
  <c r="P317" i="2"/>
  <c r="J305" i="2"/>
  <c r="AH263" i="2"/>
  <c r="M245" i="2"/>
  <c r="S365" i="2"/>
  <c r="AI303" i="2"/>
  <c r="AE278" i="2"/>
  <c r="AD367" i="2"/>
  <c r="R343" i="2"/>
  <c r="P337" i="2"/>
  <c r="S320" i="2"/>
  <c r="AF339" i="2"/>
  <c r="H317" i="2"/>
  <c r="AG313" i="2"/>
  <c r="S326" i="2"/>
  <c r="AL322" i="2"/>
  <c r="J374" i="2"/>
  <c r="T400" i="2"/>
  <c r="N385" i="2"/>
  <c r="T366" i="2"/>
  <c r="R382" i="2"/>
  <c r="V389" i="2"/>
  <c r="AI355" i="2"/>
  <c r="X345" i="2"/>
  <c r="AB385" i="2"/>
  <c r="P402" i="2"/>
  <c r="F213" i="2"/>
  <c r="F131" i="2"/>
  <c r="F402" i="2"/>
  <c r="F18" i="2"/>
  <c r="AJ169" i="2"/>
  <c r="W61" i="2"/>
  <c r="AJ215" i="2"/>
  <c r="AC6" i="2"/>
  <c r="U205" i="2"/>
  <c r="K124" i="2"/>
  <c r="AK140" i="2"/>
  <c r="AG306" i="2"/>
  <c r="V158" i="2"/>
  <c r="AA19" i="2"/>
  <c r="W217" i="2"/>
  <c r="AH107" i="2"/>
  <c r="P406" i="2"/>
  <c r="T10" i="2"/>
  <c r="V80" i="2"/>
  <c r="T215" i="2"/>
  <c r="AJ88" i="2"/>
  <c r="Q28" i="2"/>
  <c r="I39" i="2"/>
  <c r="AJ260" i="2"/>
  <c r="S133" i="3"/>
  <c r="S134" i="2"/>
  <c r="M69" i="3"/>
  <c r="M70" i="2"/>
  <c r="X21" i="2"/>
  <c r="N250" i="2"/>
  <c r="AB120" i="2"/>
  <c r="AF23" i="2"/>
  <c r="AL216" i="2"/>
  <c r="T69" i="3"/>
  <c r="T70" i="2"/>
  <c r="X390" i="2"/>
  <c r="Z115" i="2"/>
  <c r="AC388" i="2"/>
  <c r="AE126" i="2"/>
  <c r="U13" i="2"/>
  <c r="H146" i="2"/>
  <c r="V117" i="2"/>
  <c r="P259" i="2"/>
  <c r="T161" i="2"/>
  <c r="Y97" i="2"/>
  <c r="AA276" i="2"/>
  <c r="AF216" i="2"/>
  <c r="AB38" i="2"/>
  <c r="AH144" i="2"/>
  <c r="AG312" i="2"/>
  <c r="AB75" i="2"/>
  <c r="T209" i="2"/>
  <c r="AA20" i="2"/>
  <c r="AG122" i="2"/>
  <c r="Z278" i="2"/>
  <c r="Q55" i="2"/>
  <c r="U175" i="2"/>
  <c r="AL404" i="2"/>
  <c r="T119" i="2"/>
  <c r="AF226" i="2"/>
  <c r="M53" i="2"/>
  <c r="S147" i="2"/>
  <c r="N269" i="2"/>
  <c r="Y74" i="2"/>
  <c r="O178" i="3"/>
  <c r="O179" i="2"/>
  <c r="W354" i="2"/>
  <c r="V104" i="2"/>
  <c r="R218" i="2"/>
  <c r="AH86" i="2"/>
  <c r="S164" i="2"/>
  <c r="N267" i="2"/>
  <c r="V109" i="2"/>
  <c r="AC196" i="2"/>
  <c r="AG305" i="2"/>
  <c r="O123" i="2"/>
  <c r="S189" i="2"/>
  <c r="U331" i="2"/>
  <c r="AC116" i="2"/>
  <c r="P213" i="2"/>
  <c r="Q141" i="2"/>
  <c r="O343" i="2"/>
  <c r="Y182" i="2"/>
  <c r="AD272" i="2"/>
  <c r="K158" i="2"/>
  <c r="AC239" i="2"/>
  <c r="AJ150" i="2"/>
  <c r="W210" i="2"/>
  <c r="W318" i="2"/>
  <c r="T312" i="2"/>
  <c r="J265" i="3"/>
  <c r="J266" i="2"/>
  <c r="X358" i="2"/>
  <c r="X317" i="2"/>
  <c r="V275" i="2"/>
  <c r="AJ395" i="2"/>
  <c r="R369" i="2"/>
  <c r="AJ312" i="2"/>
  <c r="AL288" i="2"/>
  <c r="G276" i="2"/>
  <c r="R391" i="3"/>
  <c r="R391" i="2" s="1"/>
  <c r="R392" i="2"/>
  <c r="M278" i="2"/>
  <c r="V377" i="2"/>
  <c r="AC370" i="3"/>
  <c r="AC370" i="2" s="1"/>
  <c r="AC371" i="2"/>
  <c r="X391" i="3"/>
  <c r="X391" i="2" s="1"/>
  <c r="X392" i="2"/>
  <c r="AG370" i="3"/>
  <c r="AG370" i="2" s="1"/>
  <c r="AG371" i="2"/>
  <c r="AD396" i="2"/>
  <c r="AA359" i="2"/>
  <c r="S343" i="2"/>
  <c r="N364" i="2"/>
  <c r="K390" i="2"/>
  <c r="AC402" i="2"/>
  <c r="AB397" i="2"/>
  <c r="F93" i="2"/>
  <c r="F238" i="2"/>
  <c r="F91" i="3"/>
  <c r="F91" i="2" s="1"/>
  <c r="F92" i="2"/>
  <c r="K30" i="2"/>
  <c r="AG74" i="2"/>
  <c r="AD105" i="2"/>
  <c r="Y20" i="2"/>
  <c r="AG234" i="2"/>
  <c r="AH13" i="2"/>
  <c r="M207" i="2"/>
  <c r="AL129" i="2"/>
  <c r="Q149" i="2"/>
  <c r="AF307" i="3"/>
  <c r="AF307" i="2" s="1"/>
  <c r="AF308" i="2"/>
  <c r="AL200" i="3"/>
  <c r="AL201" i="2"/>
  <c r="W20" i="2"/>
  <c r="K226" i="2"/>
  <c r="W114" i="2"/>
  <c r="M407" i="2"/>
  <c r="AI11" i="2"/>
  <c r="Z165" i="2"/>
  <c r="M60" i="2"/>
  <c r="AF325" i="2"/>
  <c r="X246" i="2"/>
  <c r="AA32" i="2"/>
  <c r="W40" i="2"/>
  <c r="AC8" i="2"/>
  <c r="AA233" i="2"/>
  <c r="N208" i="2"/>
  <c r="M103" i="2"/>
  <c r="O33" i="2"/>
  <c r="N247" i="2"/>
  <c r="N94" i="2"/>
  <c r="J17" i="2"/>
  <c r="O188" i="2"/>
  <c r="AI42" i="2"/>
  <c r="AL224" i="2"/>
  <c r="W53" i="2"/>
  <c r="AA234" i="2"/>
  <c r="H66" i="2"/>
  <c r="J268" i="2"/>
  <c r="AC205" i="2"/>
  <c r="AJ162" i="2"/>
  <c r="AK98" i="2"/>
  <c r="AG279" i="2"/>
  <c r="W218" i="2"/>
  <c r="V39" i="2"/>
  <c r="AK153" i="2"/>
  <c r="AC315" i="2"/>
  <c r="AB76" i="2"/>
  <c r="AA210" i="2"/>
  <c r="P21" i="2"/>
  <c r="AF123" i="2"/>
  <c r="J281" i="2"/>
  <c r="AI60" i="2"/>
  <c r="AF218" i="2"/>
  <c r="Q53" i="2"/>
  <c r="AD174" i="2"/>
  <c r="Q319" i="2"/>
  <c r="O96" i="2"/>
  <c r="AG208" i="2"/>
  <c r="J409" i="2"/>
  <c r="AC121" i="2"/>
  <c r="AL241" i="2"/>
  <c r="W65" i="2"/>
  <c r="H158" i="2"/>
  <c r="AE295" i="2"/>
  <c r="I126" i="2"/>
  <c r="Q213" i="2"/>
  <c r="I375" i="2"/>
  <c r="AI151" i="2"/>
  <c r="AJ245" i="2"/>
  <c r="AH84" i="2"/>
  <c r="AF166" i="2"/>
  <c r="W279" i="2"/>
  <c r="R117" i="2"/>
  <c r="I214" i="2"/>
  <c r="AK141" i="2"/>
  <c r="X223" i="2"/>
  <c r="O345" i="2"/>
  <c r="N183" i="2"/>
  <c r="AI273" i="2"/>
  <c r="AE158" i="2"/>
  <c r="O246" i="2"/>
  <c r="Y151" i="2"/>
  <c r="P234" i="2"/>
  <c r="H262" i="2"/>
  <c r="AB225" i="2"/>
  <c r="AF320" i="2"/>
  <c r="AH292" i="2"/>
  <c r="Q276" i="2"/>
  <c r="L280" i="2"/>
  <c r="K269" i="2"/>
  <c r="J394" i="2"/>
  <c r="AC384" i="2"/>
  <c r="AB355" i="2"/>
  <c r="X381" i="2"/>
  <c r="AA340" i="2"/>
  <c r="AC335" i="2"/>
  <c r="Q361" i="2"/>
  <c r="AH351" i="2"/>
  <c r="L411" i="2"/>
  <c r="N339" i="2"/>
  <c r="T406" i="2"/>
  <c r="AH342" i="2"/>
  <c r="R351" i="2"/>
  <c r="AC361" i="2"/>
  <c r="AG368" i="2"/>
  <c r="Y403" i="2"/>
  <c r="F310" i="2"/>
  <c r="F61" i="2"/>
  <c r="F140" i="2"/>
  <c r="AL121" i="2"/>
  <c r="S9" i="2"/>
  <c r="T94" i="2"/>
  <c r="AA41" i="2"/>
  <c r="X372" i="2"/>
  <c r="S15" i="2"/>
  <c r="AD212" i="2"/>
  <c r="J149" i="2"/>
  <c r="AD194" i="2"/>
  <c r="AF317" i="2"/>
  <c r="H202" i="2"/>
  <c r="AD22" i="2"/>
  <c r="AJ297" i="2"/>
  <c r="AD150" i="2"/>
  <c r="P408" i="2"/>
  <c r="Z14" i="2"/>
  <c r="AG168" i="2"/>
  <c r="P66" i="2"/>
  <c r="AB334" i="2"/>
  <c r="R248" i="2"/>
  <c r="AL33" i="2"/>
  <c r="V42" i="2"/>
  <c r="AG9" i="2"/>
  <c r="T237" i="2"/>
  <c r="AI142" i="2"/>
  <c r="Q54" i="2"/>
  <c r="L10" i="2"/>
  <c r="V251" i="2"/>
  <c r="AH95" i="2"/>
  <c r="AK17" i="2"/>
  <c r="S191" i="2"/>
  <c r="AF43" i="2"/>
  <c r="G225" i="2"/>
  <c r="AC54" i="2"/>
  <c r="O237" i="2"/>
  <c r="I67" i="2"/>
  <c r="M271" i="2"/>
  <c r="K206" i="2"/>
  <c r="W164" i="2"/>
  <c r="K100" i="2"/>
  <c r="AK282" i="2"/>
  <c r="I220" i="2"/>
  <c r="S40" i="2"/>
  <c r="I188" i="2"/>
  <c r="N12" i="2"/>
  <c r="AF103" i="2"/>
  <c r="S247" i="2"/>
  <c r="J45" i="2"/>
  <c r="AD163" i="2"/>
  <c r="Z368" i="2"/>
  <c r="AJ85" i="2"/>
  <c r="G219" i="2"/>
  <c r="AK53" i="2"/>
  <c r="W141" i="2"/>
  <c r="S269" i="2"/>
  <c r="M75" i="2"/>
  <c r="AC175" i="2"/>
  <c r="T330" i="2"/>
  <c r="AL101" i="2"/>
  <c r="AE209" i="2"/>
  <c r="AD44" i="2"/>
  <c r="G133" i="3"/>
  <c r="G134" i="2"/>
  <c r="W256" i="2"/>
  <c r="AC105" i="2"/>
  <c r="AD192" i="2"/>
  <c r="Z313" i="2"/>
  <c r="G128" i="2"/>
  <c r="J218" i="2"/>
  <c r="AF374" i="2"/>
  <c r="AG147" i="2"/>
  <c r="AD250" i="2"/>
  <c r="N99" i="2"/>
  <c r="AC192" i="2"/>
  <c r="Z320" i="2"/>
  <c r="M202" i="2"/>
  <c r="AG297" i="2"/>
  <c r="AG165" i="2"/>
  <c r="W248" i="2"/>
  <c r="N141" i="2"/>
  <c r="U223" i="2"/>
  <c r="AJ346" i="2"/>
  <c r="AF211" i="2"/>
  <c r="Y331" i="2"/>
  <c r="Y314" i="2"/>
  <c r="W267" i="2"/>
  <c r="K247" i="2"/>
  <c r="Q370" i="3"/>
  <c r="Q370" i="2" s="1"/>
  <c r="Q371" i="2"/>
  <c r="AB336" i="2"/>
  <c r="K330" i="2"/>
  <c r="Q320" i="2"/>
  <c r="T315" i="2"/>
  <c r="AH301" i="2"/>
  <c r="W320" i="2"/>
  <c r="AK296" i="2"/>
  <c r="AE293" i="2"/>
  <c r="G310" i="2"/>
  <c r="T394" i="2"/>
  <c r="Z406" i="2"/>
  <c r="X379" i="2"/>
  <c r="AE386" i="2"/>
  <c r="AH368" i="2"/>
  <c r="AA383" i="2"/>
  <c r="G374" i="2"/>
  <c r="V380" i="2"/>
  <c r="V369" i="2"/>
  <c r="AH408" i="2"/>
  <c r="F215" i="2"/>
  <c r="F342" i="2"/>
  <c r="F349" i="3"/>
  <c r="F349" i="2" s="1"/>
  <c r="F350" i="2"/>
  <c r="F188" i="2"/>
  <c r="AH353" i="2"/>
  <c r="AC207" i="2"/>
  <c r="J138" i="2"/>
  <c r="T79" i="2"/>
  <c r="H29" i="2"/>
  <c r="Z23" i="2"/>
  <c r="H221" i="3"/>
  <c r="H221" i="2" s="1"/>
  <c r="H222" i="2"/>
  <c r="T238" i="2"/>
  <c r="AE185" i="2"/>
  <c r="N249" i="2"/>
  <c r="AA209" i="2"/>
  <c r="AD14" i="2"/>
  <c r="X220" i="2"/>
  <c r="L104" i="2"/>
  <c r="N124" i="2"/>
  <c r="G44" i="2"/>
  <c r="U62" i="2"/>
  <c r="AE301" i="2"/>
  <c r="AC48" i="3"/>
  <c r="AC49" i="2"/>
  <c r="AJ30" i="2"/>
  <c r="W35" i="2"/>
  <c r="L52" i="2"/>
  <c r="Y277" i="2"/>
  <c r="AB157" i="2"/>
  <c r="Z36" i="2"/>
  <c r="X215" i="2"/>
  <c r="AH55" i="2"/>
  <c r="P11" i="2"/>
  <c r="Q191" i="2"/>
  <c r="Z221" i="3"/>
  <c r="Z221" i="2" s="1"/>
  <c r="Z222" i="2"/>
  <c r="N81" i="2"/>
  <c r="AF362" i="2"/>
  <c r="AC120" i="2"/>
  <c r="W8" i="2"/>
  <c r="AK131" i="2"/>
  <c r="AI15" i="2"/>
  <c r="X152" i="2"/>
  <c r="AF128" i="2"/>
  <c r="T348" i="2"/>
  <c r="I257" i="2"/>
  <c r="X190" i="2"/>
  <c r="I293" i="2"/>
  <c r="AI61" i="2"/>
  <c r="N189" i="2"/>
  <c r="AH12" i="2"/>
  <c r="AJ109" i="2"/>
  <c r="AJ248" i="2"/>
  <c r="AH45" i="2"/>
  <c r="AJ164" i="2"/>
  <c r="W375" i="2"/>
  <c r="AK86" i="2"/>
  <c r="S220" i="2"/>
  <c r="V58" i="2"/>
  <c r="AA142" i="2"/>
  <c r="I271" i="2"/>
  <c r="AG75" i="2"/>
  <c r="AJ210" i="2"/>
  <c r="T43" i="2"/>
  <c r="G102" i="2"/>
  <c r="P284" i="2"/>
  <c r="S86" i="2"/>
  <c r="K195" i="2"/>
  <c r="AB388" i="2"/>
  <c r="N146" i="2"/>
  <c r="AJ270" i="2"/>
  <c r="T111" i="2"/>
  <c r="AL218" i="2"/>
  <c r="I379" i="2"/>
  <c r="Z148" i="2"/>
  <c r="AL251" i="2"/>
  <c r="AF77" i="2"/>
  <c r="I170" i="2"/>
  <c r="L282" i="2"/>
  <c r="G184" i="2"/>
  <c r="P126" i="2"/>
  <c r="N207" i="2"/>
  <c r="AI316" i="2"/>
  <c r="AI183" i="2"/>
  <c r="AC271" i="2"/>
  <c r="I171" i="2"/>
  <c r="O288" i="2"/>
  <c r="AL284" i="2"/>
  <c r="AK226" i="2"/>
  <c r="AK322" i="2"/>
  <c r="AE294" i="2"/>
  <c r="AI277" i="2"/>
  <c r="W281" i="2"/>
  <c r="O275" i="2"/>
  <c r="Z397" i="2"/>
  <c r="S388" i="2"/>
  <c r="AK357" i="2"/>
  <c r="J384" i="2"/>
  <c r="AB342" i="2"/>
  <c r="AA344" i="2"/>
  <c r="AC363" i="2"/>
  <c r="AD353" i="2"/>
  <c r="AI370" i="3"/>
  <c r="AI370" i="2" s="1"/>
  <c r="AI371" i="2"/>
  <c r="G340" i="2"/>
  <c r="Y408" i="2"/>
  <c r="L344" i="2"/>
  <c r="N410" i="2"/>
  <c r="AL340" i="2"/>
  <c r="V370" i="3"/>
  <c r="V370" i="2" s="1"/>
  <c r="V371" i="2"/>
  <c r="P410" i="2"/>
  <c r="F383" i="2"/>
  <c r="F353" i="2"/>
  <c r="F284" i="2"/>
  <c r="AF212" i="2"/>
  <c r="AG276" i="2"/>
  <c r="AF223" i="2"/>
  <c r="AC341" i="2"/>
  <c r="AK126" i="2"/>
  <c r="AH33" i="2"/>
  <c r="X230" i="2"/>
  <c r="R249" i="2"/>
  <c r="X226" i="2"/>
  <c r="AJ374" i="2"/>
  <c r="O211" i="2"/>
  <c r="AH30" i="2"/>
  <c r="AJ7" i="2"/>
  <c r="AC185" i="2"/>
  <c r="I40" i="2"/>
  <c r="P31" i="2"/>
  <c r="M172" i="2"/>
  <c r="L72" i="2"/>
  <c r="Y6" i="2"/>
  <c r="Y258" i="2"/>
  <c r="AK36" i="2"/>
  <c r="AF53" i="2"/>
  <c r="L11" i="2"/>
  <c r="P245" i="2"/>
  <c r="J146" i="2"/>
  <c r="AJ288" i="2"/>
  <c r="AB127" i="2"/>
  <c r="U27" i="2"/>
  <c r="U26" i="3"/>
  <c r="J223" i="2"/>
  <c r="Z82" i="2"/>
  <c r="I363" i="2"/>
  <c r="P122" i="2"/>
  <c r="Q9" i="2"/>
  <c r="L133" i="3"/>
  <c r="L134" i="2"/>
  <c r="AB16" i="2"/>
  <c r="G209" i="2"/>
  <c r="AL167" i="2"/>
  <c r="AK128" i="2"/>
  <c r="G312" i="2"/>
  <c r="M236" i="2"/>
  <c r="AE181" i="2"/>
  <c r="AJ41" i="2"/>
  <c r="L157" i="2"/>
  <c r="P325" i="2"/>
  <c r="W79" i="2"/>
  <c r="AI214" i="2"/>
  <c r="AJ26" i="3"/>
  <c r="AJ27" i="2"/>
  <c r="K126" i="2"/>
  <c r="AG288" i="2"/>
  <c r="AA62" i="2"/>
  <c r="X182" i="2"/>
  <c r="AC37" i="2"/>
  <c r="AG121" i="2"/>
  <c r="Y236" i="2"/>
  <c r="AE55" i="2"/>
  <c r="V151" i="2"/>
  <c r="N284" i="2"/>
  <c r="R77" i="2"/>
  <c r="X183" i="2"/>
  <c r="AD365" i="2"/>
  <c r="AG111" i="2"/>
  <c r="W223" i="2"/>
  <c r="U89" i="2"/>
  <c r="Y172" i="2"/>
  <c r="O272" i="2"/>
  <c r="T112" i="3"/>
  <c r="T112" i="2" s="1"/>
  <c r="T113" i="2"/>
  <c r="Q322" i="2"/>
  <c r="AL125" i="2"/>
  <c r="AA197" i="2"/>
  <c r="G282" i="2"/>
  <c r="W100" i="2"/>
  <c r="T194" i="2"/>
  <c r="R324" i="2"/>
  <c r="V203" i="2"/>
  <c r="V309" i="2"/>
  <c r="K167" i="2"/>
  <c r="H250" i="2"/>
  <c r="W142" i="2"/>
  <c r="AD224" i="2"/>
  <c r="AL350" i="2"/>
  <c r="AL349" i="3"/>
  <c r="AL349" i="2" s="1"/>
  <c r="Z217" i="2"/>
  <c r="AL334" i="2"/>
  <c r="AA316" i="2"/>
  <c r="AK268" i="2"/>
  <c r="T248" i="2"/>
  <c r="AA375" i="2"/>
  <c r="AK339" i="2"/>
  <c r="AI339" i="2"/>
  <c r="I322" i="2"/>
  <c r="AK316" i="2"/>
  <c r="P303" i="2"/>
  <c r="AH321" i="2"/>
  <c r="O298" i="2"/>
  <c r="AJ298" i="2"/>
  <c r="P311" i="2"/>
  <c r="AF396" i="2"/>
  <c r="N409" i="2"/>
  <c r="N381" i="2"/>
  <c r="V388" i="2"/>
  <c r="O370" i="3"/>
  <c r="O370" i="2" s="1"/>
  <c r="O371" i="2"/>
  <c r="U389" i="2"/>
  <c r="AJ397" i="2"/>
  <c r="AJ405" i="2"/>
  <c r="R394" i="2"/>
  <c r="K408" i="2"/>
  <c r="F259" i="2"/>
  <c r="F169" i="2"/>
  <c r="F327" i="2"/>
  <c r="F241" i="2"/>
  <c r="AG18" i="2"/>
  <c r="T256" i="2"/>
  <c r="AA128" i="2"/>
  <c r="Z144" i="2"/>
  <c r="AG216" i="2"/>
  <c r="AA26" i="3"/>
  <c r="AA27" i="2"/>
  <c r="AF65" i="2"/>
  <c r="AK297" i="2"/>
  <c r="AD251" i="2"/>
  <c r="AD84" i="2"/>
  <c r="P202" i="2"/>
  <c r="AH126" i="2"/>
  <c r="R33" i="2"/>
  <c r="X20" i="2"/>
  <c r="O387" i="2"/>
  <c r="AJ11" i="2"/>
  <c r="I314" i="2"/>
  <c r="AE51" i="2"/>
  <c r="S38" i="2"/>
  <c r="AG235" i="2"/>
  <c r="K98" i="2"/>
  <c r="K50" i="2"/>
  <c r="AE9" i="2"/>
  <c r="P221" i="3"/>
  <c r="P221" i="2" s="1"/>
  <c r="P222" i="2"/>
  <c r="Q110" i="2"/>
  <c r="V44" i="2"/>
  <c r="N262" i="2"/>
  <c r="M100" i="2"/>
  <c r="L20" i="2"/>
  <c r="M211" i="2"/>
  <c r="L80" i="2"/>
  <c r="AH231" i="2"/>
  <c r="H63" i="2"/>
  <c r="P70" i="2"/>
  <c r="P69" i="3"/>
  <c r="J280" i="2"/>
  <c r="Y223" i="2"/>
  <c r="Z169" i="2"/>
  <c r="I104" i="2"/>
  <c r="AI302" i="2"/>
  <c r="M227" i="2"/>
  <c r="AC42" i="2"/>
  <c r="T158" i="2"/>
  <c r="S353" i="2"/>
  <c r="AB80" i="2"/>
  <c r="I215" i="2"/>
  <c r="Y28" i="2"/>
  <c r="N127" i="2"/>
  <c r="Q291" i="2"/>
  <c r="U63" i="2"/>
  <c r="V190" i="2"/>
  <c r="R38" i="2"/>
  <c r="G122" i="2"/>
  <c r="Z237" i="2"/>
  <c r="T56" i="2"/>
  <c r="Y152" i="2"/>
  <c r="AI285" i="2"/>
  <c r="K83" i="2"/>
  <c r="AD184" i="2"/>
  <c r="W366" i="2"/>
  <c r="Y112" i="3"/>
  <c r="Y112" i="2" s="1"/>
  <c r="Y113" i="2"/>
  <c r="W224" i="2"/>
  <c r="AH110" i="2"/>
  <c r="O195" i="2"/>
  <c r="AH318" i="2"/>
  <c r="AJ133" i="3"/>
  <c r="AJ134" i="2"/>
  <c r="AF219" i="2"/>
  <c r="Q387" i="2"/>
  <c r="Q150" i="2"/>
  <c r="J253" i="2"/>
  <c r="L101" i="2"/>
  <c r="N195" i="2"/>
  <c r="W326" i="2"/>
  <c r="P185" i="2"/>
  <c r="AI270" i="2"/>
  <c r="AC145" i="2"/>
  <c r="AC226" i="2"/>
  <c r="AK379" i="2"/>
  <c r="AI207" i="2"/>
  <c r="P313" i="2"/>
  <c r="U262" i="2"/>
  <c r="M266" i="2"/>
  <c r="M265" i="3"/>
  <c r="O228" i="2"/>
  <c r="U324" i="2"/>
  <c r="X296" i="2"/>
  <c r="AJ278" i="2"/>
  <c r="T288" i="2"/>
  <c r="Z276" i="2"/>
  <c r="AH399" i="2"/>
  <c r="Q391" i="3"/>
  <c r="Q391" i="2" s="1"/>
  <c r="Q392" i="2"/>
  <c r="AJ330" i="2"/>
  <c r="Z322" i="2"/>
  <c r="AI298" i="2"/>
  <c r="Y299" i="2"/>
  <c r="AJ311" i="2"/>
  <c r="AH397" i="2"/>
  <c r="AE410" i="2"/>
  <c r="AL381" i="2"/>
  <c r="O389" i="2"/>
  <c r="AK377" i="2"/>
  <c r="J390" i="2"/>
  <c r="AJ375" i="2"/>
  <c r="T382" i="2"/>
  <c r="AE372" i="2"/>
  <c r="G411" i="2"/>
  <c r="F305" i="2"/>
  <c r="F348" i="2"/>
  <c r="F323" i="2"/>
  <c r="P16" i="2"/>
  <c r="AI13" i="2"/>
  <c r="AG283" i="2"/>
  <c r="Y26" i="3"/>
  <c r="Y27" i="2"/>
  <c r="G245" i="2"/>
  <c r="O181" i="2"/>
  <c r="Z359" i="2"/>
  <c r="AI33" i="2"/>
  <c r="M66" i="2"/>
  <c r="Z263" i="2"/>
  <c r="AD235" i="2"/>
  <c r="AF150" i="2"/>
  <c r="U158" i="2"/>
  <c r="Z307" i="3"/>
  <c r="Z307" i="2" s="1"/>
  <c r="Z308" i="2"/>
  <c r="AI314" i="2"/>
  <c r="Y249" i="2"/>
  <c r="AJ115" i="2"/>
  <c r="U187" i="2"/>
  <c r="I113" i="2"/>
  <c r="I112" i="3"/>
  <c r="I112" i="2" s="1"/>
  <c r="AF227" i="2"/>
  <c r="Z147" i="2"/>
  <c r="AC178" i="3"/>
  <c r="AC179" i="2"/>
  <c r="W205" i="2"/>
  <c r="AL11" i="2"/>
  <c r="Q302" i="2"/>
  <c r="I164" i="2"/>
  <c r="AL79" i="2"/>
  <c r="V28" i="2"/>
  <c r="X290" i="2"/>
  <c r="L81" i="2"/>
  <c r="Q7" i="2"/>
  <c r="P102" i="2"/>
  <c r="H21" i="2"/>
  <c r="P214" i="2"/>
  <c r="L184" i="2"/>
  <c r="AC32" i="2"/>
  <c r="S195" i="2"/>
  <c r="AF45" i="2"/>
  <c r="AE159" i="2"/>
  <c r="AA275" i="2"/>
  <c r="G220" i="2"/>
  <c r="J194" i="2"/>
  <c r="J139" i="2"/>
  <c r="AH5" i="2"/>
  <c r="Q93" i="2"/>
  <c r="O231" i="2"/>
  <c r="T32" i="2"/>
  <c r="G141" i="2"/>
  <c r="AL320" i="2"/>
  <c r="AC75" i="2"/>
  <c r="AG203" i="2"/>
  <c r="AK21" i="2"/>
  <c r="Y121" i="2"/>
  <c r="K261" i="2"/>
  <c r="U77" i="2"/>
  <c r="Y181" i="2"/>
  <c r="AE344" i="2"/>
  <c r="P100" i="2"/>
  <c r="AI213" i="2"/>
  <c r="Z61" i="2"/>
  <c r="AL157" i="2"/>
  <c r="AI300" i="2"/>
  <c r="AG88" i="2"/>
  <c r="P198" i="2"/>
  <c r="H401" i="2"/>
  <c r="AI147" i="2"/>
  <c r="H246" i="2"/>
  <c r="Y96" i="2"/>
  <c r="AI181" i="2"/>
  <c r="AC277" i="2"/>
  <c r="AH108" i="2"/>
  <c r="L223" i="2"/>
  <c r="O84" i="2"/>
  <c r="X172" i="2"/>
  <c r="I288" i="2"/>
  <c r="AJ185" i="2"/>
  <c r="AH271" i="2"/>
  <c r="R146" i="2"/>
  <c r="M232" i="2"/>
  <c r="K380" i="2"/>
  <c r="X208" i="2"/>
  <c r="AC314" i="2"/>
  <c r="M196" i="2"/>
  <c r="AA291" i="2"/>
  <c r="AG318" i="2"/>
  <c r="T270" i="2"/>
  <c r="AC249" i="2"/>
  <c r="AA378" i="2"/>
  <c r="AF353" i="2"/>
  <c r="P341" i="2"/>
  <c r="AJ323" i="2"/>
  <c r="AB318" i="2"/>
  <c r="AH304" i="2"/>
  <c r="S323" i="2"/>
  <c r="I304" i="2"/>
  <c r="N300" i="2"/>
  <c r="Y312" i="2"/>
  <c r="I398" i="2"/>
  <c r="K411" i="2"/>
  <c r="G382" i="2"/>
  <c r="H390" i="2"/>
  <c r="AD378" i="2"/>
  <c r="AD390" i="2"/>
  <c r="U399" i="2"/>
  <c r="Z407" i="2"/>
  <c r="X409" i="2"/>
  <c r="F28" i="2"/>
  <c r="F174" i="2"/>
  <c r="F273" i="2"/>
  <c r="AB23" i="2"/>
  <c r="T71" i="2"/>
  <c r="AD3" i="3"/>
  <c r="AD3" i="2" s="1"/>
  <c r="AD4" i="2"/>
  <c r="AI290" i="2"/>
  <c r="U233" i="2"/>
  <c r="AJ175" i="2"/>
  <c r="AF295" i="2"/>
  <c r="S239" i="2"/>
  <c r="M52" i="2"/>
  <c r="AH35" i="2"/>
  <c r="AF184" i="2"/>
  <c r="X397" i="2"/>
  <c r="AE405" i="2"/>
  <c r="AB250" i="2"/>
  <c r="L116" i="2"/>
  <c r="V196" i="2"/>
  <c r="AB48" i="3"/>
  <c r="AB49" i="2"/>
  <c r="AJ71" i="2"/>
  <c r="AH8" i="2"/>
  <c r="N118" i="2"/>
  <c r="T325" i="2"/>
  <c r="L131" i="2"/>
  <c r="AK200" i="3"/>
  <c r="AK201" i="2"/>
  <c r="S88" i="2"/>
  <c r="Y40" i="2"/>
  <c r="AL378" i="2"/>
  <c r="AF297" i="2"/>
  <c r="AG146" i="2"/>
  <c r="R30" i="2"/>
  <c r="T231" i="2"/>
  <c r="T86" i="2"/>
  <c r="Z292" i="2"/>
  <c r="AF82" i="2"/>
  <c r="AB321" i="2"/>
  <c r="AI93" i="2"/>
  <c r="K351" i="2"/>
  <c r="AB115" i="2"/>
  <c r="X93" i="2"/>
  <c r="AA279" i="2"/>
  <c r="AA223" i="2"/>
  <c r="J150" i="2"/>
  <c r="M96" i="2"/>
  <c r="W6" i="2"/>
  <c r="S94" i="2"/>
  <c r="AB232" i="2"/>
  <c r="Q36" i="2"/>
  <c r="K142" i="2"/>
  <c r="G321" i="2"/>
  <c r="AB102" i="2"/>
  <c r="AB245" i="2"/>
  <c r="K45" i="2"/>
  <c r="V152" i="2"/>
  <c r="H333" i="2"/>
  <c r="AA103" i="2"/>
  <c r="G207" i="2"/>
  <c r="L40" i="2"/>
  <c r="AH127" i="2"/>
  <c r="T249" i="2"/>
  <c r="O62" i="2"/>
  <c r="G158" i="2"/>
  <c r="R301" i="2"/>
  <c r="Z89" i="2"/>
  <c r="G232" i="2"/>
  <c r="L91" i="3"/>
  <c r="L91" i="2" s="1"/>
  <c r="L92" i="2"/>
  <c r="K175" i="2"/>
  <c r="N282" i="2"/>
  <c r="R115" i="2"/>
  <c r="P203" i="2"/>
  <c r="U326" i="2"/>
  <c r="T131" i="2"/>
  <c r="AH229" i="2"/>
  <c r="AI84" i="2"/>
  <c r="S173" i="2"/>
  <c r="Y289" i="2"/>
  <c r="Y186" i="2"/>
  <c r="AH272" i="2"/>
  <c r="AL146" i="2"/>
  <c r="AH232" i="2"/>
  <c r="Z382" i="2"/>
  <c r="M209" i="2"/>
  <c r="AI315" i="2"/>
  <c r="AG196" i="2"/>
  <c r="AK292" i="2"/>
  <c r="AG294" i="2"/>
  <c r="O252" i="2"/>
  <c r="P383" i="2"/>
  <c r="Q335" i="2"/>
  <c r="M311" i="2"/>
  <c r="AD309" i="2"/>
  <c r="G296" i="2"/>
  <c r="N298" i="2"/>
  <c r="X285" i="2"/>
  <c r="U305" i="2"/>
  <c r="AC282" i="2"/>
  <c r="G384" i="2"/>
  <c r="H380" i="2"/>
  <c r="N372" i="2"/>
  <c r="S383" i="2"/>
  <c r="H375" i="2"/>
  <c r="Q343" i="2"/>
  <c r="H386" i="2"/>
  <c r="Q403" i="2"/>
  <c r="K391" i="3"/>
  <c r="K391" i="2" s="1"/>
  <c r="K392" i="2"/>
  <c r="N377" i="2"/>
  <c r="AJ364" i="2"/>
  <c r="P355" i="2"/>
  <c r="X396" i="2"/>
  <c r="I408" i="2"/>
  <c r="F192" i="2"/>
  <c r="F408" i="2"/>
  <c r="F74" i="2"/>
  <c r="AB34" i="2"/>
  <c r="H40" i="2"/>
  <c r="AH281" i="2"/>
  <c r="AI256" i="2"/>
  <c r="T359" i="2"/>
  <c r="Y42" i="2"/>
  <c r="AA104" i="2"/>
  <c r="AD331" i="2"/>
  <c r="Y306" i="2"/>
  <c r="AD96" i="2"/>
  <c r="N227" i="2"/>
  <c r="AG150" i="2"/>
  <c r="P41" i="2"/>
  <c r="L39" i="2"/>
  <c r="AD11" i="2"/>
  <c r="AJ15" i="2"/>
  <c r="H337" i="2"/>
  <c r="H55" i="2"/>
  <c r="S55" i="2"/>
  <c r="AE56" i="2"/>
  <c r="Q365" i="2"/>
  <c r="V106" i="2"/>
  <c r="Y54" i="2"/>
  <c r="P13" i="2"/>
  <c r="R229" i="2"/>
  <c r="AD117" i="2"/>
  <c r="AE48" i="3"/>
  <c r="AE49" i="2"/>
  <c r="R66" i="2"/>
  <c r="N368" i="2"/>
  <c r="AB142" i="2"/>
  <c r="U51" i="2"/>
  <c r="U327" i="2"/>
  <c r="Z95" i="2"/>
  <c r="AI359" i="2"/>
  <c r="T164" i="2"/>
  <c r="AK135" i="2"/>
  <c r="AL396" i="2"/>
  <c r="Y266" i="2"/>
  <c r="Y265" i="3"/>
  <c r="AD197" i="2"/>
  <c r="I142" i="2"/>
  <c r="L7" i="2"/>
  <c r="W95" i="2"/>
  <c r="AJ233" i="2"/>
  <c r="J37" i="2"/>
  <c r="R143" i="2"/>
  <c r="M325" i="2"/>
  <c r="Z77" i="2"/>
  <c r="V206" i="2"/>
  <c r="O23" i="2"/>
  <c r="H227" i="2"/>
  <c r="AC61" i="2"/>
  <c r="AH153" i="2"/>
  <c r="R280" i="2"/>
  <c r="Z79" i="2"/>
  <c r="AE189" i="2"/>
  <c r="X347" i="2"/>
  <c r="I106" i="2"/>
  <c r="V221" i="3"/>
  <c r="V221" i="2" s="1"/>
  <c r="V222" i="2"/>
  <c r="AD70" i="2"/>
  <c r="AD69" i="3"/>
  <c r="W171" i="2"/>
  <c r="AA312" i="2"/>
  <c r="AG130" i="2"/>
  <c r="G224" i="2"/>
  <c r="Z81" i="2"/>
  <c r="W158" i="2"/>
  <c r="AH252" i="2"/>
  <c r="H94" i="2"/>
  <c r="Y178" i="3"/>
  <c r="Y179" i="2"/>
  <c r="AA299" i="2"/>
  <c r="H126" i="2"/>
  <c r="V226" i="2"/>
  <c r="V146" i="2"/>
  <c r="N228" i="2"/>
  <c r="I357" i="2"/>
  <c r="O192" i="2"/>
  <c r="M288" i="2"/>
  <c r="L167" i="2"/>
  <c r="AF251" i="2"/>
  <c r="AH155" i="3"/>
  <c r="AH156" i="2"/>
  <c r="I239" i="2"/>
  <c r="AE249" i="2"/>
  <c r="V365" i="2"/>
  <c r="M301" i="2"/>
  <c r="Y274" i="2"/>
  <c r="AC260" i="2"/>
  <c r="Q267" i="2"/>
  <c r="N383" i="2"/>
  <c r="Q363" i="2"/>
  <c r="AJ357" i="2"/>
  <c r="G333" i="2"/>
  <c r="Q356" i="2"/>
  <c r="P323" i="2"/>
  <c r="AE319" i="2"/>
  <c r="AC340" i="2"/>
  <c r="AJ333" i="2"/>
  <c r="AF389" i="2"/>
  <c r="AD324" i="2"/>
  <c r="N399" i="2"/>
  <c r="P380" i="2"/>
  <c r="AG391" i="3"/>
  <c r="AG391" i="2" s="1"/>
  <c r="AG392" i="2"/>
  <c r="K401" i="2"/>
  <c r="S409" i="2"/>
  <c r="O397" i="2"/>
  <c r="AC408" i="2"/>
  <c r="F103" i="2"/>
  <c r="F153" i="2"/>
  <c r="F123" i="2"/>
  <c r="F363" i="2"/>
  <c r="K43" i="2"/>
  <c r="W42" i="2"/>
  <c r="AG17" i="2"/>
  <c r="K23" i="2"/>
  <c r="U9" i="2"/>
  <c r="AL53" i="2"/>
  <c r="Y123" i="2"/>
  <c r="AD351" i="2"/>
  <c r="AE307" i="3"/>
  <c r="AE307" i="2" s="1"/>
  <c r="AE308" i="2"/>
  <c r="T107" i="2"/>
  <c r="AJ394" i="2"/>
  <c r="X159" i="2"/>
  <c r="Y271" i="2"/>
  <c r="AI126" i="2"/>
  <c r="AK209" i="2"/>
  <c r="W64" i="2"/>
  <c r="AB73" i="2"/>
  <c r="AD21" i="2"/>
  <c r="AH124" i="2"/>
  <c r="T368" i="2"/>
  <c r="V155" i="3"/>
  <c r="V156" i="2"/>
  <c r="J207" i="2"/>
  <c r="AD107" i="2"/>
  <c r="AC43" i="2"/>
  <c r="K3" i="3"/>
  <c r="K3" i="2" s="1"/>
  <c r="K4" i="2"/>
  <c r="AG211" i="2"/>
  <c r="O86" i="2"/>
  <c r="M10" i="2"/>
  <c r="AE178" i="3"/>
  <c r="AE179" i="2"/>
  <c r="P58" i="2"/>
  <c r="R294" i="2"/>
  <c r="AD85" i="2"/>
  <c r="Y330" i="2"/>
  <c r="AK96" i="2"/>
  <c r="V265" i="3"/>
  <c r="V266" i="2"/>
  <c r="AJ166" i="2"/>
  <c r="J136" i="2"/>
  <c r="I397" i="2"/>
  <c r="S267" i="2"/>
  <c r="AD254" i="2"/>
  <c r="AB143" i="2"/>
  <c r="AB11" i="2"/>
  <c r="W96" i="2"/>
  <c r="W235" i="2"/>
  <c r="AG37" i="2"/>
  <c r="AE144" i="2"/>
  <c r="Q332" i="2"/>
  <c r="Z78" i="2"/>
  <c r="K215" i="2"/>
  <c r="AI23" i="2"/>
  <c r="AB66" i="2"/>
  <c r="AA342" i="2"/>
  <c r="S105" i="2"/>
  <c r="W282" i="2"/>
  <c r="W80" i="2"/>
  <c r="AC190" i="2"/>
  <c r="AC365" i="2"/>
  <c r="AG106" i="2"/>
  <c r="S223" i="2"/>
  <c r="X54" i="2"/>
  <c r="Z139" i="2"/>
  <c r="G263" i="2"/>
  <c r="AF114" i="2"/>
  <c r="Q285" i="2"/>
  <c r="AH119" i="2"/>
  <c r="AL204" i="2"/>
  <c r="AK330" i="2"/>
  <c r="Z153" i="2"/>
  <c r="J256" i="2"/>
  <c r="AD103" i="2"/>
  <c r="P204" i="2"/>
  <c r="AD352" i="2"/>
  <c r="Y210" i="2"/>
  <c r="AG314" i="2"/>
  <c r="R170" i="2"/>
  <c r="L254" i="2"/>
  <c r="AD145" i="2"/>
  <c r="AI232" i="2"/>
  <c r="R377" i="2"/>
  <c r="AG220" i="2"/>
  <c r="O341" i="2"/>
  <c r="AL321" i="2"/>
  <c r="AI272" i="2"/>
  <c r="W255" i="2"/>
  <c r="O401" i="2"/>
  <c r="Z358" i="2"/>
  <c r="AJ344" i="2"/>
  <c r="AI325" i="2"/>
  <c r="P321" i="2"/>
  <c r="K307" i="3"/>
  <c r="K307" i="2" s="1"/>
  <c r="K308" i="2"/>
  <c r="AJ331" i="2"/>
  <c r="AL305" i="2"/>
  <c r="L302" i="2"/>
  <c r="W314" i="2"/>
  <c r="AE401" i="2"/>
  <c r="L360" i="2"/>
  <c r="R389" i="2"/>
  <c r="AD387" i="2"/>
  <c r="S405" i="2"/>
  <c r="S360" i="2"/>
  <c r="N366" i="2"/>
  <c r="R375" i="2"/>
  <c r="V396" i="2"/>
  <c r="F275" i="2"/>
  <c r="F52" i="2"/>
  <c r="F128" i="2"/>
  <c r="AH181" i="2"/>
  <c r="T291" i="2"/>
  <c r="I262" i="2"/>
  <c r="AK197" i="2"/>
  <c r="AA244" i="2"/>
  <c r="AA243" i="3"/>
  <c r="T99" i="2"/>
  <c r="L249" i="2"/>
  <c r="AE14" i="2"/>
  <c r="M403" i="2"/>
  <c r="V12" i="2"/>
  <c r="V300" i="2"/>
  <c r="J58" i="2"/>
  <c r="K69" i="3"/>
  <c r="K70" i="2"/>
  <c r="AA271" i="2"/>
  <c r="Y75" i="2"/>
  <c r="W82" i="2"/>
  <c r="AG124" i="2"/>
  <c r="AD408" i="2"/>
  <c r="K125" i="2"/>
  <c r="V70" i="2"/>
  <c r="V69" i="3"/>
  <c r="U64" i="2"/>
  <c r="N61" i="2"/>
  <c r="L279" i="2"/>
  <c r="L98" i="2"/>
  <c r="H32" i="2"/>
  <c r="Y215" i="2"/>
  <c r="AD87" i="2"/>
  <c r="Q11" i="2"/>
  <c r="O180" i="2"/>
  <c r="Y59" i="2"/>
  <c r="R298" i="2"/>
  <c r="Z59" i="2"/>
  <c r="L239" i="2"/>
  <c r="AE41" i="2"/>
  <c r="S152" i="2"/>
  <c r="G26" i="3"/>
  <c r="G27" i="2"/>
  <c r="AE120" i="2"/>
  <c r="K300" i="2"/>
  <c r="S230" i="2"/>
  <c r="K136" i="2"/>
  <c r="AD354" i="2"/>
  <c r="N257" i="2"/>
  <c r="X192" i="2"/>
  <c r="G28" i="2"/>
  <c r="AD131" i="2"/>
  <c r="H279" i="2"/>
  <c r="AG60" i="2"/>
  <c r="G189" i="2"/>
  <c r="AG14" i="2"/>
  <c r="AG105" i="2"/>
  <c r="V250" i="2"/>
  <c r="AH46" i="2"/>
  <c r="AA155" i="3"/>
  <c r="AA156" i="2"/>
  <c r="P343" i="2"/>
  <c r="L106" i="2"/>
  <c r="P215" i="2"/>
  <c r="J42" i="2"/>
  <c r="V130" i="2"/>
  <c r="AD253" i="2"/>
  <c r="M64" i="2"/>
  <c r="L161" i="2"/>
  <c r="R310" i="2"/>
  <c r="J97" i="2"/>
  <c r="AB203" i="2"/>
  <c r="M77" i="2"/>
  <c r="O155" i="3"/>
  <c r="O156" i="2"/>
  <c r="AI248" i="2"/>
  <c r="L99" i="2"/>
  <c r="U184" i="2"/>
  <c r="AE290" i="2"/>
  <c r="U111" i="2"/>
  <c r="Q203" i="2"/>
  <c r="Y352" i="2"/>
  <c r="AD152" i="2"/>
  <c r="L257" i="2"/>
  <c r="AG169" i="2"/>
  <c r="AB252" i="2"/>
  <c r="AF130" i="2"/>
  <c r="X193" i="2"/>
  <c r="I255" i="2"/>
  <c r="I389" i="2"/>
  <c r="K211" i="2"/>
  <c r="AL319" i="2"/>
  <c r="AE198" i="2"/>
  <c r="X303" i="2"/>
  <c r="AC297" i="2"/>
  <c r="M254" i="2"/>
  <c r="AD389" i="2"/>
  <c r="AH339" i="2"/>
  <c r="T314" i="2"/>
  <c r="AK317" i="2"/>
  <c r="N303" i="2"/>
  <c r="AC299" i="2"/>
  <c r="R288" i="2"/>
  <c r="J307" i="3"/>
  <c r="J307" i="2" s="1"/>
  <c r="J308" i="2"/>
  <c r="G284" i="2"/>
  <c r="K388" i="2"/>
  <c r="W391" i="3"/>
  <c r="W391" i="2" s="1"/>
  <c r="W392" i="2"/>
  <c r="J375" i="2"/>
  <c r="Y386" i="2"/>
  <c r="AD364" i="2"/>
  <c r="AA373" i="2"/>
  <c r="M353" i="2"/>
  <c r="X376" i="2"/>
  <c r="AB383" i="2"/>
  <c r="W389" i="2"/>
  <c r="K397" i="2"/>
  <c r="F272" i="2"/>
  <c r="F252" i="2"/>
  <c r="F101" i="2"/>
  <c r="F41" i="2"/>
  <c r="F359" i="2"/>
  <c r="F249" i="2"/>
  <c r="F155" i="3"/>
  <c r="F156" i="2"/>
  <c r="F80" i="2"/>
  <c r="F279" i="2"/>
  <c r="F207" i="2"/>
  <c r="F97" i="2"/>
  <c r="F51" i="2"/>
  <c r="F59" i="2"/>
  <c r="AC23" i="2"/>
  <c r="AG282" i="2"/>
  <c r="H82" i="2"/>
  <c r="X50" i="2"/>
  <c r="AF34" i="2"/>
  <c r="AH17" i="2"/>
  <c r="M3" i="3"/>
  <c r="M3" i="2" s="1"/>
  <c r="M4" i="2"/>
  <c r="H48" i="3"/>
  <c r="H49" i="2"/>
  <c r="O16" i="2"/>
  <c r="AH136" i="2"/>
  <c r="H117" i="2"/>
  <c r="I54" i="2"/>
  <c r="AJ39" i="2"/>
  <c r="AF255" i="2"/>
  <c r="Y34" i="2"/>
  <c r="I309" i="2"/>
  <c r="AF234" i="2"/>
  <c r="M7" i="2"/>
  <c r="N59" i="2"/>
  <c r="AA31" i="2"/>
  <c r="L62" i="2"/>
  <c r="AH104" i="2"/>
  <c r="N63" i="2"/>
  <c r="X29" i="2"/>
  <c r="AJ144" i="2"/>
  <c r="AJ318" i="2"/>
  <c r="I138" i="2"/>
  <c r="I270" i="2"/>
  <c r="Q43" i="2"/>
  <c r="U30" i="2"/>
  <c r="AK72" i="2"/>
  <c r="W86" i="2"/>
  <c r="T33" i="2"/>
  <c r="Y19" i="2"/>
  <c r="AB333" i="2"/>
  <c r="AC67" i="2"/>
  <c r="AF50" i="2"/>
  <c r="G130" i="2"/>
  <c r="AA217" i="2"/>
  <c r="AF96" i="2"/>
  <c r="AE331" i="2"/>
  <c r="AL14" i="2"/>
  <c r="AI28" i="2"/>
  <c r="H3" i="3"/>
  <c r="H3" i="2" s="1"/>
  <c r="H4" i="2"/>
  <c r="AA64" i="2"/>
  <c r="W174" i="2"/>
  <c r="Q63" i="2"/>
  <c r="L67" i="2"/>
  <c r="AI76" i="2"/>
  <c r="P61" i="2"/>
  <c r="AB5" i="2"/>
  <c r="K395" i="2"/>
  <c r="X306" i="2"/>
  <c r="AA52" i="2"/>
  <c r="AC142" i="2"/>
  <c r="H309" i="2"/>
  <c r="Y87" i="2"/>
  <c r="G55" i="2"/>
  <c r="L252" i="2"/>
  <c r="K118" i="2"/>
  <c r="S106" i="2"/>
  <c r="AE21" i="2"/>
  <c r="Z70" i="2"/>
  <c r="Z69" i="3"/>
  <c r="AK127" i="2"/>
  <c r="AK227" i="2"/>
  <c r="K356" i="2"/>
  <c r="AK99" i="2"/>
  <c r="K6" i="2"/>
  <c r="AE127" i="2"/>
  <c r="AJ138" i="2"/>
  <c r="AK29" i="2"/>
  <c r="S236" i="2"/>
  <c r="AD62" i="2"/>
  <c r="N131" i="2"/>
  <c r="S197" i="2"/>
  <c r="T337" i="2"/>
  <c r="T88" i="2"/>
  <c r="P28" i="2"/>
  <c r="M253" i="2"/>
  <c r="AA75" i="2"/>
  <c r="AB7" i="2"/>
  <c r="K188" i="2"/>
  <c r="W27" i="2"/>
  <c r="W26" i="3"/>
  <c r="J63" i="2"/>
  <c r="O131" i="2"/>
  <c r="AJ219" i="2"/>
  <c r="S339" i="2"/>
  <c r="S26" i="3"/>
  <c r="S27" i="2"/>
  <c r="AI58" i="2"/>
  <c r="V115" i="2"/>
  <c r="Z186" i="2"/>
  <c r="J316" i="2"/>
  <c r="AD17" i="2"/>
  <c r="AH49" i="2"/>
  <c r="AH48" i="3"/>
  <c r="L103" i="2"/>
  <c r="AK169" i="2"/>
  <c r="AG258" i="2"/>
  <c r="V7" i="2"/>
  <c r="Z40" i="2"/>
  <c r="AI77" i="2"/>
  <c r="P128" i="2"/>
  <c r="AD223" i="2"/>
  <c r="R328" i="3"/>
  <c r="R328" i="2" s="1"/>
  <c r="R329" i="2"/>
  <c r="AG54" i="2"/>
  <c r="O102" i="2"/>
  <c r="G155" i="3"/>
  <c r="G156" i="2"/>
  <c r="T210" i="2"/>
  <c r="U319" i="2"/>
  <c r="N13" i="2"/>
  <c r="M42" i="2"/>
  <c r="W71" i="2"/>
  <c r="AC127" i="2"/>
  <c r="X185" i="2"/>
  <c r="AI246" i="2"/>
  <c r="AD393" i="2"/>
  <c r="M61" i="2"/>
  <c r="O94" i="2"/>
  <c r="N167" i="2"/>
  <c r="W228" i="2"/>
  <c r="AJ313" i="2"/>
  <c r="V8" i="2"/>
  <c r="N30" i="2"/>
  <c r="AJ61" i="2"/>
  <c r="AK147" i="2"/>
  <c r="G193" i="2"/>
  <c r="P349" i="3"/>
  <c r="P349" i="2" s="1"/>
  <c r="P350" i="2"/>
  <c r="J15" i="2"/>
  <c r="AG43" i="2"/>
  <c r="AK68" i="2"/>
  <c r="AK112" i="3"/>
  <c r="AK112" i="2" s="1"/>
  <c r="AK113" i="2"/>
  <c r="Q157" i="2"/>
  <c r="H207" i="2"/>
  <c r="S270" i="2"/>
  <c r="N389" i="2"/>
  <c r="AD28" i="2"/>
  <c r="W52" i="2"/>
  <c r="U84" i="2"/>
  <c r="AD124" i="2"/>
  <c r="U173" i="2"/>
  <c r="AB234" i="2"/>
  <c r="J311" i="2"/>
  <c r="N105" i="2"/>
  <c r="G139" i="2"/>
  <c r="J190" i="2"/>
  <c r="V234" i="2"/>
  <c r="G290" i="2"/>
  <c r="Z102" i="2"/>
  <c r="H139" i="2"/>
  <c r="O190" i="2"/>
  <c r="T230" i="2"/>
  <c r="J286" i="3"/>
  <c r="J286" i="2" s="1"/>
  <c r="J287" i="2"/>
  <c r="AJ360" i="2"/>
  <c r="AI114" i="2"/>
  <c r="AE160" i="2"/>
  <c r="R204" i="2"/>
  <c r="W261" i="2"/>
  <c r="S319" i="2"/>
  <c r="AB109" i="2"/>
  <c r="N148" i="2"/>
  <c r="AD195" i="2"/>
  <c r="AF252" i="2"/>
  <c r="T319" i="2"/>
  <c r="Z13" i="2"/>
  <c r="P29" i="2"/>
  <c r="AH52" i="2"/>
  <c r="AL74" i="2"/>
  <c r="AC99" i="2"/>
  <c r="Q135" i="2"/>
  <c r="AA166" i="2"/>
  <c r="X206" i="2"/>
  <c r="AA239" i="2"/>
  <c r="AE298" i="2"/>
  <c r="L385" i="2"/>
  <c r="AB18" i="2"/>
  <c r="O40" i="2"/>
  <c r="Y62" i="2"/>
  <c r="N93" i="2"/>
  <c r="V119" i="2"/>
  <c r="Q158" i="2"/>
  <c r="AC191" i="2"/>
  <c r="P225" i="2"/>
  <c r="AD275" i="2"/>
  <c r="AI347" i="2"/>
  <c r="K16" i="2"/>
  <c r="J33" i="2"/>
  <c r="W58" i="2"/>
  <c r="AF81" i="2"/>
  <c r="J107" i="2"/>
  <c r="V143" i="2"/>
  <c r="AE218" i="2"/>
  <c r="W254" i="2"/>
  <c r="N325" i="2"/>
  <c r="AC9" i="2"/>
  <c r="W48" i="3"/>
  <c r="W49" i="2"/>
  <c r="AH69" i="3"/>
  <c r="AH70" i="2"/>
  <c r="Z101" i="2"/>
  <c r="L126" i="2"/>
  <c r="U166" i="2"/>
  <c r="Z198" i="2"/>
  <c r="AA232" i="2"/>
  <c r="K281" i="2"/>
  <c r="G348" i="2"/>
  <c r="J46" i="2"/>
  <c r="AA63" i="2"/>
  <c r="U86" i="2"/>
  <c r="AI107" i="2"/>
  <c r="L128" i="2"/>
  <c r="K159" i="2"/>
  <c r="AL187" i="2"/>
  <c r="O217" i="2"/>
  <c r="O247" i="2"/>
  <c r="V299" i="2"/>
  <c r="AB358" i="2"/>
  <c r="S43" i="2"/>
  <c r="L64" i="2"/>
  <c r="J83" i="2"/>
  <c r="J110" i="2"/>
  <c r="O132" i="2"/>
  <c r="R165" i="2"/>
  <c r="J193" i="2"/>
  <c r="P220" i="2"/>
  <c r="O255" i="2"/>
  <c r="N299" i="2"/>
  <c r="Y370" i="3"/>
  <c r="Y370" i="2" s="1"/>
  <c r="Y371" i="2"/>
  <c r="R48" i="3"/>
  <c r="R49" i="2"/>
  <c r="I69" i="3"/>
  <c r="I70" i="2"/>
  <c r="AB88" i="2"/>
  <c r="Y108" i="2"/>
  <c r="AA137" i="2"/>
  <c r="L163" i="2"/>
  <c r="O198" i="2"/>
  <c r="Z226" i="2"/>
  <c r="N265" i="3"/>
  <c r="N266" i="2"/>
  <c r="O314" i="2"/>
  <c r="AG399" i="2"/>
  <c r="V56" i="2"/>
  <c r="Q73" i="2"/>
  <c r="H98" i="2"/>
  <c r="R119" i="2"/>
  <c r="V148" i="2"/>
  <c r="AE175" i="2"/>
  <c r="AB205" i="2"/>
  <c r="X237" i="2"/>
  <c r="Q269" i="2"/>
  <c r="AG332" i="2"/>
  <c r="V78" i="2"/>
  <c r="O99" i="2"/>
  <c r="AD116" i="2"/>
  <c r="Q133" i="3"/>
  <c r="Q134" i="2"/>
  <c r="AG157" i="2"/>
  <c r="U180" i="2"/>
  <c r="H206" i="2"/>
  <c r="R227" i="2"/>
  <c r="P256" i="2"/>
  <c r="AH290" i="2"/>
  <c r="AA333" i="2"/>
  <c r="M84" i="2"/>
  <c r="U100" i="2"/>
  <c r="AH121" i="2"/>
  <c r="I140" i="2"/>
  <c r="G166" i="2"/>
  <c r="K186" i="2"/>
  <c r="AD206" i="2"/>
  <c r="Z231" i="2"/>
  <c r="G255" i="2"/>
  <c r="Y293" i="2"/>
  <c r="AJ335" i="2"/>
  <c r="AC79" i="2"/>
  <c r="Z96" i="2"/>
  <c r="J114" i="2"/>
  <c r="AB135" i="2"/>
  <c r="AL155" i="3"/>
  <c r="AL156" i="2"/>
  <c r="AI182" i="2"/>
  <c r="H205" i="2"/>
  <c r="L234" i="2"/>
  <c r="L259" i="2"/>
  <c r="P306" i="2"/>
  <c r="J379" i="2"/>
  <c r="K88" i="2"/>
  <c r="M110" i="2"/>
  <c r="AD128" i="2"/>
  <c r="AF206" i="2"/>
  <c r="AI229" i="2"/>
  <c r="N259" i="2"/>
  <c r="U295" i="2"/>
  <c r="AD360" i="2"/>
  <c r="I149" i="2"/>
  <c r="K171" i="2"/>
  <c r="Q194" i="2"/>
  <c r="W212" i="2"/>
  <c r="H235" i="2"/>
  <c r="T254" i="2"/>
  <c r="L285" i="2"/>
  <c r="R317" i="2"/>
  <c r="AH383" i="2"/>
  <c r="J132" i="2"/>
  <c r="AA171" i="2"/>
  <c r="AG194" i="2"/>
  <c r="H213" i="2"/>
  <c r="P236" i="2"/>
  <c r="S262" i="2"/>
  <c r="AE292" i="2"/>
  <c r="AF340" i="2"/>
  <c r="M396" i="2"/>
  <c r="M152" i="2"/>
  <c r="AD169" i="2"/>
  <c r="Y193" i="2"/>
  <c r="T212" i="2"/>
  <c r="AJ234" i="2"/>
  <c r="J255" i="2"/>
  <c r="O286" i="3"/>
  <c r="O286" i="2" s="1"/>
  <c r="O287" i="2"/>
  <c r="R321" i="2"/>
  <c r="O383" i="2"/>
  <c r="AK163" i="2"/>
  <c r="AA182" i="2"/>
  <c r="AL205" i="2"/>
  <c r="V223" i="2"/>
  <c r="AL246" i="2"/>
  <c r="AG270" i="2"/>
  <c r="O306" i="2"/>
  <c r="AK346" i="2"/>
  <c r="R252" i="2"/>
  <c r="T271" i="2"/>
  <c r="U299" i="2"/>
  <c r="X324" i="2"/>
  <c r="X373" i="2"/>
  <c r="AA236" i="2"/>
  <c r="V255" i="2"/>
  <c r="Q281" i="2"/>
  <c r="AL304" i="2"/>
  <c r="N346" i="2"/>
  <c r="H393" i="2"/>
  <c r="U257" i="2"/>
  <c r="AH277" i="2"/>
  <c r="L309" i="2"/>
  <c r="U341" i="2"/>
  <c r="AD410" i="2"/>
  <c r="AA262" i="2"/>
  <c r="N291" i="2"/>
  <c r="W324" i="2"/>
  <c r="AE361" i="2"/>
  <c r="G274" i="2"/>
  <c r="P293" i="2"/>
  <c r="Z319" i="2"/>
  <c r="S348" i="2"/>
  <c r="I403" i="2"/>
  <c r="AB280" i="2"/>
  <c r="AE304" i="2"/>
  <c r="H328" i="3"/>
  <c r="H328" i="2" s="1"/>
  <c r="H329" i="2"/>
  <c r="J369" i="2"/>
  <c r="AL277" i="2"/>
  <c r="K301" i="2"/>
  <c r="G330" i="2"/>
  <c r="R363" i="2"/>
  <c r="N271" i="2"/>
  <c r="AC289" i="2"/>
  <c r="U315" i="2"/>
  <c r="L336" i="2"/>
  <c r="AK380" i="2"/>
  <c r="S309" i="2"/>
  <c r="V333" i="2"/>
  <c r="O360" i="2"/>
  <c r="AC410" i="2"/>
  <c r="P285" i="2"/>
  <c r="G307" i="3"/>
  <c r="G307" i="2" s="1"/>
  <c r="G308" i="2"/>
  <c r="AA332" i="2"/>
  <c r="M359" i="2"/>
  <c r="AF401" i="2"/>
  <c r="J304" i="2"/>
  <c r="AG327" i="2"/>
  <c r="S354" i="2"/>
  <c r="G394" i="2"/>
  <c r="U316" i="2"/>
  <c r="AB344" i="2"/>
  <c r="AD374" i="2"/>
  <c r="S377" i="2"/>
  <c r="AB405" i="2"/>
  <c r="O337" i="2"/>
  <c r="AL365" i="2"/>
  <c r="AD388" i="2"/>
  <c r="I369" i="2"/>
  <c r="M394" i="2"/>
  <c r="AI387" i="2"/>
  <c r="U366" i="2"/>
  <c r="AC393" i="2"/>
  <c r="Q327" i="2"/>
  <c r="K353" i="2"/>
  <c r="S375" i="2"/>
  <c r="O403" i="2"/>
  <c r="I390" i="2"/>
  <c r="AK331" i="2"/>
  <c r="Z360" i="2"/>
  <c r="X383" i="2"/>
  <c r="AC337" i="2"/>
  <c r="M355" i="2"/>
  <c r="AG377" i="2"/>
  <c r="AB395" i="2"/>
  <c r="AG344" i="2"/>
  <c r="Q362" i="2"/>
  <c r="AK384" i="2"/>
  <c r="R404" i="2"/>
  <c r="S351" i="2"/>
  <c r="L368" i="2"/>
  <c r="AF390" i="2"/>
  <c r="H341" i="2"/>
  <c r="W358" i="2"/>
  <c r="L381" i="2"/>
  <c r="W399" i="2"/>
  <c r="V409" i="2"/>
  <c r="AF395" i="2"/>
  <c r="T398" i="2"/>
  <c r="AA410" i="2"/>
  <c r="AD230" i="2"/>
  <c r="AI106" i="2"/>
  <c r="R189" i="2"/>
  <c r="Z299" i="2"/>
  <c r="X120" i="2"/>
  <c r="AF237" i="2"/>
  <c r="I210" i="2"/>
  <c r="AI196" i="2"/>
  <c r="AI139" i="2"/>
  <c r="S178" i="3"/>
  <c r="S179" i="2"/>
  <c r="AJ207" i="2"/>
  <c r="Q313" i="2"/>
  <c r="I303" i="2"/>
  <c r="I258" i="2"/>
  <c r="AG241" i="2"/>
  <c r="AK359" i="2"/>
  <c r="AF328" i="3"/>
  <c r="AF328" i="2" s="1"/>
  <c r="AF329" i="2"/>
  <c r="M323" i="2"/>
  <c r="AA289" i="2"/>
  <c r="AB375" i="2"/>
  <c r="K369" i="2"/>
  <c r="AI317" i="2"/>
  <c r="V316" i="2"/>
  <c r="J293" i="2"/>
  <c r="H407" i="2"/>
  <c r="AL399" i="2"/>
  <c r="K387" i="2"/>
  <c r="AH367" i="2"/>
  <c r="AL398" i="2"/>
  <c r="S397" i="2"/>
  <c r="Q401" i="2"/>
  <c r="AG386" i="2"/>
  <c r="T380" i="2"/>
  <c r="T369" i="2"/>
  <c r="AK353" i="2"/>
  <c r="Z343" i="2"/>
  <c r="AL400" i="2"/>
  <c r="F218" i="2"/>
  <c r="F409" i="2"/>
  <c r="F211" i="2"/>
  <c r="F185" i="2"/>
  <c r="AK116" i="2"/>
  <c r="Z345" i="2"/>
  <c r="K36" i="2"/>
  <c r="T11" i="2"/>
  <c r="P112" i="3"/>
  <c r="P112" i="2" s="1"/>
  <c r="P113" i="2"/>
  <c r="AC86" i="2"/>
  <c r="J163" i="2"/>
  <c r="AD56" i="2"/>
  <c r="AF165" i="2"/>
  <c r="Q81" i="2"/>
  <c r="AB12" i="2"/>
  <c r="S98" i="2"/>
  <c r="J124" i="2"/>
  <c r="AA30" i="2"/>
  <c r="R175" i="2"/>
  <c r="AC367" i="2"/>
  <c r="G76" i="2"/>
  <c r="L147" i="2"/>
  <c r="V64" i="2"/>
  <c r="O140" i="2"/>
  <c r="T64" i="2"/>
  <c r="Q345" i="2"/>
  <c r="N233" i="2"/>
  <c r="AB125" i="2"/>
  <c r="R65" i="2"/>
  <c r="AL18" i="2"/>
  <c r="AC240" i="2"/>
  <c r="Y114" i="2"/>
  <c r="AH21" i="2"/>
  <c r="AB196" i="2"/>
  <c r="S66" i="2"/>
  <c r="AG367" i="2"/>
  <c r="AE108" i="2"/>
  <c r="U364" i="2"/>
  <c r="AD120" i="2"/>
  <c r="J11" i="2"/>
  <c r="G132" i="2"/>
  <c r="AB112" i="3"/>
  <c r="AB112" i="2" s="1"/>
  <c r="AB113" i="2"/>
  <c r="T323" i="2"/>
  <c r="AA247" i="2"/>
  <c r="I168" i="2"/>
  <c r="AC117" i="2"/>
  <c r="AF370" i="3"/>
  <c r="AF370" i="2" s="1"/>
  <c r="AF371" i="2"/>
  <c r="AB78" i="2"/>
  <c r="P212" i="2"/>
  <c r="P44" i="2"/>
  <c r="AI164" i="2"/>
  <c r="Y399" i="2"/>
  <c r="AI85" i="2"/>
  <c r="AJ226" i="2"/>
  <c r="K33" i="2"/>
  <c r="AG139" i="2"/>
  <c r="P294" i="2"/>
  <c r="AB89" i="2"/>
  <c r="U164" i="2"/>
  <c r="AG261" i="2"/>
  <c r="O51" i="2"/>
  <c r="Q144" i="2"/>
  <c r="AC261" i="2"/>
  <c r="AA72" i="2"/>
  <c r="AA174" i="2"/>
  <c r="AA326" i="2"/>
  <c r="H102" i="2"/>
  <c r="N215" i="2"/>
  <c r="AJ84" i="2"/>
  <c r="AG161" i="2"/>
  <c r="O261" i="2"/>
  <c r="X107" i="2"/>
  <c r="K190" i="2"/>
  <c r="S301" i="2"/>
  <c r="N121" i="2"/>
  <c r="AF214" i="2"/>
  <c r="V401" i="2"/>
  <c r="R159" i="2"/>
  <c r="L267" i="2"/>
  <c r="R174" i="2"/>
  <c r="T263" i="2"/>
  <c r="X140" i="2"/>
  <c r="AE220" i="2"/>
  <c r="AI346" i="2"/>
  <c r="AF196" i="2"/>
  <c r="AF292" i="2"/>
  <c r="AH185" i="2"/>
  <c r="U280" i="2"/>
  <c r="AE279" i="2"/>
  <c r="AH239" i="2"/>
  <c r="AC285" i="2"/>
  <c r="Z361" i="2"/>
  <c r="S331" i="2"/>
  <c r="O324" i="2"/>
  <c r="U310" i="2"/>
  <c r="G304" i="2"/>
  <c r="Q298" i="2"/>
  <c r="K317" i="2"/>
  <c r="AD293" i="2"/>
  <c r="AJ408" i="2"/>
  <c r="G400" i="2"/>
  <c r="Y382" i="2"/>
  <c r="L394" i="2"/>
  <c r="Q376" i="2"/>
  <c r="V383" i="2"/>
  <c r="AC364" i="2"/>
  <c r="I381" i="2"/>
  <c r="M388" i="2"/>
  <c r="H395" i="2"/>
  <c r="S384" i="2"/>
  <c r="X403" i="2"/>
  <c r="F292" i="2"/>
  <c r="F387" i="2"/>
  <c r="F224" i="2"/>
  <c r="F398" i="2"/>
  <c r="AK180" i="2"/>
  <c r="S12" i="2"/>
  <c r="AI295" i="2"/>
  <c r="Q84" i="2"/>
  <c r="Z323" i="2"/>
  <c r="R120" i="2"/>
  <c r="AH159" i="2"/>
  <c r="AA140" i="2"/>
  <c r="G13" i="2"/>
  <c r="AK76" i="2"/>
  <c r="W78" i="2"/>
  <c r="W132" i="2"/>
  <c r="O8" i="2"/>
  <c r="AJ368" i="2"/>
  <c r="W77" i="2"/>
  <c r="AL159" i="2"/>
  <c r="O68" i="2"/>
  <c r="AD143" i="2"/>
  <c r="Z75" i="2"/>
  <c r="G349" i="3"/>
  <c r="G349" i="2" s="1"/>
  <c r="G350" i="2"/>
  <c r="AL237" i="2"/>
  <c r="X128" i="2"/>
  <c r="N281" i="2"/>
  <c r="AA157" i="2"/>
  <c r="R70" i="2"/>
  <c r="R69" i="3"/>
  <c r="U342" i="2"/>
  <c r="U139" i="2"/>
  <c r="V38" i="2"/>
  <c r="Q247" i="2"/>
  <c r="G67" i="2"/>
  <c r="H271" i="2"/>
  <c r="X81" i="2"/>
  <c r="AF289" i="2"/>
  <c r="AK63" i="2"/>
  <c r="L248" i="2"/>
  <c r="Z241" i="2"/>
  <c r="M159" i="2"/>
  <c r="W384" i="2"/>
  <c r="L225" i="2"/>
  <c r="O159" i="2"/>
  <c r="O372" i="2"/>
  <c r="AG79" i="2"/>
  <c r="AD182" i="2"/>
  <c r="AE309" i="2"/>
  <c r="K74" i="2"/>
  <c r="P166" i="2"/>
  <c r="AF288" i="2"/>
  <c r="Z62" i="2"/>
  <c r="P193" i="2"/>
  <c r="AJ12" i="2"/>
  <c r="L107" i="2"/>
  <c r="AL248" i="2"/>
  <c r="J72" i="2"/>
  <c r="V165" i="2"/>
  <c r="AC312" i="2"/>
  <c r="AC93" i="2"/>
  <c r="N198" i="2"/>
  <c r="AA399" i="2"/>
  <c r="M119" i="2"/>
  <c r="AD238" i="2"/>
  <c r="R60" i="2"/>
  <c r="Y183" i="2"/>
  <c r="Z351" i="2"/>
  <c r="N143" i="2"/>
  <c r="AH237" i="2"/>
  <c r="I88" i="2"/>
  <c r="G170" i="2"/>
  <c r="M268" i="2"/>
  <c r="V100" i="2"/>
  <c r="AC187" i="2"/>
  <c r="AL314" i="2"/>
  <c r="AG137" i="2"/>
  <c r="Q240" i="2"/>
  <c r="Y157" i="2"/>
  <c r="K239" i="2"/>
  <c r="AK403" i="2"/>
  <c r="AC198" i="2"/>
  <c r="X310" i="2"/>
  <c r="AB180" i="2"/>
  <c r="G267" i="2"/>
  <c r="AG167" i="2"/>
  <c r="AH250" i="2"/>
  <c r="Y255" i="2"/>
  <c r="AJ387" i="2"/>
  <c r="W317" i="2"/>
  <c r="M290" i="2"/>
  <c r="AE273" i="2"/>
  <c r="J278" i="2"/>
  <c r="M267" i="2"/>
  <c r="H378" i="2"/>
  <c r="AJ380" i="2"/>
  <c r="J352" i="2"/>
  <c r="Y377" i="2"/>
  <c r="AA337" i="2"/>
  <c r="T333" i="2"/>
  <c r="V351" i="2"/>
  <c r="AI341" i="2"/>
  <c r="AJ407" i="2"/>
  <c r="AD336" i="2"/>
  <c r="P403" i="2"/>
  <c r="AJ340" i="2"/>
  <c r="AC348" i="2"/>
  <c r="AI377" i="2"/>
  <c r="N402" i="2"/>
  <c r="F410" i="2"/>
  <c r="F4" i="2"/>
  <c r="F3" i="3"/>
  <c r="F3" i="2" s="1"/>
  <c r="F67" i="2"/>
  <c r="F367" i="2"/>
  <c r="N221" i="3"/>
  <c r="N221" i="2" s="1"/>
  <c r="N222" i="2"/>
  <c r="AG42" i="2"/>
  <c r="AE74" i="2"/>
  <c r="L43" i="2"/>
  <c r="S75" i="2"/>
  <c r="L59" i="2"/>
  <c r="P76" i="2"/>
  <c r="AC220" i="2"/>
  <c r="AH91" i="3"/>
  <c r="AH91" i="2" s="1"/>
  <c r="AH92" i="2"/>
  <c r="AJ16" i="2"/>
  <c r="AJ107" i="2"/>
  <c r="H149" i="2"/>
  <c r="Q41" i="2"/>
  <c r="O186" i="2"/>
  <c r="AF29" i="2"/>
  <c r="P78" i="2"/>
  <c r="AK171" i="2"/>
  <c r="Q103" i="2"/>
  <c r="L144" i="2"/>
  <c r="O80" i="2"/>
  <c r="AL3" i="3"/>
  <c r="AL3" i="2" s="1"/>
  <c r="AL4" i="2"/>
  <c r="R253" i="2"/>
  <c r="H131" i="2"/>
  <c r="T68" i="2"/>
  <c r="S20" i="2"/>
  <c r="AA249" i="2"/>
  <c r="O118" i="2"/>
  <c r="AJ22" i="2"/>
  <c r="O214" i="2"/>
  <c r="AG68" i="2"/>
  <c r="W372" i="2"/>
  <c r="AJ112" i="3"/>
  <c r="AJ112" i="2" s="1"/>
  <c r="AJ113" i="2"/>
  <c r="Z381" i="2"/>
  <c r="AC124" i="2"/>
  <c r="AA12" i="2"/>
  <c r="AL145" i="2"/>
  <c r="M116" i="2"/>
  <c r="R334" i="2"/>
  <c r="R202" i="2"/>
  <c r="P130" i="2"/>
  <c r="AE384" i="2"/>
  <c r="U267" i="2"/>
  <c r="AJ37" i="2"/>
  <c r="Y143" i="2"/>
  <c r="T310" i="2"/>
  <c r="AI74" i="2"/>
  <c r="AC167" i="2"/>
  <c r="G20" i="2"/>
  <c r="X121" i="2"/>
  <c r="AE275" i="2"/>
  <c r="T54" i="2"/>
  <c r="Q174" i="2"/>
  <c r="T393" i="2"/>
  <c r="W118" i="2"/>
  <c r="AJ409" i="2"/>
  <c r="AG115" i="2"/>
  <c r="AL233" i="2"/>
  <c r="J57" i="2"/>
  <c r="R144" i="2"/>
  <c r="X278" i="2"/>
  <c r="L83" i="2"/>
  <c r="AE190" i="2"/>
  <c r="AC354" i="2"/>
  <c r="AL143" i="2"/>
  <c r="AC238" i="2"/>
  <c r="AC88" i="2"/>
  <c r="AE170" i="2"/>
  <c r="T269" i="2"/>
  <c r="AL104" i="2"/>
  <c r="Z188" i="2"/>
  <c r="M328" i="3"/>
  <c r="M328" i="2" s="1"/>
  <c r="M329" i="2"/>
  <c r="AB138" i="2"/>
  <c r="R241" i="2"/>
  <c r="N158" i="2"/>
  <c r="AF239" i="2"/>
  <c r="J404" i="2"/>
  <c r="AE221" i="3"/>
  <c r="AE221" i="2" s="1"/>
  <c r="AE222" i="2"/>
  <c r="S349" i="3"/>
  <c r="S349" i="2" s="1"/>
  <c r="S350" i="2"/>
  <c r="J198" i="2"/>
  <c r="M295" i="2"/>
  <c r="AB191" i="2"/>
  <c r="Z282" i="2"/>
  <c r="Y281" i="2"/>
  <c r="L241" i="2"/>
  <c r="AD356" i="2"/>
  <c r="Y316" i="2"/>
  <c r="AE333" i="2"/>
  <c r="I326" i="2"/>
  <c r="L312" i="2"/>
  <c r="AK312" i="2"/>
  <c r="AD299" i="2"/>
  <c r="U318" i="2"/>
  <c r="H295" i="2"/>
  <c r="AG291" i="2"/>
  <c r="G402" i="2"/>
  <c r="AB384" i="2"/>
  <c r="AL403" i="2"/>
  <c r="Y395" i="2"/>
  <c r="AH358" i="2"/>
  <c r="Y342" i="2"/>
  <c r="Y341" i="2"/>
  <c r="AA406" i="2"/>
  <c r="T338" i="2"/>
  <c r="X367" i="2"/>
  <c r="AH402" i="2"/>
  <c r="F98" i="2"/>
  <c r="F407" i="2"/>
  <c r="F380" i="2"/>
  <c r="F32" i="2"/>
  <c r="S234" i="2"/>
  <c r="K63" i="2"/>
  <c r="X111" i="2"/>
  <c r="P89" i="2"/>
  <c r="V359" i="2"/>
  <c r="I122" i="2"/>
  <c r="AH164" i="2"/>
  <c r="AA17" i="2"/>
  <c r="AE96" i="2"/>
  <c r="W102" i="2"/>
  <c r="AD255" i="2"/>
  <c r="X194" i="2"/>
  <c r="O71" i="2"/>
  <c r="AL108" i="2"/>
  <c r="U40" i="2"/>
  <c r="L183" i="2"/>
  <c r="N109" i="2"/>
  <c r="AJ147" i="2"/>
  <c r="Z87" i="2"/>
  <c r="G5" i="2"/>
  <c r="AB36" i="2"/>
  <c r="N365" i="2"/>
  <c r="AD207" i="2"/>
  <c r="AG100" i="2"/>
  <c r="O32" i="2"/>
  <c r="AA246" i="2"/>
  <c r="AD89" i="2"/>
  <c r="N10" i="2"/>
  <c r="Y185" i="2"/>
  <c r="AD41" i="2"/>
  <c r="AB221" i="3"/>
  <c r="AB221" i="2" s="1"/>
  <c r="AB222" i="2"/>
  <c r="V52" i="2"/>
  <c r="J232" i="2"/>
  <c r="G65" i="2"/>
  <c r="AJ253" i="2"/>
  <c r="L204" i="2"/>
  <c r="M204" i="2"/>
  <c r="AE131" i="2"/>
  <c r="AG385" i="2"/>
  <c r="M270" i="2"/>
  <c r="S59" i="2"/>
  <c r="K185" i="2"/>
  <c r="AJ10" i="2"/>
  <c r="X101" i="2"/>
  <c r="G244" i="2"/>
  <c r="G243" i="3"/>
  <c r="X43" i="2"/>
  <c r="AI153" i="2"/>
  <c r="H357" i="2"/>
  <c r="AG83" i="2"/>
  <c r="AE217" i="2"/>
  <c r="AB52" i="2"/>
  <c r="AB139" i="2"/>
  <c r="AE267" i="2"/>
  <c r="H69" i="3"/>
  <c r="H70" i="2"/>
  <c r="AB173" i="2"/>
  <c r="Z326" i="2"/>
  <c r="Q100" i="2"/>
  <c r="AF207" i="2"/>
  <c r="U43" i="2"/>
  <c r="R131" i="2"/>
  <c r="M247" i="2"/>
  <c r="T104" i="2"/>
  <c r="M191" i="2"/>
  <c r="K310" i="2"/>
  <c r="Q127" i="2"/>
  <c r="W216" i="2"/>
  <c r="L367" i="2"/>
  <c r="Y141" i="2"/>
  <c r="AG248" i="2"/>
  <c r="H406" i="2"/>
  <c r="AF161" i="2"/>
  <c r="AC182" i="2"/>
  <c r="AL267" i="2"/>
  <c r="V142" i="2"/>
  <c r="T223" i="2"/>
  <c r="G351" i="2"/>
  <c r="AK181" i="2"/>
  <c r="AE268" i="2"/>
  <c r="K169" i="2"/>
  <c r="Z252" i="2"/>
  <c r="AH256" i="2"/>
  <c r="V344" i="2"/>
  <c r="R289" i="2"/>
  <c r="AG245" i="2"/>
  <c r="R367" i="2"/>
  <c r="K304" i="2"/>
  <c r="U279" i="2"/>
  <c r="V268" i="2"/>
  <c r="W344" i="2"/>
  <c r="Q338" i="2"/>
  <c r="Q321" i="2"/>
  <c r="AD340" i="2"/>
  <c r="AB317" i="2"/>
  <c r="V314" i="2"/>
  <c r="K327" i="2"/>
  <c r="G323" i="2"/>
  <c r="AL374" i="2"/>
  <c r="S401" i="2"/>
  <c r="O380" i="2"/>
  <c r="Q396" i="2"/>
  <c r="X407" i="2"/>
  <c r="I339" i="2"/>
  <c r="M346" i="2"/>
  <c r="W403" i="2"/>
  <c r="F250" i="2"/>
  <c r="F64" i="2"/>
  <c r="F297" i="2"/>
  <c r="AE50" i="2"/>
  <c r="AH295" i="2"/>
  <c r="AK93" i="2"/>
  <c r="O59" i="2"/>
  <c r="AI68" i="2"/>
  <c r="J82" i="2"/>
  <c r="I66" i="2"/>
  <c r="AB101" i="2"/>
  <c r="L229" i="2"/>
  <c r="AJ98" i="2"/>
  <c r="R22" i="2"/>
  <c r="L141" i="2"/>
  <c r="AB288" i="2"/>
  <c r="N54" i="2"/>
  <c r="AL194" i="2"/>
  <c r="X38" i="2"/>
  <c r="AA82" i="2"/>
  <c r="V191" i="2"/>
  <c r="Y115" i="2"/>
  <c r="AA165" i="2"/>
  <c r="V94" i="2"/>
  <c r="Z6" i="2"/>
  <c r="AG268" i="2"/>
  <c r="I80" i="2"/>
  <c r="AA372" i="2"/>
  <c r="G140" i="2"/>
  <c r="I53" i="2"/>
  <c r="M9" i="2"/>
  <c r="M188" i="2"/>
  <c r="I217" i="2"/>
  <c r="X71" i="2"/>
  <c r="AE393" i="2"/>
  <c r="J117" i="2"/>
  <c r="AG6" i="2"/>
  <c r="V128" i="2"/>
  <c r="R14" i="2"/>
  <c r="H148" i="2"/>
  <c r="AG118" i="2"/>
  <c r="U346" i="2"/>
  <c r="U252" i="2"/>
  <c r="I187" i="2"/>
  <c r="H123" i="2"/>
  <c r="V386" i="2"/>
  <c r="G87" i="2"/>
  <c r="AF217" i="2"/>
  <c r="M29" i="2"/>
  <c r="P136" i="2"/>
  <c r="Z306" i="2"/>
  <c r="J65" i="2"/>
  <c r="L197" i="2"/>
  <c r="AD18" i="2"/>
  <c r="AG144" i="2"/>
  <c r="AF312" i="2"/>
  <c r="AG93" i="2"/>
  <c r="Z140" i="2"/>
  <c r="AG227" i="2"/>
  <c r="AG53" i="2"/>
  <c r="S148" i="2"/>
  <c r="AI281" i="2"/>
  <c r="N75" i="2"/>
  <c r="Q180" i="2"/>
  <c r="AL357" i="2"/>
  <c r="AC84" i="2"/>
  <c r="L193" i="2"/>
  <c r="T362" i="2"/>
  <c r="AD144" i="2"/>
  <c r="U240" i="2"/>
  <c r="AL93" i="2"/>
  <c r="V172" i="2"/>
  <c r="AL271" i="2"/>
  <c r="AA105" i="2"/>
  <c r="M195" i="2"/>
  <c r="Y333" i="2"/>
  <c r="K140" i="2"/>
  <c r="O243" i="3"/>
  <c r="O244" i="2"/>
  <c r="W159" i="2"/>
  <c r="O241" i="2"/>
  <c r="K121" i="2"/>
  <c r="AJ205" i="2"/>
  <c r="Q314" i="2"/>
  <c r="Z182" i="2"/>
  <c r="AH269" i="2"/>
  <c r="AE169" i="2"/>
  <c r="U253" i="2"/>
  <c r="T377" i="2"/>
  <c r="W313" i="2"/>
  <c r="AJ359" i="2"/>
  <c r="AJ326" i="2"/>
  <c r="I305" i="2"/>
  <c r="M304" i="2"/>
  <c r="S292" i="2"/>
  <c r="G289" i="2"/>
  <c r="AB276" i="2"/>
  <c r="S394" i="2"/>
  <c r="AG278" i="2"/>
  <c r="AG378" i="2"/>
  <c r="M373" i="2"/>
  <c r="H394" i="2"/>
  <c r="AI372" i="2"/>
  <c r="AF397" i="2"/>
  <c r="U365" i="2"/>
  <c r="P344" i="2"/>
  <c r="AH364" i="2"/>
  <c r="AL373" i="2"/>
  <c r="AG379" i="2"/>
  <c r="AK386" i="2"/>
  <c r="K406" i="2"/>
  <c r="F6" i="2"/>
  <c r="F269" i="2"/>
  <c r="F112" i="3"/>
  <c r="F112" i="2" s="1"/>
  <c r="F113" i="2"/>
  <c r="F191" i="2"/>
  <c r="L198" i="2"/>
  <c r="K32" i="2"/>
  <c r="K122" i="2"/>
  <c r="L94" i="2"/>
  <c r="Z129" i="2"/>
  <c r="R231" i="2"/>
  <c r="R57" i="2"/>
  <c r="W249" i="2"/>
  <c r="U174" i="2"/>
  <c r="P191" i="2"/>
  <c r="AG158" i="2"/>
  <c r="AF115" i="2"/>
  <c r="AJ173" i="2"/>
  <c r="Q15" i="2"/>
  <c r="AC301" i="2"/>
  <c r="AG7" i="2"/>
  <c r="AD259" i="2"/>
  <c r="V18" i="2"/>
  <c r="AI94" i="2"/>
  <c r="K268" i="2"/>
  <c r="AF94" i="2"/>
  <c r="AL94" i="2"/>
  <c r="AJ46" i="2"/>
  <c r="AB373" i="2"/>
  <c r="AC211" i="2"/>
  <c r="L105" i="2"/>
  <c r="L75" i="2"/>
  <c r="V390" i="2"/>
  <c r="R147" i="2"/>
  <c r="O42" i="2"/>
  <c r="N274" i="2"/>
  <c r="K71" i="2"/>
  <c r="U284" i="2"/>
  <c r="AE85" i="2"/>
  <c r="AA330" i="2"/>
  <c r="AG98" i="2"/>
  <c r="S389" i="2"/>
  <c r="AC263" i="2"/>
  <c r="L206" i="2"/>
  <c r="AC188" i="2"/>
  <c r="X124" i="2"/>
  <c r="M387" i="2"/>
  <c r="M88" i="2"/>
  <c r="AJ218" i="2"/>
  <c r="AG29" i="2"/>
  <c r="U137" i="2"/>
  <c r="X309" i="2"/>
  <c r="AH65" i="2"/>
  <c r="Y198" i="2"/>
  <c r="S19" i="2"/>
  <c r="G110" i="2"/>
  <c r="X254" i="2"/>
  <c r="AB74" i="2"/>
  <c r="AK175" i="2"/>
  <c r="Z321" i="2"/>
  <c r="H97" i="2"/>
  <c r="AD209" i="2"/>
  <c r="AI38" i="2"/>
  <c r="AC122" i="2"/>
  <c r="T282" i="2"/>
  <c r="Z85" i="2"/>
  <c r="I194" i="2"/>
  <c r="X366" i="2"/>
  <c r="V145" i="2"/>
  <c r="S241" i="2"/>
  <c r="G94" i="2"/>
  <c r="Q173" i="2"/>
  <c r="H272" i="2"/>
  <c r="P106" i="2"/>
  <c r="AK195" i="2"/>
  <c r="AL335" i="2"/>
  <c r="AH140" i="2"/>
  <c r="J245" i="2"/>
  <c r="L160" i="2"/>
  <c r="AK241" i="2"/>
  <c r="AA125" i="2"/>
  <c r="Y206" i="2"/>
  <c r="AH315" i="2"/>
  <c r="O183" i="2"/>
  <c r="AF270" i="2"/>
  <c r="T170" i="2"/>
  <c r="R254" i="2"/>
  <c r="AB262" i="2"/>
  <c r="Q226" i="2"/>
  <c r="AI321" i="2"/>
  <c r="AC293" i="2"/>
  <c r="J277" i="2"/>
  <c r="AG280" i="2"/>
  <c r="X274" i="2"/>
  <c r="H396" i="2"/>
  <c r="R386" i="2"/>
  <c r="AG356" i="2"/>
  <c r="AI382" i="2"/>
  <c r="AE341" i="2"/>
  <c r="AE336" i="2"/>
  <c r="W362" i="2"/>
  <c r="AI352" i="2"/>
  <c r="J376" i="2"/>
  <c r="AI410" i="2"/>
  <c r="AJ381" i="2"/>
  <c r="P398" i="2"/>
  <c r="O409" i="2"/>
  <c r="R340" i="2"/>
  <c r="S404" i="2"/>
  <c r="Z387" i="2"/>
  <c r="AF404" i="2"/>
  <c r="F406" i="2"/>
  <c r="F5" i="2"/>
  <c r="F239" i="2"/>
  <c r="H182" i="2"/>
  <c r="AF148" i="2"/>
  <c r="AA123" i="2"/>
  <c r="X96" i="2"/>
  <c r="AI72" i="2"/>
  <c r="AK260" i="2"/>
  <c r="S213" i="2"/>
  <c r="G226" i="2"/>
  <c r="G120" i="2"/>
  <c r="L28" i="2"/>
  <c r="AK28" i="2"/>
  <c r="G379" i="2"/>
  <c r="AJ184" i="2"/>
  <c r="O203" i="2"/>
  <c r="AJ43" i="2"/>
  <c r="T106" i="2"/>
  <c r="Z260" i="2"/>
  <c r="M68" i="2"/>
  <c r="AG127" i="2"/>
  <c r="H169" i="2"/>
  <c r="AH276" i="2"/>
  <c r="AB97" i="2"/>
  <c r="H95" i="2"/>
  <c r="AF10" i="2"/>
  <c r="AD240" i="2"/>
  <c r="AA74" i="2"/>
  <c r="O281" i="2"/>
  <c r="M125" i="2"/>
  <c r="L61" i="2"/>
  <c r="Y319" i="2"/>
  <c r="AI131" i="2"/>
  <c r="T22" i="2"/>
  <c r="AC168" i="2"/>
  <c r="O30" i="2"/>
  <c r="AB190" i="2"/>
  <c r="AK42" i="2"/>
  <c r="AJ208" i="2"/>
  <c r="M166" i="2"/>
  <c r="X127" i="2"/>
  <c r="AC311" i="2"/>
  <c r="X234" i="2"/>
  <c r="M180" i="2"/>
  <c r="AJ23" i="2"/>
  <c r="X118" i="2"/>
  <c r="R267" i="2"/>
  <c r="N55" i="2"/>
  <c r="AF172" i="2"/>
  <c r="P27" i="2"/>
  <c r="P26" i="3"/>
  <c r="AJ125" i="2"/>
  <c r="AH285" i="2"/>
  <c r="AH61" i="2"/>
  <c r="I181" i="2"/>
  <c r="I37" i="2"/>
  <c r="G121" i="2"/>
  <c r="AH323" i="2"/>
  <c r="AF97" i="2"/>
  <c r="AE332" i="2"/>
  <c r="W123" i="2"/>
  <c r="U243" i="3"/>
  <c r="U244" i="2"/>
  <c r="AF66" i="2"/>
  <c r="AK159" i="2"/>
  <c r="P299" i="2"/>
  <c r="T127" i="2"/>
  <c r="AI219" i="2"/>
  <c r="AJ383" i="2"/>
  <c r="X153" i="2"/>
  <c r="AJ247" i="2"/>
  <c r="L86" i="2"/>
  <c r="R168" i="2"/>
  <c r="AL281" i="2"/>
  <c r="G118" i="2"/>
  <c r="T221" i="3"/>
  <c r="T221" i="2" s="1"/>
  <c r="T222" i="2"/>
  <c r="O143" i="2"/>
  <c r="AG224" i="2"/>
  <c r="AI348" i="2"/>
  <c r="W184" i="2"/>
  <c r="AH275" i="2"/>
  <c r="AJ163" i="2"/>
  <c r="AC247" i="2"/>
  <c r="AH152" i="2"/>
  <c r="AA235" i="2"/>
  <c r="Q263" i="2"/>
  <c r="L245" i="2"/>
  <c r="Z375" i="2"/>
  <c r="AE328" i="3"/>
  <c r="AE328" i="2" s="1"/>
  <c r="AE329" i="2"/>
  <c r="AJ306" i="2"/>
  <c r="AB305" i="2"/>
  <c r="AH293" i="2"/>
  <c r="R290" i="2"/>
  <c r="H278" i="2"/>
  <c r="AG409" i="2"/>
  <c r="K280" i="2"/>
  <c r="G380" i="2"/>
  <c r="AF375" i="2"/>
  <c r="AJ396" i="2"/>
  <c r="AH373" i="2"/>
  <c r="M408" i="2"/>
  <c r="K367" i="2"/>
  <c r="AG345" i="2"/>
  <c r="L366" i="2"/>
  <c r="AA374" i="2"/>
  <c r="AL362" i="2"/>
  <c r="K348" i="2"/>
  <c r="O388" i="2"/>
  <c r="Z399" i="2"/>
  <c r="F302" i="2"/>
  <c r="F390" i="2"/>
  <c r="F134" i="2"/>
  <c r="F133" i="3"/>
  <c r="F33" i="2"/>
  <c r="V11" i="2"/>
  <c r="AG181" i="2"/>
  <c r="Y104" i="2"/>
  <c r="T207" i="2"/>
  <c r="X284" i="2"/>
  <c r="I222" i="2"/>
  <c r="I221" i="3"/>
  <c r="I221" i="2" s="1"/>
  <c r="AH234" i="2"/>
  <c r="AJ28" i="2"/>
  <c r="Z30" i="2"/>
  <c r="AE194" i="2"/>
  <c r="AH16" i="2"/>
  <c r="O67" i="2"/>
  <c r="AA212" i="2"/>
  <c r="J131" i="2"/>
  <c r="Y45" i="2"/>
  <c r="O66" i="2"/>
  <c r="Z334" i="2"/>
  <c r="AD97" i="2"/>
  <c r="N277" i="2"/>
  <c r="AE100" i="2"/>
  <c r="AB165" i="2"/>
  <c r="J84" i="2"/>
  <c r="AL37" i="2"/>
  <c r="Z353" i="2"/>
  <c r="AF173" i="2"/>
  <c r="AK77" i="2"/>
  <c r="U5" i="2"/>
  <c r="G150" i="2"/>
  <c r="X44" i="2"/>
  <c r="M281" i="2"/>
  <c r="G79" i="2"/>
  <c r="P290" i="2"/>
  <c r="Y88" i="2"/>
  <c r="G338" i="2"/>
  <c r="Y100" i="2"/>
  <c r="AA87" i="2"/>
  <c r="J270" i="2"/>
  <c r="U218" i="2"/>
  <c r="Y137" i="2"/>
  <c r="T91" i="3"/>
  <c r="T91" i="2" s="1"/>
  <c r="T92" i="2"/>
  <c r="L297" i="2"/>
  <c r="AB62" i="2"/>
  <c r="W190" i="2"/>
  <c r="W13" i="2"/>
  <c r="AK110" i="2"/>
  <c r="U250" i="2"/>
  <c r="AG46" i="2"/>
  <c r="Q166" i="2"/>
  <c r="M378" i="2"/>
  <c r="AK87" i="2"/>
  <c r="AK221" i="3"/>
  <c r="AK221" i="2" s="1"/>
  <c r="AK222" i="2"/>
  <c r="K59" i="2"/>
  <c r="W143" i="2"/>
  <c r="AB272" i="2"/>
  <c r="Y76" i="2"/>
  <c r="N179" i="2"/>
  <c r="N178" i="3"/>
  <c r="Z335" i="2"/>
  <c r="AE102" i="2"/>
  <c r="L217" i="2"/>
  <c r="H46" i="2"/>
  <c r="J135" i="2"/>
  <c r="AL258" i="2"/>
  <c r="AL106" i="2"/>
  <c r="U194" i="2"/>
  <c r="AE316" i="2"/>
  <c r="N134" i="2"/>
  <c r="N133" i="3"/>
  <c r="H219" i="2"/>
  <c r="O382" i="2"/>
  <c r="U149" i="2"/>
  <c r="G252" i="2"/>
  <c r="P123" i="2"/>
  <c r="M223" i="2"/>
  <c r="AI143" i="2"/>
  <c r="V225" i="2"/>
  <c r="L351" i="2"/>
  <c r="L185" i="2"/>
  <c r="AJ276" i="2"/>
  <c r="Y164" i="2"/>
  <c r="X248" i="2"/>
  <c r="W153" i="2"/>
  <c r="R236" i="2"/>
  <c r="AK385" i="2"/>
  <c r="X352" i="2"/>
  <c r="T297" i="2"/>
  <c r="R271" i="2"/>
  <c r="K258" i="2"/>
  <c r="AD407" i="2"/>
  <c r="V376" i="2"/>
  <c r="AA349" i="3"/>
  <c r="AA349" i="2" s="1"/>
  <c r="AA350" i="2"/>
  <c r="T343" i="2"/>
  <c r="I330" i="2"/>
  <c r="W352" i="2"/>
  <c r="T320" i="2"/>
  <c r="I317" i="2"/>
  <c r="K331" i="2"/>
  <c r="AG325" i="2"/>
  <c r="X385" i="2"/>
  <c r="L322" i="2"/>
  <c r="W383" i="2"/>
  <c r="H349" i="3"/>
  <c r="H349" i="2" s="1"/>
  <c r="H350" i="2"/>
  <c r="L357" i="2"/>
  <c r="G363" i="2"/>
  <c r="K372" i="2"/>
  <c r="R410" i="2"/>
  <c r="F229" i="2"/>
  <c r="F311" i="2"/>
  <c r="F396" i="2"/>
  <c r="Z29" i="2"/>
  <c r="I279" i="2"/>
  <c r="AJ6" i="2"/>
  <c r="AD20" i="2"/>
  <c r="G127" i="2"/>
  <c r="AA34" i="2"/>
  <c r="R239" i="2"/>
  <c r="L262" i="2"/>
  <c r="M229" i="2"/>
  <c r="M375" i="2"/>
  <c r="AG217" i="2"/>
  <c r="X41" i="2"/>
  <c r="AH9" i="2"/>
  <c r="AB211" i="2"/>
  <c r="AK41" i="2"/>
  <c r="H34" i="2"/>
  <c r="AB178" i="3"/>
  <c r="AB179" i="2"/>
  <c r="AC73" i="2"/>
  <c r="AK15" i="2"/>
  <c r="AH260" i="2"/>
  <c r="K40" i="2"/>
  <c r="T55" i="2"/>
  <c r="K12" i="2"/>
  <c r="AJ249" i="2"/>
  <c r="N149" i="2"/>
  <c r="AJ66" i="2"/>
  <c r="M13" i="2"/>
  <c r="P194" i="2"/>
  <c r="AC63" i="2"/>
  <c r="O326" i="2"/>
  <c r="AB133" i="3"/>
  <c r="AB134" i="2"/>
  <c r="AF183" i="2"/>
  <c r="AJ31" i="2"/>
  <c r="I193" i="2"/>
  <c r="AI44" i="2"/>
  <c r="V211" i="2"/>
  <c r="G168" i="2"/>
  <c r="H129" i="2"/>
  <c r="Y340" i="2"/>
  <c r="J238" i="2"/>
  <c r="U183" i="2"/>
  <c r="AA120" i="2"/>
  <c r="W271" i="2"/>
  <c r="AF56" i="2"/>
  <c r="AG183" i="2"/>
  <c r="AD7" i="2"/>
  <c r="AB100" i="2"/>
  <c r="AA38" i="2"/>
  <c r="AJ149" i="2"/>
  <c r="O325" i="2"/>
  <c r="J102" i="2"/>
  <c r="J206" i="2"/>
  <c r="AH38" i="2"/>
  <c r="N126" i="2"/>
  <c r="AE239" i="2"/>
  <c r="AK60" i="2"/>
  <c r="J157" i="2"/>
  <c r="O299" i="2"/>
  <c r="AJ87" i="2"/>
  <c r="O197" i="2"/>
  <c r="AF400" i="2"/>
  <c r="J147" i="2"/>
  <c r="K245" i="2"/>
  <c r="AJ95" i="2"/>
  <c r="K181" i="2"/>
  <c r="U276" i="2"/>
  <c r="N108" i="2"/>
  <c r="T198" i="2"/>
  <c r="AL341" i="2"/>
  <c r="AK123" i="2"/>
  <c r="AK223" i="2"/>
  <c r="X144" i="2"/>
  <c r="L226" i="2"/>
  <c r="AL352" i="2"/>
  <c r="AF185" i="2"/>
  <c r="H285" i="2"/>
  <c r="N165" i="2"/>
  <c r="P249" i="2"/>
  <c r="O218" i="2"/>
  <c r="J335" i="2"/>
  <c r="Z317" i="2"/>
  <c r="AB269" i="2"/>
  <c r="I249" i="2"/>
  <c r="W376" i="2"/>
  <c r="Q352" i="2"/>
  <c r="H340" i="2"/>
  <c r="I323" i="2"/>
  <c r="AH317" i="2"/>
  <c r="H304" i="2"/>
  <c r="W353" i="2"/>
  <c r="J321" i="2"/>
  <c r="AC317" i="2"/>
  <c r="AH331" i="2"/>
  <c r="X326" i="2"/>
  <c r="Z386" i="2"/>
  <c r="AF322" i="2"/>
  <c r="T384" i="2"/>
  <c r="R401" i="2"/>
  <c r="AF335" i="2"/>
  <c r="AB398" i="2"/>
  <c r="AG406" i="2"/>
  <c r="I411" i="2"/>
  <c r="F268" i="2"/>
  <c r="F65" i="2"/>
  <c r="F231" i="2"/>
  <c r="H283" i="2"/>
  <c r="T163" i="2"/>
  <c r="AF261" i="2"/>
  <c r="J284" i="2"/>
  <c r="X189" i="2"/>
  <c r="AC248" i="2"/>
  <c r="J43" i="2"/>
  <c r="K240" i="2"/>
  <c r="AD208" i="2"/>
  <c r="L398" i="2"/>
  <c r="Y33" i="2"/>
  <c r="AH89" i="2"/>
  <c r="AI210" i="2"/>
  <c r="T133" i="3"/>
  <c r="T134" i="2"/>
  <c r="AJ34" i="2"/>
  <c r="AE22" i="2"/>
  <c r="AH409" i="2"/>
  <c r="L13" i="2"/>
  <c r="AH325" i="2"/>
  <c r="G34" i="2"/>
  <c r="K52" i="2"/>
  <c r="T45" i="2"/>
  <c r="N253" i="2"/>
  <c r="AK100" i="2"/>
  <c r="AA51" i="2"/>
  <c r="AD10" i="2"/>
  <c r="Q223" i="2"/>
  <c r="G113" i="2"/>
  <c r="G112" i="3"/>
  <c r="G112" i="2" s="1"/>
  <c r="Z45" i="2"/>
  <c r="AA268" i="2"/>
  <c r="I172" i="2"/>
  <c r="N46" i="2"/>
  <c r="U286" i="3"/>
  <c r="U286" i="2" s="1"/>
  <c r="U287" i="2"/>
  <c r="W81" i="2"/>
  <c r="AH298" i="2"/>
  <c r="U91" i="3"/>
  <c r="U91" i="2" s="1"/>
  <c r="U92" i="2"/>
  <c r="Q349" i="3"/>
  <c r="Q349" i="2" s="1"/>
  <c r="Q350" i="2"/>
  <c r="G114" i="2"/>
  <c r="AJ132" i="2"/>
  <c r="AF360" i="2"/>
  <c r="V261" i="2"/>
  <c r="S140" i="2"/>
  <c r="AK94" i="2"/>
  <c r="AA303" i="2"/>
  <c r="G69" i="3"/>
  <c r="G70" i="2"/>
  <c r="K192" i="2"/>
  <c r="AF14" i="2"/>
  <c r="L112" i="3"/>
  <c r="L112" i="2" s="1"/>
  <c r="L113" i="2"/>
  <c r="V254" i="2"/>
  <c r="V48" i="3"/>
  <c r="V49" i="2"/>
  <c r="AI168" i="2"/>
  <c r="AG5" i="2"/>
  <c r="I89" i="2"/>
  <c r="AD225" i="2"/>
  <c r="T60" i="2"/>
  <c r="X145" i="2"/>
  <c r="AC276" i="2"/>
  <c r="I78" i="2"/>
  <c r="Z187" i="2"/>
  <c r="O340" i="2"/>
  <c r="O126" i="2"/>
  <c r="N248" i="2"/>
  <c r="AD68" i="2"/>
  <c r="W169" i="2"/>
  <c r="T305" i="2"/>
  <c r="U129" i="2"/>
  <c r="N223" i="2"/>
  <c r="G397" i="2"/>
  <c r="AK155" i="3"/>
  <c r="AK156" i="2"/>
  <c r="AC250" i="2"/>
  <c r="AL395" i="2"/>
  <c r="L151" i="2"/>
  <c r="AL253" i="2"/>
  <c r="AF101" i="2"/>
  <c r="AL195" i="2"/>
  <c r="N328" i="3"/>
  <c r="N328" i="2" s="1"/>
  <c r="N329" i="2"/>
  <c r="AA208" i="2"/>
  <c r="AL311" i="2"/>
  <c r="T168" i="2"/>
  <c r="AE251" i="2"/>
  <c r="AF143" i="2"/>
  <c r="I226" i="2"/>
  <c r="V368" i="2"/>
  <c r="AI218" i="2"/>
  <c r="AL336" i="2"/>
  <c r="AC286" i="3"/>
  <c r="AC286" i="2" s="1"/>
  <c r="AC287" i="2"/>
  <c r="Z251" i="2"/>
  <c r="AC380" i="2"/>
  <c r="AD333" i="2"/>
  <c r="P310" i="2"/>
  <c r="AK307" i="3"/>
  <c r="AK307" i="2" s="1"/>
  <c r="AK308" i="2"/>
  <c r="AL295" i="2"/>
  <c r="W297" i="2"/>
  <c r="AH284" i="2"/>
  <c r="AF304" i="2"/>
  <c r="I282" i="2"/>
  <c r="AL383" i="2"/>
  <c r="AH378" i="2"/>
  <c r="AL401" i="2"/>
  <c r="Q382" i="2"/>
  <c r="U361" i="2"/>
  <c r="Y369" i="2"/>
  <c r="P348" i="2"/>
  <c r="J368" i="2"/>
  <c r="Y376" i="2"/>
  <c r="P364" i="2"/>
  <c r="T373" i="2"/>
  <c r="AC411" i="2"/>
  <c r="F150" i="2"/>
  <c r="F44" i="2"/>
  <c r="F221" i="3"/>
  <c r="F221" i="2" s="1"/>
  <c r="F222" i="2"/>
  <c r="J75" i="2"/>
  <c r="M168" i="2"/>
  <c r="U46" i="2"/>
  <c r="AJ224" i="2"/>
  <c r="N82" i="2"/>
  <c r="N129" i="2"/>
  <c r="AL225" i="2"/>
  <c r="X10" i="2"/>
  <c r="AK158" i="2"/>
  <c r="AK69" i="3"/>
  <c r="AK70" i="2"/>
  <c r="AJ217" i="2"/>
  <c r="AI32" i="2"/>
  <c r="AB209" i="2"/>
  <c r="P239" i="2"/>
  <c r="N68" i="2"/>
  <c r="AC115" i="2"/>
  <c r="AL310" i="2"/>
  <c r="I152" i="2"/>
  <c r="Z180" i="2"/>
  <c r="M210" i="2"/>
  <c r="G12" i="2"/>
  <c r="AF314" i="2"/>
  <c r="U255" i="2"/>
  <c r="AC155" i="3"/>
  <c r="AC156" i="2"/>
  <c r="AB29" i="2"/>
  <c r="J204" i="2"/>
  <c r="N292" i="2"/>
  <c r="N104" i="2"/>
  <c r="J22" i="2"/>
  <c r="J217" i="2"/>
  <c r="T50" i="2"/>
  <c r="Z234" i="2"/>
  <c r="AK64" i="2"/>
  <c r="M260" i="2"/>
  <c r="P72" i="2"/>
  <c r="V290" i="2"/>
  <c r="AB226" i="2"/>
  <c r="AE172" i="2"/>
  <c r="Y106" i="2"/>
  <c r="W307" i="3"/>
  <c r="W307" i="2" s="1"/>
  <c r="W308" i="2"/>
  <c r="AC241" i="2"/>
  <c r="AI69" i="3"/>
  <c r="AI70" i="2"/>
  <c r="R193" i="2"/>
  <c r="U15" i="2"/>
  <c r="M114" i="2"/>
  <c r="AA265" i="3"/>
  <c r="AA266" i="2"/>
  <c r="Q50" i="2"/>
  <c r="N170" i="2"/>
  <c r="V6" i="2"/>
  <c r="AK89" i="2"/>
  <c r="AL226" i="2"/>
  <c r="M78" i="2"/>
  <c r="AB182" i="2"/>
  <c r="H345" i="2"/>
  <c r="I101" i="2"/>
  <c r="L215" i="2"/>
  <c r="AL45" i="2"/>
  <c r="P132" i="2"/>
  <c r="U249" i="2"/>
  <c r="J69" i="3"/>
  <c r="J70" i="2"/>
  <c r="Y170" i="2"/>
  <c r="S310" i="2"/>
  <c r="K130" i="2"/>
  <c r="AJ196" i="2"/>
  <c r="T322" i="2"/>
  <c r="R136" i="2"/>
  <c r="O227" i="2"/>
  <c r="K396" i="2"/>
  <c r="AJ151" i="2"/>
  <c r="G254" i="2"/>
  <c r="U102" i="2"/>
  <c r="G196" i="2"/>
  <c r="AL346" i="2"/>
  <c r="P209" i="2"/>
  <c r="H312" i="2"/>
  <c r="I169" i="2"/>
  <c r="X252" i="2"/>
  <c r="U144" i="2"/>
  <c r="AD226" i="2"/>
  <c r="Y373" i="2"/>
  <c r="X219" i="2"/>
  <c r="G337" i="2"/>
  <c r="AK319" i="2"/>
  <c r="Q271" i="2"/>
  <c r="R250" i="2"/>
  <c r="AI395" i="2"/>
  <c r="Q355" i="2"/>
  <c r="T342" i="2"/>
  <c r="AL324" i="2"/>
  <c r="W319" i="2"/>
  <c r="Z305" i="2"/>
  <c r="M324" i="2"/>
  <c r="AC304" i="2"/>
  <c r="AH300" i="2"/>
  <c r="N313" i="2"/>
  <c r="M399" i="2"/>
  <c r="R358" i="2"/>
  <c r="AE382" i="2"/>
  <c r="M370" i="3"/>
  <c r="M370" i="2" s="1"/>
  <c r="M371" i="2"/>
  <c r="S327" i="2"/>
  <c r="AK351" i="2"/>
  <c r="J337" i="2"/>
  <c r="M400" i="2"/>
  <c r="Y387" i="2"/>
  <c r="I374" i="2"/>
  <c r="Y392" i="2"/>
  <c r="Y391" i="3"/>
  <c r="Y391" i="2" s="1"/>
  <c r="F198" i="2"/>
  <c r="F130" i="2"/>
  <c r="F312" i="2"/>
  <c r="X27" i="2"/>
  <c r="X26" i="3"/>
  <c r="AF89" i="2"/>
  <c r="H5" i="2"/>
  <c r="AG358" i="2"/>
  <c r="AK257" i="2"/>
  <c r="AA288" i="2"/>
  <c r="M297" i="2"/>
  <c r="L240" i="2"/>
  <c r="Q61" i="2"/>
  <c r="H36" i="2"/>
  <c r="AE192" i="2"/>
  <c r="Z402" i="2"/>
  <c r="O406" i="2"/>
  <c r="AB263" i="2"/>
  <c r="Q120" i="2"/>
  <c r="M200" i="3"/>
  <c r="M201" i="2"/>
  <c r="AD51" i="2"/>
  <c r="K72" i="2"/>
  <c r="M17" i="2"/>
  <c r="Q184" i="2"/>
  <c r="M219" i="2"/>
  <c r="AA13" i="2"/>
  <c r="N315" i="2"/>
  <c r="Q170" i="2"/>
  <c r="K93" i="2"/>
  <c r="AE30" i="2"/>
  <c r="AD305" i="2"/>
  <c r="M147" i="2"/>
  <c r="S31" i="2"/>
  <c r="P88" i="2"/>
  <c r="O5" i="2"/>
  <c r="M130" i="2"/>
  <c r="AG11" i="2"/>
  <c r="G148" i="2"/>
  <c r="AI19" i="2"/>
  <c r="L117" i="2"/>
  <c r="AJ294" i="2"/>
  <c r="AC172" i="2"/>
  <c r="AK132" i="2"/>
  <c r="R347" i="2"/>
  <c r="AD188" i="2"/>
  <c r="R26" i="3"/>
  <c r="R27" i="2"/>
  <c r="Y129" i="2"/>
  <c r="L276" i="2"/>
  <c r="P59" i="2"/>
  <c r="X187" i="2"/>
  <c r="AB9" i="2"/>
  <c r="AG103" i="2"/>
  <c r="T247" i="2"/>
  <c r="AI45" i="2"/>
  <c r="AJ153" i="2"/>
  <c r="AJ337" i="2"/>
  <c r="X104" i="2"/>
  <c r="I208" i="2"/>
  <c r="AF40" i="2"/>
  <c r="AG128" i="2"/>
  <c r="Y250" i="2"/>
  <c r="AI62" i="2"/>
  <c r="H159" i="2"/>
  <c r="Z250" i="2"/>
  <c r="AI53" i="2"/>
  <c r="AE138" i="2"/>
  <c r="AL262" i="2"/>
  <c r="L114" i="2"/>
  <c r="AC197" i="2"/>
  <c r="AA324" i="2"/>
  <c r="I137" i="2"/>
  <c r="I228" i="2"/>
  <c r="AH400" i="2"/>
  <c r="K132" i="2"/>
  <c r="AB230" i="2"/>
  <c r="X85" i="2"/>
  <c r="L174" i="2"/>
  <c r="AG290" i="2"/>
  <c r="X168" i="2"/>
  <c r="K251" i="2"/>
  <c r="W129" i="2"/>
  <c r="U210" i="2"/>
  <c r="N321" i="2"/>
  <c r="K187" i="2"/>
  <c r="Y282" i="2"/>
  <c r="AC180" i="2"/>
  <c r="H267" i="2"/>
  <c r="R268" i="2"/>
  <c r="M230" i="2"/>
  <c r="AD328" i="3"/>
  <c r="AD328" i="2" s="1"/>
  <c r="AD329" i="2"/>
  <c r="H305" i="2"/>
  <c r="Y286" i="3"/>
  <c r="Y286" i="2" s="1"/>
  <c r="Y287" i="2"/>
  <c r="U290" i="2"/>
  <c r="AA278" i="2"/>
  <c r="W406" i="2"/>
  <c r="I396" i="2"/>
  <c r="AG364" i="2"/>
  <c r="AF403" i="2"/>
  <c r="R355" i="2"/>
  <c r="U349" i="3"/>
  <c r="U349" i="2" s="1"/>
  <c r="U350" i="2"/>
  <c r="R368" i="2"/>
  <c r="Q358" i="2"/>
  <c r="K376" i="2"/>
  <c r="AL348" i="2"/>
  <c r="S328" i="3"/>
  <c r="S328" i="2" s="1"/>
  <c r="S329" i="2"/>
  <c r="Z352" i="2"/>
  <c r="AD337" i="2"/>
  <c r="J348" i="2"/>
  <c r="AJ355" i="2"/>
  <c r="AG402" i="2"/>
  <c r="F251" i="2"/>
  <c r="F168" i="2"/>
  <c r="F345" i="2"/>
  <c r="AC52" i="2"/>
  <c r="X162" i="2"/>
  <c r="AB33" i="2"/>
  <c r="L18" i="2"/>
  <c r="O258" i="2"/>
  <c r="AB359" i="2"/>
  <c r="U339" i="2"/>
  <c r="AE248" i="2"/>
  <c r="AL69" i="3"/>
  <c r="AL70" i="2"/>
  <c r="I58" i="2"/>
  <c r="AD5" i="2"/>
  <c r="W16" i="2"/>
  <c r="O44" i="2"/>
  <c r="V253" i="2"/>
  <c r="K64" i="2"/>
  <c r="V77" i="2"/>
  <c r="R192" i="2"/>
  <c r="AK105" i="2"/>
  <c r="AF21" i="2"/>
  <c r="K316" i="2"/>
  <c r="U60" i="2"/>
  <c r="Y60" i="2"/>
  <c r="H23" i="2"/>
  <c r="Q272" i="2"/>
  <c r="S160" i="2"/>
  <c r="I73" i="2"/>
  <c r="H22" i="2"/>
  <c r="G298" i="2"/>
  <c r="U108" i="2"/>
  <c r="AK23" i="2"/>
  <c r="AA221" i="3"/>
  <c r="AA221" i="2" s="1"/>
  <c r="AA222" i="2"/>
  <c r="AB58" i="2"/>
  <c r="N237" i="2"/>
  <c r="G66" i="2"/>
  <c r="P360" i="2"/>
  <c r="H119" i="2"/>
  <c r="Y102" i="2"/>
  <c r="AA285" i="2"/>
  <c r="AH226" i="2"/>
  <c r="Y348" i="2"/>
  <c r="Y190" i="2"/>
  <c r="AL26" i="3"/>
  <c r="AL27" i="2"/>
  <c r="AA130" i="2"/>
  <c r="AL278" i="2"/>
  <c r="I60" i="2"/>
  <c r="AL188" i="2"/>
  <c r="M14" i="2"/>
  <c r="AD104" i="2"/>
  <c r="AK248" i="2"/>
  <c r="I46" i="2"/>
  <c r="AA194" i="2"/>
  <c r="L44" i="2"/>
  <c r="V125" i="2"/>
  <c r="N62" i="2"/>
  <c r="AK157" i="2"/>
  <c r="S293" i="2"/>
  <c r="R86" i="2"/>
  <c r="J195" i="2"/>
  <c r="K382" i="2"/>
  <c r="AG116" i="2"/>
  <c r="J234" i="2"/>
  <c r="U93" i="2"/>
  <c r="Q204" i="2"/>
  <c r="Y326" i="2"/>
  <c r="AE137" i="2"/>
  <c r="H229" i="2"/>
  <c r="I401" i="2"/>
  <c r="AF132" i="2"/>
  <c r="AB231" i="2"/>
  <c r="M86" i="2"/>
  <c r="J175" i="2"/>
  <c r="Q292" i="2"/>
  <c r="AH187" i="2"/>
  <c r="K274" i="2"/>
  <c r="L152" i="2"/>
  <c r="N234" i="2"/>
  <c r="AI385" i="2"/>
  <c r="V210" i="2"/>
  <c r="V318" i="2"/>
  <c r="K198" i="2"/>
  <c r="P302" i="2"/>
  <c r="Z296" i="2"/>
  <c r="X253" i="2"/>
  <c r="V387" i="2"/>
  <c r="K338" i="2"/>
  <c r="V313" i="2"/>
  <c r="V311" i="2"/>
  <c r="W302" i="2"/>
  <c r="G299" i="2"/>
  <c r="AB286" i="3"/>
  <c r="AB286" i="2" s="1"/>
  <c r="AB287" i="2"/>
  <c r="AD306" i="2"/>
  <c r="AL283" i="2"/>
  <c r="X386" i="2"/>
  <c r="AA390" i="2"/>
  <c r="M374" i="2"/>
  <c r="W385" i="2"/>
  <c r="AK363" i="2"/>
  <c r="AH372" i="2"/>
  <c r="T352" i="2"/>
  <c r="S370" i="3"/>
  <c r="S370" i="2" s="1"/>
  <c r="S371" i="2"/>
  <c r="AI342" i="2"/>
  <c r="AI401" i="2"/>
  <c r="T410" i="2"/>
  <c r="AL397" i="2"/>
  <c r="R409" i="2"/>
  <c r="F260" i="2"/>
  <c r="F245" i="2"/>
  <c r="F307" i="3"/>
  <c r="F307" i="2" s="1"/>
  <c r="F308" i="2"/>
  <c r="F341" i="2"/>
  <c r="W50" i="2"/>
  <c r="AH59" i="2"/>
  <c r="W37" i="2"/>
  <c r="AI261" i="2"/>
  <c r="N3" i="3"/>
  <c r="N3" i="2" s="1"/>
  <c r="N4" i="2"/>
  <c r="N340" i="2"/>
  <c r="M249" i="2"/>
  <c r="X73" i="2"/>
  <c r="T61" i="2"/>
  <c r="G202" i="2"/>
  <c r="H15" i="2"/>
  <c r="AG298" i="2"/>
  <c r="Y133" i="3"/>
  <c r="Y134" i="2"/>
  <c r="X214" i="2"/>
  <c r="V66" i="2"/>
  <c r="O77" i="2"/>
  <c r="I178" i="3"/>
  <c r="I179" i="2"/>
  <c r="T192" i="2"/>
  <c r="N240" i="2"/>
  <c r="Y23" i="2"/>
  <c r="Y335" i="2"/>
  <c r="W178" i="3"/>
  <c r="W179" i="2"/>
  <c r="AG163" i="2"/>
  <c r="AC74" i="2"/>
  <c r="AI22" i="2"/>
  <c r="AL152" i="2"/>
  <c r="AD39" i="2"/>
  <c r="Z240" i="2"/>
  <c r="O223" i="2"/>
  <c r="AB28" i="2"/>
  <c r="AA190" i="2"/>
  <c r="T13" i="2"/>
  <c r="AC98" i="2"/>
  <c r="V364" i="2"/>
  <c r="V75" i="2"/>
  <c r="H230" i="2"/>
  <c r="X174" i="2"/>
  <c r="J100" i="2"/>
  <c r="K227" i="2"/>
  <c r="X157" i="2"/>
  <c r="G99" i="2"/>
  <c r="AK315" i="2"/>
  <c r="T73" i="2"/>
  <c r="AI203" i="2"/>
  <c r="S17" i="2"/>
  <c r="AH221" i="3"/>
  <c r="AH221" i="2" s="1"/>
  <c r="AH222" i="2"/>
  <c r="AF31" i="2"/>
  <c r="H141" i="2"/>
  <c r="AC300" i="2"/>
  <c r="Y67" i="2"/>
  <c r="AG195" i="2"/>
  <c r="AF44" i="2"/>
  <c r="S126" i="2"/>
  <c r="Z244" i="2"/>
  <c r="Z243" i="3"/>
  <c r="AH62" i="2"/>
  <c r="AL158" i="2"/>
  <c r="W295" i="2"/>
  <c r="K87" i="2"/>
  <c r="Q196" i="2"/>
  <c r="AA388" i="2"/>
  <c r="Z117" i="2"/>
  <c r="Q235" i="2"/>
  <c r="J94" i="2"/>
  <c r="J205" i="2"/>
  <c r="O328" i="3"/>
  <c r="O328" i="2" s="1"/>
  <c r="O329" i="2"/>
  <c r="X138" i="2"/>
  <c r="AG229" i="2"/>
  <c r="AG405" i="2"/>
  <c r="L181" i="2"/>
  <c r="AC302" i="2"/>
  <c r="S127" i="2"/>
  <c r="P228" i="2"/>
  <c r="AE147" i="2"/>
  <c r="Z229" i="2"/>
  <c r="Z377" i="2"/>
  <c r="AD211" i="2"/>
  <c r="S324" i="2"/>
  <c r="P192" i="2"/>
  <c r="AD284" i="2"/>
  <c r="L158" i="2"/>
  <c r="Y245" i="2"/>
  <c r="I251" i="2"/>
  <c r="X369" i="2"/>
  <c r="AK302" i="2"/>
  <c r="P276" i="2"/>
  <c r="AL261" i="2"/>
  <c r="Z268" i="2"/>
  <c r="AB400" i="2"/>
  <c r="J366" i="2"/>
  <c r="W360" i="2"/>
  <c r="AG334" i="2"/>
  <c r="O358" i="2"/>
  <c r="AG324" i="2"/>
  <c r="R326" i="2"/>
  <c r="AE342" i="2"/>
  <c r="T335" i="2"/>
  <c r="AC385" i="2"/>
  <c r="W351" i="2"/>
  <c r="AB330" i="2"/>
  <c r="AI353" i="2"/>
  <c r="H361" i="2"/>
  <c r="AH366" i="2"/>
  <c r="AL375" i="2"/>
  <c r="W394" i="2"/>
  <c r="F366" i="2"/>
  <c r="F233" i="2"/>
  <c r="F99" i="2"/>
  <c r="F357" i="2"/>
  <c r="F20" i="2"/>
  <c r="F352" i="2"/>
  <c r="F183" i="2"/>
  <c r="F281" i="2"/>
  <c r="F21" i="2"/>
  <c r="F265" i="3"/>
  <c r="F266" i="2"/>
  <c r="F326" i="2"/>
  <c r="F358" i="2"/>
  <c r="F10" i="2"/>
  <c r="AG109" i="2"/>
  <c r="Q8" i="2"/>
  <c r="K153" i="2"/>
  <c r="AF95" i="2"/>
  <c r="W36" i="2"/>
  <c r="P217" i="2"/>
  <c r="O11" i="2"/>
  <c r="AJ170" i="2"/>
  <c r="AF62" i="2"/>
  <c r="S46" i="2"/>
  <c r="O138" i="2"/>
  <c r="M122" i="2"/>
  <c r="R284" i="2"/>
  <c r="K75" i="2"/>
  <c r="G261" i="2"/>
  <c r="I43" i="2"/>
  <c r="H14" i="2"/>
  <c r="AK294" i="2"/>
  <c r="AL52" i="2"/>
  <c r="AB208" i="2"/>
  <c r="R56" i="2"/>
  <c r="O144" i="2"/>
  <c r="J105" i="2"/>
  <c r="Q65" i="2"/>
  <c r="X36" i="2"/>
  <c r="AC153" i="2"/>
  <c r="AJ20" i="2"/>
  <c r="AK144" i="2"/>
  <c r="AK318" i="2"/>
  <c r="N33" i="2"/>
  <c r="J80" i="2"/>
  <c r="G77" i="2"/>
  <c r="AC30" i="2"/>
  <c r="P334" i="2"/>
  <c r="J71" i="2"/>
  <c r="AI185" i="2"/>
  <c r="AJ59" i="2"/>
  <c r="AD146" i="2"/>
  <c r="AG330" i="2"/>
  <c r="AI101" i="2"/>
  <c r="J395" i="2"/>
  <c r="R17" i="2"/>
  <c r="X33" i="2"/>
  <c r="AJ5" i="2"/>
  <c r="N65" i="2"/>
  <c r="Z212" i="2"/>
  <c r="AK79" i="2"/>
  <c r="AH76" i="2"/>
  <c r="AF84" i="2"/>
  <c r="N67" i="2"/>
  <c r="AK14" i="2"/>
  <c r="K403" i="2"/>
  <c r="AB119" i="2"/>
  <c r="AJ54" i="2"/>
  <c r="N144" i="2"/>
  <c r="AL317" i="2"/>
  <c r="AJ105" i="2"/>
  <c r="AJ56" i="2"/>
  <c r="AJ291" i="2"/>
  <c r="X205" i="2"/>
  <c r="AJ111" i="2"/>
  <c r="K22" i="2"/>
  <c r="R72" i="2"/>
  <c r="M128" i="2"/>
  <c r="AK232" i="2"/>
  <c r="AC11" i="2"/>
  <c r="AK120" i="2"/>
  <c r="T7" i="2"/>
  <c r="G143" i="2"/>
  <c r="AL142" i="2"/>
  <c r="AE32" i="2"/>
  <c r="L26" i="3"/>
  <c r="L27" i="2"/>
  <c r="AL75" i="2"/>
  <c r="R132" i="2"/>
  <c r="AJ200" i="3"/>
  <c r="AJ201" i="2"/>
  <c r="N338" i="2"/>
  <c r="U94" i="2"/>
  <c r="AE29" i="2"/>
  <c r="L268" i="2"/>
  <c r="AH111" i="2"/>
  <c r="K13" i="2"/>
  <c r="Y191" i="2"/>
  <c r="AH28" i="2"/>
  <c r="Y64" i="2"/>
  <c r="T132" i="2"/>
  <c r="W220" i="2"/>
  <c r="K354" i="2"/>
  <c r="W28" i="2"/>
  <c r="S60" i="2"/>
  <c r="AE117" i="2"/>
  <c r="O187" i="2"/>
  <c r="Q325" i="2"/>
  <c r="AH18" i="2"/>
  <c r="N60" i="2"/>
  <c r="AJ104" i="2"/>
  <c r="K170" i="2"/>
  <c r="AE259" i="2"/>
  <c r="AB8" i="2"/>
  <c r="R42" i="2"/>
  <c r="L78" i="2"/>
  <c r="M140" i="2"/>
  <c r="O226" i="2"/>
  <c r="M330" i="2"/>
  <c r="AK55" i="2"/>
  <c r="M104" i="2"/>
  <c r="AA158" i="2"/>
  <c r="AH225" i="2"/>
  <c r="AL325" i="2"/>
  <c r="J14" i="2"/>
  <c r="O43" i="2"/>
  <c r="AG72" i="2"/>
  <c r="AH129" i="2"/>
  <c r="N188" i="2"/>
  <c r="AB268" i="2"/>
  <c r="AA394" i="2"/>
  <c r="V27" i="2"/>
  <c r="V26" i="3"/>
  <c r="S62" i="2"/>
  <c r="N96" i="2"/>
  <c r="AH169" i="2"/>
  <c r="U231" i="2"/>
  <c r="AI343" i="2"/>
  <c r="P9" i="2"/>
  <c r="AL30" i="2"/>
  <c r="AG62" i="2"/>
  <c r="AH93" i="2"/>
  <c r="AG149" i="2"/>
  <c r="R195" i="2"/>
  <c r="L260" i="2"/>
  <c r="AH359" i="2"/>
  <c r="AH15" i="2"/>
  <c r="AH44" i="2"/>
  <c r="O69" i="3"/>
  <c r="O70" i="2"/>
  <c r="AA115" i="2"/>
  <c r="Z159" i="2"/>
  <c r="AH220" i="2"/>
  <c r="K271" i="2"/>
  <c r="AF411" i="2"/>
  <c r="W29" i="2"/>
  <c r="AB53" i="2"/>
  <c r="AF85" i="2"/>
  <c r="AF126" i="2"/>
  <c r="R188" i="2"/>
  <c r="Q237" i="2"/>
  <c r="K312" i="2"/>
  <c r="W106" i="2"/>
  <c r="Q140" i="2"/>
  <c r="U192" i="2"/>
  <c r="AH235" i="2"/>
  <c r="AJ314" i="2"/>
  <c r="H104" i="2"/>
  <c r="R140" i="2"/>
  <c r="V192" i="2"/>
  <c r="S232" i="2"/>
  <c r="AL289" i="2"/>
  <c r="V361" i="2"/>
  <c r="G123" i="2"/>
  <c r="V161" i="2"/>
  <c r="M206" i="2"/>
  <c r="AE263" i="2"/>
  <c r="X323" i="2"/>
  <c r="AI110" i="2"/>
  <c r="K150" i="2"/>
  <c r="N206" i="2"/>
  <c r="H253" i="2"/>
  <c r="Y323" i="2"/>
  <c r="O14" i="2"/>
  <c r="AJ29" i="2"/>
  <c r="AA53" i="2"/>
  <c r="G75" i="2"/>
  <c r="M107" i="2"/>
  <c r="W136" i="2"/>
  <c r="AJ167" i="2"/>
  <c r="M208" i="2"/>
  <c r="N241" i="2"/>
  <c r="AE300" i="2"/>
  <c r="U393" i="2"/>
  <c r="M23" i="2"/>
  <c r="I41" i="2"/>
  <c r="S63" i="2"/>
  <c r="P94" i="2"/>
  <c r="T120" i="2"/>
  <c r="AA159" i="2"/>
  <c r="O193" i="2"/>
  <c r="AG233" i="2"/>
  <c r="V278" i="2"/>
  <c r="AJ351" i="2"/>
  <c r="AE16" i="2"/>
  <c r="AD33" i="2"/>
  <c r="Q59" i="2"/>
  <c r="AC82" i="2"/>
  <c r="O115" i="2"/>
  <c r="AF144" i="2"/>
  <c r="AG178" i="3"/>
  <c r="AG179" i="2"/>
  <c r="N220" i="2"/>
  <c r="AL255" i="2"/>
  <c r="R332" i="2"/>
  <c r="R10" i="2"/>
  <c r="X30" i="2"/>
  <c r="R50" i="2"/>
  <c r="AA71" i="2"/>
  <c r="AC102" i="2"/>
  <c r="O127" i="2"/>
  <c r="AH167" i="2"/>
  <c r="H241" i="2"/>
  <c r="P283" i="2"/>
  <c r="AK352" i="2"/>
  <c r="AD46" i="2"/>
  <c r="P64" i="2"/>
  <c r="N87" i="2"/>
  <c r="AB108" i="2"/>
  <c r="I133" i="3"/>
  <c r="I134" i="2"/>
  <c r="K160" i="2"/>
  <c r="G188" i="2"/>
  <c r="T218" i="2"/>
  <c r="Q248" i="2"/>
  <c r="AA301" i="2"/>
  <c r="Z362" i="2"/>
  <c r="AF64" i="2"/>
  <c r="AH83" i="2"/>
  <c r="AL110" i="2"/>
  <c r="AG133" i="3"/>
  <c r="AG134" i="2"/>
  <c r="R166" i="2"/>
  <c r="AL193" i="2"/>
  <c r="AA228" i="2"/>
  <c r="U256" i="2"/>
  <c r="AF300" i="2"/>
  <c r="AF376" i="2"/>
  <c r="AL48" i="3"/>
  <c r="AL49" i="2"/>
  <c r="AC69" i="3"/>
  <c r="AC70" i="2"/>
  <c r="Y89" i="2"/>
  <c r="J115" i="2"/>
  <c r="AD138" i="2"/>
  <c r="N164" i="2"/>
  <c r="AD227" i="2"/>
  <c r="AB267" i="2"/>
  <c r="AF316" i="2"/>
  <c r="AJ38" i="2"/>
  <c r="K57" i="2"/>
  <c r="AK73" i="2"/>
  <c r="AF98" i="2"/>
  <c r="L120" i="2"/>
  <c r="AB149" i="2"/>
  <c r="H212" i="2"/>
  <c r="AE238" i="2"/>
  <c r="AL270" i="2"/>
  <c r="S336" i="2"/>
  <c r="K79" i="2"/>
  <c r="AI99" i="2"/>
  <c r="S117" i="2"/>
  <c r="T139" i="2"/>
  <c r="Z158" i="2"/>
  <c r="N181" i="2"/>
  <c r="AG206" i="2"/>
  <c r="Q228" i="2"/>
  <c r="M257" i="2"/>
  <c r="R292" i="2"/>
  <c r="N347" i="2"/>
  <c r="AG84" i="2"/>
  <c r="J101" i="2"/>
  <c r="X122" i="2"/>
  <c r="AF140" i="2"/>
  <c r="AE166" i="2"/>
  <c r="AI186" i="2"/>
  <c r="X211" i="2"/>
  <c r="U232" i="2"/>
  <c r="I256" i="2"/>
  <c r="K295" i="2"/>
  <c r="G336" i="2"/>
  <c r="R80" i="2"/>
  <c r="O97" i="2"/>
  <c r="Z118" i="2"/>
  <c r="S136" i="2"/>
  <c r="G157" i="2"/>
  <c r="AB183" i="2"/>
  <c r="AF205" i="2"/>
  <c r="K235" i="2"/>
  <c r="U269" i="2"/>
  <c r="T307" i="3"/>
  <c r="T307" i="2" s="1"/>
  <c r="T308" i="2"/>
  <c r="P382" i="2"/>
  <c r="AE88" i="2"/>
  <c r="AG110" i="2"/>
  <c r="T129" i="2"/>
  <c r="K156" i="2"/>
  <c r="K155" i="3"/>
  <c r="Z178" i="3"/>
  <c r="Z179" i="2"/>
  <c r="Y207" i="2"/>
  <c r="AC230" i="2"/>
  <c r="Q260" i="2"/>
  <c r="AI296" i="2"/>
  <c r="S364" i="2"/>
  <c r="Y153" i="2"/>
  <c r="AE171" i="2"/>
  <c r="AK194" i="2"/>
  <c r="L213" i="2"/>
  <c r="AC235" i="2"/>
  <c r="M255" i="2"/>
  <c r="S286" i="3"/>
  <c r="S286" i="2" s="1"/>
  <c r="S287" i="2"/>
  <c r="Y318" i="2"/>
  <c r="T386" i="2"/>
  <c r="AD132" i="2"/>
  <c r="P172" i="2"/>
  <c r="V195" i="2"/>
  <c r="M218" i="2"/>
  <c r="AK236" i="2"/>
  <c r="L263" i="2"/>
  <c r="K294" i="2"/>
  <c r="J341" i="2"/>
  <c r="AD399" i="2"/>
  <c r="AG152" i="2"/>
  <c r="S170" i="2"/>
  <c r="N194" i="2"/>
  <c r="I213" i="2"/>
  <c r="Z235" i="2"/>
  <c r="AH255" i="2"/>
  <c r="N288" i="2"/>
  <c r="AD334" i="2"/>
  <c r="AJ385" i="2"/>
  <c r="Z164" i="2"/>
  <c r="P183" i="2"/>
  <c r="G206" i="2"/>
  <c r="K224" i="2"/>
  <c r="G247" i="2"/>
  <c r="AE271" i="2"/>
  <c r="T309" i="2"/>
  <c r="AG348" i="2"/>
  <c r="AL252" i="2"/>
  <c r="N272" i="2"/>
  <c r="R300" i="2"/>
  <c r="I334" i="2"/>
  <c r="AC376" i="2"/>
  <c r="P237" i="2"/>
  <c r="K256" i="2"/>
  <c r="P282" i="2"/>
  <c r="G305" i="2"/>
  <c r="AC347" i="2"/>
  <c r="P395" i="2"/>
  <c r="J258" i="2"/>
  <c r="AI278" i="2"/>
  <c r="O310" i="2"/>
  <c r="J343" i="2"/>
  <c r="W411" i="2"/>
  <c r="AD269" i="2"/>
  <c r="I292" i="2"/>
  <c r="AD325" i="2"/>
  <c r="AG363" i="2"/>
  <c r="AB274" i="2"/>
  <c r="AL293" i="2"/>
  <c r="Y320" i="2"/>
  <c r="AJ349" i="3"/>
  <c r="AJ349" i="2" s="1"/>
  <c r="AJ350" i="2"/>
  <c r="AJ404" i="2"/>
  <c r="R281" i="2"/>
  <c r="X305" i="2"/>
  <c r="AI328" i="3"/>
  <c r="AI328" i="2" s="1"/>
  <c r="AI329" i="2"/>
  <c r="Q372" i="2"/>
  <c r="AE282" i="2"/>
  <c r="AG301" i="2"/>
  <c r="AI330" i="2"/>
  <c r="Y364" i="2"/>
  <c r="AI271" i="2"/>
  <c r="S290" i="2"/>
  <c r="N316" i="2"/>
  <c r="Q337" i="2"/>
  <c r="O381" i="2"/>
  <c r="H310" i="2"/>
  <c r="N334" i="2"/>
  <c r="S361" i="2"/>
  <c r="N411" i="2"/>
  <c r="L291" i="2"/>
  <c r="AA307" i="3"/>
  <c r="AA307" i="2" s="1"/>
  <c r="AA308" i="2"/>
  <c r="S333" i="2"/>
  <c r="J360" i="2"/>
  <c r="AC403" i="2"/>
  <c r="AD304" i="2"/>
  <c r="W328" i="3"/>
  <c r="W328" i="2" s="1"/>
  <c r="W329" i="2"/>
  <c r="S355" i="2"/>
  <c r="R395" i="2"/>
  <c r="J317" i="2"/>
  <c r="AC345" i="2"/>
  <c r="AG375" i="2"/>
  <c r="R378" i="2"/>
  <c r="G319" i="2"/>
  <c r="J338" i="2"/>
  <c r="G366" i="2"/>
  <c r="AE389" i="2"/>
  <c r="AJ369" i="2"/>
  <c r="X395" i="2"/>
  <c r="AJ388" i="2"/>
  <c r="N367" i="2"/>
  <c r="Z394" i="2"/>
  <c r="AK327" i="2"/>
  <c r="J354" i="2"/>
  <c r="N376" i="2"/>
  <c r="P404" i="2"/>
  <c r="O398" i="2"/>
  <c r="Z332" i="2"/>
  <c r="T361" i="2"/>
  <c r="U384" i="2"/>
  <c r="R338" i="2"/>
  <c r="AG355" i="2"/>
  <c r="V378" i="2"/>
  <c r="S396" i="2"/>
  <c r="V345" i="2"/>
  <c r="AK362" i="2"/>
  <c r="Z385" i="2"/>
  <c r="K405" i="2"/>
  <c r="H352" i="2"/>
  <c r="AB374" i="2"/>
  <c r="M391" i="3"/>
  <c r="M391" i="2" s="1"/>
  <c r="M392" i="2"/>
  <c r="AB341" i="2"/>
  <c r="L359" i="2"/>
  <c r="AF381" i="2"/>
  <c r="P400" i="2"/>
  <c r="O410" i="2"/>
  <c r="U396" i="2"/>
  <c r="I399" i="2"/>
  <c r="P411" i="2"/>
  <c r="AC357" i="2"/>
  <c r="N169" i="2"/>
  <c r="AE265" i="3"/>
  <c r="AE266" i="2"/>
  <c r="M99" i="2"/>
  <c r="L186" i="2"/>
  <c r="Z311" i="2"/>
  <c r="V131" i="2"/>
  <c r="AB238" i="2"/>
  <c r="AH374" i="2"/>
  <c r="J215" i="2"/>
  <c r="AC290" i="2"/>
  <c r="U157" i="2"/>
  <c r="K220" i="2"/>
  <c r="S297" i="2"/>
  <c r="G237" i="2"/>
  <c r="X166" i="2"/>
  <c r="Q249" i="2"/>
  <c r="P254" i="2"/>
  <c r="Z383" i="2"/>
  <c r="L307" i="3"/>
  <c r="L307" i="2" s="1"/>
  <c r="L308" i="2"/>
  <c r="U313" i="2"/>
  <c r="T295" i="2"/>
  <c r="AH333" i="2"/>
  <c r="J271" i="2"/>
  <c r="W363" i="2"/>
  <c r="AG331" i="2"/>
  <c r="W348" i="2"/>
  <c r="AH340" i="2"/>
  <c r="AL372" i="2"/>
  <c r="V375" i="2"/>
  <c r="AB382" i="2"/>
  <c r="X334" i="2"/>
  <c r="AA339" i="2"/>
  <c r="Q404" i="2"/>
  <c r="X387" i="2"/>
  <c r="Z376" i="2"/>
  <c r="J361" i="2"/>
  <c r="AJ400" i="2"/>
  <c r="F196" i="2"/>
  <c r="F162" i="2"/>
  <c r="F79" i="2"/>
  <c r="F8" i="2"/>
  <c r="AL39" i="2"/>
  <c r="X9" i="2"/>
  <c r="AB26" i="3"/>
  <c r="AB27" i="2"/>
  <c r="G43" i="2"/>
  <c r="I119" i="2"/>
  <c r="I146" i="2"/>
  <c r="Y36" i="2"/>
  <c r="AH112" i="3"/>
  <c r="AH112" i="2" s="1"/>
  <c r="AH113" i="2"/>
  <c r="H58" i="2"/>
  <c r="U132" i="2"/>
  <c r="G71" i="2"/>
  <c r="J77" i="2"/>
  <c r="AB130" i="2"/>
  <c r="AA6" i="2"/>
  <c r="W214" i="2"/>
  <c r="Y165" i="2"/>
  <c r="V241" i="2"/>
  <c r="L292" i="2"/>
  <c r="Z236" i="2"/>
  <c r="Y366" i="2"/>
  <c r="X34" i="2"/>
  <c r="L3" i="3"/>
  <c r="L3" i="2" s="1"/>
  <c r="L4" i="2"/>
  <c r="U219" i="2"/>
  <c r="I110" i="2"/>
  <c r="I84" i="2"/>
  <c r="R29" i="2"/>
  <c r="V340" i="2"/>
  <c r="M137" i="2"/>
  <c r="T37" i="2"/>
  <c r="Y243" i="3"/>
  <c r="Y244" i="2"/>
  <c r="AL66" i="2"/>
  <c r="R270" i="2"/>
  <c r="M80" i="2"/>
  <c r="V284" i="2"/>
  <c r="V91" i="3"/>
  <c r="V91" i="2" s="1"/>
  <c r="V92" i="2"/>
  <c r="Q360" i="2"/>
  <c r="G240" i="2"/>
  <c r="AL198" i="2"/>
  <c r="Z127" i="2"/>
  <c r="AE369" i="2"/>
  <c r="AA261" i="2"/>
  <c r="AI56" i="2"/>
  <c r="J181" i="2"/>
  <c r="AE5" i="2"/>
  <c r="U98" i="2"/>
  <c r="T239" i="2"/>
  <c r="J41" i="2"/>
  <c r="AI149" i="2"/>
  <c r="AK347" i="2"/>
  <c r="AD80" i="2"/>
  <c r="N205" i="2"/>
  <c r="AD50" i="2"/>
  <c r="AI136" i="2"/>
  <c r="AF310" i="2"/>
  <c r="AJ91" i="3"/>
  <c r="AJ91" i="2" s="1"/>
  <c r="AJ92" i="2"/>
  <c r="M197" i="2"/>
  <c r="AC394" i="2"/>
  <c r="T118" i="2"/>
  <c r="W237" i="2"/>
  <c r="AC59" i="2"/>
  <c r="AF153" i="2"/>
  <c r="K288" i="2"/>
  <c r="AK119" i="2"/>
  <c r="J210" i="2"/>
  <c r="AE360" i="2"/>
  <c r="Y148" i="2"/>
  <c r="AI235" i="2"/>
  <c r="P82" i="2"/>
  <c r="Q164" i="2"/>
  <c r="AG274" i="2"/>
  <c r="AE114" i="2"/>
  <c r="AG210" i="2"/>
  <c r="R379" i="2"/>
  <c r="AD215" i="2"/>
  <c r="AK338" i="2"/>
  <c r="AA180" i="2"/>
  <c r="AA269" i="2"/>
  <c r="M156" i="2"/>
  <c r="M155" i="3"/>
  <c r="AB237" i="2"/>
  <c r="AE399" i="2"/>
  <c r="Y231" i="2"/>
  <c r="I366" i="2"/>
  <c r="AF385" i="2"/>
  <c r="AC353" i="2"/>
  <c r="S314" i="2"/>
  <c r="AA295" i="2"/>
  <c r="N301" i="2"/>
  <c r="Q290" i="2"/>
  <c r="W285" i="2"/>
  <c r="Z274" i="2"/>
  <c r="T388" i="2"/>
  <c r="AD271" i="2"/>
  <c r="Z364" i="2"/>
  <c r="AJ366" i="2"/>
  <c r="Q388" i="2"/>
  <c r="H368" i="2"/>
  <c r="M393" i="2"/>
  <c r="Q357" i="2"/>
  <c r="O335" i="2"/>
  <c r="P362" i="2"/>
  <c r="T370" i="3"/>
  <c r="T370" i="2" s="1"/>
  <c r="T371" i="2"/>
  <c r="O377" i="2"/>
  <c r="AD361" i="2"/>
  <c r="Y401" i="2"/>
  <c r="F391" i="3"/>
  <c r="F391" i="2" s="1"/>
  <c r="F392" i="2"/>
  <c r="F159" i="2"/>
  <c r="F395" i="2"/>
  <c r="G7" i="2"/>
  <c r="AA282" i="2"/>
  <c r="AD86" i="2"/>
  <c r="N11" i="2"/>
  <c r="AJ13" i="2"/>
  <c r="R408" i="2"/>
  <c r="L58" i="2"/>
  <c r="Y66" i="2"/>
  <c r="AJ171" i="2"/>
  <c r="Z86" i="2"/>
  <c r="AJ14" i="2"/>
  <c r="P15" i="2"/>
  <c r="AH198" i="2"/>
  <c r="AE165" i="2"/>
  <c r="O65" i="2"/>
  <c r="AL99" i="2"/>
  <c r="N37" i="2"/>
  <c r="T18" i="2"/>
  <c r="X191" i="2"/>
  <c r="S85" i="2"/>
  <c r="K210" i="2"/>
  <c r="AC51" i="2"/>
  <c r="J86" i="2"/>
  <c r="R5" i="2"/>
  <c r="AE223" i="2"/>
  <c r="H115" i="2"/>
  <c r="AI49" i="2"/>
  <c r="AI48" i="3"/>
  <c r="P6" i="2"/>
  <c r="H172" i="2"/>
  <c r="AL50" i="2"/>
  <c r="T286" i="3"/>
  <c r="T286" i="2" s="1"/>
  <c r="T287" i="2"/>
  <c r="AG120" i="2"/>
  <c r="S13" i="2"/>
  <c r="Y159" i="2"/>
  <c r="Q122" i="2"/>
  <c r="AH11" i="2"/>
  <c r="M133" i="3"/>
  <c r="M134" i="2"/>
  <c r="W364" i="2"/>
  <c r="AC110" i="2"/>
  <c r="AH299" i="2"/>
  <c r="AA169" i="2"/>
  <c r="X370" i="3"/>
  <c r="X370" i="2" s="1"/>
  <c r="X371" i="2"/>
  <c r="AD214" i="2"/>
  <c r="V17" i="2"/>
  <c r="O112" i="3"/>
  <c r="O112" i="2" s="1"/>
  <c r="O113" i="2"/>
  <c r="Z213" i="2"/>
  <c r="T6" i="2"/>
  <c r="V99" i="2"/>
  <c r="AL19" i="2"/>
  <c r="U120" i="2"/>
  <c r="X273" i="2"/>
  <c r="Z53" i="2"/>
  <c r="H173" i="2"/>
  <c r="U391" i="3"/>
  <c r="U391" i="2" s="1"/>
  <c r="U392" i="2"/>
  <c r="R198" i="2"/>
  <c r="N382" i="2"/>
  <c r="I115" i="2"/>
  <c r="I233" i="2"/>
  <c r="U56" i="2"/>
  <c r="T143" i="2"/>
  <c r="T276" i="2"/>
  <c r="AF102" i="2"/>
  <c r="K216" i="2"/>
  <c r="Y85" i="2"/>
  <c r="AF162" i="2"/>
  <c r="R262" i="2"/>
  <c r="M108" i="2"/>
  <c r="AI190" i="2"/>
  <c r="AB302" i="2"/>
  <c r="AI121" i="2"/>
  <c r="AE215" i="2"/>
  <c r="J402" i="2"/>
  <c r="O160" i="2"/>
  <c r="S268" i="2"/>
  <c r="AL174" i="2"/>
  <c r="O265" i="3"/>
  <c r="O266" i="2"/>
  <c r="M141" i="2"/>
  <c r="K222" i="2"/>
  <c r="K221" i="3"/>
  <c r="K221" i="2" s="1"/>
  <c r="AA348" i="2"/>
  <c r="U197" i="2"/>
  <c r="L294" i="2"/>
  <c r="H191" i="2"/>
  <c r="AB281" i="2"/>
  <c r="Z280" i="2"/>
  <c r="W240" i="2"/>
  <c r="K355" i="2"/>
  <c r="X315" i="2"/>
  <c r="Y296" i="2"/>
  <c r="AJ301" i="2"/>
  <c r="AL290" i="2"/>
  <c r="AA286" i="3"/>
  <c r="AA286" i="2" s="1"/>
  <c r="AA287" i="2"/>
  <c r="H299" i="2"/>
  <c r="AE317" i="2"/>
  <c r="S294" i="2"/>
  <c r="X410" i="2"/>
  <c r="AG401" i="2"/>
  <c r="AE383" i="2"/>
  <c r="AK402" i="2"/>
  <c r="J377" i="2"/>
  <c r="O384" i="2"/>
  <c r="AA365" i="2"/>
  <c r="AC381" i="2"/>
  <c r="AG388" i="2"/>
  <c r="AD395" i="2"/>
  <c r="U410" i="2"/>
  <c r="F393" i="2"/>
  <c r="F175" i="2"/>
  <c r="F256" i="2"/>
  <c r="AB248" i="2"/>
  <c r="AJ53" i="2"/>
  <c r="AB65" i="2"/>
  <c r="V83" i="2"/>
  <c r="K53" i="2"/>
  <c r="AL189" i="2"/>
  <c r="R46" i="2"/>
  <c r="U191" i="2"/>
  <c r="I71" i="2"/>
  <c r="O158" i="2"/>
  <c r="AA92" i="2"/>
  <c r="AA91" i="3"/>
  <c r="AA91" i="2" s="1"/>
  <c r="K104" i="2"/>
  <c r="AD140" i="2"/>
  <c r="AB10" i="2"/>
  <c r="M240" i="2"/>
  <c r="AH200" i="3"/>
  <c r="AH201" i="2"/>
  <c r="W246" i="2"/>
  <c r="AA300" i="2"/>
  <c r="K44" i="2"/>
  <c r="X353" i="2"/>
  <c r="X165" i="2"/>
  <c r="AK88" i="2"/>
  <c r="U35" i="2"/>
  <c r="J356" i="2"/>
  <c r="AJ203" i="2"/>
  <c r="P98" i="2"/>
  <c r="R31" i="2"/>
  <c r="Y240" i="2"/>
  <c r="O88" i="2"/>
  <c r="O9" i="2"/>
  <c r="G183" i="2"/>
  <c r="AC40" i="2"/>
  <c r="AD220" i="2"/>
  <c r="V51" i="2"/>
  <c r="AI231" i="2"/>
  <c r="AL64" i="2"/>
  <c r="L159" i="2"/>
  <c r="AC113" i="2"/>
  <c r="AC112" i="3"/>
  <c r="AC112" i="2" s="1"/>
  <c r="G300" i="2"/>
  <c r="L227" i="2"/>
  <c r="AB169" i="2"/>
  <c r="K18" i="2"/>
  <c r="S114" i="2"/>
  <c r="AB259" i="2"/>
  <c r="AG45" i="2"/>
  <c r="J208" i="2"/>
  <c r="AA42" i="2"/>
  <c r="Z194" i="2"/>
  <c r="T34" i="2"/>
  <c r="M142" i="2"/>
  <c r="AA298" i="2"/>
  <c r="P91" i="3"/>
  <c r="P91" i="2" s="1"/>
  <c r="P92" i="2"/>
  <c r="AE225" i="2"/>
  <c r="X52" i="2"/>
  <c r="P146" i="2"/>
  <c r="AA267" i="2"/>
  <c r="AJ73" i="2"/>
  <c r="AI206" i="2"/>
  <c r="AF42" i="2"/>
  <c r="X130" i="2"/>
  <c r="AD246" i="2"/>
  <c r="AE103" i="2"/>
  <c r="N190" i="2"/>
  <c r="V307" i="3"/>
  <c r="V307" i="2" s="1"/>
  <c r="V308" i="2"/>
  <c r="AA126" i="2"/>
  <c r="AC215" i="2"/>
  <c r="AC366" i="2"/>
  <c r="AG140" i="2"/>
  <c r="P240" i="2"/>
  <c r="P97" i="2"/>
  <c r="M190" i="2"/>
  <c r="H315" i="2"/>
  <c r="AG198" i="2"/>
  <c r="O294" i="2"/>
  <c r="S159" i="2"/>
  <c r="AB271" i="2"/>
  <c r="V157" i="2"/>
  <c r="H239" i="2"/>
  <c r="P150" i="2"/>
  <c r="AJ232" i="2"/>
  <c r="J370" i="3"/>
  <c r="J370" i="2" s="1"/>
  <c r="J371" i="2"/>
  <c r="L343" i="2"/>
  <c r="U288" i="2"/>
  <c r="AK261" i="2"/>
  <c r="S250" i="2"/>
  <c r="J393" i="2"/>
  <c r="AG267" i="2"/>
  <c r="Y379" i="2"/>
  <c r="AK382" i="2"/>
  <c r="J353" i="2"/>
  <c r="AJ378" i="2"/>
  <c r="AA338" i="2"/>
  <c r="L334" i="2"/>
  <c r="V352" i="2"/>
  <c r="M349" i="3"/>
  <c r="M349" i="2" s="1"/>
  <c r="M350" i="2"/>
  <c r="U409" i="2"/>
  <c r="W337" i="2"/>
  <c r="U404" i="2"/>
  <c r="Y363" i="2"/>
  <c r="AC372" i="2"/>
  <c r="AJ401" i="2"/>
  <c r="AG404" i="2"/>
  <c r="F235" i="2"/>
  <c r="F111" i="2"/>
  <c r="F309" i="2"/>
  <c r="AL23" i="2"/>
  <c r="AA216" i="2"/>
  <c r="L89" i="2"/>
  <c r="AB39" i="2"/>
  <c r="P45" i="2"/>
  <c r="Z170" i="2"/>
  <c r="AE65" i="2"/>
  <c r="S226" i="2"/>
  <c r="H93" i="2"/>
  <c r="V19" i="2"/>
  <c r="Y126" i="2"/>
  <c r="R155" i="3"/>
  <c r="R156" i="2"/>
  <c r="AJ50" i="2"/>
  <c r="P187" i="2"/>
  <c r="O31" i="2"/>
  <c r="X161" i="2"/>
  <c r="V35" i="2"/>
  <c r="H314" i="2"/>
  <c r="AE235" i="2"/>
  <c r="V60" i="2"/>
  <c r="O152" i="2"/>
  <c r="N78" i="2"/>
  <c r="AK32" i="2"/>
  <c r="K289" i="2"/>
  <c r="AH163" i="2"/>
  <c r="AF72" i="2"/>
  <c r="W359" i="2"/>
  <c r="Y142" i="2"/>
  <c r="AL40" i="2"/>
  <c r="AC268" i="2"/>
  <c r="AJ68" i="2"/>
  <c r="M275" i="2"/>
  <c r="H83" i="2"/>
  <c r="AI294" i="2"/>
  <c r="AL96" i="2"/>
  <c r="AB381" i="2"/>
  <c r="X340" i="2"/>
  <c r="G250" i="2"/>
  <c r="M173" i="2"/>
  <c r="V121" i="2"/>
  <c r="AH385" i="2"/>
  <c r="AL86" i="2"/>
  <c r="V216" i="2"/>
  <c r="X28" i="2"/>
  <c r="N135" i="2"/>
  <c r="P291" i="2"/>
  <c r="Q64" i="2"/>
  <c r="AF195" i="2"/>
  <c r="J18" i="2"/>
  <c r="J109" i="2"/>
  <c r="W250" i="2"/>
  <c r="S73" i="2"/>
  <c r="W167" i="2"/>
  <c r="S317" i="2"/>
  <c r="T95" i="2"/>
  <c r="AE207" i="2"/>
  <c r="AI408" i="2"/>
  <c r="AI120" i="2"/>
  <c r="AG240" i="2"/>
  <c r="G61" i="2"/>
  <c r="K157" i="2"/>
  <c r="U293" i="2"/>
  <c r="S125" i="2"/>
  <c r="X212" i="2"/>
  <c r="AI374" i="2"/>
  <c r="K151" i="2"/>
  <c r="Z238" i="2"/>
  <c r="N84" i="2"/>
  <c r="H166" i="2"/>
  <c r="AD277" i="2"/>
  <c r="S139" i="2"/>
  <c r="AH270" i="2"/>
  <c r="AH158" i="2"/>
  <c r="AI221" i="3"/>
  <c r="AI221" i="2" s="1"/>
  <c r="AI222" i="2"/>
  <c r="S295" i="2"/>
  <c r="H160" i="2"/>
  <c r="AJ246" i="2"/>
  <c r="AJ139" i="2"/>
  <c r="L222" i="2"/>
  <c r="L221" i="3"/>
  <c r="L221" i="2" s="1"/>
  <c r="AA304" i="2"/>
  <c r="Q192" i="2"/>
  <c r="AC283" i="2"/>
  <c r="S282" i="2"/>
  <c r="Y411" i="2"/>
  <c r="AH319" i="2"/>
  <c r="Z262" i="2"/>
  <c r="X255" i="2"/>
  <c r="G334" i="2"/>
  <c r="AK326" i="2"/>
  <c r="AB291" i="2"/>
  <c r="AG393" i="2"/>
  <c r="K383" i="2"/>
  <c r="V354" i="2"/>
  <c r="J380" i="2"/>
  <c r="Y339" i="2"/>
  <c r="AI334" i="2"/>
  <c r="V353" i="2"/>
  <c r="H351" i="2"/>
  <c r="AJ410" i="2"/>
  <c r="P338" i="2"/>
  <c r="R405" i="2"/>
  <c r="N342" i="2"/>
  <c r="AC350" i="2"/>
  <c r="AC349" i="3"/>
  <c r="AC349" i="2" s="1"/>
  <c r="I361" i="2"/>
  <c r="M368" i="2"/>
  <c r="AJ402" i="2"/>
  <c r="F294" i="2"/>
  <c r="F161" i="2"/>
  <c r="F377" i="2"/>
  <c r="AE109" i="2"/>
  <c r="AJ310" i="2"/>
  <c r="K84" i="2"/>
  <c r="AE118" i="2"/>
  <c r="K95" i="2"/>
  <c r="M18" i="2"/>
  <c r="AJ256" i="2"/>
  <c r="Q207" i="2"/>
  <c r="Z19" i="2"/>
  <c r="AH101" i="2"/>
  <c r="X126" i="2"/>
  <c r="T274" i="2"/>
  <c r="I203" i="2"/>
  <c r="V93" i="2"/>
  <c r="AI117" i="2"/>
  <c r="T42" i="2"/>
  <c r="T51" i="2"/>
  <c r="AC218" i="2"/>
  <c r="X91" i="3"/>
  <c r="X91" i="2" s="1"/>
  <c r="X92" i="2"/>
  <c r="K252" i="2"/>
  <c r="W88" i="2"/>
  <c r="AH157" i="2"/>
  <c r="O137" i="2"/>
  <c r="AD71" i="2"/>
  <c r="AH22" i="2"/>
  <c r="K279" i="2"/>
  <c r="V122" i="2"/>
  <c r="AC53" i="2"/>
  <c r="AA305" i="2"/>
  <c r="AD127" i="2"/>
  <c r="AF20" i="2"/>
  <c r="K164" i="2"/>
  <c r="AC28" i="2"/>
  <c r="H186" i="2"/>
  <c r="AL35" i="2"/>
  <c r="V204" i="2"/>
  <c r="AI162" i="2"/>
  <c r="Q124" i="2"/>
  <c r="J303" i="2"/>
  <c r="U230" i="2"/>
  <c r="N173" i="2"/>
  <c r="T19" i="2"/>
  <c r="T116" i="2"/>
  <c r="AI262" i="2"/>
  <c r="X53" i="2"/>
  <c r="M170" i="2"/>
  <c r="L5" i="2"/>
  <c r="U96" i="2"/>
  <c r="M231" i="2"/>
  <c r="AC35" i="2"/>
  <c r="AL109" i="2"/>
  <c r="G405" i="2"/>
  <c r="N120" i="2"/>
  <c r="G268" i="2"/>
  <c r="X74" i="2"/>
  <c r="Z174" i="2"/>
  <c r="AH328" i="3"/>
  <c r="AH328" i="2" s="1"/>
  <c r="AH329" i="2"/>
  <c r="N101" i="2"/>
  <c r="AH208" i="2"/>
  <c r="J44" i="2"/>
  <c r="Q132" i="2"/>
  <c r="Q255" i="2"/>
  <c r="I105" i="2"/>
  <c r="AK191" i="2"/>
  <c r="AB311" i="2"/>
  <c r="AL127" i="2"/>
  <c r="Q217" i="2"/>
  <c r="AH369" i="2"/>
  <c r="AI146" i="2"/>
  <c r="AG249" i="2"/>
  <c r="Y98" i="2"/>
  <c r="AJ191" i="2"/>
  <c r="X318" i="2"/>
  <c r="X201" i="2"/>
  <c r="X200" i="3"/>
  <c r="V296" i="2"/>
  <c r="M165" i="2"/>
  <c r="AB247" i="2"/>
  <c r="Y140" i="2"/>
  <c r="AF221" i="3"/>
  <c r="AF221" i="2" s="1"/>
  <c r="AF222" i="2"/>
  <c r="L345" i="2"/>
  <c r="L211" i="2"/>
  <c r="I320" i="2"/>
  <c r="Q346" i="2"/>
  <c r="L290" i="2"/>
  <c r="O263" i="2"/>
  <c r="M256" i="2"/>
  <c r="AE398" i="2"/>
  <c r="I370" i="3"/>
  <c r="I370" i="2" s="1"/>
  <c r="I371" i="2"/>
  <c r="AI345" i="2"/>
  <c r="X339" i="2"/>
  <c r="K322" i="2"/>
  <c r="X348" i="2"/>
  <c r="Q318" i="2"/>
  <c r="K315" i="2"/>
  <c r="AH327" i="2"/>
  <c r="AC323" i="2"/>
  <c r="G375" i="2"/>
  <c r="U402" i="2"/>
  <c r="H381" i="2"/>
  <c r="R397" i="2"/>
  <c r="T408" i="2"/>
  <c r="AC339" i="2"/>
  <c r="AG346" i="2"/>
  <c r="Q398" i="2"/>
  <c r="F151" i="2"/>
  <c r="F227" i="2"/>
  <c r="F376" i="2"/>
  <c r="AA145" i="2"/>
  <c r="Q16" i="2"/>
  <c r="O145" i="2"/>
  <c r="U122" i="2"/>
  <c r="S99" i="2"/>
  <c r="AC55" i="2"/>
  <c r="R257" i="2"/>
  <c r="AE212" i="2"/>
  <c r="V217" i="2"/>
  <c r="AC22" i="2"/>
  <c r="L124" i="2"/>
  <c r="K141" i="2"/>
  <c r="R275" i="2"/>
  <c r="S210" i="2"/>
  <c r="P99" i="2"/>
  <c r="J118" i="2"/>
  <c r="AL43" i="2"/>
  <c r="H60" i="2"/>
  <c r="AI227" i="2"/>
  <c r="S7" i="2"/>
  <c r="AC200" i="3"/>
  <c r="AC201" i="2"/>
  <c r="AC161" i="2"/>
  <c r="AK81" i="2"/>
  <c r="S35" i="2"/>
  <c r="AI304" i="2"/>
  <c r="P167" i="2"/>
  <c r="K34" i="2"/>
  <c r="AH190" i="2"/>
  <c r="AB219" i="2"/>
  <c r="AH72" i="2"/>
  <c r="AF394" i="2"/>
  <c r="AK118" i="2"/>
  <c r="Z7" i="2"/>
  <c r="R130" i="2"/>
  <c r="K15" i="2"/>
  <c r="V150" i="2"/>
  <c r="AL119" i="2"/>
  <c r="P347" i="2"/>
  <c r="AC254" i="2"/>
  <c r="W133" i="3"/>
  <c r="W134" i="2"/>
  <c r="U397" i="2"/>
  <c r="AL292" i="2"/>
  <c r="K61" i="2"/>
  <c r="AI318" i="2"/>
  <c r="Y77" i="2"/>
  <c r="M212" i="2"/>
  <c r="AJ21" i="2"/>
  <c r="AJ124" i="2"/>
  <c r="O283" i="2"/>
  <c r="J61" i="2"/>
  <c r="AH178" i="3"/>
  <c r="AH179" i="2"/>
  <c r="T36" i="2"/>
  <c r="AL120" i="2"/>
  <c r="AH228" i="2"/>
  <c r="V54" i="2"/>
  <c r="S149" i="2"/>
  <c r="O282" i="2"/>
  <c r="AH75" i="2"/>
  <c r="V181" i="2"/>
  <c r="I358" i="2"/>
  <c r="J106" i="2"/>
  <c r="R220" i="2"/>
  <c r="L88" i="2"/>
  <c r="AH170" i="2"/>
  <c r="W269" i="2"/>
  <c r="AE110" i="2"/>
  <c r="S198" i="2"/>
  <c r="S307" i="3"/>
  <c r="S307" i="2" s="1"/>
  <c r="S308" i="2"/>
  <c r="Z124" i="2"/>
  <c r="I219" i="2"/>
  <c r="L77" i="2"/>
  <c r="X163" i="2"/>
  <c r="AK280" i="2"/>
  <c r="AL183" i="2"/>
  <c r="AH268" i="2"/>
  <c r="AE143" i="2"/>
  <c r="AC224" i="2"/>
  <c r="AG354" i="2"/>
  <c r="AK205" i="2"/>
  <c r="O309" i="2"/>
  <c r="Z193" i="2"/>
  <c r="Q286" i="3"/>
  <c r="Q286" i="2" s="1"/>
  <c r="Q287" i="2"/>
  <c r="I284" i="2"/>
  <c r="W243" i="3"/>
  <c r="W244" i="2"/>
  <c r="Y361" i="2"/>
  <c r="G327" i="2"/>
  <c r="AJ305" i="2"/>
  <c r="AJ304" i="2"/>
  <c r="L293" i="2"/>
  <c r="AB289" i="2"/>
  <c r="R277" i="2"/>
  <c r="L407" i="2"/>
  <c r="V279" i="2"/>
  <c r="AL379" i="2"/>
  <c r="U374" i="2"/>
  <c r="Z395" i="2"/>
  <c r="G373" i="2"/>
  <c r="K399" i="2"/>
  <c r="R366" i="2"/>
  <c r="I345" i="2"/>
  <c r="W343" i="2"/>
  <c r="AH355" i="2"/>
  <c r="R362" i="2"/>
  <c r="V347" i="2"/>
  <c r="AE406" i="2"/>
  <c r="F240" i="2"/>
  <c r="F163" i="2"/>
  <c r="F217" i="2"/>
  <c r="AA322" i="2"/>
  <c r="X61" i="2"/>
  <c r="H163" i="2"/>
  <c r="Q99" i="2"/>
  <c r="AG204" i="2"/>
  <c r="N18" i="2"/>
  <c r="M58" i="2"/>
  <c r="M262" i="2"/>
  <c r="Y218" i="2"/>
  <c r="AC125" i="2"/>
  <c r="S227" i="2"/>
  <c r="AG119" i="2"/>
  <c r="AI9" i="2"/>
  <c r="AC17" i="2"/>
  <c r="N324" i="2"/>
  <c r="J26" i="3"/>
  <c r="J27" i="2"/>
  <c r="G169" i="2"/>
  <c r="O20" i="2"/>
  <c r="AK3" i="3"/>
  <c r="AK3" i="2" s="1"/>
  <c r="AK4" i="2"/>
  <c r="Q253" i="2"/>
  <c r="AD111" i="2"/>
  <c r="AK8" i="2"/>
  <c r="M162" i="2"/>
  <c r="AD83" i="2"/>
  <c r="S374" i="2"/>
  <c r="AB145" i="2"/>
  <c r="AC107" i="2"/>
  <c r="Q76" i="2"/>
  <c r="U3" i="3"/>
  <c r="U3" i="2" s="1"/>
  <c r="U4" i="2"/>
  <c r="AD149" i="2"/>
  <c r="P43" i="2"/>
  <c r="AF280" i="2"/>
  <c r="AJ78" i="2"/>
  <c r="O289" i="2"/>
  <c r="P87" i="2"/>
  <c r="X337" i="2"/>
  <c r="H99" i="2"/>
  <c r="AG411" i="2"/>
  <c r="W265" i="3"/>
  <c r="W266" i="2"/>
  <c r="AD216" i="2"/>
  <c r="L136" i="2"/>
  <c r="AH125" i="2"/>
  <c r="V397" i="2"/>
  <c r="J89" i="2"/>
  <c r="I227" i="2"/>
  <c r="V30" i="2"/>
  <c r="V138" i="2"/>
  <c r="AD312" i="2"/>
  <c r="AA66" i="2"/>
  <c r="AL240" i="2"/>
  <c r="L37" i="2"/>
  <c r="P147" i="2"/>
  <c r="M318" i="2"/>
  <c r="X95" i="2"/>
  <c r="T235" i="2"/>
  <c r="K55" i="2"/>
  <c r="X150" i="2"/>
  <c r="AH283" i="2"/>
  <c r="Z76" i="2"/>
  <c r="J216" i="2"/>
  <c r="S45" i="2"/>
  <c r="AI133" i="3"/>
  <c r="AI134" i="2"/>
  <c r="AF257" i="2"/>
  <c r="R106" i="2"/>
  <c r="AA193" i="2"/>
  <c r="I315" i="2"/>
  <c r="AE132" i="2"/>
  <c r="O320" i="2"/>
  <c r="Q125" i="2"/>
  <c r="AG219" i="2"/>
  <c r="AH99" i="2"/>
  <c r="W193" i="2"/>
  <c r="S322" i="2"/>
  <c r="AG202" i="2"/>
  <c r="T306" i="2"/>
  <c r="V166" i="2"/>
  <c r="O249" i="2"/>
  <c r="AH141" i="2"/>
  <c r="J224" i="2"/>
  <c r="AF348" i="2"/>
  <c r="U212" i="2"/>
  <c r="Q333" i="2"/>
  <c r="Z315" i="2"/>
  <c r="O268" i="2"/>
  <c r="AE247" i="2"/>
  <c r="V373" i="2"/>
  <c r="L338" i="2"/>
  <c r="Y338" i="2"/>
  <c r="O321" i="2"/>
  <c r="M316" i="2"/>
  <c r="Y302" i="2"/>
  <c r="M321" i="2"/>
  <c r="Z297" i="2"/>
  <c r="T294" i="2"/>
  <c r="AA310" i="2"/>
  <c r="AA395" i="2"/>
  <c r="AI407" i="2"/>
  <c r="Q380" i="2"/>
  <c r="AC387" i="2"/>
  <c r="AA369" i="2"/>
  <c r="AF388" i="2"/>
  <c r="M397" i="2"/>
  <c r="L405" i="2"/>
  <c r="Y409" i="2"/>
  <c r="F129" i="2"/>
  <c r="F135" i="2"/>
  <c r="F53" i="2"/>
  <c r="P223" i="2"/>
  <c r="AD34" i="2"/>
  <c r="Q187" i="2"/>
  <c r="AC244" i="2"/>
  <c r="AC243" i="3"/>
  <c r="AK189" i="2"/>
  <c r="S278" i="2"/>
  <c r="M59" i="2"/>
  <c r="X271" i="2"/>
  <c r="AJ211" i="2"/>
  <c r="AJ295" i="2"/>
  <c r="T272" i="2"/>
  <c r="AJ307" i="3"/>
  <c r="AJ307" i="2" s="1"/>
  <c r="AJ308" i="2"/>
  <c r="AB19" i="2"/>
  <c r="W334" i="2"/>
  <c r="U10" i="2"/>
  <c r="X268" i="2"/>
  <c r="U23" i="2"/>
  <c r="L50" i="2"/>
  <c r="AJ33" i="2"/>
  <c r="N219" i="2"/>
  <c r="AE97" i="2"/>
  <c r="AJ49" i="2"/>
  <c r="AJ48" i="3"/>
  <c r="K375" i="2"/>
  <c r="R219" i="2"/>
  <c r="AI109" i="2"/>
  <c r="N43" i="2"/>
  <c r="Z258" i="2"/>
  <c r="N98" i="2"/>
  <c r="AJ19" i="2"/>
  <c r="AK196" i="2"/>
  <c r="AD45" i="2"/>
  <c r="AB229" i="2"/>
  <c r="AK62" i="2"/>
  <c r="AL192" i="2"/>
  <c r="AH43" i="2"/>
  <c r="N130" i="2"/>
  <c r="N354" i="2"/>
  <c r="AI258" i="2"/>
  <c r="W192" i="2"/>
  <c r="T126" i="2"/>
  <c r="Y3" i="3"/>
  <c r="Y3" i="2" s="1"/>
  <c r="Y4" i="2"/>
  <c r="T228" i="2"/>
  <c r="K31" i="2"/>
  <c r="AE139" i="2"/>
  <c r="R315" i="2"/>
  <c r="X67" i="2"/>
  <c r="O200" i="3"/>
  <c r="O201" i="2"/>
  <c r="AB20" i="2"/>
  <c r="X119" i="2"/>
  <c r="AG257" i="2"/>
  <c r="AK75" i="2"/>
  <c r="U178" i="3"/>
  <c r="U179" i="2"/>
  <c r="AC324" i="2"/>
  <c r="AD98" i="2"/>
  <c r="AK211" i="2"/>
  <c r="I44" i="2"/>
  <c r="T124" i="2"/>
  <c r="V245" i="2"/>
  <c r="U67" i="2"/>
  <c r="M161" i="2"/>
  <c r="Y301" i="2"/>
  <c r="J128" i="2"/>
  <c r="AB220" i="2"/>
  <c r="T387" i="2"/>
  <c r="AK174" i="2"/>
  <c r="AF274" i="2"/>
  <c r="Y107" i="2"/>
  <c r="Z220" i="2"/>
  <c r="U78" i="2"/>
  <c r="AG170" i="2"/>
  <c r="W283" i="2"/>
  <c r="AA184" i="2"/>
  <c r="G270" i="2"/>
  <c r="I145" i="2"/>
  <c r="H226" i="2"/>
  <c r="AI376" i="2"/>
  <c r="O207" i="2"/>
  <c r="AE311" i="2"/>
  <c r="AI194" i="2"/>
  <c r="X289" i="2"/>
  <c r="G285" i="2"/>
  <c r="AF245" i="2"/>
  <c r="U376" i="2"/>
  <c r="R331" i="2"/>
  <c r="O307" i="3"/>
  <c r="O307" i="2" s="1"/>
  <c r="O308" i="2"/>
  <c r="U306" i="2"/>
  <c r="Y294" i="2"/>
  <c r="H291" i="2"/>
  <c r="V283" i="2"/>
  <c r="W303" i="2"/>
  <c r="AE280" i="2"/>
  <c r="Q381" i="2"/>
  <c r="H376" i="2"/>
  <c r="Y398" i="2"/>
  <c r="AK374" i="2"/>
  <c r="Z409" i="2"/>
  <c r="AI367" i="2"/>
  <c r="Z346" i="2"/>
  <c r="AF366" i="2"/>
  <c r="P375" i="2"/>
  <c r="AE381" i="2"/>
  <c r="O400" i="2"/>
  <c r="F289" i="2"/>
  <c r="F315" i="2"/>
  <c r="F336" i="2"/>
  <c r="N216" i="2"/>
  <c r="J29" i="2"/>
  <c r="W230" i="2"/>
  <c r="AC208" i="2"/>
  <c r="AA136" i="2"/>
  <c r="AB41" i="2"/>
  <c r="U123" i="2"/>
  <c r="L171" i="2"/>
  <c r="AB380" i="2"/>
  <c r="O141" i="2"/>
  <c r="J38" i="2"/>
  <c r="L203" i="2"/>
  <c r="P22" i="2"/>
  <c r="AC150" i="2"/>
  <c r="Q229" i="2"/>
  <c r="AA58" i="2"/>
  <c r="AK111" i="2"/>
  <c r="H224" i="2"/>
  <c r="P143" i="2"/>
  <c r="V173" i="2"/>
  <c r="W191" i="2"/>
  <c r="W10" i="2"/>
  <c r="X294" i="2"/>
  <c r="AL163" i="2"/>
  <c r="X77" i="2"/>
  <c r="N26" i="3"/>
  <c r="N27" i="2"/>
  <c r="L289" i="2"/>
  <c r="O142" i="2"/>
  <c r="S28" i="2"/>
  <c r="AI225" i="2"/>
  <c r="M83" i="2"/>
  <c r="I364" i="2"/>
  <c r="O124" i="2"/>
  <c r="J10" i="2"/>
  <c r="S346" i="2"/>
  <c r="AL112" i="3"/>
  <c r="AL112" i="2" s="1"/>
  <c r="AL113" i="2"/>
  <c r="M89" i="2"/>
  <c r="Z272" i="2"/>
  <c r="AL219" i="2"/>
  <c r="I139" i="2"/>
  <c r="AA93" i="2"/>
  <c r="J300" i="2"/>
  <c r="S68" i="2"/>
  <c r="AG191" i="2"/>
  <c r="L14" i="2"/>
  <c r="J111" i="2"/>
  <c r="W252" i="2"/>
  <c r="AJ74" i="2"/>
  <c r="T202" i="2"/>
  <c r="Q21" i="2"/>
  <c r="V120" i="2"/>
  <c r="AA259" i="2"/>
  <c r="AC76" i="2"/>
  <c r="X180" i="2"/>
  <c r="W340" i="2"/>
  <c r="W99" i="2"/>
  <c r="AH212" i="2"/>
  <c r="AC44" i="2"/>
  <c r="O125" i="2"/>
  <c r="AC246" i="2"/>
  <c r="J68" i="2"/>
  <c r="Z168" i="2"/>
  <c r="M303" i="2"/>
  <c r="AE128" i="2"/>
  <c r="U221" i="3"/>
  <c r="U221" i="2" s="1"/>
  <c r="U222" i="2"/>
  <c r="AG396" i="2"/>
  <c r="I155" i="3"/>
  <c r="I156" i="2"/>
  <c r="AF249" i="2"/>
  <c r="J91" i="3"/>
  <c r="J91" i="2" s="1"/>
  <c r="J92" i="2"/>
  <c r="H170" i="2"/>
  <c r="S283" i="2"/>
  <c r="M143" i="2"/>
  <c r="AG246" i="2"/>
  <c r="J162" i="2"/>
  <c r="S249" i="2"/>
  <c r="Y127" i="2"/>
  <c r="W208" i="2"/>
  <c r="P318" i="2"/>
  <c r="M185" i="2"/>
  <c r="AK273" i="2"/>
  <c r="X195" i="2"/>
  <c r="AA290" i="2"/>
  <c r="AF285" i="2"/>
  <c r="AK250" i="2"/>
  <c r="Z378" i="2"/>
  <c r="V332" i="2"/>
  <c r="M309" i="2"/>
  <c r="M307" i="3"/>
  <c r="M307" i="2" s="1"/>
  <c r="M308" i="2"/>
  <c r="P295" i="2"/>
  <c r="AC291" i="2"/>
  <c r="M284" i="2"/>
  <c r="L304" i="2"/>
  <c r="T281" i="2"/>
  <c r="AF382" i="2"/>
  <c r="W377" i="2"/>
  <c r="H400" i="2"/>
  <c r="R381" i="2"/>
  <c r="M411" i="2"/>
  <c r="AB368" i="2"/>
  <c r="W347" i="2"/>
  <c r="AB349" i="3"/>
  <c r="AB349" i="2" s="1"/>
  <c r="AB350" i="2"/>
  <c r="AF357" i="2"/>
  <c r="AA363" i="2"/>
  <c r="G354" i="2"/>
  <c r="I395" i="2"/>
  <c r="AG408" i="2"/>
  <c r="F124" i="2"/>
  <c r="F109" i="2"/>
  <c r="F63" i="2"/>
  <c r="F270" i="2"/>
  <c r="T59" i="2"/>
  <c r="AA3" i="3"/>
  <c r="AA3" i="2" s="1"/>
  <c r="AA4" i="2"/>
  <c r="I163" i="2"/>
  <c r="L32" i="2"/>
  <c r="AH162" i="2"/>
  <c r="H62" i="2"/>
  <c r="U127" i="2"/>
  <c r="J231" i="2"/>
  <c r="I299" i="2"/>
  <c r="S254" i="2"/>
  <c r="AI398" i="2"/>
  <c r="X235" i="2"/>
  <c r="AA44" i="2"/>
  <c r="AI16" i="2"/>
  <c r="AK220" i="2"/>
  <c r="AB43" i="2"/>
  <c r="H37" i="2"/>
  <c r="Y180" i="2"/>
  <c r="P77" i="2"/>
  <c r="O17" i="2"/>
  <c r="Y268" i="2"/>
  <c r="Q57" i="2"/>
  <c r="R13" i="2"/>
  <c r="O250" i="2"/>
  <c r="M153" i="2"/>
  <c r="U68" i="2"/>
  <c r="I14" i="2"/>
  <c r="AA196" i="2"/>
  <c r="AD64" i="2"/>
  <c r="P327" i="2"/>
  <c r="N137" i="2"/>
  <c r="M48" i="3"/>
  <c r="M49" i="2"/>
  <c r="H232" i="2"/>
  <c r="AJ63" i="2"/>
  <c r="AE243" i="3"/>
  <c r="AE244" i="2"/>
  <c r="M71" i="2"/>
  <c r="W284" i="2"/>
  <c r="J225" i="2"/>
  <c r="N171" i="2"/>
  <c r="T105" i="2"/>
  <c r="Q303" i="2"/>
  <c r="AK228" i="2"/>
  <c r="Z121" i="2"/>
  <c r="Z273" i="2"/>
  <c r="Y57" i="2"/>
  <c r="H185" i="2"/>
  <c r="S8" i="2"/>
  <c r="Y101" i="2"/>
  <c r="H244" i="2"/>
  <c r="H243" i="3"/>
  <c r="U39" i="2"/>
  <c r="O151" i="2"/>
  <c r="S332" i="2"/>
  <c r="AH102" i="2"/>
  <c r="AL206" i="2"/>
  <c r="W39" i="2"/>
  <c r="I127" i="2"/>
  <c r="AH286" i="3"/>
  <c r="AH286" i="2" s="1"/>
  <c r="AH287" i="2"/>
  <c r="AI83" i="2"/>
  <c r="AA185" i="2"/>
  <c r="Z370" i="3"/>
  <c r="Z370" i="2" s="1"/>
  <c r="Z371" i="2"/>
  <c r="R114" i="2"/>
  <c r="X225" i="2"/>
  <c r="W111" i="2"/>
  <c r="H196" i="2"/>
  <c r="AA320" i="2"/>
  <c r="AA135" i="2"/>
  <c r="Y220" i="2"/>
  <c r="AD91" i="3"/>
  <c r="AD91" i="2" s="1"/>
  <c r="AD92" i="2"/>
  <c r="AF170" i="2"/>
  <c r="AH296" i="2"/>
  <c r="AA124" i="2"/>
  <c r="AH224" i="2"/>
  <c r="M145" i="2"/>
  <c r="AG226" i="2"/>
  <c r="G353" i="2"/>
  <c r="U186" i="2"/>
  <c r="AL285" i="2"/>
  <c r="AH165" i="2"/>
  <c r="I250" i="2"/>
  <c r="T178" i="3"/>
  <c r="T179" i="2"/>
  <c r="R263" i="2"/>
  <c r="AI265" i="3"/>
  <c r="AI266" i="2"/>
  <c r="AI228" i="2"/>
  <c r="X325" i="2"/>
  <c r="U297" i="2"/>
  <c r="AK284" i="2"/>
  <c r="J289" i="2"/>
  <c r="P277" i="2"/>
  <c r="W402" i="2"/>
  <c r="AJ393" i="2"/>
  <c r="AH361" i="2"/>
  <c r="R388" i="2"/>
  <c r="T353" i="2"/>
  <c r="Z347" i="2"/>
  <c r="AK366" i="2"/>
  <c r="AA356" i="2"/>
  <c r="K374" i="2"/>
  <c r="W342" i="2"/>
  <c r="AD326" i="2"/>
  <c r="T402" i="2"/>
  <c r="U336" i="2"/>
  <c r="P342" i="2"/>
  <c r="AA354" i="2"/>
  <c r="AE395" i="2"/>
  <c r="AE411" i="2"/>
  <c r="F223" i="2"/>
  <c r="F29" i="2"/>
  <c r="F158" i="2"/>
  <c r="F121" i="2"/>
  <c r="T15" i="2"/>
  <c r="N19" i="2"/>
  <c r="L207" i="2"/>
  <c r="AB198" i="2"/>
  <c r="M286" i="3"/>
  <c r="M286" i="2" s="1"/>
  <c r="M287" i="2"/>
  <c r="Z34" i="2"/>
  <c r="P101" i="2"/>
  <c r="S302" i="2"/>
  <c r="J274" i="2"/>
  <c r="AH217" i="2"/>
  <c r="P141" i="2"/>
  <c r="AK37" i="2"/>
  <c r="J36" i="2"/>
  <c r="H10" i="2"/>
  <c r="AA14" i="2"/>
  <c r="W335" i="2"/>
  <c r="AB51" i="2"/>
  <c r="AE53" i="2"/>
  <c r="AK54" i="2"/>
  <c r="P345" i="2"/>
  <c r="Z103" i="2"/>
  <c r="J53" i="2"/>
  <c r="I12" i="2"/>
  <c r="N226" i="2"/>
  <c r="L115" i="2"/>
  <c r="X82" i="2"/>
  <c r="M8" i="2"/>
  <c r="M175" i="2"/>
  <c r="R3" i="3"/>
  <c r="R3" i="2" s="1"/>
  <c r="R4" i="2"/>
  <c r="Q128" i="2"/>
  <c r="I11" i="2"/>
  <c r="AL147" i="2"/>
  <c r="K19" i="2"/>
  <c r="L162" i="2"/>
  <c r="U133" i="3"/>
  <c r="U134" i="2"/>
  <c r="O395" i="2"/>
  <c r="AD263" i="2"/>
  <c r="AC195" i="2"/>
  <c r="W140" i="2"/>
  <c r="Q304" i="2"/>
  <c r="U128" i="2"/>
  <c r="AG275" i="2"/>
  <c r="U58" i="2"/>
  <c r="Q186" i="2"/>
  <c r="H9" i="2"/>
  <c r="AD76" i="2"/>
  <c r="M205" i="2"/>
  <c r="Z22" i="2"/>
  <c r="AH122" i="2"/>
  <c r="Y273" i="2"/>
  <c r="I61" i="2"/>
  <c r="AK152" i="2"/>
  <c r="AD278" i="2"/>
  <c r="AG78" i="2"/>
  <c r="AI289" i="2"/>
  <c r="AB84" i="2"/>
  <c r="AB186" i="2"/>
  <c r="AG376" i="2"/>
  <c r="K115" i="2"/>
  <c r="V402" i="2"/>
  <c r="AE152" i="2"/>
  <c r="AH246" i="2"/>
  <c r="N97" i="2"/>
  <c r="J182" i="2"/>
  <c r="N279" i="2"/>
  <c r="W109" i="2"/>
  <c r="G201" i="2"/>
  <c r="G200" i="3"/>
  <c r="K344" i="2"/>
  <c r="AC144" i="2"/>
  <c r="G248" i="2"/>
  <c r="AI167" i="2"/>
  <c r="AJ250" i="2"/>
  <c r="AH128" i="2"/>
  <c r="AF209" i="2"/>
  <c r="G320" i="2"/>
  <c r="V186" i="2"/>
  <c r="AA281" i="2"/>
  <c r="I180" i="2"/>
  <c r="I265" i="3"/>
  <c r="I266" i="2"/>
  <c r="Z267" i="2"/>
  <c r="X229" i="2"/>
  <c r="AF326" i="2"/>
  <c r="V298" i="2"/>
  <c r="AE285" i="2"/>
  <c r="AE289" i="2"/>
  <c r="AK277" i="2"/>
  <c r="AB404" i="2"/>
  <c r="K394" i="2"/>
  <c r="S363" i="2"/>
  <c r="I402" i="2"/>
  <c r="R354" i="2"/>
  <c r="V348" i="2"/>
  <c r="U333" i="2"/>
  <c r="L333" i="2"/>
  <c r="AE388" i="2"/>
  <c r="J324" i="2"/>
  <c r="N398" i="2"/>
  <c r="W379" i="2"/>
  <c r="AD368" i="2"/>
  <c r="J359" i="2"/>
  <c r="U347" i="2"/>
  <c r="V408" i="2"/>
  <c r="Q410" i="2"/>
  <c r="F280" i="2"/>
  <c r="F287" i="2"/>
  <c r="F286" i="3"/>
  <c r="F286" i="2" s="1"/>
  <c r="F230" i="2"/>
  <c r="H28" i="2"/>
  <c r="S205" i="2"/>
  <c r="AJ257" i="2"/>
  <c r="AB163" i="2"/>
  <c r="AE233" i="2"/>
  <c r="Q406" i="2"/>
  <c r="AJ136" i="2"/>
  <c r="P238" i="2"/>
  <c r="AD12" i="2"/>
  <c r="J159" i="2"/>
  <c r="AJ76" i="2"/>
  <c r="Z218" i="2"/>
  <c r="M33" i="2"/>
  <c r="Y251" i="2"/>
  <c r="L53" i="2"/>
  <c r="AF75" i="2"/>
  <c r="L188" i="2"/>
  <c r="T97" i="2"/>
  <c r="U20" i="2"/>
  <c r="W277" i="2"/>
  <c r="R53" i="2"/>
  <c r="J59" i="2"/>
  <c r="AL22" i="2"/>
  <c r="W260" i="2"/>
  <c r="O157" i="2"/>
  <c r="AE71" i="2"/>
  <c r="H16" i="2"/>
  <c r="AL297" i="2"/>
  <c r="M106" i="2"/>
  <c r="AK22" i="2"/>
  <c r="O293" i="2"/>
  <c r="S84" i="2"/>
  <c r="AC236" i="2"/>
  <c r="AL65" i="2"/>
  <c r="AB227" i="2"/>
  <c r="J227" i="2"/>
  <c r="K225" i="2"/>
  <c r="AF151" i="2"/>
  <c r="Z97" i="2"/>
  <c r="X307" i="3"/>
  <c r="X307" i="2" s="1"/>
  <c r="X308" i="2"/>
  <c r="AB71" i="2"/>
  <c r="AB194" i="2"/>
  <c r="J16" i="2"/>
  <c r="N115" i="2"/>
  <c r="AI268" i="2"/>
  <c r="J51" i="2"/>
  <c r="T171" i="2"/>
  <c r="K7" i="2"/>
  <c r="AG123" i="2"/>
  <c r="AF275" i="2"/>
  <c r="AK78" i="2"/>
  <c r="AE183" i="2"/>
  <c r="AJ347" i="2"/>
  <c r="AK101" i="2"/>
  <c r="I216" i="2"/>
  <c r="G46" i="2"/>
  <c r="AH133" i="3"/>
  <c r="AH134" i="2"/>
  <c r="L303" i="2"/>
  <c r="AI115" i="2"/>
  <c r="K233" i="2"/>
  <c r="AF91" i="3"/>
  <c r="AF91" i="2" s="1"/>
  <c r="AF92" i="2"/>
  <c r="AI175" i="2"/>
  <c r="Y283" i="2"/>
  <c r="AL115" i="2"/>
  <c r="N204" i="2"/>
  <c r="K328" i="3"/>
  <c r="K328" i="2" s="1"/>
  <c r="K329" i="2"/>
  <c r="AC152" i="2"/>
  <c r="H255" i="2"/>
  <c r="J103" i="2"/>
  <c r="AH196" i="2"/>
  <c r="M347" i="2"/>
  <c r="AJ209" i="2"/>
  <c r="S313" i="2"/>
  <c r="AC169" i="2"/>
  <c r="S253" i="2"/>
  <c r="J145" i="2"/>
  <c r="N232" i="2"/>
  <c r="AJ376" i="2"/>
  <c r="M220" i="2"/>
  <c r="AH338" i="2"/>
  <c r="AI320" i="2"/>
  <c r="K272" i="2"/>
  <c r="AL250" i="2"/>
  <c r="V398" i="2"/>
  <c r="AJ356" i="2"/>
  <c r="AA343" i="2"/>
  <c r="G325" i="2"/>
  <c r="R320" i="2"/>
  <c r="S306" i="2"/>
  <c r="L331" i="2"/>
  <c r="R305" i="2"/>
  <c r="W301" i="2"/>
  <c r="AH313" i="2"/>
  <c r="X400" i="2"/>
  <c r="Q359" i="2"/>
  <c r="Y383" i="2"/>
  <c r="AF386" i="2"/>
  <c r="V404" i="2"/>
  <c r="AD359" i="2"/>
  <c r="N388" i="2"/>
  <c r="H411" i="2"/>
  <c r="F278" i="2"/>
  <c r="F332" i="2"/>
  <c r="F96" i="2"/>
  <c r="AL126" i="2"/>
  <c r="AB244" i="2"/>
  <c r="AB243" i="3"/>
  <c r="AH261" i="2"/>
  <c r="AI169" i="2"/>
  <c r="AB294" i="2"/>
  <c r="AB3" i="3"/>
  <c r="AB3" i="2" s="1"/>
  <c r="AB4" i="2"/>
  <c r="AI137" i="2"/>
  <c r="T30" i="2"/>
  <c r="X19" i="2"/>
  <c r="AL166" i="2"/>
  <c r="AI80" i="2"/>
  <c r="W227" i="2"/>
  <c r="N41" i="2"/>
  <c r="R272" i="2"/>
  <c r="AG281" i="2"/>
  <c r="P85" i="2"/>
  <c r="R121" i="2"/>
  <c r="AB322" i="2"/>
  <c r="L172" i="2"/>
  <c r="AH188" i="2"/>
  <c r="AF235" i="2"/>
  <c r="M22" i="2"/>
  <c r="O316" i="2"/>
  <c r="AH173" i="2"/>
  <c r="L95" i="2"/>
  <c r="AL31" i="2"/>
  <c r="L314" i="2"/>
  <c r="R149" i="2"/>
  <c r="U38" i="2"/>
  <c r="Y237" i="2"/>
  <c r="AE89" i="2"/>
  <c r="H6" i="2"/>
  <c r="AJ131" i="2"/>
  <c r="Z12" i="2"/>
  <c r="U150" i="2"/>
  <c r="O49" i="2"/>
  <c r="O48" i="3"/>
  <c r="AK229" i="2"/>
  <c r="K173" i="2"/>
  <c r="V134" i="2"/>
  <c r="V133" i="3"/>
  <c r="AA109" i="2"/>
  <c r="I312" i="2"/>
  <c r="K246" i="2"/>
  <c r="AJ45" i="2"/>
  <c r="AF163" i="2"/>
  <c r="Y375" i="2"/>
  <c r="AI89" i="2"/>
  <c r="J220" i="2"/>
  <c r="L31" i="2"/>
  <c r="AF139" i="2"/>
  <c r="Z298" i="2"/>
  <c r="AA98" i="2"/>
  <c r="S228" i="2"/>
  <c r="R62" i="2"/>
  <c r="AG184" i="2"/>
  <c r="AB351" i="2"/>
  <c r="AE107" i="2"/>
  <c r="K217" i="2"/>
  <c r="AA46" i="2"/>
  <c r="I135" i="2"/>
  <c r="S252" i="2"/>
  <c r="S71" i="2"/>
  <c r="AB172" i="2"/>
  <c r="AC326" i="2"/>
  <c r="W131" i="2"/>
  <c r="AI224" i="2"/>
  <c r="O82" i="2"/>
  <c r="P159" i="2"/>
  <c r="I253" i="2"/>
  <c r="AB94" i="2"/>
  <c r="S180" i="2"/>
  <c r="T301" i="2"/>
  <c r="AC126" i="2"/>
  <c r="Q227" i="2"/>
  <c r="K147" i="2"/>
  <c r="AJ228" i="2"/>
  <c r="R374" i="2"/>
  <c r="AI192" i="2"/>
  <c r="V289" i="2"/>
  <c r="AF167" i="2"/>
  <c r="Y252" i="2"/>
  <c r="W157" i="2"/>
  <c r="AD239" i="2"/>
  <c r="T250" i="2"/>
  <c r="T367" i="2"/>
  <c r="I302" i="2"/>
  <c r="U275" i="2"/>
  <c r="R261" i="2"/>
  <c r="AK267" i="2"/>
  <c r="M398" i="2"/>
  <c r="X364" i="2"/>
  <c r="H359" i="2"/>
  <c r="AK333" i="2"/>
  <c r="R357" i="2"/>
  <c r="H324" i="2"/>
  <c r="U320" i="2"/>
  <c r="AH341" i="2"/>
  <c r="AA334" i="2"/>
  <c r="AC390" i="2"/>
  <c r="S325" i="2"/>
  <c r="J400" i="2"/>
  <c r="M381" i="2"/>
  <c r="X393" i="2"/>
  <c r="AD348" i="2"/>
  <c r="Y356" i="2"/>
  <c r="AH393" i="2"/>
  <c r="F389" i="2"/>
  <c r="F274" i="2"/>
  <c r="F237" i="2"/>
  <c r="AF109" i="2"/>
  <c r="AL294" i="2"/>
  <c r="AL42" i="2"/>
  <c r="U37" i="2"/>
  <c r="V189" i="2"/>
  <c r="L36" i="2"/>
  <c r="AE20" i="2"/>
  <c r="H138" i="2"/>
  <c r="AH34" i="2"/>
  <c r="N28" i="2"/>
  <c r="G167" i="2"/>
  <c r="V86" i="2"/>
  <c r="N229" i="2"/>
  <c r="AK46" i="2"/>
  <c r="U302" i="2"/>
  <c r="V282" i="2"/>
  <c r="V88" i="2"/>
  <c r="Y196" i="2"/>
  <c r="L109" i="2"/>
  <c r="L22" i="2"/>
  <c r="X335" i="2"/>
  <c r="AI3" i="3"/>
  <c r="AI3" i="2" s="1"/>
  <c r="AI4" i="2"/>
  <c r="K112" i="3"/>
  <c r="K112" i="2" s="1"/>
  <c r="K113" i="2"/>
  <c r="N56" i="2"/>
  <c r="Y15" i="2"/>
  <c r="AA254" i="2"/>
  <c r="O122" i="2"/>
  <c r="Q52" i="2"/>
  <c r="V305" i="2"/>
  <c r="AE68" i="2"/>
  <c r="U387" i="2"/>
  <c r="AF6" i="2"/>
  <c r="O87" i="2"/>
  <c r="V337" i="2"/>
  <c r="H67" i="2"/>
  <c r="AD267" i="2"/>
  <c r="V50" i="2"/>
  <c r="AE168" i="2"/>
  <c r="S137" i="2"/>
  <c r="H286" i="3"/>
  <c r="H286" i="2" s="1"/>
  <c r="H287" i="2"/>
  <c r="H187" i="2"/>
  <c r="AD110" i="2"/>
  <c r="Q315" i="2"/>
  <c r="K248" i="2"/>
  <c r="K46" i="2"/>
  <c r="AL164" i="2"/>
  <c r="AE376" i="2"/>
  <c r="N117" i="2"/>
  <c r="O271" i="2"/>
  <c r="G52" i="2"/>
  <c r="I174" i="2"/>
  <c r="T8" i="2"/>
  <c r="AB99" i="2"/>
  <c r="Y229" i="2"/>
  <c r="AL62" i="2"/>
  <c r="M157" i="2"/>
  <c r="S284" i="2"/>
  <c r="R81" i="2"/>
  <c r="AL191" i="2"/>
  <c r="Q366" i="2"/>
  <c r="H107" i="2"/>
  <c r="V224" i="2"/>
  <c r="M55" i="2"/>
  <c r="V140" i="2"/>
  <c r="P266" i="2"/>
  <c r="P265" i="3"/>
  <c r="U115" i="2"/>
  <c r="J288" i="2"/>
  <c r="W120" i="2"/>
  <c r="G205" i="2"/>
  <c r="N331" i="2"/>
  <c r="O133" i="3"/>
  <c r="O134" i="2"/>
  <c r="V232" i="2"/>
  <c r="AG86" i="2"/>
  <c r="AH175" i="2"/>
  <c r="AA293" i="2"/>
  <c r="W188" i="2"/>
  <c r="AB282" i="2"/>
  <c r="AF152" i="2"/>
  <c r="AI234" i="2"/>
  <c r="AI150" i="2"/>
  <c r="Y233" i="2"/>
  <c r="S380" i="2"/>
  <c r="M221" i="3"/>
  <c r="M221" i="2" s="1"/>
  <c r="M222" i="2"/>
  <c r="M343" i="2"/>
  <c r="G322" i="2"/>
  <c r="AC273" i="2"/>
  <c r="L256" i="2"/>
  <c r="Y404" i="2"/>
  <c r="AL359" i="2"/>
  <c r="H346" i="2"/>
  <c r="AG326" i="2"/>
  <c r="J322" i="2"/>
  <c r="AE313" i="2"/>
  <c r="G332" i="2"/>
  <c r="G306" i="2"/>
  <c r="AF302" i="2"/>
  <c r="L315" i="2"/>
  <c r="J403" i="2"/>
  <c r="L361" i="2"/>
  <c r="O390" i="2"/>
  <c r="P401" i="2"/>
  <c r="AK381" i="2"/>
  <c r="X343" i="2"/>
  <c r="J349" i="3"/>
  <c r="J349" i="2" s="1"/>
  <c r="J350" i="2"/>
  <c r="N357" i="2"/>
  <c r="AL409" i="2"/>
  <c r="F152" i="2"/>
  <c r="F285" i="2"/>
  <c r="F182" i="2"/>
  <c r="F298" i="2"/>
  <c r="F105" i="2"/>
  <c r="F394" i="2"/>
  <c r="F144" i="2"/>
  <c r="F319" i="2"/>
  <c r="F17" i="2"/>
  <c r="F48" i="3"/>
  <c r="F49" i="2"/>
  <c r="F220" i="2"/>
  <c r="F11" i="2"/>
  <c r="F136" i="2"/>
  <c r="O111" i="2"/>
  <c r="AD36" i="2"/>
  <c r="AL175" i="2"/>
  <c r="AD99" i="2"/>
  <c r="AJ52" i="2"/>
  <c r="AF283" i="2"/>
  <c r="Z31" i="2"/>
  <c r="Q198" i="2"/>
  <c r="L63" i="2"/>
  <c r="P63" i="2"/>
  <c r="AC212" i="2"/>
  <c r="P129" i="2"/>
  <c r="AE286" i="3"/>
  <c r="AE286" i="2" s="1"/>
  <c r="AE287" i="2"/>
  <c r="S196" i="2"/>
  <c r="W11" i="2"/>
  <c r="K48" i="3"/>
  <c r="K49" i="2"/>
  <c r="AA65" i="2"/>
  <c r="R16" i="2"/>
  <c r="AH71" i="2"/>
  <c r="U217" i="2"/>
  <c r="U170" i="2"/>
  <c r="AC133" i="3"/>
  <c r="AC134" i="2"/>
  <c r="AE72" i="2"/>
  <c r="AL44" i="2"/>
  <c r="J21" i="2"/>
  <c r="N145" i="2"/>
  <c r="H319" i="2"/>
  <c r="AG50" i="2"/>
  <c r="O41" i="2"/>
  <c r="Z84" i="2"/>
  <c r="AG96" i="2"/>
  <c r="O81" i="2"/>
  <c r="M38" i="2"/>
  <c r="L375" i="2"/>
  <c r="AA73" i="2"/>
  <c r="AF194" i="2"/>
  <c r="AA111" i="2"/>
  <c r="AI148" i="2"/>
  <c r="U378" i="2"/>
  <c r="V107" i="2"/>
  <c r="G8" i="2"/>
  <c r="L38" i="2"/>
  <c r="AG35" i="2"/>
  <c r="K8" i="2"/>
  <c r="AD67" i="2"/>
  <c r="P229" i="2"/>
  <c r="AC96" i="2"/>
  <c r="AC101" i="2"/>
  <c r="U107" i="2"/>
  <c r="W73" i="2"/>
  <c r="AK16" i="2"/>
  <c r="AC5" i="2"/>
  <c r="AL220" i="2"/>
  <c r="V55" i="2"/>
  <c r="AK150" i="2"/>
  <c r="H318" i="2"/>
  <c r="AH117" i="2"/>
  <c r="V62" i="2"/>
  <c r="W311" i="2"/>
  <c r="Y214" i="2"/>
  <c r="K128" i="2"/>
  <c r="W23" i="2"/>
  <c r="AL73" i="2"/>
  <c r="M131" i="2"/>
  <c r="H233" i="2"/>
  <c r="H13" i="2"/>
  <c r="M124" i="2"/>
  <c r="AD15" i="2"/>
  <c r="G172" i="2"/>
  <c r="U155" i="3"/>
  <c r="U156" i="2"/>
  <c r="X35" i="2"/>
  <c r="O253" i="2"/>
  <c r="AG28" i="2"/>
  <c r="H76" i="2"/>
  <c r="Z135" i="2"/>
  <c r="R206" i="2"/>
  <c r="R339" i="2"/>
  <c r="R97" i="2"/>
  <c r="W38" i="2"/>
  <c r="O277" i="2"/>
  <c r="X115" i="2"/>
  <c r="AF15" i="2"/>
  <c r="Y205" i="2"/>
  <c r="I30" i="2"/>
  <c r="X66" i="2"/>
  <c r="AE135" i="2"/>
  <c r="Z224" i="2"/>
  <c r="M356" i="2"/>
  <c r="AC29" i="2"/>
  <c r="K62" i="2"/>
  <c r="AE119" i="2"/>
  <c r="AA189" i="2"/>
  <c r="T328" i="3"/>
  <c r="T328" i="2" s="1"/>
  <c r="T329" i="2"/>
  <c r="G19" i="2"/>
  <c r="AE61" i="2"/>
  <c r="K105" i="2"/>
  <c r="X173" i="2"/>
  <c r="AF271" i="2"/>
  <c r="AF9" i="2"/>
  <c r="AD43" i="2"/>
  <c r="H80" i="2"/>
  <c r="AJ142" i="2"/>
  <c r="O230" i="2"/>
  <c r="AA353" i="2"/>
  <c r="N57" i="2"/>
  <c r="K106" i="2"/>
  <c r="Z161" i="2"/>
  <c r="U228" i="2"/>
  <c r="K326" i="2"/>
  <c r="M15" i="2"/>
  <c r="W44" i="2"/>
  <c r="AG73" i="2"/>
  <c r="AH131" i="2"/>
  <c r="R191" i="2"/>
  <c r="M274" i="2"/>
  <c r="Z3" i="3"/>
  <c r="Z3" i="2" s="1"/>
  <c r="Z4" i="2"/>
  <c r="T28" i="2"/>
  <c r="AD63" i="2"/>
  <c r="O98" i="2"/>
  <c r="J172" i="2"/>
  <c r="AE234" i="2"/>
  <c r="AK344" i="2"/>
  <c r="I10" i="2"/>
  <c r="G31" i="2"/>
  <c r="AI63" i="2"/>
  <c r="Y95" i="2"/>
  <c r="L150" i="2"/>
  <c r="AF197" i="2"/>
  <c r="X262" i="2"/>
  <c r="I360" i="2"/>
  <c r="AA16" i="2"/>
  <c r="AE45" i="2"/>
  <c r="L71" i="2"/>
  <c r="K117" i="2"/>
  <c r="AJ161" i="2"/>
  <c r="AC222" i="2"/>
  <c r="AC221" i="3"/>
  <c r="AC221" i="2" s="1"/>
  <c r="AE274" i="2"/>
  <c r="T3" i="3"/>
  <c r="T3" i="2" s="1"/>
  <c r="T4" i="2"/>
  <c r="P30" i="2"/>
  <c r="AD54" i="2"/>
  <c r="Q87" i="2"/>
  <c r="W128" i="2"/>
  <c r="AF190" i="2"/>
  <c r="O239" i="2"/>
  <c r="V317" i="2"/>
  <c r="L108" i="2"/>
  <c r="AI141" i="2"/>
  <c r="AI193" i="2"/>
  <c r="K236" i="2"/>
  <c r="O315" i="2"/>
  <c r="R105" i="2"/>
  <c r="AJ141" i="2"/>
  <c r="AJ193" i="2"/>
  <c r="W234" i="2"/>
  <c r="I290" i="2"/>
  <c r="J362" i="2"/>
  <c r="V124" i="2"/>
  <c r="AK162" i="2"/>
  <c r="AA207" i="2"/>
  <c r="Z266" i="2"/>
  <c r="Z265" i="3"/>
  <c r="X327" i="2"/>
  <c r="AE112" i="3"/>
  <c r="AE112" i="2" s="1"/>
  <c r="AE113" i="2"/>
  <c r="AG151" i="2"/>
  <c r="AB207" i="2"/>
  <c r="AE254" i="2"/>
  <c r="Y327" i="2"/>
  <c r="AI14" i="2"/>
  <c r="Y30" i="2"/>
  <c r="U54" i="2"/>
  <c r="AE75" i="2"/>
  <c r="J108" i="2"/>
  <c r="X137" i="2"/>
  <c r="AK168" i="2"/>
  <c r="W209" i="2"/>
  <c r="AB301" i="2"/>
  <c r="AA405" i="2"/>
  <c r="AG23" i="2"/>
  <c r="AG41" i="2"/>
  <c r="O64" i="2"/>
  <c r="M95" i="2"/>
  <c r="W121" i="2"/>
  <c r="AG160" i="2"/>
  <c r="Y194" i="2"/>
  <c r="S235" i="2"/>
  <c r="AH280" i="2"/>
  <c r="M352" i="2"/>
  <c r="T17" i="2"/>
  <c r="S34" i="2"/>
  <c r="J60" i="2"/>
  <c r="AF83" i="2"/>
  <c r="R116" i="2"/>
  <c r="AI145" i="2"/>
  <c r="H181" i="2"/>
  <c r="AJ221" i="3"/>
  <c r="AJ221" i="2" s="1"/>
  <c r="AJ222" i="2"/>
  <c r="H256" i="2"/>
  <c r="AI337" i="2"/>
  <c r="AL10" i="2"/>
  <c r="M31" i="2"/>
  <c r="K51" i="2"/>
  <c r="V72" i="2"/>
  <c r="AH103" i="2"/>
  <c r="T128" i="2"/>
  <c r="AJ168" i="2"/>
  <c r="P200" i="3"/>
  <c r="P201" i="2"/>
  <c r="AH288" i="2"/>
  <c r="L353" i="2"/>
  <c r="AJ64" i="2"/>
  <c r="AL87" i="2"/>
  <c r="U109" i="2"/>
  <c r="L135" i="2"/>
  <c r="O161" i="2"/>
  <c r="AI188" i="2"/>
  <c r="S219" i="2"/>
  <c r="X249" i="2"/>
  <c r="Y303" i="2"/>
  <c r="Z366" i="2"/>
  <c r="Q48" i="3"/>
  <c r="Q49" i="2"/>
  <c r="U65" i="2"/>
  <c r="AA84" i="2"/>
  <c r="G111" i="2"/>
  <c r="AH135" i="2"/>
  <c r="S167" i="2"/>
  <c r="G194" i="2"/>
  <c r="AD229" i="2"/>
  <c r="AD257" i="2"/>
  <c r="H301" i="2"/>
  <c r="J382" i="2"/>
  <c r="G50" i="2"/>
  <c r="R71" i="2"/>
  <c r="AH115" i="2"/>
  <c r="Y139" i="2"/>
  <c r="S165" i="2"/>
  <c r="Y200" i="3"/>
  <c r="Y201" i="2"/>
  <c r="AB228" i="2"/>
  <c r="P269" i="2"/>
  <c r="N319" i="2"/>
  <c r="Y39" i="2"/>
  <c r="AE57" i="2"/>
  <c r="Z74" i="2"/>
  <c r="Y99" i="2"/>
  <c r="AJ120" i="2"/>
  <c r="Z150" i="2"/>
  <c r="P178" i="3"/>
  <c r="P179" i="2"/>
  <c r="AJ212" i="2"/>
  <c r="AI239" i="2"/>
  <c r="G271" i="2"/>
  <c r="U340" i="2"/>
  <c r="AE79" i="2"/>
  <c r="X100" i="2"/>
  <c r="H118" i="2"/>
  <c r="L140" i="2"/>
  <c r="V159" i="2"/>
  <c r="M182" i="2"/>
  <c r="Z207" i="2"/>
  <c r="K229" i="2"/>
  <c r="N258" i="2"/>
  <c r="AK293" i="2"/>
  <c r="AE352" i="2"/>
  <c r="V85" i="2"/>
  <c r="AD101" i="2"/>
  <c r="N123" i="2"/>
  <c r="X141" i="2"/>
  <c r="X167" i="2"/>
  <c r="AB187" i="2"/>
  <c r="Q212" i="2"/>
  <c r="P233" i="2"/>
  <c r="J257" i="2"/>
  <c r="AF296" i="2"/>
  <c r="X338" i="2"/>
  <c r="AL80" i="2"/>
  <c r="AI97" i="2"/>
  <c r="O119" i="2"/>
  <c r="J137" i="2"/>
  <c r="AE157" i="2"/>
  <c r="V184" i="2"/>
  <c r="R212" i="2"/>
  <c r="AJ235" i="2"/>
  <c r="AD270" i="2"/>
  <c r="AH309" i="2"/>
  <c r="AG383" i="2"/>
  <c r="T89" i="2"/>
  <c r="V111" i="2"/>
  <c r="J130" i="2"/>
  <c r="H157" i="2"/>
  <c r="T180" i="2"/>
  <c r="S208" i="2"/>
  <c r="AC231" i="2"/>
  <c r="N261" i="2"/>
  <c r="U307" i="3"/>
  <c r="U307" i="2" s="1"/>
  <c r="U308" i="2"/>
  <c r="P367" i="2"/>
  <c r="T172" i="2"/>
  <c r="Z195" i="2"/>
  <c r="AF213" i="2"/>
  <c r="T236" i="2"/>
  <c r="AK255" i="2"/>
  <c r="Z288" i="2"/>
  <c r="K320" i="2"/>
  <c r="M389" i="2"/>
  <c r="J133" i="3"/>
  <c r="J134" i="2"/>
  <c r="L156" i="2"/>
  <c r="L155" i="3"/>
  <c r="R178" i="3"/>
  <c r="R179" i="2"/>
  <c r="K196" i="2"/>
  <c r="AG218" i="2"/>
  <c r="AA237" i="2"/>
  <c r="AK265" i="3"/>
  <c r="AK266" i="2"/>
  <c r="L295" i="2"/>
  <c r="AG342" i="2"/>
  <c r="AG403" i="2"/>
  <c r="V153" i="2"/>
  <c r="H171" i="2"/>
  <c r="AH194" i="2"/>
  <c r="AC213" i="2"/>
  <c r="Q236" i="2"/>
  <c r="T262" i="2"/>
  <c r="W289" i="2"/>
  <c r="H335" i="2"/>
  <c r="J389" i="2"/>
  <c r="O165" i="2"/>
  <c r="AJ183" i="2"/>
  <c r="AA206" i="2"/>
  <c r="AE224" i="2"/>
  <c r="AG247" i="2"/>
  <c r="AF272" i="2"/>
  <c r="AE310" i="2"/>
  <c r="J351" i="2"/>
  <c r="G253" i="2"/>
  <c r="AJ277" i="2"/>
  <c r="Q301" i="2"/>
  <c r="S335" i="2"/>
  <c r="AK378" i="2"/>
  <c r="AJ237" i="2"/>
  <c r="AE256" i="2"/>
  <c r="J283" i="2"/>
  <c r="AH305" i="2"/>
  <c r="AK348" i="2"/>
  <c r="Y397" i="2"/>
  <c r="AD258" i="2"/>
  <c r="AC279" i="2"/>
  <c r="L311" i="2"/>
  <c r="AH356" i="2"/>
  <c r="L247" i="2"/>
  <c r="Y270" i="2"/>
  <c r="AI292" i="2"/>
  <c r="AL326" i="2"/>
  <c r="T365" i="2"/>
  <c r="S275" i="2"/>
  <c r="G294" i="2"/>
  <c r="S321" i="2"/>
  <c r="L352" i="2"/>
  <c r="N407" i="2"/>
  <c r="H282" i="2"/>
  <c r="Q306" i="2"/>
  <c r="N337" i="2"/>
  <c r="AF373" i="2"/>
  <c r="U283" i="2"/>
  <c r="X302" i="2"/>
  <c r="J332" i="2"/>
  <c r="K366" i="2"/>
  <c r="Y272" i="2"/>
  <c r="I291" i="2"/>
  <c r="AL316" i="2"/>
  <c r="W338" i="2"/>
  <c r="L383" i="2"/>
  <c r="AB310" i="2"/>
  <c r="AK334" i="2"/>
  <c r="AE370" i="3"/>
  <c r="AE370" i="2" s="1"/>
  <c r="AE371" i="2"/>
  <c r="AF269" i="2"/>
  <c r="AF291" i="2"/>
  <c r="P309" i="2"/>
  <c r="K334" i="2"/>
  <c r="O361" i="2"/>
  <c r="H405" i="2"/>
  <c r="S305" i="2"/>
  <c r="Q330" i="2"/>
  <c r="O356" i="2"/>
  <c r="AI396" i="2"/>
  <c r="AD317" i="2"/>
  <c r="AA346" i="2"/>
  <c r="T385" i="2"/>
  <c r="S379" i="2"/>
  <c r="AA319" i="2"/>
  <c r="AJ338" i="2"/>
  <c r="AL366" i="2"/>
  <c r="AB390" i="2"/>
  <c r="G370" i="3"/>
  <c r="G370" i="2" s="1"/>
  <c r="G371" i="2"/>
  <c r="AC396" i="2"/>
  <c r="AG389" i="2"/>
  <c r="AL367" i="2"/>
  <c r="W395" i="2"/>
  <c r="Q328" i="3"/>
  <c r="Q328" i="2" s="1"/>
  <c r="Q329" i="2"/>
  <c r="AH354" i="2"/>
  <c r="G381" i="2"/>
  <c r="Q405" i="2"/>
  <c r="O399" i="2"/>
  <c r="O333" i="2"/>
  <c r="M362" i="2"/>
  <c r="P385" i="2"/>
  <c r="AL338" i="2"/>
  <c r="V356" i="2"/>
  <c r="K379" i="2"/>
  <c r="L397" i="2"/>
  <c r="K346" i="2"/>
  <c r="Z363" i="2"/>
  <c r="O386" i="2"/>
  <c r="M335" i="2"/>
  <c r="AB352" i="2"/>
  <c r="Q375" i="2"/>
  <c r="AI391" i="3"/>
  <c r="AI391" i="2" s="1"/>
  <c r="AI392" i="2"/>
  <c r="Q342" i="2"/>
  <c r="AF359" i="2"/>
  <c r="U382" i="2"/>
  <c r="M401" i="2"/>
  <c r="AK410" i="2"/>
  <c r="J397" i="2"/>
  <c r="AC399" i="2"/>
  <c r="AJ411" i="2"/>
  <c r="AJ223" i="2"/>
  <c r="G315" i="2"/>
  <c r="H105" i="2"/>
  <c r="R164" i="2"/>
  <c r="W232" i="2"/>
  <c r="V331" i="2"/>
  <c r="G175" i="2"/>
  <c r="P230" i="2"/>
  <c r="AF298" i="2"/>
  <c r="AD133" i="3"/>
  <c r="AD134" i="2"/>
  <c r="J187" i="2"/>
  <c r="R240" i="2"/>
  <c r="L326" i="2"/>
  <c r="I160" i="2"/>
  <c r="R214" i="2"/>
  <c r="AJ274" i="2"/>
  <c r="AF407" i="2"/>
  <c r="J213" i="2"/>
  <c r="AL274" i="2"/>
  <c r="AJ352" i="2"/>
  <c r="AL272" i="2"/>
  <c r="AE325" i="2"/>
  <c r="U246" i="2"/>
  <c r="K309" i="2"/>
  <c r="G251" i="2"/>
  <c r="AD318" i="2"/>
  <c r="AD279" i="2"/>
  <c r="W373" i="2"/>
  <c r="P312" i="2"/>
  <c r="AE269" i="2"/>
  <c r="AH330" i="2"/>
  <c r="T292" i="2"/>
  <c r="AG373" i="2"/>
  <c r="AI307" i="3"/>
  <c r="AI307" i="2" s="1"/>
  <c r="AI308" i="2"/>
  <c r="J396" i="2"/>
  <c r="X362" i="2"/>
  <c r="W312" i="2"/>
  <c r="Y389" i="2"/>
  <c r="AB337" i="2"/>
  <c r="T318" i="2"/>
  <c r="H402" i="2"/>
  <c r="AD342" i="2"/>
  <c r="H362" i="2"/>
  <c r="P378" i="2"/>
  <c r="V384" i="2"/>
  <c r="X360" i="2"/>
  <c r="AK390" i="2"/>
  <c r="L372" i="2"/>
  <c r="T358" i="2"/>
  <c r="AL351" i="2"/>
  <c r="AI405" i="2"/>
  <c r="I383" i="2"/>
  <c r="S362" i="2"/>
  <c r="K404" i="2"/>
  <c r="AD411" i="2"/>
  <c r="F194" i="2"/>
  <c r="F148" i="2"/>
  <c r="F277" i="2"/>
  <c r="F50" i="2"/>
  <c r="F104" i="2"/>
  <c r="S79" i="2"/>
  <c r="V37" i="2"/>
  <c r="U12" i="2"/>
  <c r="K207" i="2"/>
  <c r="J76" i="2"/>
  <c r="U99" i="2"/>
  <c r="AC72" i="2"/>
  <c r="O63" i="2"/>
  <c r="AE78" i="2"/>
  <c r="AI180" i="2"/>
  <c r="G60" i="2"/>
  <c r="AL173" i="2"/>
  <c r="AH398" i="2"/>
  <c r="O19" i="2"/>
  <c r="K166" i="2"/>
  <c r="S61" i="2"/>
  <c r="AJ317" i="2"/>
  <c r="Q182" i="2"/>
  <c r="H151" i="2"/>
  <c r="AD19" i="2"/>
  <c r="AA48" i="3"/>
  <c r="AA49" i="2"/>
  <c r="R85" i="2"/>
  <c r="AL102" i="2"/>
  <c r="AK56" i="2"/>
  <c r="AH7" i="2"/>
  <c r="J148" i="2"/>
  <c r="AE146" i="2"/>
  <c r="T77" i="2"/>
  <c r="AC14" i="2"/>
  <c r="L169" i="2"/>
  <c r="I38" i="2"/>
  <c r="AA201" i="2"/>
  <c r="AA200" i="3"/>
  <c r="J178" i="3"/>
  <c r="J179" i="2"/>
  <c r="AL32" i="2"/>
  <c r="X186" i="2"/>
  <c r="O35" i="2"/>
  <c r="AG174" i="2"/>
  <c r="I16" i="2"/>
  <c r="I153" i="2"/>
  <c r="R11" i="2"/>
  <c r="O104" i="2"/>
  <c r="G314" i="2"/>
  <c r="U52" i="2"/>
  <c r="S172" i="2"/>
  <c r="L389" i="2"/>
  <c r="R74" i="2"/>
  <c r="AF208" i="2"/>
  <c r="J20" i="2"/>
  <c r="M102" i="2"/>
  <c r="K254" i="2"/>
  <c r="G145" i="2"/>
  <c r="AB292" i="2"/>
  <c r="Y174" i="2"/>
  <c r="P315" i="2"/>
  <c r="AC174" i="2"/>
  <c r="S341" i="2"/>
  <c r="J196" i="2"/>
  <c r="AF7" i="2"/>
  <c r="V63" i="2"/>
  <c r="AK145" i="2"/>
  <c r="V247" i="2"/>
  <c r="Q19" i="2"/>
  <c r="AK84" i="2"/>
  <c r="S175" i="2"/>
  <c r="R293" i="2"/>
  <c r="R36" i="2"/>
  <c r="H108" i="2"/>
  <c r="K208" i="2"/>
  <c r="AI384" i="2"/>
  <c r="J56" i="2"/>
  <c r="AC131" i="2"/>
  <c r="AI233" i="2"/>
  <c r="P40" i="2"/>
  <c r="L97" i="2"/>
  <c r="AB168" i="2"/>
  <c r="AH253" i="2"/>
  <c r="H44" i="2"/>
  <c r="AD102" i="2"/>
  <c r="P180" i="2"/>
  <c r="AJ302" i="2"/>
  <c r="AG64" i="2"/>
  <c r="J127" i="2"/>
  <c r="AK210" i="2"/>
  <c r="AE400" i="2"/>
  <c r="N92" i="2"/>
  <c r="N91" i="3"/>
  <c r="N91" i="2" s="1"/>
  <c r="P162" i="2"/>
  <c r="O248" i="2"/>
  <c r="AC81" i="2"/>
  <c r="H135" i="2"/>
  <c r="V198" i="2"/>
  <c r="W273" i="2"/>
  <c r="AL89" i="2"/>
  <c r="AH143" i="2"/>
  <c r="W207" i="2"/>
  <c r="AK281" i="2"/>
  <c r="K101" i="2"/>
  <c r="X158" i="2"/>
  <c r="AF224" i="2"/>
  <c r="AC316" i="2"/>
  <c r="AB105" i="2"/>
  <c r="K165" i="2"/>
  <c r="AH249" i="2"/>
  <c r="AE396" i="2"/>
  <c r="U190" i="2"/>
  <c r="N243" i="3"/>
  <c r="N244" i="2"/>
  <c r="AB324" i="2"/>
  <c r="AA147" i="2"/>
  <c r="I202" i="2"/>
  <c r="S257" i="2"/>
  <c r="AG360" i="2"/>
  <c r="AK172" i="2"/>
  <c r="K228" i="2"/>
  <c r="G275" i="2"/>
  <c r="AI354" i="2"/>
  <c r="L187" i="2"/>
  <c r="K241" i="2"/>
  <c r="AE322" i="2"/>
  <c r="G273" i="2"/>
  <c r="V355" i="2"/>
  <c r="AL259" i="2"/>
  <c r="AC333" i="2"/>
  <c r="V281" i="2"/>
  <c r="Q383" i="2"/>
  <c r="Y280" i="2"/>
  <c r="AB376" i="2"/>
  <c r="I313" i="2"/>
  <c r="V270" i="2"/>
  <c r="AL331" i="2"/>
  <c r="M293" i="2"/>
  <c r="N374" i="2"/>
  <c r="G324" i="2"/>
  <c r="AK311" i="2"/>
  <c r="AE391" i="3"/>
  <c r="AE391" i="2" s="1"/>
  <c r="AE392" i="2"/>
  <c r="L313" i="2"/>
  <c r="Z390" i="2"/>
  <c r="AB338" i="2"/>
  <c r="K319" i="2"/>
  <c r="AE403" i="2"/>
  <c r="AD343" i="2"/>
  <c r="N363" i="2"/>
  <c r="AB369" i="2"/>
  <c r="AL344" i="2"/>
  <c r="T375" i="2"/>
  <c r="AC355" i="2"/>
  <c r="U345" i="2"/>
  <c r="T399" i="2"/>
  <c r="W378" i="2"/>
  <c r="M357" i="2"/>
  <c r="N397" i="2"/>
  <c r="AA376" i="2"/>
  <c r="J406" i="2"/>
  <c r="Z392" i="2"/>
  <c r="Z391" i="3"/>
  <c r="Z391" i="2" s="1"/>
  <c r="F320" i="2"/>
  <c r="F95" i="2"/>
  <c r="F360" i="2"/>
  <c r="F210" i="2"/>
  <c r="F263" i="2"/>
  <c r="AE129" i="2"/>
  <c r="H7" i="2"/>
  <c r="M340" i="2"/>
  <c r="V214" i="2"/>
  <c r="M32" i="2"/>
  <c r="AD52" i="2"/>
  <c r="AI39" i="2"/>
  <c r="U309" i="2"/>
  <c r="AD186" i="2"/>
  <c r="O7" i="2"/>
  <c r="O296" i="2"/>
  <c r="AI96" i="2"/>
  <c r="AJ238" i="2"/>
  <c r="N235" i="2"/>
  <c r="AF238" i="2"/>
  <c r="Z33" i="2"/>
  <c r="I190" i="2"/>
  <c r="N102" i="2"/>
  <c r="R333" i="2"/>
  <c r="S256" i="2"/>
  <c r="AH142" i="2"/>
  <c r="U241" i="2"/>
  <c r="H144" i="2"/>
  <c r="G103" i="2"/>
  <c r="T66" i="2"/>
  <c r="AJ8" i="2"/>
  <c r="K152" i="2"/>
  <c r="R151" i="2"/>
  <c r="V82" i="2"/>
  <c r="AL15" i="2"/>
  <c r="O172" i="2"/>
  <c r="T65" i="2"/>
  <c r="M289" i="2"/>
  <c r="AI81" i="2"/>
  <c r="K314" i="2"/>
  <c r="AC87" i="2"/>
  <c r="AL364" i="2"/>
  <c r="AC89" i="2"/>
  <c r="L274" i="2"/>
  <c r="G56" i="2"/>
  <c r="G203" i="2"/>
  <c r="S30" i="2"/>
  <c r="W150" i="2"/>
  <c r="L384" i="2"/>
  <c r="AJ101" i="2"/>
  <c r="R247" i="2"/>
  <c r="AK35" i="2"/>
  <c r="N136" i="2"/>
  <c r="N305" i="2"/>
  <c r="AD58" i="2"/>
  <c r="P257" i="2"/>
  <c r="Z146" i="2"/>
  <c r="U296" i="2"/>
  <c r="AK179" i="2"/>
  <c r="AK178" i="3"/>
  <c r="R319" i="2"/>
  <c r="T211" i="2"/>
  <c r="U101" i="2"/>
  <c r="AC232" i="2"/>
  <c r="R21" i="2"/>
  <c r="AH81" i="2"/>
  <c r="AH171" i="2"/>
  <c r="AH332" i="2"/>
  <c r="AG65" i="2"/>
  <c r="O148" i="2"/>
  <c r="G256" i="2"/>
  <c r="N23" i="2"/>
  <c r="H89" i="2"/>
  <c r="AK183" i="2"/>
  <c r="AC306" i="2"/>
  <c r="K41" i="2"/>
  <c r="N112" i="3"/>
  <c r="N112" i="2" s="1"/>
  <c r="N113" i="2"/>
  <c r="V209" i="2"/>
  <c r="T357" i="2"/>
  <c r="S82" i="2"/>
  <c r="W147" i="2"/>
  <c r="G230" i="2"/>
  <c r="X330" i="2"/>
  <c r="Q71" i="2"/>
  <c r="AI159" i="2"/>
  <c r="U272" i="2"/>
  <c r="Y52" i="2"/>
  <c r="O110" i="2"/>
  <c r="AG189" i="2"/>
  <c r="AJ289" i="2"/>
  <c r="P62" i="2"/>
  <c r="U124" i="2"/>
  <c r="AG207" i="2"/>
  <c r="AG316" i="2"/>
  <c r="S95" i="2"/>
  <c r="W149" i="2"/>
  <c r="L275" i="2"/>
  <c r="AA144" i="2"/>
  <c r="Q208" i="2"/>
  <c r="Q283" i="2"/>
  <c r="AH411" i="2"/>
  <c r="H128" i="2"/>
  <c r="K191" i="2"/>
  <c r="P262" i="2"/>
  <c r="S80" i="2"/>
  <c r="P133" i="3"/>
  <c r="P134" i="2"/>
  <c r="Y216" i="2"/>
  <c r="AE299" i="2"/>
  <c r="H164" i="2"/>
  <c r="AB217" i="2"/>
  <c r="M277" i="2"/>
  <c r="I123" i="2"/>
  <c r="N174" i="2"/>
  <c r="AE228" i="2"/>
  <c r="H302" i="2"/>
  <c r="AB147" i="2"/>
  <c r="I189" i="2"/>
  <c r="AH241" i="2"/>
  <c r="AC298" i="2"/>
  <c r="AD160" i="2"/>
  <c r="S214" i="2"/>
  <c r="AK275" i="2"/>
  <c r="AF399" i="2"/>
  <c r="AK306" i="2"/>
  <c r="I234" i="2"/>
  <c r="AG292" i="2"/>
  <c r="AB407" i="2"/>
  <c r="O301" i="2"/>
  <c r="Q252" i="2"/>
  <c r="AF318" i="2"/>
  <c r="X283" i="2"/>
  <c r="AI356" i="2"/>
  <c r="M298" i="2"/>
  <c r="AA384" i="2"/>
  <c r="AJ325" i="2"/>
  <c r="AA294" i="2"/>
  <c r="AB367" i="2"/>
  <c r="AG343" i="2"/>
  <c r="AJ286" i="3"/>
  <c r="AJ286" i="2" s="1"/>
  <c r="AJ287" i="2"/>
  <c r="W346" i="2"/>
  <c r="Q309" i="2"/>
  <c r="S385" i="2"/>
  <c r="AF319" i="2"/>
  <c r="AI378" i="2"/>
  <c r="O408" i="2"/>
  <c r="G362" i="2"/>
  <c r="M380" i="2"/>
  <c r="P370" i="3"/>
  <c r="P370" i="2" s="1"/>
  <c r="P371" i="2"/>
  <c r="G345" i="2"/>
  <c r="O376" i="2"/>
  <c r="Z356" i="2"/>
  <c r="J346" i="2"/>
  <c r="L400" i="2"/>
  <c r="L379" i="2"/>
  <c r="N344" i="2"/>
  <c r="AK397" i="2"/>
  <c r="P377" i="2"/>
  <c r="AD406" i="2"/>
  <c r="Q409" i="2"/>
  <c r="F69" i="3"/>
  <c r="F70" i="2"/>
  <c r="F400" i="2"/>
  <c r="F56" i="2"/>
  <c r="F202" i="2"/>
  <c r="F299" i="2"/>
  <c r="F288" i="2"/>
  <c r="F331" i="2"/>
  <c r="F82" i="2"/>
  <c r="F190" i="2"/>
  <c r="F362" i="2"/>
  <c r="F16" i="2"/>
  <c r="F116" i="2"/>
  <c r="F340" i="2"/>
  <c r="F253" i="2"/>
  <c r="F171" i="2"/>
  <c r="F60" i="2"/>
  <c r="F108" i="2"/>
  <c r="F125" i="2"/>
  <c r="F164" i="2"/>
  <c r="AA23" i="2"/>
  <c r="Z26" i="3"/>
  <c r="Z27" i="2"/>
  <c r="AK52" i="2"/>
  <c r="H165" i="2"/>
  <c r="AI157" i="2"/>
  <c r="Z136" i="2"/>
  <c r="AD136" i="2"/>
  <c r="I29" i="2"/>
  <c r="I117" i="2"/>
  <c r="Y31" i="2"/>
  <c r="AK39" i="2"/>
  <c r="L21" i="2"/>
  <c r="N21" i="2"/>
  <c r="AB104" i="2"/>
  <c r="J222" i="2"/>
  <c r="J221" i="3"/>
  <c r="J221" i="2" s="1"/>
  <c r="AK6" i="2"/>
  <c r="AG225" i="2"/>
  <c r="V16" i="2"/>
  <c r="Z163" i="2"/>
  <c r="AH345" i="2"/>
  <c r="AI152" i="2"/>
  <c r="AD61" i="2"/>
  <c r="AB6" i="2"/>
  <c r="V141" i="2"/>
  <c r="AF133" i="3"/>
  <c r="AF134" i="2"/>
  <c r="P71" i="2"/>
  <c r="U213" i="2"/>
  <c r="N217" i="2"/>
  <c r="Z111" i="2"/>
  <c r="AJ72" i="2"/>
  <c r="G40" i="2"/>
  <c r="AL260" i="2"/>
  <c r="Z68" i="2"/>
  <c r="AH310" i="2"/>
  <c r="AF93" i="2"/>
  <c r="S408" i="2"/>
  <c r="AE99" i="2"/>
  <c r="R187" i="2"/>
  <c r="L9" i="2"/>
  <c r="O76" i="2"/>
  <c r="Q189" i="2"/>
  <c r="N7" i="2"/>
  <c r="Z9" i="2"/>
  <c r="H183" i="2"/>
  <c r="AH80" i="2"/>
  <c r="S14" i="2"/>
  <c r="AL7" i="2"/>
  <c r="AI184" i="2"/>
  <c r="R51" i="2"/>
  <c r="P273" i="2"/>
  <c r="M97" i="2"/>
  <c r="N403" i="2"/>
  <c r="T41" i="2"/>
  <c r="AK107" i="2"/>
  <c r="X37" i="2"/>
  <c r="K54" i="2"/>
  <c r="V238" i="2"/>
  <c r="M54" i="2"/>
  <c r="AH184" i="2"/>
  <c r="Q17" i="2"/>
  <c r="U251" i="2"/>
  <c r="T174" i="2"/>
  <c r="Z73" i="2"/>
  <c r="AB253" i="2"/>
  <c r="AI35" i="2"/>
  <c r="AI91" i="3"/>
  <c r="AI91" i="2" s="1"/>
  <c r="AI92" i="2"/>
  <c r="J186" i="2"/>
  <c r="U390" i="2"/>
  <c r="AF198" i="2"/>
  <c r="V132" i="2"/>
  <c r="AL46" i="2"/>
  <c r="T298" i="2"/>
  <c r="AI112" i="3"/>
  <c r="AI112" i="2" s="1"/>
  <c r="AI113" i="2"/>
  <c r="AJ379" i="2"/>
  <c r="R102" i="2"/>
  <c r="AL57" i="2"/>
  <c r="I8" i="2"/>
  <c r="G29" i="2"/>
  <c r="X78" i="2"/>
  <c r="G153" i="2"/>
  <c r="V274" i="2"/>
  <c r="AL5" i="2"/>
  <c r="AG142" i="2"/>
  <c r="AK33" i="2"/>
  <c r="X147" i="2"/>
  <c r="AG8" i="2"/>
  <c r="H179" i="2"/>
  <c r="H178" i="3"/>
  <c r="I55" i="2"/>
  <c r="Y260" i="2"/>
  <c r="AF28" i="2"/>
  <c r="H57" i="2"/>
  <c r="AG94" i="2"/>
  <c r="AD147" i="2"/>
  <c r="Q206" i="2"/>
  <c r="Q293" i="2"/>
  <c r="L23" i="2"/>
  <c r="AD108" i="2"/>
  <c r="AJ251" i="2"/>
  <c r="G42" i="2"/>
  <c r="AH223" i="2"/>
  <c r="X70" i="2"/>
  <c r="X69" i="3"/>
  <c r="S246" i="2"/>
  <c r="AK43" i="2"/>
  <c r="X196" i="2"/>
  <c r="V10" i="2"/>
  <c r="AK38" i="2"/>
  <c r="X68" i="2"/>
  <c r="P109" i="2"/>
  <c r="X155" i="3"/>
  <c r="X156" i="2"/>
  <c r="AE219" i="2"/>
  <c r="W294" i="2"/>
  <c r="M20" i="2"/>
  <c r="S155" i="3"/>
  <c r="S156" i="2"/>
  <c r="U14" i="2"/>
  <c r="AF146" i="2"/>
  <c r="Y14" i="2"/>
  <c r="AA97" i="2"/>
  <c r="AK291" i="2"/>
  <c r="Q72" i="2"/>
  <c r="AI240" i="2"/>
  <c r="G16" i="2"/>
  <c r="I76" i="2"/>
  <c r="AF121" i="2"/>
  <c r="W173" i="2"/>
  <c r="O349" i="3"/>
  <c r="O349" i="2" s="1"/>
  <c r="O350" i="2"/>
  <c r="AC16" i="2"/>
  <c r="AA40" i="2"/>
  <c r="AK66" i="2"/>
  <c r="Q98" i="2"/>
  <c r="P149" i="2"/>
  <c r="Z208" i="2"/>
  <c r="AB290" i="2"/>
  <c r="I5" i="2"/>
  <c r="U28" i="2"/>
  <c r="P54" i="2"/>
  <c r="AB83" i="2"/>
  <c r="O128" i="2"/>
  <c r="I183" i="2"/>
  <c r="AB236" i="2"/>
  <c r="AG323" i="2"/>
  <c r="W14" i="2"/>
  <c r="J34" i="2"/>
  <c r="O60" i="2"/>
  <c r="R88" i="2"/>
  <c r="R133" i="3"/>
  <c r="R134" i="2"/>
  <c r="AC193" i="2"/>
  <c r="AF259" i="2"/>
  <c r="M365" i="2"/>
  <c r="AI18" i="2"/>
  <c r="R37" i="2"/>
  <c r="AB63" i="2"/>
  <c r="M94" i="2"/>
  <c r="Z133" i="3"/>
  <c r="Z134" i="2"/>
  <c r="AH216" i="2"/>
  <c r="M279" i="2"/>
  <c r="AL370" i="3"/>
  <c r="AL370" i="2" s="1"/>
  <c r="AL371" i="2"/>
  <c r="AJ17" i="2"/>
  <c r="L34" i="2"/>
  <c r="O57" i="2"/>
  <c r="V79" i="2"/>
  <c r="P118" i="2"/>
  <c r="AB158" i="2"/>
  <c r="AJ204" i="2"/>
  <c r="AA255" i="2"/>
  <c r="AH343" i="2"/>
  <c r="O13" i="2"/>
  <c r="T31" i="2"/>
  <c r="AD53" i="2"/>
  <c r="R75" i="2"/>
  <c r="V108" i="2"/>
  <c r="J153" i="2"/>
  <c r="AK204" i="2"/>
  <c r="AB255" i="2"/>
  <c r="L320" i="2"/>
  <c r="AL387" i="2"/>
  <c r="W17" i="2"/>
  <c r="U33" i="2"/>
  <c r="AB54" i="2"/>
  <c r="Q74" i="2"/>
  <c r="K102" i="2"/>
  <c r="AC139" i="2"/>
  <c r="O175" i="2"/>
  <c r="AA213" i="2"/>
  <c r="R251" i="2"/>
  <c r="H311" i="2"/>
  <c r="AA411" i="2"/>
  <c r="J19" i="2"/>
  <c r="AF36" i="2"/>
  <c r="X57" i="2"/>
  <c r="S76" i="2"/>
  <c r="U103" i="2"/>
  <c r="L138" i="2"/>
  <c r="P173" i="2"/>
  <c r="AE213" i="2"/>
  <c r="AI253" i="2"/>
  <c r="I311" i="2"/>
  <c r="AH6" i="2"/>
  <c r="AA21" i="2"/>
  <c r="AF38" i="2"/>
  <c r="AF59" i="2"/>
  <c r="M79" i="2"/>
  <c r="W105" i="2"/>
  <c r="AK139" i="2"/>
  <c r="Q178" i="3"/>
  <c r="Q179" i="2"/>
  <c r="X218" i="2"/>
  <c r="N260" i="2"/>
  <c r="AC330" i="2"/>
  <c r="S97" i="2"/>
  <c r="AJ122" i="2"/>
  <c r="K148" i="2"/>
  <c r="Q183" i="2"/>
  <c r="AA214" i="2"/>
  <c r="AK249" i="2"/>
  <c r="W299" i="2"/>
  <c r="AH381" i="2"/>
  <c r="AH118" i="2"/>
  <c r="H145" i="2"/>
  <c r="J180" i="2"/>
  <c r="S211" i="2"/>
  <c r="AA241" i="2"/>
  <c r="AB275" i="2"/>
  <c r="AJ322" i="2"/>
  <c r="AI118" i="2"/>
  <c r="AA143" i="2"/>
  <c r="AD181" i="2"/>
  <c r="M213" i="2"/>
  <c r="AH247" i="2"/>
  <c r="AD292" i="2"/>
  <c r="AL355" i="2"/>
  <c r="AJ102" i="2"/>
  <c r="Q130" i="2"/>
  <c r="G163" i="2"/>
  <c r="Y234" i="2"/>
  <c r="AH279" i="2"/>
  <c r="X341" i="2"/>
  <c r="J9" i="2"/>
  <c r="AL21" i="2"/>
  <c r="AF33" i="2"/>
  <c r="L65" i="2"/>
  <c r="AE82" i="2"/>
  <c r="AG102" i="2"/>
  <c r="I124" i="2"/>
  <c r="AD148" i="2"/>
  <c r="AI172" i="2"/>
  <c r="R197" i="2"/>
  <c r="AL222" i="2"/>
  <c r="AL221" i="3"/>
  <c r="AL221" i="2" s="1"/>
  <c r="X250" i="2"/>
  <c r="AI288" i="2"/>
  <c r="K333" i="2"/>
  <c r="R8" i="2"/>
  <c r="Z20" i="2"/>
  <c r="R34" i="2"/>
  <c r="P50" i="2"/>
  <c r="Z66" i="2"/>
  <c r="AI86" i="2"/>
  <c r="AC106" i="2"/>
  <c r="J126" i="2"/>
  <c r="AH149" i="2"/>
  <c r="AF178" i="3"/>
  <c r="AF179" i="2"/>
  <c r="AF203" i="2"/>
  <c r="S229" i="2"/>
  <c r="AB257" i="2"/>
  <c r="J296" i="2"/>
  <c r="Y362" i="2"/>
  <c r="Z11" i="2"/>
  <c r="AH23" i="2"/>
  <c r="AH37" i="2"/>
  <c r="S54" i="2"/>
  <c r="Z71" i="2"/>
  <c r="AJ89" i="2"/>
  <c r="AK109" i="2"/>
  <c r="AB131" i="2"/>
  <c r="R158" i="2"/>
  <c r="H184" i="2"/>
  <c r="AB210" i="2"/>
  <c r="AI236" i="2"/>
  <c r="AC265" i="3"/>
  <c r="AC266" i="2"/>
  <c r="Y309" i="2"/>
  <c r="S391" i="3"/>
  <c r="S391" i="2" s="1"/>
  <c r="S392" i="2"/>
  <c r="AH14" i="2"/>
  <c r="AK26" i="3"/>
  <c r="AK27" i="2"/>
  <c r="AI41" i="2"/>
  <c r="AA57" i="2"/>
  <c r="AK74" i="2"/>
  <c r="R94" i="2"/>
  <c r="O114" i="2"/>
  <c r="P135" i="2"/>
  <c r="AI160" i="2"/>
  <c r="S186" i="2"/>
  <c r="AC210" i="2"/>
  <c r="AJ236" i="2"/>
  <c r="AD265" i="3"/>
  <c r="AD266" i="2"/>
  <c r="O304" i="2"/>
  <c r="AB362" i="2"/>
  <c r="Y41" i="2"/>
  <c r="AI55" i="2"/>
  <c r="L68" i="2"/>
  <c r="N83" i="2"/>
  <c r="AH98" i="2"/>
  <c r="AK115" i="2"/>
  <c r="AF129" i="2"/>
  <c r="X148" i="2"/>
  <c r="AA170" i="2"/>
  <c r="N191" i="2"/>
  <c r="I211" i="2"/>
  <c r="K231" i="2"/>
  <c r="Y256" i="2"/>
  <c r="AE291" i="2"/>
  <c r="AI332" i="2"/>
  <c r="H389" i="2"/>
  <c r="Q45" i="2"/>
  <c r="AL58" i="2"/>
  <c r="AK71" i="2"/>
  <c r="J87" i="2"/>
  <c r="P104" i="2"/>
  <c r="AH120" i="2"/>
  <c r="T140" i="2"/>
  <c r="AJ160" i="2"/>
  <c r="U182" i="2"/>
  <c r="U202" i="2"/>
  <c r="U224" i="2"/>
  <c r="T243" i="3"/>
  <c r="T244" i="2"/>
  <c r="P274" i="2"/>
  <c r="P305" i="2"/>
  <c r="AD357" i="2"/>
  <c r="AG40" i="2"/>
  <c r="N53" i="2"/>
  <c r="K66" i="2"/>
  <c r="AA79" i="2"/>
  <c r="I97" i="2"/>
  <c r="H111" i="2"/>
  <c r="AI128" i="2"/>
  <c r="U148" i="2"/>
  <c r="Y168" i="2"/>
  <c r="AD190" i="2"/>
  <c r="G212" i="2"/>
  <c r="J233" i="2"/>
  <c r="AE257" i="2"/>
  <c r="V291" i="2"/>
  <c r="R336" i="2"/>
  <c r="K409" i="2"/>
  <c r="AB50" i="2"/>
  <c r="AJ62" i="2"/>
  <c r="AA76" i="2"/>
  <c r="G93" i="2"/>
  <c r="AG107" i="2"/>
  <c r="T125" i="2"/>
  <c r="U143" i="2"/>
  <c r="O164" i="2"/>
  <c r="AC186" i="2"/>
  <c r="AI208" i="2"/>
  <c r="AC228" i="2"/>
  <c r="AA250" i="2"/>
  <c r="Y276" i="2"/>
  <c r="L317" i="2"/>
  <c r="AA377" i="2"/>
  <c r="AL82" i="2"/>
  <c r="H96" i="2"/>
  <c r="P108" i="2"/>
  <c r="AA122" i="2"/>
  <c r="U136" i="2"/>
  <c r="T150" i="2"/>
  <c r="AH166" i="2"/>
  <c r="AB184" i="2"/>
  <c r="I200" i="3"/>
  <c r="I201" i="2"/>
  <c r="Z216" i="2"/>
  <c r="S233" i="2"/>
  <c r="L251" i="2"/>
  <c r="X276" i="2"/>
  <c r="X301" i="2"/>
  <c r="AI338" i="2"/>
  <c r="S78" i="2"/>
  <c r="AB103" i="2"/>
  <c r="P117" i="2"/>
  <c r="H130" i="2"/>
  <c r="S145" i="2"/>
  <c r="Y162" i="2"/>
  <c r="AA192" i="2"/>
  <c r="J209" i="2"/>
  <c r="AI223" i="2"/>
  <c r="P241" i="2"/>
  <c r="H259" i="2"/>
  <c r="AB284" i="2"/>
  <c r="R313" i="2"/>
  <c r="AL354" i="2"/>
  <c r="V76" i="2"/>
  <c r="AD88" i="2"/>
  <c r="T102" i="2"/>
  <c r="H116" i="2"/>
  <c r="AC128" i="2"/>
  <c r="AJ143" i="2"/>
  <c r="N160" i="2"/>
  <c r="I175" i="2"/>
  <c r="AI191" i="2"/>
  <c r="K209" i="2"/>
  <c r="U226" i="2"/>
  <c r="I245" i="2"/>
  <c r="U263" i="2"/>
  <c r="AF290" i="2"/>
  <c r="X320" i="2"/>
  <c r="AD366" i="2"/>
  <c r="H81" i="2"/>
  <c r="AC94" i="2"/>
  <c r="AK106" i="2"/>
  <c r="Y120" i="2"/>
  <c r="AL133" i="3"/>
  <c r="AL134" i="2"/>
  <c r="V149" i="2"/>
  <c r="AG166" i="2"/>
  <c r="Z184" i="2"/>
  <c r="H200" i="3"/>
  <c r="H201" i="2"/>
  <c r="S217" i="2"/>
  <c r="L235" i="2"/>
  <c r="J251" i="2"/>
  <c r="K275" i="2"/>
  <c r="U301" i="2"/>
  <c r="AE338" i="2"/>
  <c r="K402" i="2"/>
  <c r="G151" i="2"/>
  <c r="AB164" i="2"/>
  <c r="V178" i="3"/>
  <c r="V179" i="2"/>
  <c r="AD191" i="2"/>
  <c r="I206" i="2"/>
  <c r="Q218" i="2"/>
  <c r="Q232" i="2"/>
  <c r="AA245" i="2"/>
  <c r="K260" i="2"/>
  <c r="T278" i="2"/>
  <c r="R302" i="2"/>
  <c r="N330" i="2"/>
  <c r="V366" i="2"/>
  <c r="AC123" i="2"/>
  <c r="AB136" i="2"/>
  <c r="AJ148" i="2"/>
  <c r="Z162" i="2"/>
  <c r="AH174" i="2"/>
  <c r="H189" i="2"/>
  <c r="R203" i="2"/>
  <c r="Z215" i="2"/>
  <c r="U229" i="2"/>
  <c r="I259" i="2"/>
  <c r="Z281" i="2"/>
  <c r="S303" i="2"/>
  <c r="W331" i="2"/>
  <c r="AE365" i="2"/>
  <c r="I136" i="2"/>
  <c r="Q148" i="2"/>
  <c r="AL161" i="2"/>
  <c r="O174" i="2"/>
  <c r="AC189" i="2"/>
  <c r="S203" i="2"/>
  <c r="AA215" i="2"/>
  <c r="V229" i="2"/>
  <c r="J259" i="2"/>
  <c r="AK276" i="2"/>
  <c r="AJ299" i="2"/>
  <c r="AA327" i="2"/>
  <c r="AE358" i="2"/>
  <c r="R148" i="2"/>
  <c r="S161" i="2"/>
  <c r="AA173" i="2"/>
  <c r="U188" i="2"/>
  <c r="AE202" i="2"/>
  <c r="H215" i="2"/>
  <c r="AG228" i="2"/>
  <c r="Y257" i="2"/>
  <c r="H276" i="2"/>
  <c r="AD298" i="2"/>
  <c r="N326" i="2"/>
  <c r="G357" i="2"/>
  <c r="AA400" i="2"/>
  <c r="U259" i="2"/>
  <c r="AC274" i="2"/>
  <c r="O291" i="2"/>
  <c r="P308" i="2"/>
  <c r="P307" i="3"/>
  <c r="P307" i="2" s="1"/>
  <c r="J330" i="2"/>
  <c r="AA358" i="2"/>
  <c r="AK395" i="2"/>
  <c r="AC234" i="2"/>
  <c r="S248" i="2"/>
  <c r="AA260" i="2"/>
  <c r="H277" i="2"/>
  <c r="AB293" i="2"/>
  <c r="Q312" i="2"/>
  <c r="Z336" i="2"/>
  <c r="AL368" i="2"/>
  <c r="W410" i="2"/>
  <c r="AJ252" i="2"/>
  <c r="X267" i="2"/>
  <c r="K283" i="2"/>
  <c r="J302" i="2"/>
  <c r="AJ321" i="2"/>
  <c r="Y349" i="3"/>
  <c r="Y349" i="2" s="1"/>
  <c r="Y350" i="2"/>
  <c r="AA387" i="2"/>
  <c r="AK252" i="2"/>
  <c r="AH265" i="3"/>
  <c r="AH266" i="2"/>
  <c r="R282" i="2"/>
  <c r="Q300" i="2"/>
  <c r="AJ319" i="2"/>
  <c r="U344" i="2"/>
  <c r="AE380" i="2"/>
  <c r="P271" i="2"/>
  <c r="O284" i="2"/>
  <c r="S298" i="2"/>
  <c r="AD314" i="2"/>
  <c r="H334" i="2"/>
  <c r="H358" i="2"/>
  <c r="Q390" i="2"/>
  <c r="AG271" i="2"/>
  <c r="AF284" i="2"/>
  <c r="AK298" i="2"/>
  <c r="L316" i="2"/>
  <c r="AJ332" i="2"/>
  <c r="AI357" i="2"/>
  <c r="M386" i="2"/>
  <c r="H280" i="2"/>
  <c r="Z294" i="2"/>
  <c r="AA309" i="2"/>
  <c r="AH326" i="2"/>
  <c r="M348" i="2"/>
  <c r="S376" i="2"/>
  <c r="AC404" i="2"/>
  <c r="AD280" i="2"/>
  <c r="R295" i="2"/>
  <c r="T311" i="2"/>
  <c r="AK325" i="2"/>
  <c r="AD344" i="2"/>
  <c r="L369" i="2"/>
  <c r="Z400" i="2"/>
  <c r="O313" i="2"/>
  <c r="L327" i="2"/>
  <c r="AC344" i="2"/>
  <c r="AI365" i="2"/>
  <c r="AH395" i="2"/>
  <c r="Z275" i="2"/>
  <c r="Y288" i="2"/>
  <c r="V301" i="2"/>
  <c r="U314" i="2"/>
  <c r="V328" i="3"/>
  <c r="V328" i="2" s="1"/>
  <c r="V329" i="2"/>
  <c r="Y347" i="2"/>
  <c r="N369" i="2"/>
  <c r="AK393" i="2"/>
  <c r="AL296" i="2"/>
  <c r="AK309" i="2"/>
  <c r="Q323" i="2"/>
  <c r="AB340" i="2"/>
  <c r="P361" i="2"/>
  <c r="AB386" i="2"/>
  <c r="I307" i="3"/>
  <c r="I307" i="2" s="1"/>
  <c r="I308" i="2"/>
  <c r="V320" i="2"/>
  <c r="AG336" i="2"/>
  <c r="P357" i="2"/>
  <c r="I380" i="2"/>
  <c r="J407" i="2"/>
  <c r="AK387" i="2"/>
  <c r="AB409" i="2"/>
  <c r="P330" i="2"/>
  <c r="Y345" i="2"/>
  <c r="AH362" i="2"/>
  <c r="K377" i="2"/>
  <c r="AJ398" i="2"/>
  <c r="L365" i="2"/>
  <c r="S381" i="2"/>
  <c r="AL402" i="2"/>
  <c r="T381" i="2"/>
  <c r="I404" i="2"/>
  <c r="M372" i="2"/>
  <c r="AL386" i="2"/>
  <c r="V406" i="2"/>
  <c r="AI331" i="2"/>
  <c r="AE345" i="2"/>
  <c r="AI362" i="2"/>
  <c r="AB378" i="2"/>
  <c r="U394" i="2"/>
  <c r="H377" i="2"/>
  <c r="V394" i="2"/>
  <c r="L324" i="2"/>
  <c r="P339" i="2"/>
  <c r="S357" i="2"/>
  <c r="X374" i="2"/>
  <c r="N390" i="2"/>
  <c r="AH410" i="2"/>
  <c r="AD346" i="2"/>
  <c r="R360" i="2"/>
  <c r="AK373" i="2"/>
  <c r="N386" i="2"/>
  <c r="J401" i="2"/>
  <c r="Q340" i="2"/>
  <c r="P353" i="2"/>
  <c r="M366" i="2"/>
  <c r="AF379" i="2"/>
  <c r="Y393" i="2"/>
  <c r="U408" i="2"/>
  <c r="AH344" i="2"/>
  <c r="V358" i="2"/>
  <c r="J372" i="2"/>
  <c r="AL384" i="2"/>
  <c r="AC398" i="2"/>
  <c r="U338" i="2"/>
  <c r="I352" i="2"/>
  <c r="Q364" i="2"/>
  <c r="AJ377" i="2"/>
  <c r="AG390" i="2"/>
  <c r="AK405" i="2"/>
  <c r="I406" i="2"/>
  <c r="S407" i="2"/>
  <c r="Q400" i="2"/>
  <c r="AI393" i="2"/>
  <c r="L406" i="2"/>
  <c r="AK409" i="2"/>
  <c r="W172" i="2"/>
  <c r="Q241" i="2"/>
  <c r="AA357" i="2"/>
  <c r="AA118" i="2"/>
  <c r="L182" i="2"/>
  <c r="AH248" i="2"/>
  <c r="S387" i="2"/>
  <c r="AF189" i="2"/>
  <c r="AI322" i="2"/>
  <c r="G147" i="2"/>
  <c r="T201" i="2"/>
  <c r="T200" i="3"/>
  <c r="Z256" i="2"/>
  <c r="AD358" i="2"/>
  <c r="Q172" i="2"/>
  <c r="U227" i="2"/>
  <c r="AD322" i="2"/>
  <c r="R172" i="2"/>
  <c r="AE226" i="2"/>
  <c r="N295" i="2"/>
  <c r="W257" i="2"/>
  <c r="H354" i="2"/>
  <c r="R259" i="2"/>
  <c r="T332" i="2"/>
  <c r="AI263" i="2"/>
  <c r="AD380" i="2"/>
  <c r="Y297" i="2"/>
  <c r="O269" i="2"/>
  <c r="M331" i="2"/>
  <c r="AD282" i="2"/>
  <c r="P354" i="2"/>
  <c r="Y305" i="2"/>
  <c r="AI399" i="2"/>
  <c r="AL323" i="2"/>
  <c r="Q311" i="2"/>
  <c r="AB389" i="2"/>
  <c r="X299" i="2"/>
  <c r="AF365" i="2"/>
  <c r="H307" i="3"/>
  <c r="H307" i="2" s="1"/>
  <c r="H308" i="2"/>
  <c r="AG382" i="2"/>
  <c r="T354" i="2"/>
  <c r="AL406" i="2"/>
  <c r="AH375" i="2"/>
  <c r="J399" i="2"/>
  <c r="R403" i="2"/>
  <c r="AL376" i="2"/>
  <c r="N322" i="2"/>
  <c r="AE387" i="2"/>
  <c r="P384" i="2"/>
  <c r="O364" i="2"/>
  <c r="AJ342" i="2"/>
  <c r="W396" i="2"/>
  <c r="AI388" i="2"/>
  <c r="H408" i="2"/>
  <c r="F77" i="2"/>
  <c r="F84" i="2"/>
  <c r="F68" i="2"/>
  <c r="F117" i="2"/>
  <c r="P137" i="2"/>
  <c r="AH67" i="2"/>
  <c r="I318" i="2"/>
  <c r="J95" i="2"/>
  <c r="AB320" i="2"/>
  <c r="H12" i="2"/>
  <c r="W9" i="2"/>
  <c r="AC233" i="2"/>
  <c r="AH180" i="2"/>
  <c r="N320" i="2"/>
  <c r="X5" i="2"/>
  <c r="AH238" i="2"/>
  <c r="O229" i="2"/>
  <c r="M226" i="2"/>
  <c r="AB235" i="2"/>
  <c r="W31" i="2"/>
  <c r="P165" i="2"/>
  <c r="T302" i="2"/>
  <c r="Q316" i="2"/>
  <c r="AE255" i="2"/>
  <c r="U138" i="2"/>
  <c r="AG232" i="2"/>
  <c r="AC143" i="2"/>
  <c r="AC19" i="2"/>
  <c r="G178" i="3"/>
  <c r="G179" i="2"/>
  <c r="W187" i="2"/>
  <c r="S103" i="2"/>
  <c r="G10" i="2"/>
  <c r="X7" i="2"/>
  <c r="Z214" i="2"/>
  <c r="X72" i="2"/>
  <c r="K342" i="2"/>
  <c r="M93" i="2"/>
  <c r="AD379" i="2"/>
  <c r="N122" i="2"/>
  <c r="J12" i="2"/>
  <c r="AL130" i="2"/>
  <c r="H17" i="2"/>
  <c r="AG129" i="2"/>
  <c r="AB366" i="2"/>
  <c r="AL77" i="2"/>
  <c r="P247" i="2"/>
  <c r="H51" i="2"/>
  <c r="AG15" i="2"/>
  <c r="O100" i="2"/>
  <c r="AD243" i="3"/>
  <c r="AD244" i="2"/>
  <c r="M35" i="2"/>
  <c r="AG135" i="2"/>
  <c r="L299" i="2"/>
  <c r="AF57" i="2"/>
  <c r="Q175" i="2"/>
  <c r="AI95" i="2"/>
  <c r="R211" i="2"/>
  <c r="N116" i="2"/>
  <c r="AL239" i="2"/>
  <c r="O116" i="2"/>
  <c r="Y209" i="2"/>
  <c r="L100" i="2"/>
  <c r="V230" i="2"/>
  <c r="AC20" i="2"/>
  <c r="AE80" i="2"/>
  <c r="P170" i="2"/>
  <c r="L281" i="2"/>
  <c r="I33" i="2"/>
  <c r="AC104" i="2"/>
  <c r="N200" i="3"/>
  <c r="N201" i="2"/>
  <c r="R356" i="2"/>
  <c r="AF52" i="2"/>
  <c r="V129" i="2"/>
  <c r="AH233" i="2"/>
  <c r="Y13" i="2"/>
  <c r="R73" i="2"/>
  <c r="S158" i="2"/>
  <c r="AH262" i="2"/>
  <c r="Z54" i="2"/>
  <c r="T114" i="2"/>
  <c r="AJ189" i="2"/>
  <c r="S288" i="2"/>
  <c r="AC57" i="2"/>
  <c r="L119" i="2"/>
  <c r="AB270" i="2"/>
  <c r="AJ51" i="2"/>
  <c r="R109" i="2"/>
  <c r="AF188" i="2"/>
  <c r="AI286" i="3"/>
  <c r="AI286" i="2" s="1"/>
  <c r="AI287" i="2"/>
  <c r="O75" i="2"/>
  <c r="U141" i="2"/>
  <c r="AA226" i="2"/>
  <c r="AA370" i="3"/>
  <c r="AA370" i="2" s="1"/>
  <c r="AA371" i="2"/>
  <c r="P121" i="2"/>
  <c r="AK182" i="2"/>
  <c r="AI249" i="2"/>
  <c r="L402" i="2"/>
  <c r="AB128" i="2"/>
  <c r="I191" i="2"/>
  <c r="AL257" i="2"/>
  <c r="G406" i="2"/>
  <c r="R127" i="2"/>
  <c r="AJ190" i="2"/>
  <c r="AC360" i="2"/>
  <c r="P119" i="2"/>
  <c r="AJ182" i="2"/>
  <c r="R233" i="2"/>
  <c r="Z333" i="2"/>
  <c r="AA175" i="2"/>
  <c r="AK230" i="2"/>
  <c r="H300" i="2"/>
  <c r="S135" i="2"/>
  <c r="AD187" i="2"/>
  <c r="I241" i="2"/>
  <c r="Z327" i="2"/>
  <c r="AC160" i="2"/>
  <c r="AL214" i="2"/>
  <c r="AD297" i="2"/>
  <c r="AL172" i="2"/>
  <c r="V227" i="2"/>
  <c r="T296" i="2"/>
  <c r="L258" i="2"/>
  <c r="M327" i="2"/>
  <c r="J247" i="2"/>
  <c r="N310" i="2"/>
  <c r="AA251" i="2"/>
  <c r="O346" i="2"/>
  <c r="W298" i="2"/>
  <c r="AJ269" i="2"/>
  <c r="M332" i="2"/>
  <c r="T283" i="2"/>
  <c r="X355" i="2"/>
  <c r="R306" i="2"/>
  <c r="S279" i="2"/>
  <c r="R342" i="2"/>
  <c r="AB325" i="2"/>
  <c r="Q274" i="2"/>
  <c r="I327" i="2"/>
  <c r="AC295" i="2"/>
  <c r="N359" i="2"/>
  <c r="AJ334" i="2"/>
  <c r="AC386" i="2"/>
  <c r="AL361" i="2"/>
  <c r="P379" i="2"/>
  <c r="AC401" i="2"/>
  <c r="Z330" i="2"/>
  <c r="G377" i="2"/>
  <c r="AH322" i="2"/>
  <c r="X388" i="2"/>
  <c r="AB372" i="2"/>
  <c r="G352" i="2"/>
  <c r="AB406" i="2"/>
  <c r="AC383" i="2"/>
  <c r="H363" i="2"/>
  <c r="AE404" i="2"/>
  <c r="AH404" i="2"/>
  <c r="F40" i="2"/>
  <c r="F120" i="2"/>
  <c r="F337" i="2"/>
  <c r="F110" i="2"/>
  <c r="F282" i="2"/>
  <c r="I82" i="2"/>
  <c r="G54" i="2"/>
  <c r="R99" i="2"/>
  <c r="AA129" i="2"/>
  <c r="S5" i="2"/>
  <c r="X203" i="2"/>
  <c r="U11" i="2"/>
  <c r="N89" i="2"/>
  <c r="Z8" i="2"/>
  <c r="R325" i="2"/>
  <c r="Y9" i="2"/>
  <c r="AL263" i="2"/>
  <c r="AJ103" i="2"/>
  <c r="U19" i="2"/>
  <c r="AC12" i="2"/>
  <c r="J252" i="2"/>
  <c r="G318" i="2"/>
  <c r="P251" i="2"/>
  <c r="N52" i="2"/>
  <c r="Q152" i="2"/>
  <c r="AK30" i="2"/>
  <c r="S53" i="2"/>
  <c r="AH88" i="2"/>
  <c r="U21" i="2"/>
  <c r="AB218" i="2"/>
  <c r="N192" i="2"/>
  <c r="U106" i="2"/>
  <c r="AL12" i="2"/>
  <c r="J13" i="2"/>
  <c r="Y219" i="2"/>
  <c r="AD118" i="2"/>
  <c r="AA15" i="2"/>
  <c r="U146" i="2"/>
  <c r="M26" i="3"/>
  <c r="M27" i="2"/>
  <c r="AL182" i="2"/>
  <c r="G33" i="2"/>
  <c r="Z189" i="2"/>
  <c r="M36" i="2"/>
  <c r="L175" i="2"/>
  <c r="I17" i="2"/>
  <c r="Y116" i="2"/>
  <c r="V342" i="2"/>
  <c r="G74" i="2"/>
  <c r="H203" i="2"/>
  <c r="Z16" i="2"/>
  <c r="K73" i="2"/>
  <c r="P211" i="2"/>
  <c r="Q18" i="2"/>
  <c r="L102" i="2"/>
  <c r="S251" i="2"/>
  <c r="AF37" i="2"/>
  <c r="M138" i="2"/>
  <c r="M322" i="2"/>
  <c r="AB181" i="2"/>
  <c r="AC369" i="2"/>
  <c r="X209" i="2"/>
  <c r="O89" i="2"/>
  <c r="L180" i="2"/>
  <c r="Z348" i="2"/>
  <c r="AE197" i="2"/>
  <c r="U8" i="2"/>
  <c r="S64" i="2"/>
  <c r="Q147" i="2"/>
  <c r="K249" i="2"/>
  <c r="AK19" i="2"/>
  <c r="AH85" i="2"/>
  <c r="S202" i="2"/>
  <c r="X361" i="2"/>
  <c r="Y53" i="2"/>
  <c r="U130" i="2"/>
  <c r="U235" i="2"/>
  <c r="N14" i="2"/>
  <c r="M74" i="2"/>
  <c r="AC159" i="2"/>
  <c r="H263" i="2"/>
  <c r="O55" i="2"/>
  <c r="M115" i="2"/>
  <c r="AG190" i="2"/>
  <c r="H290" i="2"/>
  <c r="R58" i="2"/>
  <c r="J120" i="2"/>
  <c r="W200" i="3"/>
  <c r="W201" i="2"/>
  <c r="M40" i="2"/>
  <c r="P96" i="2"/>
  <c r="T167" i="2"/>
  <c r="V256" i="2"/>
  <c r="H50" i="2"/>
  <c r="I107" i="2"/>
  <c r="AB185" i="2"/>
  <c r="S274" i="2"/>
  <c r="AA107" i="2"/>
  <c r="J166" i="2"/>
  <c r="X232" i="2"/>
  <c r="O336" i="2"/>
  <c r="AA116" i="2"/>
  <c r="AF175" i="2"/>
  <c r="K223" i="2"/>
  <c r="Y311" i="2"/>
  <c r="AE101" i="2"/>
  <c r="Q159" i="2"/>
  <c r="Z225" i="2"/>
  <c r="O318" i="2"/>
  <c r="Q106" i="2"/>
  <c r="I166" i="2"/>
  <c r="M234" i="2"/>
  <c r="M336" i="2"/>
  <c r="AA231" i="2"/>
  <c r="I301" i="2"/>
  <c r="H136" i="2"/>
  <c r="S188" i="2"/>
  <c r="AE241" i="2"/>
  <c r="AA329" i="2"/>
  <c r="AA328" i="3"/>
  <c r="AA328" i="2" s="1"/>
  <c r="R161" i="2"/>
  <c r="G215" i="2"/>
  <c r="AI275" i="2"/>
  <c r="AB356" i="2"/>
  <c r="G173" i="2"/>
  <c r="L228" i="2"/>
  <c r="AE297" i="2"/>
  <c r="AF258" i="2"/>
  <c r="AG328" i="3"/>
  <c r="AG328" i="2" s="1"/>
  <c r="AG329" i="2"/>
  <c r="AD247" i="2"/>
  <c r="K311" i="2"/>
  <c r="P252" i="2"/>
  <c r="AG320" i="2"/>
  <c r="L265" i="3"/>
  <c r="L266" i="2"/>
  <c r="K343" i="2"/>
  <c r="AB297" i="2"/>
  <c r="Z388" i="2"/>
  <c r="S315" i="2"/>
  <c r="R279" i="2"/>
  <c r="I347" i="2"/>
  <c r="I280" i="2"/>
  <c r="I325" i="2"/>
  <c r="AJ399" i="2"/>
  <c r="AF364" i="2"/>
  <c r="AG300" i="2"/>
  <c r="P368" i="2"/>
  <c r="X322" i="2"/>
  <c r="Y410" i="2"/>
  <c r="N405" i="2"/>
  <c r="X328" i="3"/>
  <c r="X328" i="2" s="1"/>
  <c r="X329" i="2"/>
  <c r="AA397" i="2"/>
  <c r="R380" i="2"/>
  <c r="X405" i="2"/>
  <c r="AE377" i="2"/>
  <c r="W323" i="2"/>
  <c r="Q389" i="2"/>
  <c r="Q373" i="2"/>
  <c r="X365" i="2"/>
  <c r="AG357" i="2"/>
  <c r="T351" i="2"/>
  <c r="W405" i="2"/>
  <c r="F208" i="2"/>
  <c r="F381" i="2"/>
  <c r="F73" i="2"/>
  <c r="F12" i="2"/>
  <c r="F102" i="2"/>
  <c r="F333" i="2"/>
  <c r="F30" i="2"/>
  <c r="F15" i="2"/>
  <c r="F386" i="2"/>
  <c r="F293" i="2"/>
  <c r="F119" i="2"/>
  <c r="F325" i="2"/>
  <c r="F335" i="2"/>
  <c r="F385" i="2"/>
  <c r="F346" i="2"/>
  <c r="F261" i="2"/>
  <c r="F206" i="2"/>
  <c r="F14" i="2"/>
  <c r="F384" i="2"/>
  <c r="AJ44" i="2"/>
  <c r="AC50" i="2"/>
  <c r="R111" i="2"/>
  <c r="S169" i="2"/>
  <c r="M354" i="2"/>
  <c r="AE231" i="2"/>
  <c r="S181" i="2"/>
  <c r="AC36" i="2"/>
  <c r="U163" i="2"/>
  <c r="P56" i="2"/>
  <c r="L153" i="2"/>
  <c r="AC41" i="2"/>
  <c r="N22" i="2"/>
  <c r="AD142" i="2"/>
  <c r="AA224" i="2"/>
  <c r="V36" i="2"/>
  <c r="T16" i="2"/>
  <c r="G18" i="2"/>
  <c r="R169" i="2"/>
  <c r="AC10" i="2"/>
  <c r="U83" i="2"/>
  <c r="AG13" i="2"/>
  <c r="AE142" i="2"/>
  <c r="X146" i="2"/>
  <c r="AE105" i="2"/>
  <c r="AF27" i="2"/>
  <c r="AF26" i="3"/>
  <c r="AD8" i="2"/>
  <c r="AF117" i="2"/>
  <c r="AD78" i="2"/>
  <c r="AC56" i="2"/>
  <c r="AC3" i="3"/>
  <c r="AC3" i="2" s="1"/>
  <c r="AC4" i="2"/>
  <c r="R84" i="2"/>
  <c r="AE6" i="2"/>
  <c r="K94" i="2"/>
  <c r="Y8" i="2"/>
  <c r="AL100" i="2"/>
  <c r="AK188" i="2"/>
  <c r="AL13" i="2"/>
  <c r="AF78" i="2"/>
  <c r="Y195" i="2"/>
  <c r="T21" i="2"/>
  <c r="W12" i="2"/>
  <c r="T184" i="2"/>
  <c r="K85" i="2"/>
  <c r="AC194" i="2"/>
  <c r="G58" i="2"/>
  <c r="Y300" i="2"/>
  <c r="I99" i="2"/>
  <c r="AC405" i="2"/>
  <c r="Z44" i="2"/>
  <c r="K108" i="2"/>
  <c r="AH251" i="2"/>
  <c r="X40" i="2"/>
  <c r="AG66" i="2"/>
  <c r="P250" i="2"/>
  <c r="AJ57" i="2"/>
  <c r="AF192" i="2"/>
  <c r="W19" i="2"/>
  <c r="X300" i="2"/>
  <c r="K203" i="2"/>
  <c r="T74" i="2"/>
  <c r="R273" i="2"/>
  <c r="I36" i="2"/>
  <c r="J93" i="2"/>
  <c r="AJ194" i="2"/>
  <c r="S399" i="2"/>
  <c r="H209" i="2"/>
  <c r="Q138" i="2"/>
  <c r="AI57" i="2"/>
  <c r="L300" i="2"/>
  <c r="V126" i="2"/>
  <c r="Z380" i="2"/>
  <c r="W107" i="2"/>
  <c r="R61" i="2"/>
  <c r="AE12" i="2"/>
  <c r="AI30" i="2"/>
  <c r="AD81" i="2"/>
  <c r="AF159" i="2"/>
  <c r="X275" i="2"/>
  <c r="G6" i="2"/>
  <c r="Q160" i="2"/>
  <c r="AI43" i="2"/>
  <c r="S151" i="2"/>
  <c r="O10" i="2"/>
  <c r="K184" i="2"/>
  <c r="G57" i="2"/>
  <c r="G326" i="2"/>
  <c r="AL29" i="2"/>
  <c r="AF58" i="2"/>
  <c r="AC97" i="2"/>
  <c r="I148" i="2"/>
  <c r="P210" i="2"/>
  <c r="V294" i="2"/>
  <c r="O28" i="2"/>
  <c r="AC111" i="2"/>
  <c r="S258" i="2"/>
  <c r="V45" i="2"/>
  <c r="L224" i="2"/>
  <c r="P80" i="2"/>
  <c r="AG252" i="2"/>
  <c r="X45" i="2"/>
  <c r="P206" i="2"/>
  <c r="AK11" i="2"/>
  <c r="H39" i="2"/>
  <c r="AA70" i="2"/>
  <c r="AA69" i="3"/>
  <c r="AL111" i="2"/>
  <c r="AC157" i="2"/>
  <c r="V220" i="2"/>
  <c r="AL301" i="2"/>
  <c r="U165" i="2"/>
  <c r="V21" i="2"/>
  <c r="R160" i="2"/>
  <c r="AE15" i="2"/>
  <c r="Z100" i="2"/>
  <c r="H313" i="2"/>
  <c r="O78" i="2"/>
  <c r="T246" i="2"/>
  <c r="P17" i="2"/>
  <c r="AD48" i="3"/>
  <c r="AD49" i="2"/>
  <c r="R78" i="2"/>
  <c r="H122" i="2"/>
  <c r="AD180" i="2"/>
  <c r="Y246" i="2"/>
  <c r="AC351" i="2"/>
  <c r="AF17" i="2"/>
  <c r="H41" i="2"/>
  <c r="J67" i="2"/>
  <c r="AH100" i="2"/>
  <c r="AA150" i="2"/>
  <c r="AI211" i="2"/>
  <c r="AI297" i="2"/>
  <c r="O6" i="2"/>
  <c r="AA29" i="2"/>
  <c r="AD55" i="2"/>
  <c r="AC85" i="2"/>
  <c r="AK130" i="2"/>
  <c r="P186" i="2"/>
  <c r="R237" i="2"/>
  <c r="AE324" i="2"/>
  <c r="Z15" i="2"/>
  <c r="T35" i="2"/>
  <c r="J62" i="2"/>
  <c r="AL136" i="2"/>
  <c r="I197" i="2"/>
  <c r="S260" i="2"/>
  <c r="Z372" i="2"/>
  <c r="AE19" i="2"/>
  <c r="T38" i="2"/>
  <c r="AC64" i="2"/>
  <c r="AG95" i="2"/>
  <c r="H137" i="2"/>
  <c r="AD178" i="3"/>
  <c r="AD179" i="2"/>
  <c r="G217" i="2"/>
  <c r="Q280" i="2"/>
  <c r="T372" i="2"/>
  <c r="AJ18" i="2"/>
  <c r="P35" i="2"/>
  <c r="O58" i="2"/>
  <c r="M81" i="2"/>
  <c r="AF120" i="2"/>
  <c r="AA161" i="2"/>
  <c r="P208" i="2"/>
  <c r="AA258" i="2"/>
  <c r="H344" i="2"/>
  <c r="K14" i="2"/>
  <c r="Q32" i="2"/>
  <c r="AI54" i="2"/>
  <c r="AG76" i="2"/>
  <c r="V110" i="2"/>
  <c r="Q155" i="3"/>
  <c r="Q156" i="2"/>
  <c r="K205" i="2"/>
  <c r="AB258" i="2"/>
  <c r="AE326" i="2"/>
  <c r="I388" i="2"/>
  <c r="P18" i="2"/>
  <c r="N34" i="2"/>
  <c r="Y55" i="2"/>
  <c r="T75" i="2"/>
  <c r="T103" i="2"/>
  <c r="AC141" i="2"/>
  <c r="AL215" i="2"/>
  <c r="AG253" i="2"/>
  <c r="AH316" i="2"/>
  <c r="S4" i="2"/>
  <c r="S3" i="3"/>
  <c r="S3" i="2" s="1"/>
  <c r="AH19" i="2"/>
  <c r="AE37" i="2"/>
  <c r="AC58" i="2"/>
  <c r="AD77" i="2"/>
  <c r="V105" i="2"/>
  <c r="AD139" i="2"/>
  <c r="P175" i="2"/>
  <c r="H216" i="2"/>
  <c r="J254" i="2"/>
  <c r="U317" i="2"/>
  <c r="AA7" i="2"/>
  <c r="V22" i="2"/>
  <c r="AH39" i="2"/>
  <c r="AC60" i="2"/>
  <c r="N80" i="2"/>
  <c r="S107" i="2"/>
  <c r="AE141" i="2"/>
  <c r="AF181" i="2"/>
  <c r="AJ220" i="2"/>
  <c r="AD262" i="2"/>
  <c r="AL337" i="2"/>
  <c r="AI98" i="2"/>
  <c r="P124" i="2"/>
  <c r="AL149" i="2"/>
  <c r="AL184" i="2"/>
  <c r="AC216" i="2"/>
  <c r="M252" i="2"/>
  <c r="Z302" i="2"/>
  <c r="I382" i="2"/>
  <c r="I120" i="2"/>
  <c r="AA146" i="2"/>
  <c r="AC181" i="2"/>
  <c r="AK212" i="2"/>
  <c r="M276" i="2"/>
  <c r="V323" i="2"/>
  <c r="S91" i="3"/>
  <c r="S91" i="2" s="1"/>
  <c r="S92" i="2"/>
  <c r="M120" i="2"/>
  <c r="K145" i="2"/>
  <c r="T183" i="2"/>
  <c r="AC214" i="2"/>
  <c r="J248" i="2"/>
  <c r="G293" i="2"/>
  <c r="G356" i="2"/>
  <c r="J104" i="2"/>
  <c r="AF131" i="2"/>
  <c r="AC164" i="2"/>
  <c r="K200" i="3"/>
  <c r="K201" i="2"/>
  <c r="N236" i="2"/>
  <c r="AL282" i="2"/>
  <c r="J342" i="2"/>
  <c r="AD9" i="2"/>
  <c r="G22" i="2"/>
  <c r="U34" i="2"/>
  <c r="X48" i="3"/>
  <c r="X49" i="2"/>
  <c r="AJ65" i="2"/>
  <c r="AK83" i="2"/>
  <c r="AI103" i="2"/>
  <c r="I125" i="2"/>
  <c r="AK149" i="2"/>
  <c r="J173" i="2"/>
  <c r="AA198" i="2"/>
  <c r="G223" i="2"/>
  <c r="N251" i="2"/>
  <c r="I289" i="2"/>
  <c r="AK337" i="2"/>
  <c r="AL8" i="2"/>
  <c r="O21" i="2"/>
  <c r="AL34" i="2"/>
  <c r="I51" i="2"/>
  <c r="V67" i="2"/>
  <c r="AF87" i="2"/>
  <c r="AL107" i="2"/>
  <c r="L127" i="2"/>
  <c r="I151" i="2"/>
  <c r="AL180" i="2"/>
  <c r="L205" i="2"/>
  <c r="AE230" i="2"/>
  <c r="Y259" i="2"/>
  <c r="Y298" i="2"/>
  <c r="X368" i="2"/>
  <c r="O12" i="2"/>
  <c r="Z38" i="2"/>
  <c r="P55" i="2"/>
  <c r="U72" i="2"/>
  <c r="L111" i="2"/>
  <c r="Z132" i="2"/>
  <c r="AB159" i="2"/>
  <c r="I185" i="2"/>
  <c r="N212" i="2"/>
  <c r="I237" i="2"/>
  <c r="O267" i="2"/>
  <c r="AE312" i="2"/>
  <c r="R393" i="2"/>
  <c r="W15" i="2"/>
  <c r="Z28" i="2"/>
  <c r="AB42" i="2"/>
  <c r="X58" i="2"/>
  <c r="AD75" i="2"/>
  <c r="O95" i="2"/>
  <c r="P115" i="2"/>
  <c r="V136" i="2"/>
  <c r="N161" i="2"/>
  <c r="AK187" i="2"/>
  <c r="O212" i="2"/>
  <c r="K237" i="2"/>
  <c r="P267" i="2"/>
  <c r="AE306" i="2"/>
  <c r="AA368" i="2"/>
  <c r="N42" i="2"/>
  <c r="X56" i="2"/>
  <c r="AF68" i="2"/>
  <c r="AL83" i="2"/>
  <c r="AA99" i="2"/>
  <c r="K116" i="2"/>
  <c r="Z130" i="2"/>
  <c r="AE149" i="2"/>
  <c r="AG171" i="2"/>
  <c r="L192" i="2"/>
  <c r="J212" i="2"/>
  <c r="I232" i="2"/>
  <c r="AH257" i="2"/>
  <c r="W293" i="2"/>
  <c r="J333" i="2"/>
  <c r="AG394" i="2"/>
  <c r="AK45" i="2"/>
  <c r="G59" i="2"/>
  <c r="Z72" i="2"/>
  <c r="AH87" i="2"/>
  <c r="O105" i="2"/>
  <c r="AB121" i="2"/>
  <c r="S141" i="2"/>
  <c r="K161" i="2"/>
  <c r="W183" i="2"/>
  <c r="Z203" i="2"/>
  <c r="U225" i="2"/>
  <c r="U245" i="2"/>
  <c r="S276" i="2"/>
  <c r="AF309" i="2"/>
  <c r="G358" i="2"/>
  <c r="V41" i="2"/>
  <c r="AH53" i="2"/>
  <c r="AE66" i="2"/>
  <c r="X80" i="2"/>
  <c r="AG97" i="2"/>
  <c r="AF111" i="2"/>
  <c r="AC129" i="2"/>
  <c r="X149" i="2"/>
  <c r="V169" i="2"/>
  <c r="I192" i="2"/>
  <c r="AI212" i="2"/>
  <c r="H234" i="2"/>
  <c r="AK258" i="2"/>
  <c r="T293" i="2"/>
  <c r="T340" i="2"/>
  <c r="G37" i="2"/>
  <c r="Q51" i="2"/>
  <c r="Y63" i="2"/>
  <c r="S77" i="2"/>
  <c r="AE93" i="2"/>
  <c r="Z108" i="2"/>
  <c r="Q126" i="2"/>
  <c r="S144" i="2"/>
  <c r="T165" i="2"/>
  <c r="AJ187" i="2"/>
  <c r="AI209" i="2"/>
  <c r="AF229" i="2"/>
  <c r="M251" i="2"/>
  <c r="Y278" i="2"/>
  <c r="O319" i="2"/>
  <c r="K378" i="2"/>
  <c r="G83" i="2"/>
  <c r="AB96" i="2"/>
  <c r="AJ108" i="2"/>
  <c r="Q123" i="2"/>
  <c r="L137" i="2"/>
  <c r="N151" i="2"/>
  <c r="AA167" i="2"/>
  <c r="U185" i="2"/>
  <c r="AG200" i="3"/>
  <c r="AG201" i="2"/>
  <c r="T217" i="2"/>
  <c r="Q234" i="2"/>
  <c r="I252" i="2"/>
  <c r="AF277" i="2"/>
  <c r="AG302" i="2"/>
  <c r="M339" i="2"/>
  <c r="H79" i="2"/>
  <c r="I91" i="3"/>
  <c r="I91" i="2" s="1"/>
  <c r="I92" i="2"/>
  <c r="Q104" i="2"/>
  <c r="AJ117" i="2"/>
  <c r="AC130" i="2"/>
  <c r="K146" i="2"/>
  <c r="V163" i="2"/>
  <c r="U193" i="2"/>
  <c r="AL209" i="2"/>
  <c r="AB224" i="2"/>
  <c r="O260" i="2"/>
  <c r="M285" i="2"/>
  <c r="AK314" i="2"/>
  <c r="I355" i="2"/>
  <c r="K77" i="2"/>
  <c r="S89" i="2"/>
  <c r="I103" i="2"/>
  <c r="AB116" i="2"/>
  <c r="S129" i="2"/>
  <c r="AB144" i="2"/>
  <c r="AL160" i="2"/>
  <c r="AG175" i="2"/>
  <c r="AB192" i="2"/>
  <c r="H210" i="2"/>
  <c r="P227" i="2"/>
  <c r="AK245" i="2"/>
  <c r="AJ265" i="3"/>
  <c r="AJ266" i="2"/>
  <c r="P292" i="2"/>
  <c r="R322" i="2"/>
  <c r="O367" i="2"/>
  <c r="AB81" i="2"/>
  <c r="R95" i="2"/>
  <c r="Z107" i="2"/>
  <c r="O121" i="2"/>
  <c r="G135" i="2"/>
  <c r="S150" i="2"/>
  <c r="Z167" i="2"/>
  <c r="T185" i="2"/>
  <c r="AF200" i="3"/>
  <c r="AF201" i="2"/>
  <c r="L218" i="2"/>
  <c r="AK235" i="2"/>
  <c r="H252" i="2"/>
  <c r="W276" i="2"/>
  <c r="AD302" i="2"/>
  <c r="K339" i="2"/>
  <c r="M406" i="2"/>
  <c r="AA151" i="2"/>
  <c r="Q165" i="2"/>
  <c r="K180" i="2"/>
  <c r="S192" i="2"/>
  <c r="AC206" i="2"/>
  <c r="AK218" i="2"/>
  <c r="AL232" i="2"/>
  <c r="R246" i="2"/>
  <c r="AI260" i="2"/>
  <c r="X279" i="2"/>
  <c r="Z303" i="2"/>
  <c r="AA331" i="2"/>
  <c r="Y368" i="2"/>
  <c r="R124" i="2"/>
  <c r="Q137" i="2"/>
  <c r="Y149" i="2"/>
  <c r="O163" i="2"/>
  <c r="W175" i="2"/>
  <c r="AB189" i="2"/>
  <c r="AL203" i="2"/>
  <c r="O216" i="2"/>
  <c r="K230" i="2"/>
  <c r="J244" i="2"/>
  <c r="J243" i="3"/>
  <c r="AG259" i="2"/>
  <c r="X282" i="2"/>
  <c r="Z304" i="2"/>
  <c r="N333" i="2"/>
  <c r="U368" i="2"/>
  <c r="AC136" i="2"/>
  <c r="AK148" i="2"/>
  <c r="G162" i="2"/>
  <c r="AI174" i="2"/>
  <c r="R190" i="2"/>
  <c r="H204" i="2"/>
  <c r="P216" i="2"/>
  <c r="L230" i="2"/>
  <c r="K243" i="3"/>
  <c r="K244" i="2"/>
  <c r="AH259" i="2"/>
  <c r="Q278" i="2"/>
  <c r="AK300" i="2"/>
  <c r="AB328" i="3"/>
  <c r="AB328" i="2" s="1"/>
  <c r="AB329" i="2"/>
  <c r="AH360" i="2"/>
  <c r="AL148" i="2"/>
  <c r="H162" i="2"/>
  <c r="P174" i="2"/>
  <c r="J189" i="2"/>
  <c r="T203" i="2"/>
  <c r="AB215" i="2"/>
  <c r="W229" i="2"/>
  <c r="R258" i="2"/>
  <c r="AL276" i="2"/>
  <c r="AK299" i="2"/>
  <c r="AB327" i="2"/>
  <c r="AF358" i="2"/>
  <c r="AI403" i="2"/>
  <c r="J260" i="2"/>
  <c r="W275" i="2"/>
  <c r="J292" i="2"/>
  <c r="N309" i="2"/>
  <c r="T331" i="2"/>
  <c r="H360" i="2"/>
  <c r="AF398" i="2"/>
  <c r="R235" i="2"/>
  <c r="H249" i="2"/>
  <c r="P261" i="2"/>
  <c r="AG277" i="2"/>
  <c r="AD294" i="2"/>
  <c r="T313" i="2"/>
  <c r="I338" i="2"/>
  <c r="G369" i="2"/>
  <c r="V411" i="2"/>
  <c r="Y253" i="2"/>
  <c r="P268" i="2"/>
  <c r="AJ283" i="2"/>
  <c r="AL302" i="2"/>
  <c r="L323" i="2"/>
  <c r="P352" i="2"/>
  <c r="AH389" i="2"/>
  <c r="Z253" i="2"/>
  <c r="Y267" i="2"/>
  <c r="L283" i="2"/>
  <c r="P301" i="2"/>
  <c r="AH320" i="2"/>
  <c r="P346" i="2"/>
  <c r="R383" i="2"/>
  <c r="AK271" i="2"/>
  <c r="AJ284" i="2"/>
  <c r="J299" i="2"/>
  <c r="W315" i="2"/>
  <c r="I335" i="2"/>
  <c r="U359" i="2"/>
  <c r="T391" i="3"/>
  <c r="T391" i="2" s="1"/>
  <c r="T392" i="2"/>
  <c r="W272" i="2"/>
  <c r="V285" i="2"/>
  <c r="AB299" i="2"/>
  <c r="AJ316" i="2"/>
  <c r="AF333" i="2"/>
  <c r="AL358" i="2"/>
  <c r="J388" i="2"/>
  <c r="AC280" i="2"/>
  <c r="Q295" i="2"/>
  <c r="V310" i="2"/>
  <c r="AD327" i="2"/>
  <c r="AG349" i="3"/>
  <c r="AG349" i="2" s="1"/>
  <c r="AG350" i="2"/>
  <c r="AD377" i="2"/>
  <c r="X406" i="2"/>
  <c r="U281" i="2"/>
  <c r="I296" i="2"/>
  <c r="N312" i="2"/>
  <c r="AI326" i="2"/>
  <c r="AK345" i="2"/>
  <c r="S372" i="2"/>
  <c r="Y402" i="2"/>
  <c r="AI313" i="2"/>
  <c r="AI327" i="2"/>
  <c r="AD345" i="2"/>
  <c r="J367" i="2"/>
  <c r="AK396" i="2"/>
  <c r="O276" i="2"/>
  <c r="N289" i="2"/>
  <c r="K302" i="2"/>
  <c r="J315" i="2"/>
  <c r="O330" i="2"/>
  <c r="U348" i="2"/>
  <c r="AB370" i="3"/>
  <c r="AB370" i="2" s="1"/>
  <c r="AB371" i="2"/>
  <c r="Q395" i="2"/>
  <c r="G297" i="2"/>
  <c r="Z310" i="2"/>
  <c r="I324" i="2"/>
  <c r="AG341" i="2"/>
  <c r="V362" i="2"/>
  <c r="J387" i="2"/>
  <c r="AC307" i="3"/>
  <c r="AC307" i="2" s="1"/>
  <c r="AC308" i="2"/>
  <c r="L321" i="2"/>
  <c r="AG337" i="2"/>
  <c r="N358" i="2"/>
  <c r="W381" i="2"/>
  <c r="AL408" i="2"/>
  <c r="AL388" i="2"/>
  <c r="U411" i="2"/>
  <c r="AL330" i="2"/>
  <c r="T346" i="2"/>
  <c r="K363" i="2"/>
  <c r="N378" i="2"/>
  <c r="G399" i="2"/>
  <c r="H366" i="2"/>
  <c r="V382" i="2"/>
  <c r="G403" i="2"/>
  <c r="W382" i="2"/>
  <c r="Z405" i="2"/>
  <c r="AK372" i="2"/>
  <c r="H387" i="2"/>
  <c r="W407" i="2"/>
  <c r="X332" i="2"/>
  <c r="X346" i="2"/>
  <c r="J363" i="2"/>
  <c r="U379" i="2"/>
  <c r="T395" i="2"/>
  <c r="AF377" i="2"/>
  <c r="U395" i="2"/>
  <c r="AF324" i="2"/>
  <c r="I340" i="2"/>
  <c r="L358" i="2"/>
  <c r="U375" i="2"/>
  <c r="AL390" i="2"/>
  <c r="K335" i="2"/>
  <c r="S347" i="2"/>
  <c r="AL360" i="2"/>
  <c r="Z374" i="2"/>
  <c r="AH386" i="2"/>
  <c r="AH401" i="2"/>
  <c r="AK340" i="2"/>
  <c r="AJ353" i="2"/>
  <c r="AG366" i="2"/>
  <c r="U380" i="2"/>
  <c r="P394" i="2"/>
  <c r="P409" i="2"/>
  <c r="W345" i="2"/>
  <c r="K359" i="2"/>
  <c r="AD372" i="2"/>
  <c r="G385" i="2"/>
  <c r="V399" i="2"/>
  <c r="J339" i="2"/>
  <c r="AC352" i="2"/>
  <c r="AK364" i="2"/>
  <c r="Y378" i="2"/>
  <c r="N391" i="3"/>
  <c r="N391" i="2" s="1"/>
  <c r="N392" i="2"/>
  <c r="AH406" i="2"/>
  <c r="AC406" i="2"/>
  <c r="J408" i="2"/>
  <c r="AK400" i="2"/>
  <c r="X394" i="2"/>
  <c r="AF406" i="2"/>
  <c r="Z410" i="2"/>
  <c r="AE206" i="2"/>
  <c r="N285" i="2"/>
  <c r="AE91" i="3"/>
  <c r="AE91" i="2" s="1"/>
  <c r="AE92" i="2"/>
  <c r="AJ146" i="2"/>
  <c r="AG214" i="2"/>
  <c r="H297" i="2"/>
  <c r="AD162" i="2"/>
  <c r="S216" i="2"/>
  <c r="J275" i="2"/>
  <c r="AE121" i="2"/>
  <c r="AJ172" i="2"/>
  <c r="T227" i="2"/>
  <c r="AI299" i="2"/>
  <c r="S146" i="2"/>
  <c r="U200" i="3"/>
  <c r="U201" i="2"/>
  <c r="AA256" i="2"/>
  <c r="AH352" i="2"/>
  <c r="W186" i="2"/>
  <c r="T240" i="2"/>
  <c r="T321" i="2"/>
  <c r="X288" i="2"/>
  <c r="G388" i="2"/>
  <c r="W274" i="2"/>
  <c r="AE363" i="2"/>
  <c r="X280" i="2"/>
  <c r="H251" i="2"/>
  <c r="Z316" i="2"/>
  <c r="M282" i="2"/>
  <c r="AB354" i="2"/>
  <c r="AC296" i="2"/>
  <c r="AI380" i="2"/>
  <c r="AK323" i="2"/>
  <c r="AC278" i="2"/>
  <c r="N341" i="2"/>
  <c r="AJ324" i="2"/>
  <c r="AB273" i="2"/>
  <c r="Q326" i="2"/>
  <c r="I295" i="2"/>
  <c r="M358" i="2"/>
  <c r="M334" i="2"/>
  <c r="AE385" i="2"/>
  <c r="K361" i="2"/>
  <c r="O378" i="2"/>
  <c r="AI368" i="2"/>
  <c r="J344" i="2"/>
  <c r="W374" i="2"/>
  <c r="AJ354" i="2"/>
  <c r="V407" i="2"/>
  <c r="H372" i="2"/>
  <c r="S338" i="2"/>
  <c r="AE390" i="2"/>
  <c r="AF368" i="2"/>
  <c r="K349" i="3"/>
  <c r="K349" i="2" s="1"/>
  <c r="K350" i="2"/>
  <c r="AA403" i="2"/>
  <c r="U405" i="2"/>
  <c r="N404" i="2"/>
  <c r="F355" i="2"/>
  <c r="F42" i="2"/>
  <c r="F317" i="2"/>
  <c r="F122" i="2"/>
  <c r="F118" i="2"/>
  <c r="Q37" i="2"/>
  <c r="AC65" i="2"/>
  <c r="Z284" i="2"/>
  <c r="AI104" i="2"/>
  <c r="AB55" i="2"/>
  <c r="AE3" i="3"/>
  <c r="AE3" i="2" s="1"/>
  <c r="AE4" i="2"/>
  <c r="L129" i="2"/>
  <c r="S285" i="2"/>
  <c r="R87" i="2"/>
  <c r="M320" i="2"/>
  <c r="Y5" i="2"/>
  <c r="K262" i="2"/>
  <c r="Y86" i="2"/>
  <c r="AK102" i="2"/>
  <c r="AI158" i="2"/>
  <c r="U81" i="2"/>
  <c r="K119" i="2"/>
  <c r="I23" i="2"/>
  <c r="I410" i="2"/>
  <c r="L410" i="2"/>
  <c r="T53" i="2"/>
  <c r="V277" i="2"/>
  <c r="AI36" i="2"/>
  <c r="T40" i="2"/>
  <c r="X64" i="2"/>
  <c r="AC281" i="2"/>
  <c r="AJ130" i="2"/>
  <c r="X62" i="2"/>
  <c r="AE115" i="2"/>
  <c r="X14" i="2"/>
  <c r="AK142" i="2"/>
  <c r="Y51" i="2"/>
  <c r="J230" i="2"/>
  <c r="G86" i="2"/>
  <c r="I356" i="2"/>
  <c r="N88" i="2"/>
  <c r="AG273" i="2"/>
  <c r="AL55" i="2"/>
  <c r="AL202" i="2"/>
  <c r="T29" i="2"/>
  <c r="AF149" i="2"/>
  <c r="P381" i="2"/>
  <c r="N72" i="2"/>
  <c r="AE208" i="2"/>
  <c r="X17" i="2"/>
  <c r="S100" i="2"/>
  <c r="W247" i="2"/>
  <c r="AG36" i="2"/>
  <c r="O136" i="2"/>
  <c r="AD321" i="2"/>
  <c r="AJ179" i="2"/>
  <c r="AJ178" i="3"/>
  <c r="M361" i="2"/>
  <c r="V207" i="2"/>
  <c r="T397" i="2"/>
  <c r="AI245" i="2"/>
  <c r="AA127" i="2"/>
  <c r="L273" i="2"/>
  <c r="W32" i="2"/>
  <c r="AD100" i="2"/>
  <c r="AH195" i="2"/>
  <c r="G328" i="3"/>
  <c r="G328" i="2" s="1"/>
  <c r="G329" i="2"/>
  <c r="AI124" i="2"/>
  <c r="AI226" i="2"/>
  <c r="Q10" i="2"/>
  <c r="Q68" i="2"/>
  <c r="AD303" i="2"/>
  <c r="R40" i="2"/>
  <c r="M111" i="2"/>
  <c r="L208" i="2"/>
  <c r="AL356" i="2"/>
  <c r="V81" i="2"/>
  <c r="W146" i="2"/>
  <c r="AL229" i="2"/>
  <c r="M384" i="2"/>
  <c r="T85" i="2"/>
  <c r="G159" i="2"/>
  <c r="AJ241" i="2"/>
  <c r="X39" i="2"/>
  <c r="U95" i="2"/>
  <c r="S166" i="2"/>
  <c r="P255" i="2"/>
  <c r="AA61" i="2"/>
  <c r="X123" i="2"/>
  <c r="AJ206" i="2"/>
  <c r="P314" i="2"/>
  <c r="G107" i="2"/>
  <c r="L165" i="2"/>
  <c r="AD231" i="2"/>
  <c r="J334" i="2"/>
  <c r="G116" i="2"/>
  <c r="H175" i="2"/>
  <c r="U239" i="2"/>
  <c r="AC346" i="2"/>
  <c r="AD114" i="2"/>
  <c r="R173" i="2"/>
  <c r="M261" i="2"/>
  <c r="AD79" i="2"/>
  <c r="AG132" i="2"/>
  <c r="U198" i="2"/>
  <c r="V273" i="2"/>
  <c r="R150" i="2"/>
  <c r="AE204" i="2"/>
  <c r="M259" i="2"/>
  <c r="N361" i="2"/>
  <c r="Q161" i="2"/>
  <c r="Q214" i="2"/>
  <c r="O279" i="2"/>
  <c r="AE133" i="3"/>
  <c r="AE134" i="2"/>
  <c r="T188" i="2"/>
  <c r="J241" i="2"/>
  <c r="Y324" i="2"/>
  <c r="J160" i="2"/>
  <c r="V200" i="3"/>
  <c r="V201" i="2"/>
  <c r="AI255" i="2"/>
  <c r="AK354" i="2"/>
  <c r="U289" i="2"/>
  <c r="T390" i="2"/>
  <c r="T275" i="2"/>
  <c r="R365" i="2"/>
  <c r="K265" i="3"/>
  <c r="K266" i="2"/>
  <c r="AI319" i="2"/>
  <c r="AJ263" i="2"/>
  <c r="V341" i="2"/>
  <c r="AG296" i="2"/>
  <c r="U386" i="2"/>
  <c r="Z314" i="2"/>
  <c r="AB278" i="2"/>
  <c r="AJ345" i="2"/>
  <c r="AB309" i="2"/>
  <c r="K398" i="2"/>
  <c r="AD363" i="2"/>
  <c r="M300" i="2"/>
  <c r="AE366" i="2"/>
  <c r="AF321" i="2"/>
  <c r="AK408" i="2"/>
  <c r="X377" i="2"/>
  <c r="AL327" i="2"/>
  <c r="AB396" i="2"/>
  <c r="Q379" i="2"/>
  <c r="W404" i="2"/>
  <c r="AA391" i="3"/>
  <c r="AA391" i="2" s="1"/>
  <c r="AA392" i="2"/>
  <c r="Y337" i="2"/>
  <c r="Z408" i="2"/>
  <c r="AJ384" i="2"/>
  <c r="AI364" i="2"/>
  <c r="Y343" i="2"/>
  <c r="L337" i="2"/>
  <c r="T404" i="2"/>
  <c r="AB408" i="2"/>
  <c r="F388" i="2"/>
  <c r="F356" i="2"/>
  <c r="F81" i="2"/>
  <c r="F85" i="2"/>
  <c r="F34" i="2"/>
  <c r="X87" i="2"/>
  <c r="G346" i="2"/>
  <c r="AF13" i="2"/>
  <c r="N225" i="2"/>
  <c r="AF286" i="3"/>
  <c r="AF286" i="2" s="1"/>
  <c r="AF287" i="2"/>
  <c r="AG104" i="2"/>
  <c r="AD204" i="2"/>
  <c r="Q257" i="2"/>
  <c r="AH407" i="2"/>
  <c r="G68" i="2"/>
  <c r="AI173" i="2"/>
  <c r="G174" i="2"/>
  <c r="L399" i="2"/>
  <c r="M30" i="2"/>
  <c r="M51" i="2"/>
  <c r="AC166" i="2"/>
  <c r="AA86" i="2"/>
  <c r="AD123" i="2"/>
  <c r="M85" i="2"/>
  <c r="N77" i="2"/>
  <c r="U135" i="2"/>
  <c r="K172" i="2"/>
  <c r="J55" i="2"/>
  <c r="M292" i="2"/>
  <c r="AL41" i="2"/>
  <c r="P42" i="2"/>
  <c r="W66" i="2"/>
  <c r="AA292" i="2"/>
  <c r="V135" i="2"/>
  <c r="Y70" i="2"/>
  <c r="Y69" i="3"/>
  <c r="P74" i="2"/>
  <c r="T345" i="2"/>
  <c r="AC95" i="2"/>
  <c r="J3" i="3"/>
  <c r="J3" i="2" s="1"/>
  <c r="J4" i="2"/>
  <c r="Y125" i="2"/>
  <c r="Q13" i="2"/>
  <c r="G131" i="2"/>
  <c r="AI17" i="2"/>
  <c r="AG131" i="2"/>
  <c r="AE367" i="2"/>
  <c r="G78" i="2"/>
  <c r="W251" i="2"/>
  <c r="S52" i="2"/>
  <c r="X251" i="2"/>
  <c r="AB32" i="2"/>
  <c r="K138" i="2"/>
  <c r="M305" i="2"/>
  <c r="AA56" i="2"/>
  <c r="U172" i="2"/>
  <c r="J6" i="2"/>
  <c r="AH77" i="2"/>
  <c r="L216" i="2"/>
  <c r="S121" i="2"/>
  <c r="Z247" i="2"/>
  <c r="Z143" i="2"/>
  <c r="I273" i="2"/>
  <c r="H142" i="2"/>
  <c r="J290" i="2"/>
  <c r="AL162" i="2"/>
  <c r="U334" i="2"/>
  <c r="AH123" i="2"/>
  <c r="U220" i="2"/>
  <c r="AC7" i="2"/>
  <c r="T48" i="3"/>
  <c r="T49" i="2"/>
  <c r="AI125" i="2"/>
  <c r="H228" i="2"/>
  <c r="AK10" i="2"/>
  <c r="AG70" i="2"/>
  <c r="AG69" i="3"/>
  <c r="Z155" i="3"/>
  <c r="Z156" i="2"/>
  <c r="AG262" i="2"/>
  <c r="Q26" i="3"/>
  <c r="Q27" i="2"/>
  <c r="P93" i="2"/>
  <c r="J185" i="2"/>
  <c r="AE303" i="2"/>
  <c r="W67" i="2"/>
  <c r="G129" i="2"/>
  <c r="L210" i="2"/>
  <c r="AK388" i="2"/>
  <c r="Q86" i="2"/>
  <c r="U181" i="2"/>
  <c r="K303" i="2"/>
  <c r="V65" i="2"/>
  <c r="AI127" i="2"/>
  <c r="AL211" i="2"/>
  <c r="AA335" i="2"/>
  <c r="AI75" i="2"/>
  <c r="X142" i="2"/>
  <c r="AE227" i="2"/>
  <c r="AH376" i="2"/>
  <c r="AK121" i="2"/>
  <c r="AD183" i="2"/>
  <c r="AI250" i="2"/>
  <c r="N406" i="2"/>
  <c r="R129" i="2"/>
  <c r="AH191" i="2"/>
  <c r="G258" i="2"/>
  <c r="J88" i="2"/>
  <c r="J143" i="2"/>
  <c r="R208" i="2"/>
  <c r="Q289" i="2"/>
  <c r="I94" i="2"/>
  <c r="AA148" i="2"/>
  <c r="AH274" i="2"/>
  <c r="AL150" i="2"/>
  <c r="T205" i="2"/>
  <c r="AK259" i="2"/>
  <c r="L364" i="2"/>
  <c r="AK161" i="2"/>
  <c r="AK214" i="2"/>
  <c r="S280" i="2"/>
  <c r="T135" i="2"/>
  <c r="AD202" i="2"/>
  <c r="Q258" i="2"/>
  <c r="AC147" i="2"/>
  <c r="K202" i="2"/>
  <c r="AB256" i="2"/>
  <c r="AC356" i="2"/>
  <c r="O290" i="2"/>
  <c r="P393" i="2"/>
  <c r="N276" i="2"/>
  <c r="Q367" i="2"/>
  <c r="Q282" i="2"/>
  <c r="V385" i="2"/>
  <c r="T299" i="2"/>
  <c r="Z270" i="2"/>
  <c r="I333" i="2"/>
  <c r="K284" i="2"/>
  <c r="AE356" i="2"/>
  <c r="AI293" i="2"/>
  <c r="AC375" i="2"/>
  <c r="W310" i="2"/>
  <c r="Z312" i="2"/>
  <c r="I394" i="2"/>
  <c r="AF313" i="2"/>
  <c r="V391" i="3"/>
  <c r="V391" i="2" s="1"/>
  <c r="V392" i="2"/>
  <c r="Z339" i="2"/>
  <c r="AD335" i="2"/>
  <c r="I387" i="2"/>
  <c r="Y344" i="2"/>
  <c r="K364" i="2"/>
  <c r="H403" i="2"/>
  <c r="O331" i="2"/>
  <c r="V393" i="2"/>
  <c r="V338" i="2"/>
  <c r="AE409" i="2"/>
  <c r="Y385" i="2"/>
  <c r="AA352" i="2"/>
  <c r="Y407" i="2"/>
  <c r="R384" i="2"/>
  <c r="AB363" i="2"/>
  <c r="M405" i="2"/>
  <c r="O393" i="2"/>
  <c r="F225" i="2"/>
  <c r="F87" i="2"/>
  <c r="F382" i="2"/>
  <c r="F291" i="2"/>
  <c r="F370" i="3"/>
  <c r="F370" i="2" s="1"/>
  <c r="F371" i="2"/>
  <c r="F290" i="2"/>
  <c r="F401" i="2"/>
  <c r="F411" i="2"/>
  <c r="F267" i="2"/>
  <c r="F200" i="3"/>
  <c r="F201" i="2"/>
  <c r="F276" i="2"/>
  <c r="F55" i="2"/>
  <c r="F318" i="2"/>
  <c r="F364" i="2"/>
  <c r="F100" i="2"/>
  <c r="F170" i="2"/>
  <c r="F180" i="2"/>
  <c r="F160" i="2"/>
  <c r="F9" i="2"/>
  <c r="AI52" i="2"/>
  <c r="S120" i="2"/>
  <c r="AL243" i="3"/>
  <c r="AL244" i="2"/>
  <c r="M19" i="2"/>
  <c r="AI310" i="2"/>
  <c r="AK224" i="2"/>
  <c r="AJ116" i="2"/>
  <c r="K168" i="2"/>
  <c r="AH74" i="2"/>
  <c r="AI195" i="2"/>
  <c r="AI59" i="2"/>
  <c r="J23" i="2"/>
  <c r="AI144" i="2"/>
  <c r="AB15" i="2"/>
  <c r="V46" i="2"/>
  <c r="AI71" i="2"/>
  <c r="AA277" i="2"/>
  <c r="L30" i="2"/>
  <c r="H198" i="2"/>
  <c r="Y93" i="2"/>
  <c r="S21" i="2"/>
  <c r="Y145" i="2"/>
  <c r="H190" i="2"/>
  <c r="AA110" i="2"/>
  <c r="AG71" i="2"/>
  <c r="K29" i="2"/>
  <c r="T123" i="2"/>
  <c r="AJ129" i="2"/>
  <c r="AG59" i="2"/>
  <c r="X11" i="2"/>
  <c r="S87" i="2"/>
  <c r="T12" i="2"/>
  <c r="Y111" i="2"/>
  <c r="AK13" i="2"/>
  <c r="H101" i="2"/>
  <c r="P189" i="2"/>
  <c r="G14" i="2"/>
  <c r="O79" i="2"/>
  <c r="N196" i="2"/>
  <c r="O22" i="2"/>
  <c r="P19" i="2"/>
  <c r="AL234" i="2"/>
  <c r="J54" i="2"/>
  <c r="M28" i="2"/>
  <c r="J203" i="2"/>
  <c r="I64" i="2"/>
  <c r="Q317" i="2"/>
  <c r="X114" i="2"/>
  <c r="G3" i="3"/>
  <c r="G3" i="2" s="1"/>
  <c r="G4" i="2"/>
  <c r="P52" i="2"/>
  <c r="AB114" i="2"/>
  <c r="AC253" i="2"/>
  <c r="M41" i="2"/>
  <c r="G73" i="2"/>
  <c r="AB37" i="2"/>
  <c r="AA263" i="2"/>
  <c r="AH63" i="2"/>
  <c r="AE193" i="2"/>
  <c r="K35" i="2"/>
  <c r="AB303" i="2"/>
  <c r="K212" i="2"/>
  <c r="H77" i="2"/>
  <c r="Y304" i="2"/>
  <c r="Q38" i="2"/>
  <c r="K99" i="2"/>
  <c r="G195" i="2"/>
  <c r="AG400" i="2"/>
  <c r="G235" i="2"/>
  <c r="AC140" i="2"/>
  <c r="AL59" i="2"/>
  <c r="H332" i="2"/>
  <c r="S138" i="2"/>
  <c r="AG381" i="2"/>
  <c r="V114" i="2"/>
  <c r="P67" i="2"/>
  <c r="Z17" i="2"/>
  <c r="X31" i="2"/>
  <c r="G82" i="2"/>
  <c r="AH161" i="2"/>
  <c r="AF276" i="2"/>
  <c r="AE8" i="2"/>
  <c r="N168" i="2"/>
  <c r="T155" i="3"/>
  <c r="T156" i="2"/>
  <c r="AE11" i="2"/>
  <c r="M192" i="2"/>
  <c r="U66" i="2"/>
  <c r="V335" i="2"/>
  <c r="G30" i="2"/>
  <c r="W60" i="2"/>
  <c r="AI100" i="2"/>
  <c r="AH151" i="2"/>
  <c r="V215" i="2"/>
  <c r="AK301" i="2"/>
  <c r="Y32" i="2"/>
  <c r="AL114" i="2"/>
  <c r="AC288" i="2"/>
  <c r="X51" i="2"/>
  <c r="AG231" i="2"/>
  <c r="Z94" i="2"/>
  <c r="V258" i="2"/>
  <c r="O210" i="2"/>
  <c r="V13" i="2"/>
  <c r="V40" i="2"/>
  <c r="S72" i="2"/>
  <c r="J113" i="2"/>
  <c r="J112" i="3"/>
  <c r="J112" i="2" s="1"/>
  <c r="Y160" i="2"/>
  <c r="X224" i="2"/>
  <c r="G302" i="2"/>
  <c r="R182" i="2"/>
  <c r="T23" i="2"/>
  <c r="W165" i="2"/>
  <c r="AC21" i="2"/>
  <c r="G106" i="2"/>
  <c r="W325" i="2"/>
  <c r="U80" i="2"/>
  <c r="W258" i="2"/>
  <c r="Z18" i="2"/>
  <c r="M50" i="2"/>
  <c r="AF80" i="2"/>
  <c r="L125" i="2"/>
  <c r="R184" i="2"/>
  <c r="Y247" i="2"/>
  <c r="K352" i="2"/>
  <c r="L19" i="2"/>
  <c r="S42" i="2"/>
  <c r="V68" i="2"/>
  <c r="N103" i="2"/>
  <c r="S153" i="2"/>
  <c r="I212" i="2"/>
  <c r="AE305" i="2"/>
  <c r="U7" i="2"/>
  <c r="AD30" i="2"/>
  <c r="S57" i="2"/>
  <c r="AB87" i="2"/>
  <c r="AK136" i="2"/>
  <c r="Y189" i="2"/>
  <c r="AB240" i="2"/>
  <c r="AL345" i="2"/>
  <c r="Y16" i="2"/>
  <c r="AA36" i="2"/>
  <c r="AE63" i="2"/>
  <c r="L93" i="2"/>
  <c r="G137" i="2"/>
  <c r="S201" i="2"/>
  <c r="S200" i="3"/>
  <c r="AJ271" i="2"/>
  <c r="J373" i="2"/>
  <c r="AK20" i="2"/>
  <c r="AC39" i="2"/>
  <c r="Q66" i="2"/>
  <c r="I96" i="2"/>
  <c r="N139" i="2"/>
  <c r="N180" i="2"/>
  <c r="AA219" i="2"/>
  <c r="T285" i="2"/>
  <c r="P387" i="2"/>
  <c r="AF19" i="2"/>
  <c r="N36" i="2"/>
  <c r="X59" i="2"/>
  <c r="Y82" i="2"/>
  <c r="W122" i="2"/>
  <c r="AE164" i="2"/>
  <c r="X210" i="2"/>
  <c r="V262" i="2"/>
  <c r="J345" i="2"/>
  <c r="N15" i="2"/>
  <c r="Q33" i="2"/>
  <c r="L56" i="2"/>
  <c r="H78" i="2"/>
  <c r="AA114" i="2"/>
  <c r="AC158" i="2"/>
  <c r="U208" i="2"/>
  <c r="AC259" i="2"/>
  <c r="T327" i="2"/>
  <c r="M410" i="2"/>
  <c r="I19" i="2"/>
  <c r="L35" i="2"/>
  <c r="Z56" i="2"/>
  <c r="R76" i="2"/>
  <c r="M105" i="2"/>
  <c r="AG143" i="2"/>
  <c r="L179" i="2"/>
  <c r="L178" i="3"/>
  <c r="G216" i="2"/>
  <c r="AK256" i="2"/>
  <c r="T317" i="2"/>
  <c r="P5" i="2"/>
  <c r="AG20" i="2"/>
  <c r="AE38" i="2"/>
  <c r="AD59" i="2"/>
  <c r="AL78" i="2"/>
  <c r="R107" i="2"/>
  <c r="AD141" i="2"/>
  <c r="AL217" i="2"/>
  <c r="AL256" i="2"/>
  <c r="AC321" i="2"/>
  <c r="X8" i="2"/>
  <c r="S23" i="2"/>
  <c r="AE40" i="2"/>
  <c r="AL61" i="2"/>
  <c r="Y81" i="2"/>
  <c r="AK108" i="2"/>
  <c r="J142" i="2"/>
  <c r="N184" i="2"/>
  <c r="AD221" i="3"/>
  <c r="AD221" i="2" s="1"/>
  <c r="AD222" i="2"/>
  <c r="K263" i="2"/>
  <c r="H338" i="2"/>
  <c r="I100" i="2"/>
  <c r="AE125" i="2"/>
  <c r="H150" i="2"/>
  <c r="G185" i="2"/>
  <c r="S218" i="2"/>
  <c r="AB254" i="2"/>
  <c r="AL306" i="2"/>
  <c r="AK383" i="2"/>
  <c r="T121" i="2"/>
  <c r="L148" i="2"/>
  <c r="S183" i="2"/>
  <c r="K213" i="2"/>
  <c r="AH245" i="2"/>
  <c r="AF279" i="2"/>
  <c r="W327" i="2"/>
  <c r="Z93" i="2"/>
  <c r="U121" i="2"/>
  <c r="AB146" i="2"/>
  <c r="Q185" i="2"/>
  <c r="R215" i="2"/>
  <c r="K250" i="2"/>
  <c r="AB296" i="2"/>
  <c r="W361" i="2"/>
  <c r="U105" i="2"/>
  <c r="X133" i="3"/>
  <c r="X134" i="2"/>
  <c r="AB166" i="2"/>
  <c r="AJ202" i="2"/>
  <c r="K238" i="2"/>
  <c r="G283" i="2"/>
  <c r="AH348" i="2"/>
  <c r="S10" i="2"/>
  <c r="AA22" i="2"/>
  <c r="J35" i="2"/>
  <c r="S50" i="2"/>
  <c r="AC66" i="2"/>
  <c r="H84" i="2"/>
  <c r="AF104" i="2"/>
  <c r="M126" i="2"/>
  <c r="P151" i="2"/>
  <c r="S174" i="2"/>
  <c r="R224" i="2"/>
  <c r="AD252" i="2"/>
  <c r="S291" i="2"/>
  <c r="V343" i="2"/>
  <c r="G9" i="2"/>
  <c r="AI21" i="2"/>
  <c r="G35" i="2"/>
  <c r="AG51" i="2"/>
  <c r="P68" i="2"/>
  <c r="AL88" i="2"/>
  <c r="G108" i="2"/>
  <c r="R128" i="2"/>
  <c r="T152" i="2"/>
  <c r="G181" i="2"/>
  <c r="U206" i="2"/>
  <c r="L231" i="2"/>
  <c r="I261" i="2"/>
  <c r="AB300" i="2"/>
  <c r="N375" i="2"/>
  <c r="AI12" i="2"/>
  <c r="T39" i="2"/>
  <c r="I56" i="2"/>
  <c r="N73" i="2"/>
  <c r="O91" i="3"/>
  <c r="O91" i="2" s="1"/>
  <c r="O92" i="2"/>
  <c r="M112" i="3"/>
  <c r="M112" i="2" s="1"/>
  <c r="M113" i="2"/>
  <c r="O135" i="2"/>
  <c r="AH160" i="2"/>
  <c r="R186" i="2"/>
  <c r="X213" i="2"/>
  <c r="M238" i="2"/>
  <c r="AJ268" i="2"/>
  <c r="AA315" i="2"/>
  <c r="AK404" i="2"/>
  <c r="L16" i="2"/>
  <c r="O29" i="2"/>
  <c r="Y43" i="2"/>
  <c r="R59" i="2"/>
  <c r="AE76" i="2"/>
  <c r="V96" i="2"/>
  <c r="S116" i="2"/>
  <c r="W137" i="2"/>
  <c r="V162" i="2"/>
  <c r="H188" i="2"/>
  <c r="Y213" i="2"/>
  <c r="N238" i="2"/>
  <c r="M269" i="2"/>
  <c r="AC309" i="2"/>
  <c r="X375" i="2"/>
  <c r="AH42" i="2"/>
  <c r="M57" i="2"/>
  <c r="L69" i="3"/>
  <c r="L70" i="2"/>
  <c r="G84" i="2"/>
  <c r="T100" i="2"/>
  <c r="AI116" i="2"/>
  <c r="Y131" i="2"/>
  <c r="AB150" i="2"/>
  <c r="AD172" i="2"/>
  <c r="N193" i="2"/>
  <c r="AL212" i="2"/>
  <c r="M233" i="2"/>
  <c r="Q259" i="2"/>
  <c r="J294" i="2"/>
  <c r="Y336" i="2"/>
  <c r="AF402" i="2"/>
  <c r="Z46" i="2"/>
  <c r="AA59" i="2"/>
  <c r="O73" i="2"/>
  <c r="AA88" i="2"/>
  <c r="H106" i="2"/>
  <c r="AB122" i="2"/>
  <c r="P142" i="2"/>
  <c r="N162" i="2"/>
  <c r="AC184" i="2"/>
  <c r="X204" i="2"/>
  <c r="Y226" i="2"/>
  <c r="AB246" i="2"/>
  <c r="W278" i="2"/>
  <c r="M310" i="2"/>
  <c r="AK361" i="2"/>
  <c r="K42" i="2"/>
  <c r="W54" i="2"/>
  <c r="T67" i="2"/>
  <c r="S81" i="2"/>
  <c r="G98" i="2"/>
  <c r="X112" i="3"/>
  <c r="X112" i="2" s="1"/>
  <c r="X113" i="2"/>
  <c r="W130" i="2"/>
  <c r="Y150" i="2"/>
  <c r="X170" i="2"/>
  <c r="K193" i="2"/>
  <c r="AJ213" i="2"/>
  <c r="P235" i="2"/>
  <c r="U260" i="2"/>
  <c r="X295" i="2"/>
  <c r="AK343" i="2"/>
  <c r="AA37" i="2"/>
  <c r="AK51" i="2"/>
  <c r="N64" i="2"/>
  <c r="K78" i="2"/>
  <c r="Y94" i="2"/>
  <c r="S109" i="2"/>
  <c r="K127" i="2"/>
  <c r="R145" i="2"/>
  <c r="T166" i="2"/>
  <c r="AG188" i="2"/>
  <c r="AL210" i="2"/>
  <c r="I231" i="2"/>
  <c r="T252" i="2"/>
  <c r="P280" i="2"/>
  <c r="W321" i="2"/>
  <c r="L382" i="2"/>
  <c r="AA83" i="2"/>
  <c r="Q97" i="2"/>
  <c r="Y109" i="2"/>
  <c r="AL123" i="2"/>
  <c r="AH137" i="2"/>
  <c r="AL151" i="2"/>
  <c r="W168" i="2"/>
  <c r="N186" i="2"/>
  <c r="Z202" i="2"/>
  <c r="P218" i="2"/>
  <c r="M235" i="2"/>
  <c r="L253" i="2"/>
  <c r="N278" i="2"/>
  <c r="W304" i="2"/>
  <c r="I342" i="2"/>
  <c r="AB79" i="2"/>
  <c r="AC91" i="3"/>
  <c r="AC91" i="2" s="1"/>
  <c r="AC92" i="2"/>
  <c r="AK104" i="2"/>
  <c r="Y118" i="2"/>
  <c r="S131" i="2"/>
  <c r="AH146" i="2"/>
  <c r="P164" i="2"/>
  <c r="X178" i="3"/>
  <c r="X179" i="2"/>
  <c r="R194" i="2"/>
  <c r="G210" i="2"/>
  <c r="Y225" i="2"/>
  <c r="I244" i="2"/>
  <c r="I243" i="3"/>
  <c r="L261" i="2"/>
  <c r="AL286" i="3"/>
  <c r="AL286" i="2" s="1"/>
  <c r="AL287" i="2"/>
  <c r="AB316" i="2"/>
  <c r="Z357" i="2"/>
  <c r="AE77" i="2"/>
  <c r="AC103" i="2"/>
  <c r="Q117" i="2"/>
  <c r="I130" i="2"/>
  <c r="T145" i="2"/>
  <c r="G161" i="2"/>
  <c r="V193" i="2"/>
  <c r="AF210" i="2"/>
  <c r="M228" i="2"/>
  <c r="AF246" i="2"/>
  <c r="K267" i="2"/>
  <c r="Z293" i="2"/>
  <c r="Q324" i="2"/>
  <c r="AK369" i="2"/>
  <c r="Q82" i="2"/>
  <c r="AL95" i="2"/>
  <c r="O108" i="2"/>
  <c r="AJ121" i="2"/>
  <c r="AC135" i="2"/>
  <c r="M151" i="2"/>
  <c r="S168" i="2"/>
  <c r="M186" i="2"/>
  <c r="Y202" i="2"/>
  <c r="J219" i="2"/>
  <c r="H236" i="2"/>
  <c r="K253" i="2"/>
  <c r="AE277" i="2"/>
  <c r="V304" i="2"/>
  <c r="H342" i="2"/>
  <c r="H140" i="2"/>
  <c r="P152" i="2"/>
  <c r="AK165" i="2"/>
  <c r="AE180" i="2"/>
  <c r="H193" i="2"/>
  <c r="R207" i="2"/>
  <c r="Z219" i="2"/>
  <c r="G233" i="2"/>
  <c r="I247" i="2"/>
  <c r="AB261" i="2"/>
  <c r="AA280" i="2"/>
  <c r="AK304" i="2"/>
  <c r="W333" i="2"/>
  <c r="L370" i="3"/>
  <c r="L370" i="2" s="1"/>
  <c r="L371" i="2"/>
  <c r="AL124" i="2"/>
  <c r="AK137" i="2"/>
  <c r="N150" i="2"/>
  <c r="AI163" i="2"/>
  <c r="Q190" i="2"/>
  <c r="G204" i="2"/>
  <c r="AI216" i="2"/>
  <c r="AF230" i="2"/>
  <c r="AF243" i="3"/>
  <c r="AF244" i="2"/>
  <c r="AE260" i="2"/>
  <c r="AA283" i="2"/>
  <c r="M306" i="2"/>
  <c r="AC334" i="2"/>
  <c r="AF372" i="2"/>
  <c r="R137" i="2"/>
  <c r="Z149" i="2"/>
  <c r="AA162" i="2"/>
  <c r="X175" i="2"/>
  <c r="AL190" i="2"/>
  <c r="AB204" i="2"/>
  <c r="AJ216" i="2"/>
  <c r="AH230" i="2"/>
  <c r="AG243" i="3"/>
  <c r="AG244" i="2"/>
  <c r="AF260" i="2"/>
  <c r="P279" i="2"/>
  <c r="O302" i="2"/>
  <c r="X331" i="2"/>
  <c r="T363" i="2"/>
  <c r="G149" i="2"/>
  <c r="AB162" i="2"/>
  <c r="AJ174" i="2"/>
  <c r="AD189" i="2"/>
  <c r="I204" i="2"/>
  <c r="Q216" i="2"/>
  <c r="N230" i="2"/>
  <c r="L243" i="3"/>
  <c r="L244" i="2"/>
  <c r="K259" i="2"/>
  <c r="G277" i="2"/>
  <c r="AL300" i="2"/>
  <c r="AC328" i="3"/>
  <c r="AC328" i="2" s="1"/>
  <c r="AC329" i="2"/>
  <c r="AI360" i="2"/>
  <c r="AG407" i="2"/>
  <c r="AD260" i="2"/>
  <c r="R276" i="2"/>
  <c r="AJ292" i="2"/>
  <c r="Q310" i="2"/>
  <c r="Y332" i="2"/>
  <c r="AI361" i="2"/>
  <c r="U401" i="2"/>
  <c r="AL235" i="2"/>
  <c r="AB249" i="2"/>
  <c r="AJ261" i="2"/>
  <c r="AH278" i="2"/>
  <c r="Y295" i="2"/>
  <c r="R314" i="2"/>
  <c r="V339" i="2"/>
  <c r="N370" i="3"/>
  <c r="N370" i="2" s="1"/>
  <c r="N371" i="2"/>
  <c r="X240" i="2"/>
  <c r="N254" i="2"/>
  <c r="AL268" i="2"/>
  <c r="AI284" i="2"/>
  <c r="G303" i="2"/>
  <c r="V324" i="2"/>
  <c r="AE353" i="2"/>
  <c r="R390" i="2"/>
  <c r="O254" i="2"/>
  <c r="Q268" i="2"/>
  <c r="AK283" i="2"/>
  <c r="M302" i="2"/>
  <c r="AK321" i="2"/>
  <c r="AE347" i="2"/>
  <c r="AD385" i="2"/>
  <c r="AA272" i="2"/>
  <c r="Z285" i="2"/>
  <c r="AF299" i="2"/>
  <c r="P316" i="2"/>
  <c r="N336" i="2"/>
  <c r="AB360" i="2"/>
  <c r="AB394" i="2"/>
  <c r="M273" i="2"/>
  <c r="Z286" i="3"/>
  <c r="Z286" i="2" s="1"/>
  <c r="Z287" i="2"/>
  <c r="S300" i="2"/>
  <c r="AG317" i="2"/>
  <c r="AE334" i="2"/>
  <c r="G359" i="2"/>
  <c r="AJ389" i="2"/>
  <c r="S281" i="2"/>
  <c r="H296" i="2"/>
  <c r="S311" i="2"/>
  <c r="I328" i="3"/>
  <c r="I328" i="2" s="1"/>
  <c r="I329" i="2"/>
  <c r="AG351" i="2"/>
  <c r="I378" i="2"/>
  <c r="AA409" i="2"/>
  <c r="K282" i="2"/>
  <c r="AE296" i="2"/>
  <c r="AL312" i="2"/>
  <c r="AE327" i="2"/>
  <c r="J347" i="2"/>
  <c r="O374" i="2"/>
  <c r="AD404" i="2"/>
  <c r="X314" i="2"/>
  <c r="Z328" i="3"/>
  <c r="Z328" i="2" s="1"/>
  <c r="Z329" i="2"/>
  <c r="AB346" i="2"/>
  <c r="S368" i="2"/>
  <c r="Z398" i="2"/>
  <c r="AI276" i="2"/>
  <c r="AH289" i="2"/>
  <c r="AE302" i="2"/>
  <c r="AD315" i="2"/>
  <c r="I331" i="2"/>
  <c r="T349" i="3"/>
  <c r="T349" i="2" s="1"/>
  <c r="T350" i="2"/>
  <c r="AG372" i="2"/>
  <c r="AH396" i="2"/>
  <c r="AA297" i="2"/>
  <c r="O311" i="2"/>
  <c r="AH324" i="2"/>
  <c r="AC342" i="2"/>
  <c r="X363" i="2"/>
  <c r="P388" i="2"/>
  <c r="R309" i="2"/>
  <c r="AG321" i="2"/>
  <c r="AC338" i="2"/>
  <c r="O359" i="2"/>
  <c r="AH382" i="2"/>
  <c r="G409" i="2"/>
  <c r="G389" i="2"/>
  <c r="R318" i="2"/>
  <c r="G331" i="2"/>
  <c r="O347" i="2"/>
  <c r="J364" i="2"/>
  <c r="O379" i="2"/>
  <c r="I400" i="2"/>
  <c r="H367" i="2"/>
  <c r="T383" i="2"/>
  <c r="H404" i="2"/>
  <c r="U383" i="2"/>
  <c r="AJ406" i="2"/>
  <c r="AD373" i="2"/>
  <c r="AF387" i="2"/>
  <c r="AA408" i="2"/>
  <c r="M333" i="2"/>
  <c r="Q347" i="2"/>
  <c r="AH363" i="2"/>
  <c r="N380" i="2"/>
  <c r="O396" i="2"/>
  <c r="AC378" i="2"/>
  <c r="P396" i="2"/>
  <c r="U325" i="2"/>
  <c r="AG340" i="2"/>
  <c r="AJ358" i="2"/>
  <c r="P376" i="2"/>
  <c r="AC391" i="3"/>
  <c r="AC391" i="2" s="1"/>
  <c r="AC392" i="2"/>
  <c r="AE335" i="2"/>
  <c r="H348" i="2"/>
  <c r="G361" i="2"/>
  <c r="O375" i="2"/>
  <c r="W387" i="2"/>
  <c r="AA402" i="2"/>
  <c r="Z341" i="2"/>
  <c r="Y354" i="2"/>
  <c r="V367" i="2"/>
  <c r="J381" i="2"/>
  <c r="AL394" i="2"/>
  <c r="S410" i="2"/>
  <c r="L346" i="2"/>
  <c r="AE359" i="2"/>
  <c r="S373" i="2"/>
  <c r="AA385" i="2"/>
  <c r="N400" i="2"/>
  <c r="AD339" i="2"/>
  <c r="R353" i="2"/>
  <c r="Z365" i="2"/>
  <c r="N379" i="2"/>
  <c r="AJ391" i="3"/>
  <c r="AJ391" i="2" s="1"/>
  <c r="AJ392" i="2"/>
  <c r="AA407" i="2"/>
  <c r="R407" i="2"/>
  <c r="AF408" i="2"/>
  <c r="Z401" i="2"/>
  <c r="M395" i="2"/>
  <c r="U407" i="2"/>
  <c r="O411" i="2"/>
  <c r="L190" i="2"/>
  <c r="P260" i="2"/>
  <c r="J79" i="2"/>
  <c r="L132" i="2"/>
  <c r="AB197" i="2"/>
  <c r="J272" i="2"/>
  <c r="AC149" i="2"/>
  <c r="K204" i="2"/>
  <c r="T258" i="2"/>
  <c r="AI358" i="2"/>
  <c r="AB160" i="2"/>
  <c r="AB213" i="2"/>
  <c r="P278" i="2"/>
  <c r="K133" i="3"/>
  <c r="K134" i="2"/>
  <c r="AE187" i="2"/>
  <c r="S240" i="2"/>
  <c r="S296" i="2"/>
  <c r="U159" i="2"/>
  <c r="K255" i="2"/>
  <c r="G393" i="2"/>
  <c r="AK305" i="2"/>
  <c r="AE232" i="2"/>
  <c r="AL291" i="2"/>
  <c r="N401" i="2"/>
  <c r="S299" i="2"/>
  <c r="T344" i="2"/>
  <c r="P263" i="2"/>
  <c r="K340" i="2"/>
  <c r="K296" i="2"/>
  <c r="AF384" i="2"/>
  <c r="AC313" i="2"/>
  <c r="G278" i="2"/>
  <c r="X344" i="2"/>
  <c r="N293" i="2"/>
  <c r="G365" i="2"/>
  <c r="AJ341" i="2"/>
  <c r="AJ285" i="2"/>
  <c r="Z344" i="2"/>
  <c r="K321" i="2"/>
  <c r="I407" i="2"/>
  <c r="L376" i="2"/>
  <c r="O327" i="2"/>
  <c r="S395" i="2"/>
  <c r="V400" i="2"/>
  <c r="AK328" i="3"/>
  <c r="AK328" i="2" s="1"/>
  <c r="AK329" i="2"/>
  <c r="AJ390" i="2"/>
  <c r="AF336" i="2"/>
  <c r="AF344" i="2"/>
  <c r="AA398" i="2"/>
  <c r="AH377" i="2"/>
  <c r="X356" i="2"/>
  <c r="W336" i="2"/>
  <c r="G376" i="2"/>
  <c r="S398" i="2"/>
  <c r="F246" i="2"/>
  <c r="F254" i="2"/>
  <c r="F255" i="2"/>
  <c r="F216" i="2"/>
  <c r="F78" i="2"/>
  <c r="P79" i="2"/>
  <c r="J295" i="2"/>
  <c r="X256" i="2"/>
  <c r="N138" i="2"/>
  <c r="AB277" i="2"/>
  <c r="G101" i="2"/>
  <c r="AB167" i="2"/>
  <c r="AK170" i="2"/>
  <c r="N387" i="2"/>
  <c r="AG67" i="2"/>
  <c r="AC165" i="2"/>
  <c r="AF35" i="2"/>
  <c r="O38" i="2"/>
  <c r="Z5" i="2"/>
  <c r="AJ9" i="2"/>
  <c r="AI238" i="2"/>
  <c r="AI34" i="2"/>
  <c r="K81" i="2"/>
  <c r="W74" i="2"/>
  <c r="I131" i="2"/>
  <c r="L121" i="2"/>
  <c r="G197" i="2"/>
  <c r="P232" i="2"/>
  <c r="AF232" i="2"/>
  <c r="Z35" i="2"/>
  <c r="Q210" i="2"/>
  <c r="K410" i="2"/>
  <c r="U268" i="2"/>
  <c r="M44" i="2"/>
  <c r="G238" i="2"/>
  <c r="AF63" i="2"/>
  <c r="P281" i="2"/>
  <c r="G80" i="2"/>
  <c r="L305" i="2"/>
  <c r="T57" i="2"/>
  <c r="AF254" i="2"/>
  <c r="AD60" i="2"/>
  <c r="V213" i="2"/>
  <c r="P32" i="2"/>
  <c r="Z114" i="2"/>
  <c r="AD330" i="2"/>
  <c r="AH73" i="2"/>
  <c r="P248" i="2"/>
  <c r="AI31" i="2"/>
  <c r="AF135" i="2"/>
  <c r="K299" i="2"/>
  <c r="Z55" i="2"/>
  <c r="AD170" i="2"/>
  <c r="Q5" i="2"/>
  <c r="T76" i="2"/>
  <c r="L214" i="2"/>
  <c r="H120" i="2"/>
  <c r="S245" i="2"/>
  <c r="G142" i="2"/>
  <c r="AC272" i="2"/>
  <c r="AL141" i="2"/>
  <c r="K286" i="3"/>
  <c r="K286" i="2" s="1"/>
  <c r="K287" i="2"/>
  <c r="W161" i="2"/>
  <c r="P328" i="3"/>
  <c r="P328" i="2" s="1"/>
  <c r="P329" i="2"/>
  <c r="AI46" i="2"/>
  <c r="AI122" i="2"/>
  <c r="L219" i="2"/>
  <c r="I7" i="2"/>
  <c r="I65" i="2"/>
  <c r="N147" i="2"/>
  <c r="AJ255" i="2"/>
  <c r="Y22" i="2"/>
  <c r="AG87" i="2"/>
  <c r="T182" i="2"/>
  <c r="J261" i="2"/>
  <c r="Q91" i="3"/>
  <c r="Q91" i="2" s="1"/>
  <c r="Q92" i="2"/>
  <c r="I184" i="2"/>
  <c r="Z301" i="2"/>
  <c r="AH66" i="2"/>
  <c r="AL128" i="2"/>
  <c r="AK208" i="2"/>
  <c r="R327" i="2"/>
  <c r="AB70" i="2"/>
  <c r="AB69" i="3"/>
  <c r="W138" i="2"/>
  <c r="Q221" i="3"/>
  <c r="Q221" i="2" s="1"/>
  <c r="Q222" i="2"/>
  <c r="N351" i="2"/>
  <c r="J78" i="2"/>
  <c r="Q146" i="2"/>
  <c r="H231" i="2"/>
  <c r="AF332" i="2"/>
  <c r="S49" i="2"/>
  <c r="S48" i="3"/>
  <c r="AH106" i="2"/>
  <c r="AE184" i="2"/>
  <c r="X272" i="2"/>
  <c r="AD94" i="2"/>
  <c r="AB148" i="2"/>
  <c r="AH214" i="2"/>
  <c r="L298" i="2"/>
  <c r="S102" i="2"/>
  <c r="AK160" i="2"/>
  <c r="R221" i="3"/>
  <c r="R221" i="2" s="1"/>
  <c r="R222" i="2"/>
  <c r="AG309" i="2"/>
  <c r="U87" i="2"/>
  <c r="R142" i="2"/>
  <c r="X207" i="2"/>
  <c r="H288" i="2"/>
  <c r="T93" i="2"/>
  <c r="AH147" i="2"/>
  <c r="AF215" i="2"/>
  <c r="K298" i="2"/>
  <c r="S163" i="2"/>
  <c r="H217" i="2"/>
  <c r="K276" i="2"/>
  <c r="T122" i="2"/>
  <c r="Y173" i="2"/>
  <c r="J228" i="2"/>
  <c r="AJ300" i="2"/>
  <c r="H147" i="2"/>
  <c r="J202" i="2"/>
  <c r="X257" i="2"/>
  <c r="I147" i="2"/>
  <c r="AD213" i="2"/>
  <c r="H275" i="2"/>
  <c r="Y396" i="2"/>
  <c r="I306" i="2"/>
  <c r="T233" i="2"/>
  <c r="G292" i="2"/>
  <c r="X404" i="2"/>
  <c r="P300" i="2"/>
  <c r="AB251" i="2"/>
  <c r="Y317" i="2"/>
  <c r="AH282" i="2"/>
  <c r="AE355" i="2"/>
  <c r="V297" i="2"/>
  <c r="AJ382" i="2"/>
  <c r="H325" i="2"/>
  <c r="Y400" i="2"/>
  <c r="AJ293" i="2"/>
  <c r="P366" i="2"/>
  <c r="AF342" i="2"/>
  <c r="P286" i="3"/>
  <c r="P286" i="2" s="1"/>
  <c r="P287" i="2"/>
  <c r="AA345" i="2"/>
  <c r="AB307" i="3"/>
  <c r="AB307" i="2" s="1"/>
  <c r="AB308" i="2"/>
  <c r="H384" i="2"/>
  <c r="T355" i="2"/>
  <c r="G407" i="2"/>
  <c r="I376" i="2"/>
  <c r="U400" i="2"/>
  <c r="Q385" i="2"/>
  <c r="R361" i="2"/>
  <c r="AB391" i="3"/>
  <c r="AB391" i="2" s="1"/>
  <c r="AB392" i="2"/>
  <c r="AJ372" i="2"/>
  <c r="I359" i="2"/>
  <c r="H339" i="2"/>
  <c r="L391" i="3"/>
  <c r="L391" i="2" s="1"/>
  <c r="L392" i="2"/>
  <c r="U369" i="2"/>
  <c r="AE349" i="3"/>
  <c r="AE349" i="2" s="1"/>
  <c r="AE350" i="2"/>
  <c r="X389" i="2"/>
  <c r="H399" i="2"/>
  <c r="F365" i="2"/>
  <c r="F143" i="2"/>
  <c r="F379" i="2"/>
  <c r="F88" i="2"/>
  <c r="X46" i="2"/>
  <c r="AB106" i="2"/>
  <c r="J32" i="2"/>
  <c r="M135" i="2"/>
  <c r="AC358" i="2"/>
  <c r="AL81" i="2"/>
  <c r="Y105" i="2"/>
  <c r="H75" i="2"/>
  <c r="Z65" i="2"/>
  <c r="N79" i="2"/>
  <c r="S187" i="2"/>
  <c r="M67" i="2"/>
  <c r="R41" i="2"/>
  <c r="J39" i="2"/>
  <c r="Z37" i="2"/>
  <c r="AK173" i="2"/>
  <c r="Q67" i="2"/>
  <c r="AK185" i="2"/>
  <c r="N44" i="2"/>
  <c r="L332" i="2"/>
  <c r="AL28" i="2"/>
  <c r="AF3" i="3"/>
  <c r="AF3" i="2" s="1"/>
  <c r="AF4" i="2"/>
  <c r="L6" i="2"/>
  <c r="K27" i="2"/>
  <c r="K26" i="3"/>
  <c r="AI200" i="3"/>
  <c r="AI201" i="2"/>
  <c r="R245" i="2"/>
  <c r="AE240" i="2"/>
  <c r="O37" i="2"/>
  <c r="W215" i="2"/>
  <c r="AF8" i="2"/>
  <c r="S277" i="2"/>
  <c r="Q46" i="2"/>
  <c r="X241" i="2"/>
  <c r="P39" i="2"/>
  <c r="W204" i="2"/>
  <c r="H53" i="2"/>
  <c r="V233" i="2"/>
  <c r="AH58" i="2"/>
  <c r="T255" i="2"/>
  <c r="M62" i="2"/>
  <c r="N214" i="2"/>
  <c r="P33" i="2"/>
  <c r="H155" i="3"/>
  <c r="H156" i="2"/>
  <c r="R12" i="2"/>
  <c r="N106" i="2"/>
  <c r="AB319" i="2"/>
  <c r="V53" i="2"/>
  <c r="O173" i="2"/>
  <c r="V410" i="2"/>
  <c r="U75" i="2"/>
  <c r="Q211" i="2"/>
  <c r="AH20" i="2"/>
  <c r="V103" i="2"/>
  <c r="J96" i="2"/>
  <c r="AG212" i="2"/>
  <c r="W117" i="2"/>
  <c r="H240" i="2"/>
  <c r="AA117" i="2"/>
  <c r="J246" i="2"/>
  <c r="J129" i="2"/>
  <c r="AE276" i="2"/>
  <c r="L33" i="2"/>
  <c r="AA101" i="2"/>
  <c r="I196" i="2"/>
  <c r="Z283" i="2"/>
  <c r="AC33" i="2"/>
  <c r="AF105" i="2"/>
  <c r="AK295" i="2"/>
  <c r="K37" i="2"/>
  <c r="I109" i="2"/>
  <c r="U209" i="2"/>
  <c r="J385" i="2"/>
  <c r="AH56" i="2"/>
  <c r="AA132" i="2"/>
  <c r="V235" i="2"/>
  <c r="AJ40" i="2"/>
  <c r="J98" i="2"/>
  <c r="Y169" i="2"/>
  <c r="S255" i="2"/>
  <c r="AB44" i="2"/>
  <c r="W103" i="2"/>
  <c r="X139" i="2"/>
  <c r="R223" i="2"/>
  <c r="O354" i="2"/>
  <c r="AH78" i="2"/>
  <c r="T147" i="2"/>
  <c r="AK231" i="2"/>
  <c r="Q402" i="2"/>
  <c r="AL91" i="3"/>
  <c r="AL91" i="2" s="1"/>
  <c r="AL92" i="2"/>
  <c r="M163" i="2"/>
  <c r="V249" i="2"/>
  <c r="R82" i="2"/>
  <c r="AD135" i="2"/>
  <c r="AG215" i="2"/>
  <c r="AG299" i="2"/>
  <c r="H103" i="2"/>
  <c r="AD161" i="2"/>
  <c r="O240" i="2"/>
  <c r="N352" i="2"/>
  <c r="S115" i="2"/>
  <c r="K174" i="2"/>
  <c r="M243" i="3"/>
  <c r="M244" i="2"/>
  <c r="R364" i="2"/>
  <c r="AJ119" i="2"/>
  <c r="AC183" i="2"/>
  <c r="AE250" i="2"/>
  <c r="AD401" i="2"/>
  <c r="J191" i="2"/>
  <c r="AJ243" i="3"/>
  <c r="AJ244" i="2"/>
  <c r="P326" i="2"/>
  <c r="P148" i="2"/>
  <c r="AC202" i="2"/>
  <c r="P258" i="2"/>
  <c r="P363" i="2"/>
  <c r="Z173" i="2"/>
  <c r="AF228" i="2"/>
  <c r="M326" i="2"/>
  <c r="AF187" i="2"/>
  <c r="AI241" i="2"/>
  <c r="Z324" i="2"/>
  <c r="AF273" i="2"/>
  <c r="AK356" i="2"/>
  <c r="G260" i="2"/>
  <c r="P335" i="2"/>
  <c r="AG265" i="3"/>
  <c r="AG266" i="2"/>
  <c r="AD347" i="2"/>
  <c r="X281" i="2"/>
  <c r="AF378" i="2"/>
  <c r="AK313" i="2"/>
  <c r="L271" i="2"/>
  <c r="I332" i="2"/>
  <c r="AH307" i="3"/>
  <c r="AH307" i="2" s="1"/>
  <c r="AH308" i="2"/>
  <c r="X402" i="2"/>
  <c r="U343" i="2"/>
  <c r="T326" i="2"/>
  <c r="AK274" i="2"/>
  <c r="AF327" i="2"/>
  <c r="R296" i="2"/>
  <c r="M360" i="2"/>
  <c r="P356" i="2"/>
  <c r="AK376" i="2"/>
  <c r="AB401" i="2"/>
  <c r="J386" i="2"/>
  <c r="K362" i="2"/>
  <c r="W393" i="2"/>
  <c r="AC373" i="2"/>
  <c r="AC359" i="2"/>
  <c r="AB339" i="2"/>
  <c r="AH391" i="3"/>
  <c r="AH391" i="2" s="1"/>
  <c r="AH392" i="2"/>
  <c r="U370" i="3"/>
  <c r="U370" i="2" s="1"/>
  <c r="U371" i="2"/>
  <c r="AF337" i="2"/>
  <c r="M390" i="2"/>
  <c r="T405" i="2"/>
  <c r="AB399" i="2"/>
  <c r="F145" i="2"/>
  <c r="F38" i="2"/>
  <c r="F166" i="2"/>
  <c r="F115" i="2"/>
  <c r="F354" i="2"/>
  <c r="F22" i="2"/>
  <c r="F271" i="2"/>
  <c r="F314" i="2"/>
  <c r="F149" i="2"/>
  <c r="F257" i="2"/>
  <c r="F339" i="2"/>
  <c r="F186" i="2"/>
  <c r="F236" i="2"/>
  <c r="F157" i="2"/>
  <c r="F404" i="2"/>
  <c r="F234" i="2"/>
  <c r="F7" i="2"/>
  <c r="F334" i="2"/>
  <c r="F71" i="2"/>
  <c r="R96" i="2"/>
  <c r="AJ110" i="2"/>
  <c r="L122" i="2"/>
  <c r="Y275" i="2"/>
  <c r="AC31" i="2"/>
  <c r="AC34" i="2"/>
  <c r="AF233" i="2"/>
  <c r="M129" i="2"/>
  <c r="H208" i="2"/>
  <c r="J164" i="2"/>
  <c r="S342" i="2"/>
  <c r="W104" i="2"/>
  <c r="R32" i="2"/>
  <c r="W145" i="2"/>
  <c r="P111" i="2"/>
  <c r="M39" i="2"/>
  <c r="Y72" i="2"/>
  <c r="O278" i="2"/>
  <c r="Q56" i="2"/>
  <c r="AF18" i="2"/>
  <c r="J171" i="2"/>
  <c r="AF22" i="2"/>
  <c r="AG148" i="2"/>
  <c r="W309" i="2"/>
  <c r="V116" i="2"/>
  <c r="R112" i="3"/>
  <c r="R112" i="2" s="1"/>
  <c r="R113" i="2"/>
  <c r="R39" i="2"/>
  <c r="L168" i="2"/>
  <c r="AG164" i="2"/>
  <c r="W75" i="2"/>
  <c r="AE13" i="2"/>
  <c r="Q89" i="2"/>
  <c r="AD13" i="2"/>
  <c r="AL116" i="2"/>
  <c r="AI20" i="2"/>
  <c r="Z104" i="2"/>
  <c r="U195" i="2"/>
  <c r="R15" i="2"/>
  <c r="AJ99" i="2"/>
  <c r="AJ197" i="2"/>
  <c r="AH26" i="3"/>
  <c r="AH27" i="2"/>
  <c r="I235" i="2"/>
  <c r="I102" i="2"/>
  <c r="V57" i="2"/>
  <c r="S33" i="2"/>
  <c r="W211" i="2"/>
  <c r="H71" i="2"/>
  <c r="O332" i="2"/>
  <c r="AE150" i="2"/>
  <c r="AI5" i="2"/>
  <c r="AE54" i="2"/>
  <c r="AF119" i="2"/>
  <c r="U254" i="2"/>
  <c r="M43" i="2"/>
  <c r="AG80" i="2"/>
  <c r="AH50" i="2"/>
  <c r="P270" i="2"/>
  <c r="G64" i="2"/>
  <c r="K38" i="2"/>
  <c r="S304" i="2"/>
  <c r="AI217" i="2"/>
  <c r="AG91" i="3"/>
  <c r="AG91" i="2" s="1"/>
  <c r="AG92" i="2"/>
  <c r="AF305" i="2"/>
  <c r="K39" i="2"/>
  <c r="AK103" i="2"/>
  <c r="N203" i="2"/>
  <c r="AB403" i="2"/>
  <c r="N270" i="2"/>
  <c r="P158" i="2"/>
  <c r="O61" i="2"/>
  <c r="AA5" i="2"/>
  <c r="AE140" i="2"/>
  <c r="AI394" i="2"/>
  <c r="Z119" i="2"/>
  <c r="AL76" i="2"/>
  <c r="AB22" i="2"/>
  <c r="AA33" i="2"/>
  <c r="AB86" i="2"/>
  <c r="S162" i="2"/>
  <c r="L277" i="2"/>
  <c r="AL9" i="2"/>
  <c r="V205" i="2"/>
  <c r="Y48" i="3"/>
  <c r="Y49" i="2"/>
  <c r="O168" i="2"/>
  <c r="L17" i="2"/>
  <c r="W196" i="2"/>
  <c r="AE73" i="2"/>
  <c r="AJ3" i="3"/>
  <c r="AJ3" i="2" s="1"/>
  <c r="AJ4" i="2"/>
  <c r="Q31" i="2"/>
  <c r="AC62" i="2"/>
  <c r="R103" i="2"/>
  <c r="J152" i="2"/>
  <c r="AD219" i="2"/>
  <c r="AL313" i="2"/>
  <c r="R35" i="2"/>
  <c r="I118" i="2"/>
  <c r="Z300" i="2"/>
  <c r="Z58" i="2"/>
  <c r="AD232" i="2"/>
  <c r="AL105" i="2"/>
  <c r="K292" i="2"/>
  <c r="AL56" i="2"/>
  <c r="S224" i="2"/>
  <c r="AB14" i="2"/>
  <c r="U42" i="2"/>
  <c r="O74" i="2"/>
  <c r="AD115" i="2"/>
  <c r="Y161" i="2"/>
  <c r="AL227" i="2"/>
  <c r="J314" i="2"/>
  <c r="AD29" i="2"/>
  <c r="T187" i="2"/>
  <c r="AL171" i="2"/>
  <c r="M109" i="2"/>
  <c r="N335" i="2"/>
  <c r="O83" i="2"/>
  <c r="U277" i="2"/>
  <c r="V20" i="2"/>
  <c r="AF51" i="2"/>
  <c r="R83" i="2"/>
  <c r="Z128" i="2"/>
  <c r="AJ188" i="2"/>
  <c r="V248" i="2"/>
  <c r="Y353" i="2"/>
  <c r="T20" i="2"/>
  <c r="AE43" i="2"/>
  <c r="U69" i="3"/>
  <c r="U70" i="2"/>
  <c r="X105" i="2"/>
  <c r="AH215" i="2"/>
  <c r="K306" i="2"/>
  <c r="AA8" i="2"/>
  <c r="AD31" i="2"/>
  <c r="AG58" i="2"/>
  <c r="Q88" i="2"/>
  <c r="AA139" i="2"/>
  <c r="AG192" i="2"/>
  <c r="N245" i="2"/>
  <c r="I346" i="2"/>
  <c r="AE17" i="2"/>
  <c r="H38" i="2"/>
  <c r="S65" i="2"/>
  <c r="AB95" i="2"/>
  <c r="AL139" i="2"/>
  <c r="AK203" i="2"/>
  <c r="P272" i="2"/>
  <c r="P374" i="2"/>
  <c r="AG21" i="2"/>
  <c r="AI40" i="2"/>
  <c r="R67" i="2"/>
  <c r="M98" i="2"/>
  <c r="AB141" i="2"/>
  <c r="AE182" i="2"/>
  <c r="X221" i="3"/>
  <c r="X221" i="2" s="1"/>
  <c r="X222" i="2"/>
  <c r="R286" i="3"/>
  <c r="R286" i="2" s="1"/>
  <c r="R287" i="2"/>
  <c r="H388" i="2"/>
  <c r="K20" i="2"/>
  <c r="S37" i="2"/>
  <c r="AE60" i="2"/>
  <c r="X84" i="2"/>
  <c r="K123" i="2"/>
  <c r="J167" i="2"/>
  <c r="AH213" i="2"/>
  <c r="X263" i="2"/>
  <c r="X359" i="2"/>
  <c r="N16" i="2"/>
  <c r="M34" i="2"/>
  <c r="P57" i="2"/>
  <c r="AI79" i="2"/>
  <c r="Z116" i="2"/>
  <c r="AB161" i="2"/>
  <c r="Z210" i="2"/>
  <c r="AE262" i="2"/>
  <c r="AE330" i="2"/>
  <c r="Z411" i="2"/>
  <c r="AG19" i="2"/>
  <c r="AJ35" i="2"/>
  <c r="W57" i="2"/>
  <c r="AC77" i="2"/>
  <c r="Q107" i="2"/>
  <c r="I144" i="2"/>
  <c r="Z181" i="2"/>
  <c r="AK217" i="2"/>
  <c r="AJ259" i="2"/>
  <c r="AK320" i="2"/>
  <c r="I6" i="2"/>
  <c r="Z21" i="2"/>
  <c r="AG39" i="2"/>
  <c r="AB60" i="2"/>
  <c r="L79" i="2"/>
  <c r="AF108" i="2"/>
  <c r="J144" i="2"/>
  <c r="M178" i="3"/>
  <c r="M179" i="2"/>
  <c r="G218" i="2"/>
  <c r="G257" i="2"/>
  <c r="H322" i="2"/>
  <c r="R9" i="2"/>
  <c r="AF41" i="2"/>
  <c r="G62" i="2"/>
  <c r="AH82" i="2"/>
  <c r="Y110" i="2"/>
  <c r="K144" i="2"/>
  <c r="I186" i="2"/>
  <c r="I223" i="2"/>
  <c r="AJ267" i="2"/>
  <c r="O339" i="2"/>
  <c r="R101" i="2"/>
  <c r="W127" i="2"/>
  <c r="AC151" i="2"/>
  <c r="AF186" i="2"/>
  <c r="AK219" i="2"/>
  <c r="H257" i="2"/>
  <c r="X311" i="2"/>
  <c r="N384" i="2"/>
  <c r="AK122" i="2"/>
  <c r="I150" i="2"/>
  <c r="O185" i="2"/>
  <c r="AB214" i="2"/>
  <c r="I246" i="2"/>
  <c r="AJ282" i="2"/>
  <c r="S334" i="2"/>
  <c r="AJ94" i="2"/>
  <c r="AL122" i="2"/>
  <c r="M148" i="2"/>
  <c r="AH186" i="2"/>
  <c r="AE216" i="2"/>
  <c r="AE252" i="2"/>
  <c r="K297" i="2"/>
  <c r="AD362" i="2"/>
  <c r="Z106" i="2"/>
  <c r="M136" i="2"/>
  <c r="J168" i="2"/>
  <c r="S204" i="2"/>
  <c r="J240" i="2"/>
  <c r="L286" i="3"/>
  <c r="L286" i="2" s="1"/>
  <c r="L287" i="2"/>
  <c r="H356" i="2"/>
  <c r="H11" i="2"/>
  <c r="P23" i="2"/>
  <c r="AD35" i="2"/>
  <c r="L51" i="2"/>
  <c r="Z67" i="2"/>
  <c r="I85" i="2"/>
  <c r="AI105" i="2"/>
  <c r="P127" i="2"/>
  <c r="W152" i="2"/>
  <c r="V175" i="2"/>
  <c r="Q200" i="3"/>
  <c r="Q201" i="2"/>
  <c r="AF225" i="2"/>
  <c r="Y254" i="2"/>
  <c r="Q294" i="2"/>
  <c r="R348" i="2"/>
  <c r="AA9" i="2"/>
  <c r="X22" i="2"/>
  <c r="AA35" i="2"/>
  <c r="AE52" i="2"/>
  <c r="AE70" i="2"/>
  <c r="AE69" i="3"/>
  <c r="G89" i="2"/>
  <c r="H109" i="2"/>
  <c r="Q129" i="2"/>
  <c r="AG153" i="2"/>
  <c r="S182" i="2"/>
  <c r="AK207" i="2"/>
  <c r="Y232" i="2"/>
  <c r="AF262" i="2"/>
  <c r="AC303" i="2"/>
  <c r="AH384" i="2"/>
  <c r="X13" i="2"/>
  <c r="Q40" i="2"/>
  <c r="AG56" i="2"/>
  <c r="L74" i="2"/>
  <c r="O93" i="2"/>
  <c r="N114" i="2"/>
  <c r="Q136" i="2"/>
  <c r="J161" i="2"/>
  <c r="Y187" i="2"/>
  <c r="AJ214" i="2"/>
  <c r="Y239" i="2"/>
  <c r="L269" i="2"/>
  <c r="L318" i="2"/>
  <c r="X4" i="2"/>
  <c r="X3" i="3"/>
  <c r="X3" i="2" s="1"/>
  <c r="AF16" i="2"/>
  <c r="AI29" i="2"/>
  <c r="R44" i="2"/>
  <c r="K60" i="2"/>
  <c r="AA77" i="2"/>
  <c r="W97" i="2"/>
  <c r="T117" i="2"/>
  <c r="AH138" i="2"/>
  <c r="AE163" i="2"/>
  <c r="M189" i="2"/>
  <c r="O215" i="2"/>
  <c r="Z239" i="2"/>
  <c r="V271" i="2"/>
  <c r="L310" i="2"/>
  <c r="AD376" i="2"/>
  <c r="W43" i="2"/>
  <c r="AG57" i="2"/>
  <c r="AF70" i="2"/>
  <c r="AF69" i="3"/>
  <c r="AE84" i="2"/>
  <c r="Q101" i="2"/>
  <c r="AB117" i="2"/>
  <c r="S132" i="2"/>
  <c r="AD151" i="2"/>
  <c r="AG173" i="2"/>
  <c r="K194" i="2"/>
  <c r="G213" i="2"/>
  <c r="T234" i="2"/>
  <c r="X260" i="2"/>
  <c r="AG295" i="2"/>
  <c r="R337" i="2"/>
  <c r="L403" i="2"/>
  <c r="P60" i="2"/>
  <c r="AI73" i="2"/>
  <c r="X89" i="2"/>
  <c r="AF106" i="2"/>
  <c r="V123" i="2"/>
  <c r="S143" i="2"/>
  <c r="K163" i="2"/>
  <c r="Z185" i="2"/>
  <c r="Z205" i="2"/>
  <c r="AC227" i="2"/>
  <c r="M248" i="2"/>
  <c r="N280" i="2"/>
  <c r="U312" i="2"/>
  <c r="L362" i="2"/>
  <c r="AE42" i="2"/>
  <c r="L55" i="2"/>
  <c r="I68" i="2"/>
  <c r="L82" i="2"/>
  <c r="AE98" i="2"/>
  <c r="Q114" i="2"/>
  <c r="Q131" i="2"/>
  <c r="Z151" i="2"/>
  <c r="V171" i="2"/>
  <c r="H194" i="2"/>
  <c r="M215" i="2"/>
  <c r="V236" i="2"/>
  <c r="AD261" i="2"/>
  <c r="Q297" i="2"/>
  <c r="AG347" i="2"/>
  <c r="P38" i="2"/>
  <c r="Z52" i="2"/>
  <c r="AH64" i="2"/>
  <c r="AI78" i="2"/>
  <c r="V95" i="2"/>
  <c r="P110" i="2"/>
  <c r="AJ127" i="2"/>
  <c r="T146" i="2"/>
  <c r="U167" i="2"/>
  <c r="AH189" i="2"/>
  <c r="G211" i="2"/>
  <c r="AL231" i="2"/>
  <c r="AF253" i="2"/>
  <c r="U282" i="2"/>
  <c r="AF323" i="2"/>
  <c r="K384" i="2"/>
  <c r="P84" i="2"/>
  <c r="AK97" i="2"/>
  <c r="N110" i="2"/>
  <c r="G124" i="2"/>
  <c r="AC138" i="2"/>
  <c r="G152" i="2"/>
  <c r="Q169" i="2"/>
  <c r="AL186" i="2"/>
  <c r="W203" i="2"/>
  <c r="K219" i="2"/>
  <c r="I236" i="2"/>
  <c r="I254" i="2"/>
  <c r="Z279" i="2"/>
  <c r="W306" i="2"/>
  <c r="R344" i="2"/>
  <c r="Q80" i="2"/>
  <c r="R93" i="2"/>
  <c r="Z105" i="2"/>
  <c r="N119" i="2"/>
  <c r="I132" i="2"/>
  <c r="AF147" i="2"/>
  <c r="I165" i="2"/>
  <c r="R180" i="2"/>
  <c r="L195" i="2"/>
  <c r="AE210" i="2"/>
  <c r="T226" i="2"/>
  <c r="H245" i="2"/>
  <c r="O262" i="2"/>
  <c r="G288" i="2"/>
  <c r="N318" i="2"/>
  <c r="AA360" i="2"/>
  <c r="T78" i="2"/>
  <c r="R104" i="2"/>
  <c r="AK117" i="2"/>
  <c r="AD130" i="2"/>
  <c r="L146" i="2"/>
  <c r="AE161" i="2"/>
  <c r="S194" i="2"/>
  <c r="Y211" i="2"/>
  <c r="I229" i="2"/>
  <c r="AK247" i="2"/>
  <c r="N268" i="2"/>
  <c r="O295" i="2"/>
  <c r="V326" i="2"/>
  <c r="AG374" i="2"/>
  <c r="AK82" i="2"/>
  <c r="G96" i="2"/>
  <c r="AI108" i="2"/>
  <c r="Z122" i="2"/>
  <c r="T136" i="2"/>
  <c r="AK151" i="2"/>
  <c r="P169" i="2"/>
  <c r="AK186" i="2"/>
  <c r="U203" i="2"/>
  <c r="AH219" i="2"/>
  <c r="AG236" i="2"/>
  <c r="H254" i="2"/>
  <c r="L278" i="2"/>
  <c r="V306" i="2"/>
  <c r="Q344" i="2"/>
  <c r="AB140" i="2"/>
  <c r="AJ152" i="2"/>
  <c r="Z166" i="2"/>
  <c r="T181" i="2"/>
  <c r="AB193" i="2"/>
  <c r="AL207" i="2"/>
  <c r="O220" i="2"/>
  <c r="AB233" i="2"/>
  <c r="AI247" i="2"/>
  <c r="W262" i="2"/>
  <c r="AD281" i="2"/>
  <c r="K305" i="2"/>
  <c r="U335" i="2"/>
  <c r="AE373" i="2"/>
  <c r="G125" i="2"/>
  <c r="Z138" i="2"/>
  <c r="AH150" i="2"/>
  <c r="X164" i="2"/>
  <c r="AK190" i="2"/>
  <c r="AA204" i="2"/>
  <c r="X217" i="2"/>
  <c r="W231" i="2"/>
  <c r="W245" i="2"/>
  <c r="X261" i="2"/>
  <c r="AC284" i="2"/>
  <c r="J309" i="2"/>
  <c r="AJ336" i="2"/>
  <c r="P373" i="2"/>
  <c r="AL137" i="2"/>
  <c r="O150" i="2"/>
  <c r="P163" i="2"/>
  <c r="G191" i="2"/>
  <c r="Q205" i="2"/>
  <c r="Y217" i="2"/>
  <c r="X231" i="2"/>
  <c r="X245" i="2"/>
  <c r="Y261" i="2"/>
  <c r="T280" i="2"/>
  <c r="V303" i="2"/>
  <c r="P333" i="2"/>
  <c r="AJ365" i="2"/>
  <c r="AA149" i="2"/>
  <c r="Q163" i="2"/>
  <c r="Y175" i="2"/>
  <c r="S190" i="2"/>
  <c r="AC204" i="2"/>
  <c r="AK216" i="2"/>
  <c r="AI230" i="2"/>
  <c r="AH243" i="3"/>
  <c r="AH244" i="2"/>
  <c r="AI259" i="2"/>
  <c r="R278" i="2"/>
  <c r="G301" i="2"/>
  <c r="L330" i="2"/>
  <c r="V363" i="2"/>
  <c r="N408" i="2"/>
  <c r="S261" i="2"/>
  <c r="K277" i="2"/>
  <c r="AG293" i="2"/>
  <c r="U311" i="2"/>
  <c r="AL333" i="2"/>
  <c r="I362" i="2"/>
  <c r="AA404" i="2"/>
  <c r="G236" i="2"/>
  <c r="Q250" i="2"/>
  <c r="Y262" i="2"/>
  <c r="AB279" i="2"/>
  <c r="W296" i="2"/>
  <c r="V315" i="2"/>
  <c r="T341" i="2"/>
  <c r="U373" i="2"/>
  <c r="M241" i="2"/>
  <c r="AH254" i="2"/>
  <c r="G269" i="2"/>
  <c r="AD285" i="2"/>
  <c r="AH303" i="2"/>
  <c r="AC325" i="2"/>
  <c r="L355" i="2"/>
  <c r="I393" i="2"/>
  <c r="AI254" i="2"/>
  <c r="H269" i="2"/>
  <c r="H284" i="2"/>
  <c r="H303" i="2"/>
  <c r="N323" i="2"/>
  <c r="AI349" i="3"/>
  <c r="AI349" i="2" s="1"/>
  <c r="AI350" i="2"/>
  <c r="AB387" i="2"/>
  <c r="Q273" i="2"/>
  <c r="I286" i="3"/>
  <c r="I286" i="2" s="1"/>
  <c r="I287" i="2"/>
  <c r="W300" i="2"/>
  <c r="M317" i="2"/>
  <c r="S337" i="2"/>
  <c r="AJ361" i="2"/>
  <c r="L396" i="2"/>
  <c r="AH273" i="2"/>
  <c r="P288" i="2"/>
  <c r="J301" i="2"/>
  <c r="AA318" i="2"/>
  <c r="J336" i="2"/>
  <c r="V360" i="2"/>
  <c r="O391" i="3"/>
  <c r="O391" i="2" s="1"/>
  <c r="O392" i="2"/>
  <c r="J282" i="2"/>
  <c r="AD296" i="2"/>
  <c r="M312" i="2"/>
  <c r="AJ328" i="3"/>
  <c r="AJ328" i="2" s="1"/>
  <c r="AJ329" i="2"/>
  <c r="I353" i="2"/>
  <c r="Z379" i="2"/>
  <c r="AL411" i="2"/>
  <c r="AF282" i="2"/>
  <c r="X297" i="2"/>
  <c r="G313" i="2"/>
  <c r="J328" i="3"/>
  <c r="J328" i="2" s="1"/>
  <c r="J329" i="2"/>
  <c r="Q348" i="2"/>
  <c r="AD375" i="2"/>
  <c r="Y406" i="2"/>
  <c r="M315" i="2"/>
  <c r="S330" i="2"/>
  <c r="AB347" i="2"/>
  <c r="Q369" i="2"/>
  <c r="W400" i="2"/>
  <c r="X277" i="2"/>
  <c r="W290" i="2"/>
  <c r="T303" i="2"/>
  <c r="S316" i="2"/>
  <c r="AF331" i="2"/>
  <c r="P351" i="2"/>
  <c r="L373" i="2"/>
  <c r="W398" i="2"/>
  <c r="P298" i="2"/>
  <c r="AI311" i="2"/>
  <c r="Z325" i="2"/>
  <c r="AE343" i="2"/>
  <c r="AB364" i="2"/>
  <c r="Z389" i="2"/>
  <c r="AL309" i="2"/>
  <c r="Y322" i="2"/>
  <c r="AE339" i="2"/>
  <c r="N360" i="2"/>
  <c r="I384" i="2"/>
  <c r="AB410" i="2"/>
  <c r="AI389" i="2"/>
  <c r="AL318" i="2"/>
  <c r="AC331" i="2"/>
  <c r="O348" i="2"/>
  <c r="K365" i="2"/>
  <c r="L380" i="2"/>
  <c r="W401" i="2"/>
  <c r="AJ367" i="2"/>
  <c r="Y384" i="2"/>
  <c r="Y405" i="2"/>
  <c r="Z384" i="2"/>
  <c r="AK407" i="2"/>
  <c r="Y374" i="2"/>
  <c r="Y388" i="2"/>
  <c r="AF409" i="2"/>
  <c r="AG333" i="2"/>
  <c r="N348" i="2"/>
  <c r="AA364" i="2"/>
  <c r="AL380" i="2"/>
  <c r="P397" i="2"/>
  <c r="V379" i="2"/>
  <c r="Q397" i="2"/>
  <c r="J326" i="2"/>
  <c r="AF341" i="2"/>
  <c r="AG359" i="2"/>
  <c r="I377" i="2"/>
  <c r="AB393" i="2"/>
  <c r="T336" i="2"/>
  <c r="AB348" i="2"/>
  <c r="AA361" i="2"/>
  <c r="AI375" i="2"/>
  <c r="L388" i="2"/>
  <c r="T403" i="2"/>
  <c r="O342" i="2"/>
  <c r="N355" i="2"/>
  <c r="K368" i="2"/>
  <c r="AD381" i="2"/>
  <c r="G395" i="2"/>
  <c r="R411" i="2"/>
  <c r="AF346" i="2"/>
  <c r="T360" i="2"/>
  <c r="H374" i="2"/>
  <c r="P386" i="2"/>
  <c r="L401" i="2"/>
  <c r="S340" i="2"/>
  <c r="AL353" i="2"/>
  <c r="O366" i="2"/>
  <c r="AH379" i="2"/>
  <c r="AA393" i="2"/>
  <c r="W408" i="2"/>
  <c r="AL407" i="2"/>
  <c r="W409" i="2"/>
  <c r="O402" i="2"/>
  <c r="AG395" i="2"/>
  <c r="L408" i="2"/>
  <c r="AI411" i="2"/>
  <c r="AH26" i="2" l="1"/>
  <c r="H155" i="2"/>
  <c r="AF243" i="2"/>
  <c r="AB264" i="3"/>
  <c r="AB264" i="2" s="1"/>
  <c r="AB265" i="2"/>
  <c r="X200" i="2"/>
  <c r="H69" i="2"/>
  <c r="AJ26" i="2"/>
  <c r="S133" i="2"/>
  <c r="V243" i="2"/>
  <c r="M178" i="2"/>
  <c r="AL133" i="2"/>
  <c r="X243" i="2"/>
  <c r="U178" i="2"/>
  <c r="S26" i="2"/>
  <c r="V200" i="2"/>
  <c r="AB178" i="2"/>
  <c r="Y178" i="2"/>
  <c r="H26" i="2"/>
  <c r="M133" i="2"/>
  <c r="AC155" i="2"/>
  <c r="O178" i="2"/>
  <c r="Z155" i="2"/>
  <c r="X69" i="2"/>
  <c r="AC48" i="2"/>
  <c r="K133" i="2"/>
  <c r="AG69" i="2"/>
  <c r="Y243" i="2"/>
  <c r="F155" i="2"/>
  <c r="X178" i="2"/>
  <c r="AJ264" i="3"/>
  <c r="AJ264" i="2" s="1"/>
  <c r="AJ265" i="2"/>
  <c r="L264" i="3"/>
  <c r="L264" i="2" s="1"/>
  <c r="L265" i="2"/>
  <c r="G69" i="2"/>
  <c r="Z200" i="2"/>
  <c r="AI264" i="3"/>
  <c r="AI264" i="2" s="1"/>
  <c r="AI265" i="2"/>
  <c r="J69" i="2"/>
  <c r="N69" i="2"/>
  <c r="S243" i="2"/>
  <c r="N243" i="2"/>
  <c r="AH133" i="2"/>
  <c r="AJ178" i="2"/>
  <c r="AD133" i="2"/>
  <c r="T178" i="2"/>
  <c r="AL69" i="2"/>
  <c r="O26" i="2"/>
  <c r="F178" i="2"/>
  <c r="U200" i="2"/>
  <c r="AF26" i="2"/>
  <c r="Q48" i="2"/>
  <c r="W133" i="2"/>
  <c r="R26" i="2"/>
  <c r="AB133" i="2"/>
  <c r="U243" i="2"/>
  <c r="AE48" i="2"/>
  <c r="Q69" i="2"/>
  <c r="G264" i="3"/>
  <c r="G264" i="2" s="1"/>
  <c r="G265" i="2"/>
  <c r="Q200" i="2"/>
  <c r="AE133" i="2"/>
  <c r="V178" i="2"/>
  <c r="AH200" i="2"/>
  <c r="N264" i="3"/>
  <c r="N264" i="2" s="1"/>
  <c r="N265" i="2"/>
  <c r="G26" i="2"/>
  <c r="J200" i="2"/>
  <c r="G178" i="2"/>
  <c r="H48" i="2"/>
  <c r="AD155" i="2"/>
  <c r="I48" i="2"/>
  <c r="K26" i="2"/>
  <c r="N133" i="2"/>
  <c r="J48" i="2"/>
  <c r="U155" i="2"/>
  <c r="L26" i="2"/>
  <c r="AI69" i="2"/>
  <c r="U26" i="2"/>
  <c r="G200" i="2"/>
  <c r="N26" i="2"/>
  <c r="G155" i="2"/>
  <c r="V69" i="2"/>
  <c r="AF133" i="2"/>
  <c r="AK200" i="2"/>
  <c r="AJ69" i="2"/>
  <c r="AH243" i="2"/>
  <c r="S48" i="2"/>
  <c r="Y69" i="2"/>
  <c r="AA69" i="2"/>
  <c r="N200" i="2"/>
  <c r="I200" i="2"/>
  <c r="Y133" i="2"/>
  <c r="AG243" i="2"/>
  <c r="F200" i="2"/>
  <c r="K243" i="2"/>
  <c r="X48" i="2"/>
  <c r="AD243" i="2"/>
  <c r="Z264" i="3"/>
  <c r="Z264" i="2" s="1"/>
  <c r="Z265" i="2"/>
  <c r="AC200" i="2"/>
  <c r="AL155" i="2"/>
  <c r="AE178" i="2"/>
  <c r="AL264" i="3"/>
  <c r="AL264" i="2" s="1"/>
  <c r="AL265" i="2"/>
  <c r="AG155" i="2"/>
  <c r="S200" i="2"/>
  <c r="Z133" i="2"/>
  <c r="P133" i="2"/>
  <c r="O133" i="2"/>
  <c r="AI133" i="2"/>
  <c r="AG133" i="2"/>
  <c r="AJ133" i="2"/>
  <c r="S69" i="2"/>
  <c r="P243" i="2"/>
  <c r="W200" i="2"/>
  <c r="X26" i="2"/>
  <c r="L200" i="2"/>
  <c r="Q265" i="2"/>
  <c r="Q264" i="3"/>
  <c r="Q264" i="2" s="1"/>
  <c r="L178" i="2"/>
  <c r="AH264" i="3"/>
  <c r="AH264" i="2" s="1"/>
  <c r="AH265" i="2"/>
  <c r="T243" i="2"/>
  <c r="Z26" i="2"/>
  <c r="Y200" i="2"/>
  <c r="AH69" i="2"/>
  <c r="W26" i="2"/>
  <c r="AA155" i="2"/>
  <c r="AH155" i="2"/>
  <c r="M265" i="2"/>
  <c r="M264" i="3"/>
  <c r="M264" i="2" s="1"/>
  <c r="R200" i="2"/>
  <c r="N155" i="2"/>
  <c r="L48" i="2"/>
  <c r="AB200" i="2"/>
  <c r="U48" i="2"/>
  <c r="AL178" i="2"/>
  <c r="L69" i="2"/>
  <c r="T48" i="2"/>
  <c r="S155" i="2"/>
  <c r="F69" i="2"/>
  <c r="O200" i="2"/>
  <c r="AL26" i="2"/>
  <c r="Q133" i="2"/>
  <c r="Z69" i="2"/>
  <c r="AD69" i="2"/>
  <c r="AA26" i="2"/>
  <c r="G48" i="2"/>
  <c r="AG26" i="2"/>
  <c r="AF264" i="3"/>
  <c r="AF264" i="2" s="1"/>
  <c r="AF265" i="2"/>
  <c r="U69" i="2"/>
  <c r="T155" i="2"/>
  <c r="AD48" i="2"/>
  <c r="AK264" i="3"/>
  <c r="AK264" i="2" s="1"/>
  <c r="AK265" i="2"/>
  <c r="AC133" i="2"/>
  <c r="V133" i="2"/>
  <c r="AB243" i="2"/>
  <c r="I264" i="3"/>
  <c r="I264" i="2" s="1"/>
  <c r="I265" i="2"/>
  <c r="W264" i="3"/>
  <c r="W264" i="2" s="1"/>
  <c r="W265" i="2"/>
  <c r="G243" i="2"/>
  <c r="W48" i="2"/>
  <c r="AB48" i="2"/>
  <c r="W155" i="2"/>
  <c r="R243" i="2"/>
  <c r="W69" i="2"/>
  <c r="AF69" i="2"/>
  <c r="AJ243" i="2"/>
  <c r="L243" i="2"/>
  <c r="AF200" i="2"/>
  <c r="AK26" i="2"/>
  <c r="AA48" i="2"/>
  <c r="M155" i="2"/>
  <c r="N178" i="2"/>
  <c r="S178" i="2"/>
  <c r="K69" i="2"/>
  <c r="AJ155" i="2"/>
  <c r="Y155" i="2"/>
  <c r="H133" i="2"/>
  <c r="Z48" i="2"/>
  <c r="N48" i="2"/>
  <c r="T264" i="3"/>
  <c r="T264" i="2" s="1"/>
  <c r="T265" i="2"/>
  <c r="AL243" i="2"/>
  <c r="K264" i="3"/>
  <c r="K264" i="2" s="1"/>
  <c r="K265" i="2"/>
  <c r="P264" i="3"/>
  <c r="P264" i="2" s="1"/>
  <c r="P265" i="2"/>
  <c r="AI48" i="2"/>
  <c r="M200" i="2"/>
  <c r="F133" i="2"/>
  <c r="O243" i="2"/>
  <c r="Y264" i="3"/>
  <c r="Y264" i="2" s="1"/>
  <c r="Y265" i="2"/>
  <c r="T69" i="2"/>
  <c r="AI26" i="2"/>
  <c r="AE200" i="2"/>
  <c r="AD26" i="2"/>
  <c r="AK243" i="2"/>
  <c r="K200" i="2"/>
  <c r="Q178" i="2"/>
  <c r="AK178" i="2"/>
  <c r="AH178" i="2"/>
  <c r="AB26" i="2"/>
  <c r="W178" i="2"/>
  <c r="AK155" i="2"/>
  <c r="V48" i="2"/>
  <c r="G133" i="2"/>
  <c r="AL200" i="2"/>
  <c r="F243" i="2"/>
  <c r="AG48" i="2"/>
  <c r="AD200" i="2"/>
  <c r="AE155" i="2"/>
  <c r="I26" i="2"/>
  <c r="P155" i="2"/>
  <c r="T26" i="2"/>
  <c r="AA133" i="2"/>
  <c r="AG265" i="2"/>
  <c r="AG264" i="3"/>
  <c r="AG264" i="2" s="1"/>
  <c r="AB69" i="2"/>
  <c r="X155" i="2"/>
  <c r="O48" i="2"/>
  <c r="AE243" i="2"/>
  <c r="V26" i="2"/>
  <c r="I69" i="2"/>
  <c r="O155" i="2"/>
  <c r="AI155" i="2"/>
  <c r="X264" i="3"/>
  <c r="X264" i="2" s="1"/>
  <c r="X265" i="2"/>
  <c r="H264" i="3"/>
  <c r="H264" i="2" s="1"/>
  <c r="H265" i="2"/>
  <c r="K178" i="2"/>
  <c r="AI178" i="2"/>
  <c r="AE69" i="2"/>
  <c r="R133" i="2"/>
  <c r="R178" i="2"/>
  <c r="AJ48" i="2"/>
  <c r="AC243" i="2"/>
  <c r="AH48" i="2"/>
  <c r="V155" i="2"/>
  <c r="L133" i="2"/>
  <c r="J264" i="3"/>
  <c r="J264" i="2" s="1"/>
  <c r="J265" i="2"/>
  <c r="J155" i="2"/>
  <c r="F26" i="2"/>
  <c r="Y48" i="2"/>
  <c r="AD178" i="2"/>
  <c r="M26" i="2"/>
  <c r="AF178" i="2"/>
  <c r="L155" i="2"/>
  <c r="U133" i="2"/>
  <c r="J26" i="2"/>
  <c r="AC69" i="2"/>
  <c r="AG178" i="2"/>
  <c r="AA264" i="3"/>
  <c r="AA264" i="2" s="1"/>
  <c r="AA265" i="2"/>
  <c r="AK69" i="2"/>
  <c r="T133" i="2"/>
  <c r="P26" i="2"/>
  <c r="R48" i="2"/>
  <c r="AC178" i="2"/>
  <c r="Q243" i="2"/>
  <c r="U264" i="3"/>
  <c r="U264" i="2" s="1"/>
  <c r="U265" i="2"/>
  <c r="AI243" i="2"/>
  <c r="Q155" i="2"/>
  <c r="H200" i="2"/>
  <c r="AC264" i="3"/>
  <c r="AC264" i="2" s="1"/>
  <c r="AC265" i="2"/>
  <c r="H178" i="2"/>
  <c r="J178" i="2"/>
  <c r="P178" i="2"/>
  <c r="K48" i="2"/>
  <c r="W243" i="2"/>
  <c r="AE265" i="2"/>
  <c r="AE264" i="3"/>
  <c r="AE264" i="2" s="1"/>
  <c r="I133" i="2"/>
  <c r="AJ200" i="2"/>
  <c r="F264" i="3"/>
  <c r="F264" i="2" s="1"/>
  <c r="F265" i="2"/>
  <c r="R69" i="2"/>
  <c r="Y26" i="2"/>
  <c r="AF48" i="2"/>
  <c r="AK133" i="2"/>
  <c r="AE26" i="2"/>
  <c r="I243" i="2"/>
  <c r="X133" i="2"/>
  <c r="AA200" i="2"/>
  <c r="F48" i="2"/>
  <c r="H243" i="2"/>
  <c r="M48" i="2"/>
  <c r="I155" i="2"/>
  <c r="O264" i="3"/>
  <c r="O264" i="2" s="1"/>
  <c r="O265" i="2"/>
  <c r="Z178" i="2"/>
  <c r="AL48" i="2"/>
  <c r="O69" i="2"/>
  <c r="Z243" i="2"/>
  <c r="V264" i="3"/>
  <c r="V264" i="2" s="1"/>
  <c r="V265" i="2"/>
  <c r="P69" i="2"/>
  <c r="AC26" i="2"/>
  <c r="P48" i="2"/>
  <c r="AB155" i="2"/>
  <c r="AF155" i="2"/>
  <c r="M243" i="2"/>
  <c r="AI200" i="2"/>
  <c r="Q26" i="2"/>
  <c r="J243" i="2"/>
  <c r="AG200" i="2"/>
  <c r="T200" i="2"/>
  <c r="AD264" i="3"/>
  <c r="AD264" i="2" s="1"/>
  <c r="AD265" i="2"/>
  <c r="J133" i="2"/>
  <c r="P200" i="2"/>
  <c r="R155" i="2"/>
  <c r="K155" i="2"/>
  <c r="I178" i="2"/>
  <c r="AA243" i="2"/>
  <c r="M69" i="2"/>
  <c r="S264" i="3"/>
  <c r="S264" i="2" s="1"/>
  <c r="S265" i="2"/>
  <c r="AA178" i="2"/>
  <c r="R264" i="3"/>
  <c r="R264" i="2" s="1"/>
  <c r="R265" i="2"/>
  <c r="AK48" i="2"/>
  <c r="AF242" i="3"/>
  <c r="G177" i="3"/>
  <c r="AL25" i="3"/>
  <c r="N177" i="3"/>
  <c r="J242" i="3"/>
  <c r="AK242" i="3"/>
  <c r="AI242" i="3"/>
  <c r="J24" i="3"/>
  <c r="AD154" i="3"/>
  <c r="AJ90" i="3"/>
  <c r="Z24" i="3"/>
  <c r="AI47" i="3"/>
  <c r="AI177" i="3"/>
  <c r="Q154" i="3"/>
  <c r="T199" i="3"/>
  <c r="N24" i="3"/>
  <c r="I47" i="3"/>
  <c r="S24" i="3"/>
  <c r="V90" i="3"/>
  <c r="Q177" i="3"/>
  <c r="F25" i="3"/>
  <c r="H242" i="3"/>
  <c r="Y177" i="3"/>
  <c r="K25" i="3"/>
  <c r="P242" i="3"/>
  <c r="AA25" i="3"/>
  <c r="F90" i="3"/>
  <c r="R90" i="3"/>
  <c r="R24" i="3"/>
  <c r="J90" i="3"/>
  <c r="N242" i="3"/>
  <c r="V177" i="3"/>
  <c r="AG154" i="3"/>
  <c r="G47" i="3"/>
  <c r="O242" i="3"/>
  <c r="R177" i="3"/>
  <c r="H177" i="3"/>
  <c r="P199" i="3"/>
  <c r="X177" i="3"/>
  <c r="J47" i="3"/>
  <c r="X25" i="3"/>
  <c r="AB25" i="3"/>
  <c r="J177" i="3"/>
  <c r="R154" i="3"/>
  <c r="AC154" i="3"/>
  <c r="U154" i="3"/>
  <c r="L199" i="3"/>
  <c r="W177" i="3"/>
  <c r="P177" i="3"/>
  <c r="AH25" i="3"/>
  <c r="AL90" i="3"/>
  <c r="O177" i="3"/>
  <c r="AD90" i="3"/>
  <c r="AB90" i="3"/>
  <c r="G25" i="3"/>
  <c r="L25" i="3"/>
  <c r="AH242" i="3"/>
  <c r="X47" i="3"/>
  <c r="P90" i="3"/>
  <c r="F24" i="3"/>
  <c r="U24" i="3"/>
  <c r="W47" i="3"/>
  <c r="AA47" i="3"/>
  <c r="AI25" i="3"/>
  <c r="AK154" i="3"/>
  <c r="T25" i="3"/>
  <c r="AI154" i="3"/>
  <c r="AH47" i="3"/>
  <c r="L154" i="3"/>
  <c r="AC177" i="3"/>
  <c r="K47" i="3"/>
  <c r="AE25" i="3"/>
  <c r="AL47" i="3"/>
  <c r="AI199" i="3"/>
  <c r="I177" i="3"/>
  <c r="U177" i="3"/>
  <c r="AL24" i="3"/>
  <c r="N154" i="3"/>
  <c r="L90" i="3"/>
  <c r="X90" i="3"/>
  <c r="M24" i="3"/>
  <c r="S25" i="3"/>
  <c r="Q24" i="3"/>
  <c r="G199" i="3"/>
  <c r="AG90" i="3"/>
  <c r="Q90" i="3"/>
  <c r="AA199" i="3"/>
  <c r="K90" i="3"/>
  <c r="N25" i="3"/>
  <c r="Z25" i="3"/>
  <c r="AC90" i="3"/>
  <c r="K199" i="3"/>
  <c r="J154" i="3"/>
  <c r="F47" i="3"/>
  <c r="AG24" i="3"/>
  <c r="G154" i="3"/>
  <c r="Y199" i="3"/>
  <c r="AF24" i="3"/>
  <c r="AG47" i="3"/>
  <c r="AC25" i="3"/>
  <c r="S242" i="3"/>
  <c r="AE90" i="3"/>
  <c r="AB242" i="3"/>
  <c r="AE242" i="3"/>
  <c r="AK47" i="3"/>
  <c r="F154" i="3"/>
  <c r="N90" i="3"/>
  <c r="W199" i="3"/>
  <c r="V25" i="3"/>
  <c r="Y25" i="3"/>
  <c r="V242" i="3"/>
  <c r="AK199" i="3"/>
  <c r="AA154" i="3"/>
  <c r="AF199" i="3"/>
  <c r="I25" i="3"/>
  <c r="AJ47" i="3"/>
  <c r="AF47" i="3"/>
  <c r="M177" i="3"/>
  <c r="AJ24" i="3"/>
  <c r="AH154" i="3"/>
  <c r="G242" i="3"/>
  <c r="T24" i="3"/>
  <c r="AC242" i="3"/>
  <c r="AK90" i="3"/>
  <c r="K154" i="3"/>
  <c r="X24" i="3"/>
  <c r="U25" i="3"/>
  <c r="AD25" i="3"/>
  <c r="J25" i="3"/>
  <c r="Z242" i="3"/>
  <c r="AC47" i="3"/>
  <c r="H47" i="3"/>
  <c r="AC199" i="3"/>
  <c r="L47" i="3"/>
  <c r="S177" i="3"/>
  <c r="AB24" i="3"/>
  <c r="AC24" i="3"/>
  <c r="X199" i="3"/>
  <c r="F177" i="3"/>
  <c r="N199" i="3"/>
  <c r="AB199" i="3"/>
  <c r="W24" i="3"/>
  <c r="F242" i="3"/>
  <c r="AG177" i="3"/>
  <c r="P24" i="3"/>
  <c r="H24" i="3"/>
  <c r="U199" i="3"/>
  <c r="I199" i="3"/>
  <c r="U47" i="3"/>
  <c r="AJ154" i="3"/>
  <c r="AE24" i="3"/>
  <c r="Y242" i="3"/>
  <c r="V24" i="3"/>
  <c r="AH24" i="3"/>
  <c r="AJ242" i="3"/>
  <c r="AK177" i="3"/>
  <c r="Y47" i="3"/>
  <c r="M47" i="3"/>
  <c r="H25" i="3"/>
  <c r="AF90" i="3"/>
  <c r="W25" i="3"/>
  <c r="L242" i="3"/>
  <c r="AH177" i="3"/>
  <c r="AD177" i="3"/>
  <c r="I154" i="3"/>
  <c r="M90" i="3"/>
  <c r="AH199" i="3"/>
  <c r="S199" i="3"/>
  <c r="AG25" i="3"/>
  <c r="M25" i="3"/>
  <c r="AF154" i="3"/>
  <c r="R25" i="3"/>
  <c r="K242" i="3"/>
  <c r="S154" i="3"/>
  <c r="N47" i="3"/>
  <c r="O154" i="3"/>
  <c r="R47" i="3"/>
  <c r="M242" i="3"/>
  <c r="H154" i="3"/>
  <c r="X242" i="3"/>
  <c r="Z154" i="3"/>
  <c r="G24" i="3"/>
  <c r="T177" i="3"/>
  <c r="U242" i="3"/>
  <c r="J199" i="3"/>
  <c r="AI24" i="3"/>
  <c r="S47" i="3"/>
  <c r="AD242" i="3"/>
  <c r="O90" i="3"/>
  <c r="L177" i="3"/>
  <c r="R199" i="3"/>
  <c r="O199" i="3"/>
  <c r="T154" i="3"/>
  <c r="AB47" i="3"/>
  <c r="M154" i="3"/>
  <c r="AL242" i="3"/>
  <c r="AE199" i="3"/>
  <c r="V47" i="3"/>
  <c r="AA90" i="3"/>
  <c r="V154" i="3"/>
  <c r="U90" i="3"/>
  <c r="Q242" i="3"/>
  <c r="W242" i="3"/>
  <c r="I242" i="3"/>
  <c r="O24" i="3"/>
  <c r="Q25" i="3"/>
  <c r="AA242" i="3"/>
  <c r="Z199" i="3"/>
  <c r="AE47" i="3"/>
  <c r="Y24" i="3"/>
  <c r="AI90" i="3"/>
  <c r="AD47" i="3"/>
  <c r="W154" i="3"/>
  <c r="G90" i="3"/>
  <c r="O25" i="3"/>
  <c r="AA24" i="3"/>
  <c r="T242" i="3"/>
  <c r="R242" i="3"/>
  <c r="AL199" i="3"/>
  <c r="K177" i="3"/>
  <c r="I90" i="3"/>
  <c r="AG199" i="3"/>
  <c r="V199" i="3"/>
  <c r="AL154" i="3"/>
  <c r="K24" i="3"/>
  <c r="X154" i="3"/>
  <c r="AJ199" i="3"/>
  <c r="AA177" i="3"/>
  <c r="AB177" i="3"/>
  <c r="Q199" i="3"/>
  <c r="AE177" i="3"/>
  <c r="AD24" i="3"/>
  <c r="M199" i="3"/>
  <c r="O47" i="3"/>
  <c r="H199" i="3"/>
  <c r="AJ25" i="3"/>
  <c r="AF25" i="3"/>
  <c r="Y90" i="3"/>
  <c r="AL177" i="3"/>
  <c r="Y154" i="3"/>
  <c r="AD199" i="3"/>
  <c r="AK24" i="3"/>
  <c r="P47" i="3"/>
  <c r="S90" i="3"/>
  <c r="Q47" i="3"/>
  <c r="AG242" i="3"/>
  <c r="L24" i="3"/>
  <c r="H90" i="3"/>
  <c r="AE154" i="3"/>
  <c r="T90" i="3"/>
  <c r="AB154" i="3"/>
  <c r="AH90" i="3"/>
  <c r="W90" i="3"/>
  <c r="F199" i="3"/>
  <c r="T47" i="3"/>
  <c r="Z47" i="3"/>
  <c r="I24" i="3"/>
  <c r="P25" i="3"/>
  <c r="AJ177" i="3"/>
  <c r="Z90" i="3"/>
  <c r="AK25" i="3"/>
  <c r="P154" i="3"/>
  <c r="AF177" i="3"/>
  <c r="Z177" i="3"/>
  <c r="Z177" i="2" l="1"/>
  <c r="AF177" i="2"/>
  <c r="P154" i="2"/>
  <c r="AK25" i="2"/>
  <c r="Z90" i="2"/>
  <c r="AJ177" i="2"/>
  <c r="P25" i="2"/>
  <c r="I24" i="2"/>
  <c r="Z47" i="2"/>
  <c r="T47" i="2"/>
  <c r="F199" i="2"/>
  <c r="W90" i="2"/>
  <c r="AH90" i="2"/>
  <c r="AB154" i="2"/>
  <c r="T90" i="2"/>
  <c r="AE154" i="2"/>
  <c r="H90" i="2"/>
  <c r="L24" i="2"/>
  <c r="AG242" i="2"/>
  <c r="Q47" i="2"/>
  <c r="S90" i="2"/>
  <c r="P47" i="2"/>
  <c r="AK24" i="2"/>
  <c r="AD199" i="2"/>
  <c r="Y154" i="2"/>
  <c r="AL177" i="2"/>
  <c r="Y90" i="2"/>
  <c r="AF25" i="2"/>
  <c r="AJ25" i="2"/>
  <c r="H199" i="2"/>
  <c r="O47" i="2"/>
  <c r="M199" i="2"/>
  <c r="AD24" i="2"/>
  <c r="AE177" i="2"/>
  <c r="Q199" i="2"/>
  <c r="AB177" i="2"/>
  <c r="AA177" i="2"/>
  <c r="AJ199" i="2"/>
  <c r="X154" i="2"/>
  <c r="K24" i="2"/>
  <c r="AL154" i="2"/>
  <c r="V199" i="2"/>
  <c r="AG199" i="2"/>
  <c r="I90" i="2"/>
  <c r="K177" i="2"/>
  <c r="AL199" i="2"/>
  <c r="R242" i="2"/>
  <c r="T242" i="2"/>
  <c r="AA24" i="2"/>
  <c r="O25" i="2"/>
  <c r="G90" i="2"/>
  <c r="W154" i="2"/>
  <c r="AD47" i="2"/>
  <c r="AI90" i="2"/>
  <c r="Y24" i="2"/>
  <c r="AE47" i="2"/>
  <c r="Z199" i="2"/>
  <c r="AA242" i="2"/>
  <c r="Q25" i="2"/>
  <c r="O24" i="2"/>
  <c r="I242" i="2"/>
  <c r="W242" i="2"/>
  <c r="Q242" i="2"/>
  <c r="U90" i="2"/>
  <c r="V154" i="2"/>
  <c r="AA90" i="2"/>
  <c r="V47" i="2"/>
  <c r="AE199" i="2"/>
  <c r="AL242" i="2"/>
  <c r="M154" i="2"/>
  <c r="AB47" i="2"/>
  <c r="T154" i="2"/>
  <c r="O199" i="2"/>
  <c r="R199" i="2"/>
  <c r="L177" i="2"/>
  <c r="O90" i="2"/>
  <c r="AD242" i="2"/>
  <c r="S47" i="2"/>
  <c r="AI24" i="2"/>
  <c r="J199" i="2"/>
  <c r="U242" i="2"/>
  <c r="T177" i="2"/>
  <c r="G24" i="2"/>
  <c r="Z154" i="2"/>
  <c r="X242" i="2"/>
  <c r="H154" i="2"/>
  <c r="M242" i="2"/>
  <c r="R47" i="2"/>
  <c r="O154" i="2"/>
  <c r="N47" i="2"/>
  <c r="S154" i="2"/>
  <c r="K242" i="2"/>
  <c r="R25" i="2"/>
  <c r="AF154" i="2"/>
  <c r="M25" i="2"/>
  <c r="AG25" i="2"/>
  <c r="S199" i="2"/>
  <c r="AH199" i="2"/>
  <c r="M90" i="2"/>
  <c r="I154" i="2"/>
  <c r="AD177" i="2"/>
  <c r="AH177" i="2"/>
  <c r="L242" i="2"/>
  <c r="W25" i="2"/>
  <c r="AF90" i="2"/>
  <c r="H25" i="2"/>
  <c r="M47" i="2"/>
  <c r="Y47" i="2"/>
  <c r="AK177" i="2"/>
  <c r="AJ242" i="2"/>
  <c r="AH24" i="2"/>
  <c r="V24" i="2"/>
  <c r="Y242" i="2"/>
  <c r="AE24" i="2"/>
  <c r="AJ154" i="2"/>
  <c r="U47" i="2"/>
  <c r="I199" i="2"/>
  <c r="U199" i="2"/>
  <c r="H24" i="2"/>
  <c r="P24" i="2"/>
  <c r="AG177" i="2"/>
  <c r="F242" i="2"/>
  <c r="W24" i="2"/>
  <c r="AB199" i="2"/>
  <c r="N199" i="2"/>
  <c r="F177" i="2"/>
  <c r="X199" i="2"/>
  <c r="AC24" i="2"/>
  <c r="AB24" i="2"/>
  <c r="S177" i="2"/>
  <c r="L47" i="2"/>
  <c r="AC199" i="2"/>
  <c r="H47" i="2"/>
  <c r="AC47" i="2"/>
  <c r="Z242" i="2"/>
  <c r="J25" i="2"/>
  <c r="AD25" i="2"/>
  <c r="U25" i="2"/>
  <c r="X24" i="2"/>
  <c r="K154" i="2"/>
  <c r="AK90" i="2"/>
  <c r="AC242" i="2"/>
  <c r="T24" i="2"/>
  <c r="G242" i="2"/>
  <c r="AH154" i="2"/>
  <c r="AJ24" i="2"/>
  <c r="M177" i="2"/>
  <c r="AF47" i="2"/>
  <c r="AJ47" i="2"/>
  <c r="I25" i="2"/>
  <c r="AF199" i="2"/>
  <c r="AA154" i="2"/>
  <c r="AK199" i="2"/>
  <c r="V242" i="2"/>
  <c r="Y25" i="2"/>
  <c r="V25" i="2"/>
  <c r="W199" i="2"/>
  <c r="N90" i="2"/>
  <c r="F154" i="2"/>
  <c r="AK47" i="2"/>
  <c r="AE242" i="2"/>
  <c r="AB242" i="2"/>
  <c r="AE90" i="2"/>
  <c r="S242" i="2"/>
  <c r="AC25" i="2"/>
  <c r="AG47" i="2"/>
  <c r="AF24" i="2"/>
  <c r="Y199" i="2"/>
  <c r="G154" i="2"/>
  <c r="AG24" i="2"/>
  <c r="F47" i="2"/>
  <c r="J154" i="2"/>
  <c r="K199" i="2"/>
  <c r="AC90" i="2"/>
  <c r="Z25" i="2"/>
  <c r="N25" i="2"/>
  <c r="K90" i="2"/>
  <c r="AA199" i="2"/>
  <c r="Q90" i="2"/>
  <c r="AG90" i="2"/>
  <c r="G199" i="2"/>
  <c r="Q24" i="2"/>
  <c r="S25" i="2"/>
  <c r="M24" i="2"/>
  <c r="X90" i="2"/>
  <c r="L90" i="2"/>
  <c r="N154" i="2"/>
  <c r="AL24" i="2"/>
  <c r="U177" i="2"/>
  <c r="I177" i="2"/>
  <c r="AI199" i="2"/>
  <c r="AL47" i="2"/>
  <c r="AE25" i="2"/>
  <c r="K47" i="2"/>
  <c r="AC177" i="2"/>
  <c r="L154" i="2"/>
  <c r="AH47" i="2"/>
  <c r="AI154" i="2"/>
  <c r="T25" i="2"/>
  <c r="AK154" i="2"/>
  <c r="AI25" i="2"/>
  <c r="AA47" i="2"/>
  <c r="W47" i="2"/>
  <c r="U24" i="2"/>
  <c r="F24" i="2"/>
  <c r="P90" i="2"/>
  <c r="X47" i="2"/>
  <c r="AH242" i="2"/>
  <c r="L25" i="2"/>
  <c r="G25" i="2"/>
  <c r="AB90" i="2"/>
  <c r="AD90" i="2"/>
  <c r="O177" i="2"/>
  <c r="AL90" i="2"/>
  <c r="AH25" i="2"/>
  <c r="P177" i="2"/>
  <c r="W177" i="2"/>
  <c r="L199" i="2"/>
  <c r="U154" i="2"/>
  <c r="AC154" i="2"/>
  <c r="R154" i="2"/>
  <c r="J177" i="2"/>
  <c r="AB25" i="2"/>
  <c r="X25" i="2"/>
  <c r="J47" i="2"/>
  <c r="X177" i="2"/>
  <c r="P199" i="2"/>
  <c r="H177" i="2"/>
  <c r="R177" i="2"/>
  <c r="O242" i="2"/>
  <c r="G47" i="2"/>
  <c r="AG154" i="2"/>
  <c r="V177" i="2"/>
  <c r="N242" i="2"/>
  <c r="J90" i="2"/>
  <c r="R24" i="2"/>
  <c r="R90" i="2"/>
  <c r="F90" i="2"/>
  <c r="AA25" i="2"/>
  <c r="P242" i="2"/>
  <c r="K25" i="2"/>
  <c r="Y177" i="2"/>
  <c r="H242" i="2"/>
  <c r="F25" i="2"/>
  <c r="Q177" i="2"/>
  <c r="V90" i="2"/>
  <c r="S24" i="2"/>
  <c r="I47" i="2"/>
  <c r="N24" i="2"/>
  <c r="T199" i="2"/>
  <c r="Q154" i="2"/>
  <c r="AI177" i="2"/>
  <c r="AI47" i="2"/>
  <c r="Z24" i="2"/>
  <c r="AJ90" i="2"/>
  <c r="AD154" i="2"/>
  <c r="J24" i="2"/>
  <c r="AI242" i="2"/>
  <c r="AK242" i="2"/>
  <c r="J242" i="2"/>
  <c r="N177" i="2"/>
  <c r="AL25" i="2"/>
  <c r="G177" i="2"/>
  <c r="AF242" i="2"/>
</calcChain>
</file>

<file path=xl/sharedStrings.xml><?xml version="1.0" encoding="utf-8"?>
<sst xmlns="http://schemas.openxmlformats.org/spreadsheetml/2006/main" count="29" uniqueCount="28">
  <si>
    <t>**IMPORTANT NOTE**</t>
  </si>
  <si>
    <t>This document, the information contained herein and any derived information created therefrom are for the exclusive use of LEV ROZANOV at UNIVERSITY OF ST AND.</t>
  </si>
  <si>
    <t>~~~~~~~~~~~~~~~~~~~~~~~~~~~~~~~~~~~~~~~~~~~~~~~~~~~~~~~~~~~~~~~~~~~~~~~~~~~~~~~~~~~~~~~~~~~~~~~~~~~~~~~~~~~~~~~~~~~~~~~~~~~~~~~~~~~~~~~~~~~~~~~~~~~~~~~~~~~~~~~~</t>
  </si>
  <si>
    <t>**REFERENCE**</t>
  </si>
  <si>
    <t xml:space="preserve">     Spreadsheets generated from the BI Excel export can be used as reference tables to fuel various models and other sheets on your desktop.</t>
  </si>
  <si>
    <t xml:space="preserve">     Automated model building or 'drag and drop' from the BI export sheet are not supported at this time, but using the BI export</t>
  </si>
  <si>
    <t xml:space="preserve">     as a reference table for use in other spreadsheets is a powerful and convenient tool to help achieve your goals.</t>
  </si>
  <si>
    <t xml:space="preserve">   --The BI Excel export sheet typically contains two data tabs (certain BI modules like those in the 'Monitor' section on BI will only result in a single 'Sheet 1' data tab):</t>
  </si>
  <si>
    <t xml:space="preserve">     1) 'BIData':  This is the fully curated grid that is meant to be a clean, simple, synchronized match to what is seen on the BI dashboard. </t>
  </si>
  <si>
    <t xml:space="preserve">          The grid on the 'BIData' tab can be used as a reference table for use in your models and other downstream spreadsheets.</t>
  </si>
  <si>
    <t xml:space="preserve">     2) 'ReferenceData':  This is the tab where all the raw data is housed and data preparation is done.  There are typically 2 separate grids here:</t>
  </si>
  <si>
    <t xml:space="preserve">          a top curated grid that includes error handling, expressions, etc., and a bottom raw grid that includes any/all live API information for this export. </t>
  </si>
  <si>
    <t xml:space="preserve">          The bottom grid on the ReferenceData tab is where actual API (BDP/BDH) expressions are constructed, so refer to this section if you</t>
  </si>
  <si>
    <t xml:space="preserve">          are interested in seeing/using the underlying API details.</t>
  </si>
  <si>
    <t xml:space="preserve">          Note: In some cases the bottom grid will not exist (in the event that none of the data selected is coming from live API links).</t>
  </si>
  <si>
    <t xml:space="preserve">   --In any grid on either tab, there are common columns:</t>
  </si>
  <si>
    <t xml:space="preserve">     1) Description:  The row label that matches the row label you'd find on BI</t>
  </si>
  <si>
    <t xml:space="preserve">     2) Ticker:  The company/index ticker corresponding to that row (this is the ticker used in the </t>
  </si>
  <si>
    <t xml:space="preserve">          BDP/BDH formula for that row, if applicable)</t>
  </si>
  <si>
    <t xml:space="preserve">     3) Field ID:  The calcrout ID used to structure the BDP/BDH formula for that row (where applicable).</t>
  </si>
  <si>
    <t xml:space="preserve">     4) Field Mnemonic:  The calcrout mnemonic corresponding to the field ID used to structure the BDP/BDH formula for that row (where applicable).</t>
  </si>
  <si>
    <t xml:space="preserve">     5) Data State:  The state of the data within that particular row, including 'Dynamic', 'Static', 'Sum', 'Average', 'Median' or 'Heading'.  If 'Dynamic'</t>
  </si>
  <si>
    <t xml:space="preserve">          then new data will be expected to come to the sheet when it becomes available in the database with no need for another export.</t>
  </si>
  <si>
    <t xml:space="preserve">          If 'Static' then there are no live links in this row and new data will only be procured by running and exporting from BI again.</t>
  </si>
  <si>
    <t xml:space="preserve">          If it's 'Sum', 'Average', 'Median' or 'Expression', then new data may come to the sheet for some expression components, but</t>
  </si>
  <si>
    <t xml:space="preserve">          to ensure the latest data is present in the sheet, BI should be run and exported again.</t>
  </si>
  <si>
    <t>**HELP**</t>
  </si>
  <si>
    <t xml:space="preserve">     If you experience any issues with the BI Excel export process or results, run the BI&lt;GO&gt; function on your Bloomberg terminal, and then hit the &lt;HELP&gt; key twice.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</si>
</sst>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BDH|10033652692015293045</stp>
        <tr r="F468" s="3"/>
      </tp>
      <tp t="s">
        <v>#N/A N/A</v>
        <stp/>
        <stp>BDH|17949826757829745986</stp>
        <tr r="F637" s="3"/>
      </tp>
      <tp t="s">
        <v>#N/A N/A</v>
        <stp/>
        <stp>BDH|13484636743613261850</stp>
        <tr r="F647" s="3"/>
      </tp>
      <tp t="s">
        <v>#N/A N/A</v>
        <stp/>
        <stp>BDH|14266603168868094693</stp>
        <tr r="F447" s="3"/>
      </tp>
      <tp t="s">
        <v>#N/A N/A</v>
        <stp/>
        <stp>BDH|17003530411629693015</stp>
        <tr r="F519" s="3"/>
      </tp>
      <tp t="s">
        <v>#N/A N/A</v>
        <stp/>
        <stp>BDH|14992941521007945204</stp>
        <tr r="F479" s="3"/>
      </tp>
      <tp t="s">
        <v>#N/A N/A</v>
        <stp/>
        <stp>BDH|11477274137632590851</stp>
        <tr r="F766" s="3"/>
      </tp>
      <tp t="s">
        <v>#N/A N/A</v>
        <stp/>
        <stp>BDH|17047875833073410567</stp>
        <tr r="F777" s="3"/>
      </tp>
      <tp t="s">
        <v>#N/A N/A</v>
        <stp/>
        <stp>BDH|11728247689881434035</stp>
        <tr r="F433" s="3"/>
      </tp>
      <tp t="s">
        <v>#N/A N/A</v>
        <stp/>
        <stp>BDH|16080791207538064318</stp>
        <tr r="F720" s="3"/>
      </tp>
      <tp t="s">
        <v>#N/A N/A</v>
        <stp/>
        <stp>BDH|14800110857642891887</stp>
        <tr r="F703" s="3"/>
      </tp>
      <tp t="s">
        <v>#N/A N/A</v>
        <stp/>
        <stp>BDH|12674875077213587576</stp>
        <tr r="F546" s="3"/>
      </tp>
      <tp t="s">
        <v>#N/A N/A</v>
        <stp/>
        <stp>BDH|17261095181263771792</stp>
        <tr r="F767" s="3"/>
      </tp>
      <tp t="s">
        <v>#N/A N/A</v>
        <stp/>
        <stp>BDH|10973931777705624027</stp>
        <tr r="F612" s="3"/>
      </tp>
      <tp t="s">
        <v>#N/A N/A</v>
        <stp/>
        <stp>BDH|18185938652877102893</stp>
        <tr r="F763" s="3"/>
      </tp>
      <tp t="s">
        <v>#N/A N/A</v>
        <stp/>
        <stp>BDH|10760339999993835283</stp>
        <tr r="F502" s="3"/>
      </tp>
      <tp t="s">
        <v>#N/A N/A</v>
        <stp/>
        <stp>BDH|13845645052749710277</stp>
        <tr r="F697" s="3"/>
      </tp>
      <tp t="s">
        <v>#N/A N/A</v>
        <stp/>
        <stp>BDH|13041009958099928709</stp>
        <tr r="F606" s="3"/>
      </tp>
      <tp t="s">
        <v>#N/A N/A</v>
        <stp/>
        <stp>BDH|13104942203587447522</stp>
        <tr r="F663" s="3"/>
      </tp>
      <tp t="s">
        <v>#N/A N/A</v>
        <stp/>
        <stp>BDH|15613773811243834885</stp>
        <tr r="F667" s="3"/>
      </tp>
      <tp t="s">
        <v>#N/A N/A</v>
        <stp/>
        <stp>BDH|10405878665495115342</stp>
        <tr r="F441" s="3"/>
      </tp>
      <tp t="s">
        <v>#N/A N/A</v>
        <stp/>
        <stp>BDH|16995593400809185264</stp>
        <tr r="F722" s="3"/>
      </tp>
      <tp t="s">
        <v>#N/A N/A</v>
        <stp/>
        <stp>BDH|17720207586586025371</stp>
        <tr r="F650" s="3"/>
      </tp>
      <tp t="s">
        <v>#N/A N/A</v>
        <stp/>
        <stp>BDH|17230154635025710836</stp>
        <tr r="F770" s="3"/>
      </tp>
      <tp t="s">
        <v>#N/A N/A</v>
        <stp/>
        <stp>BDH|15152996432897713073</stp>
        <tr r="F627" s="3"/>
      </tp>
      <tp t="s">
        <v>#N/A N/A</v>
        <stp/>
        <stp>BDH|17145926675358796813</stp>
        <tr r="F576" s="3"/>
      </tp>
      <tp t="s">
        <v>#N/A N/A</v>
        <stp/>
        <stp>BDH|15079610997807105440</stp>
        <tr r="F713" s="3"/>
      </tp>
      <tp t="s">
        <v>#N/A N/A</v>
        <stp/>
        <stp>BDH|14843000629456784935</stp>
        <tr r="F710" s="3"/>
      </tp>
      <tp t="s">
        <v>#N/A N/A</v>
        <stp/>
        <stp>BDH|16196792135988231384</stp>
        <tr r="F761" s="3"/>
      </tp>
      <tp t="s">
        <v>#N/A N/A</v>
        <stp/>
        <stp>BDH|18403543553873209285</stp>
        <tr r="F448" s="3"/>
      </tp>
      <tp t="s">
        <v>#N/A N/A</v>
        <stp/>
        <stp>BDH|17232125790643940528</stp>
        <tr r="F591" s="3"/>
      </tp>
      <tp t="s">
        <v>#N/A N/A</v>
        <stp/>
        <stp>BDH|13513530789634760332</stp>
        <tr r="F522" s="3"/>
      </tp>
      <tp t="s">
        <v>#N/A N/A</v>
        <stp/>
        <stp>BDH|14441736438951557805</stp>
        <tr r="F640" s="3"/>
      </tp>
      <tp t="s">
        <v>#N/A N/A</v>
        <stp/>
        <stp>BDH|14313718201689823317</stp>
        <tr r="F661" s="3"/>
      </tp>
      <tp t="s">
        <v>#N/A N/A</v>
        <stp/>
        <stp>BDH|10427666714109261798</stp>
        <tr r="F554" s="3"/>
      </tp>
      <tp t="s">
        <v>#N/A N/A</v>
        <stp/>
        <stp>BDH|14895832304606208309</stp>
        <tr r="F609" s="3"/>
      </tp>
      <tp t="s">
        <v>#N/A N/A</v>
        <stp/>
        <stp>BDH|11411443627846858804</stp>
        <tr r="F760" s="3"/>
      </tp>
      <tp t="s">
        <v>#N/A N/A</v>
        <stp/>
        <stp>BDH|10707781416876162967</stp>
        <tr r="F444" s="3"/>
      </tp>
      <tp t="s">
        <v>#N/A N/A</v>
        <stp/>
        <stp>BDH|11890155716821275974</stp>
        <tr r="F513" s="3"/>
      </tp>
      <tp t="s">
        <v>#N/A N/A</v>
        <stp/>
        <stp>BDH|14658619824487981995</stp>
        <tr r="F485" s="3"/>
      </tp>
      <tp t="s">
        <v>#N/A N/A</v>
        <stp/>
        <stp>BDH|15539818107027062464</stp>
        <tr r="F674" s="3"/>
      </tp>
      <tp t="s">
        <v>#N/A N/A</v>
        <stp/>
        <stp>BDH|10729802417914840312</stp>
        <tr r="F500" s="3"/>
      </tp>
      <tp t="s">
        <v>#N/A N/A</v>
        <stp/>
        <stp>BDH|15468206959239049540</stp>
        <tr r="F805" s="3"/>
      </tp>
      <tp t="s">
        <v>#N/A N/A</v>
        <stp/>
        <stp>BDH|14960227924548488236</stp>
        <tr r="F498" s="3"/>
      </tp>
      <tp t="s">
        <v>#N/A N/A</v>
        <stp/>
        <stp>BDH|11853231699611877515</stp>
        <tr r="F570" s="3"/>
      </tp>
      <tp t="s">
        <v>#N/A N/A</v>
        <stp/>
        <stp>BDH|17984497589011302404</stp>
        <tr r="F435" s="3"/>
      </tp>
      <tp t="s">
        <v>#N/A N/A</v>
        <stp/>
        <stp>BDH|12862746693136686446</stp>
        <tr r="F789" s="3"/>
      </tp>
      <tp t="s">
        <v>#N/A N/A</v>
        <stp/>
        <stp>BDH|10019046510679058685</stp>
        <tr r="F534" s="3"/>
      </tp>
      <tp t="s">
        <v>#N/A N/A</v>
        <stp/>
        <stp>BDH|11313124023155877966</stp>
        <tr r="F655" s="3"/>
      </tp>
      <tp t="s">
        <v>#N/A N/A</v>
        <stp/>
        <stp>BDH|12962966306215755016</stp>
        <tr r="F588" s="3"/>
      </tp>
      <tp t="s">
        <v>#N/A N/A</v>
        <stp/>
        <stp>BDH|17181832325036260454</stp>
        <tr r="F504" s="3"/>
      </tp>
      <tp t="s">
        <v>#N/A N/A</v>
        <stp/>
        <stp>BDH|12297581069346483876</stp>
        <tr r="F786" s="3"/>
      </tp>
      <tp t="s">
        <v>#N/A N/A</v>
        <stp/>
        <stp>BDH|14669042284437637422</stp>
        <tr r="F516" s="3"/>
      </tp>
      <tp t="s">
        <v>#N/A N/A</v>
        <stp/>
        <stp>BDH|15028926604413786044</stp>
        <tr r="F768" s="3"/>
      </tp>
      <tp t="s">
        <v>#N/A N/A</v>
        <stp/>
        <stp>BDH|14964313573619527695</stp>
        <tr r="F507" s="3"/>
      </tp>
      <tp t="s">
        <v>#N/A N/A</v>
        <stp/>
        <stp>BDH|16962018897893794310</stp>
        <tr r="F757" s="3"/>
      </tp>
      <tp t="s">
        <v>#N/A N/A</v>
        <stp/>
        <stp>BDH|17356399097153545122</stp>
        <tr r="F553" s="3"/>
      </tp>
      <tp t="s">
        <v>#N/A N/A</v>
        <stp/>
        <stp>BDH|11318787060796168905</stp>
        <tr r="F800" s="3"/>
      </tp>
      <tp t="s">
        <v>#N/A N/A</v>
        <stp/>
        <stp>BDH|18205503839265510400</stp>
        <tr r="F717" s="3"/>
      </tp>
      <tp t="s">
        <v>#N/A N/A</v>
        <stp/>
        <stp>BDH|12811888165534815738</stp>
        <tr r="F528" s="3"/>
      </tp>
      <tp t="s">
        <v>#N/A N/A</v>
        <stp/>
        <stp>BDH|14242339146748089773</stp>
        <tr r="F705" s="3"/>
      </tp>
      <tp t="s">
        <v>#N/A N/A</v>
        <stp/>
        <stp>BDH|15142617910938586678</stp>
        <tr r="F679" s="3"/>
      </tp>
      <tp t="s">
        <v>#N/A N/A</v>
        <stp/>
        <stp>BDH|17958862787588839327</stp>
        <tr r="F452" s="3"/>
      </tp>
      <tp t="s">
        <v>#N/A N/A</v>
        <stp/>
        <stp>BDH|10707817240572468200</stp>
        <tr r="F442" s="3"/>
      </tp>
      <tp t="s">
        <v>#N/A N/A</v>
        <stp/>
        <stp>BDH|11185834207617468286</stp>
        <tr r="F620" s="3"/>
      </tp>
      <tp t="s">
        <v>#N/A N/A</v>
        <stp/>
        <stp>BDH|10673898555774560576</stp>
        <tr r="F662" s="3"/>
      </tp>
      <tp t="s">
        <v>#N/A N/A</v>
        <stp/>
        <stp>BDH|13289695181759379834</stp>
        <tr r="F792" s="3"/>
      </tp>
      <tp t="s">
        <v>#N/A N/A</v>
        <stp/>
        <stp>BDH|10740946029750476728</stp>
        <tr r="F727" s="3"/>
      </tp>
      <tp t="s">
        <v>#N/A N/A</v>
        <stp/>
        <stp>BDH|10459708648268539750</stp>
        <tr r="F729" s="3"/>
      </tp>
      <tp t="s">
        <v>#N/A N/A</v>
        <stp/>
        <stp>BDH|14540423782150326574</stp>
        <tr r="F559" s="3"/>
      </tp>
      <tp t="s">
        <v>#N/A N/A</v>
        <stp/>
        <stp>BDH|16157278864878527752</stp>
        <tr r="F622" s="3"/>
      </tp>
      <tp t="s">
        <v>#N/A N/A</v>
        <stp/>
        <stp>BDH|13450596745537528897</stp>
        <tr r="F525" s="3"/>
      </tp>
      <tp t="s">
        <v>#N/A N/A</v>
        <stp/>
        <stp>BDH|14514384588187461552</stp>
        <tr r="F686" s="3"/>
      </tp>
      <tp t="s">
        <v>#N/A N/A</v>
        <stp/>
        <stp>BDH|11063680465695285952</stp>
        <tr r="F494" s="3"/>
      </tp>
      <tp t="s">
        <v>#N/A N/A</v>
        <stp/>
        <stp>BDH|11028795890123311109</stp>
        <tr r="F771" s="3"/>
      </tp>
      <tp t="s">
        <v>#N/A N/A</v>
        <stp/>
        <stp>BDH|11538353635589712586</stp>
        <tr r="F629" s="3"/>
      </tp>
      <tp t="s">
        <v>#N/A N/A</v>
        <stp/>
        <stp>BDH|16562757916775844816</stp>
        <tr r="F614" s="3"/>
      </tp>
      <tp t="s">
        <v>#N/A N/A</v>
        <stp/>
        <stp>BDH|12433616766794684451</stp>
        <tr r="F538" s="3"/>
      </tp>
      <tp t="s">
        <v>#N/A N/A</v>
        <stp/>
        <stp>BDH|13387605919302273489</stp>
        <tr r="F666" s="3"/>
      </tp>
      <tp t="s">
        <v>#N/A N/A</v>
        <stp/>
        <stp>BDH|15087656717387256720</stp>
        <tr r="F676" s="3"/>
      </tp>
      <tp t="s">
        <v>#N/A N/A</v>
        <stp/>
        <stp>BDH|17806712511404819729</stp>
        <tr r="F431" s="3"/>
      </tp>
      <tp t="s">
        <v>#N/A N/A</v>
        <stp/>
        <stp>BDH|11101697329115520223</stp>
        <tr r="F690" s="3"/>
      </tp>
      <tp t="s">
        <v>#N/A N/A</v>
        <stp/>
        <stp>BDH|16188165829010431739</stp>
        <tr r="F670" s="3"/>
      </tp>
      <tp t="s">
        <v>#N/A N/A</v>
        <stp/>
        <stp>BDH|16929664734398521958</stp>
        <tr r="C831" s="3"/>
        <tr r="C823" s="3"/>
      </tp>
      <tp t="s">
        <v>#N/A N/A</v>
        <stp/>
        <stp>BDH|15599338729856198049</stp>
        <tr r="F678" s="3"/>
      </tp>
      <tp t="s">
        <v>#N/A N/A</v>
        <stp/>
        <stp>BDH|13922234316292533075</stp>
        <tr r="F699" s="3"/>
      </tp>
      <tp t="s">
        <v>#N/A N/A</v>
        <stp/>
        <stp>BDH|13913257954213129480</stp>
        <tr r="F791" s="3"/>
      </tp>
      <tp t="s">
        <v>#N/A N/A</v>
        <stp/>
        <stp>BDH|12757918095420583161</stp>
        <tr r="F501" s="3"/>
      </tp>
      <tp t="s">
        <v>#N/A N/A</v>
        <stp/>
        <stp>BDH|14373116760667335720</stp>
        <tr r="F714" s="3"/>
      </tp>
      <tp t="s">
        <v>#N/A N/A</v>
        <stp/>
        <stp>BDH|10945982974398161569</stp>
        <tr r="F645" s="3"/>
      </tp>
      <tp t="s">
        <v>#N/A N/A</v>
        <stp/>
        <stp>BDH|17353810893900431510</stp>
        <tr r="F443" s="3"/>
      </tp>
      <tp t="s">
        <v>#N/A N/A</v>
        <stp/>
        <stp>BDH|15346550155636075070</stp>
        <tr r="F571" s="3"/>
      </tp>
      <tp t="s">
        <v>#N/A N/A</v>
        <stp/>
        <stp>BDH|17356347350664811683</stp>
        <tr r="F521" s="3"/>
      </tp>
      <tp t="s">
        <v>#N/A N/A</v>
        <stp/>
        <stp>BDH|14721146970004291573</stp>
        <tr r="F584" s="3"/>
      </tp>
      <tp t="s">
        <v>#N/A N/A</v>
        <stp/>
        <stp>BDH|17658797366221860488</stp>
        <tr r="F801" s="3"/>
      </tp>
      <tp t="s">
        <v>#N/A N/A</v>
        <stp/>
        <stp>BDH|17510163128364410363</stp>
        <tr r="F484" s="3"/>
      </tp>
      <tp t="s">
        <v>#N/A N/A</v>
        <stp/>
        <stp>BDH|16528581226735403727</stp>
        <tr r="F535" s="3"/>
      </tp>
      <tp t="s">
        <v>#N/A N/A</v>
        <stp/>
        <stp>BDH|12103217829410272156</stp>
        <tr r="F742" s="3"/>
      </tp>
      <tp t="s">
        <v>#N/A N/A</v>
        <stp/>
        <stp>BDH|10494461946115112543</stp>
        <tr r="F659" s="3"/>
      </tp>
      <tp t="s">
        <v>#N/A N/A</v>
        <stp/>
        <stp>BDH|13394003074273771716</stp>
        <tr r="F752" s="3"/>
      </tp>
      <tp t="s">
        <v>#N/A N/A</v>
        <stp/>
        <stp>BDH|13568992688760720238</stp>
        <tr r="F731" s="3"/>
      </tp>
      <tp t="s">
        <v>#N/A N/A</v>
        <stp/>
        <stp>BDH|18041586176023845965</stp>
        <tr r="F807" s="3"/>
      </tp>
      <tp t="s">
        <v>#N/A N/A</v>
        <stp/>
        <stp>BDH|12748036267340060407</stp>
        <tr r="F510" s="3"/>
      </tp>
      <tp t="s">
        <v>#N/A N/A</v>
        <stp/>
        <stp>BDH|13685524503036085058</stp>
        <tr r="F541" s="3"/>
      </tp>
      <tp t="s">
        <v>#N/A N/A</v>
        <stp/>
        <stp>BDH|17376181463309461990</stp>
        <tr r="F704" s="3"/>
      </tp>
      <tp t="s">
        <v>#N/A N/A</v>
        <stp/>
        <stp>BDH|16262495129990169071</stp>
        <tr r="F724" s="3"/>
      </tp>
      <tp t="s">
        <v>#N/A N/A</v>
        <stp/>
        <stp>BDH|12342812014929829291</stp>
        <tr r="F523" s="3"/>
      </tp>
      <tp t="s">
        <v>#N/A N/A</v>
        <stp/>
        <stp>BDH|13561907751548204716</stp>
        <tr r="F456" s="3"/>
      </tp>
      <tp t="s">
        <v>#N/A N/A</v>
        <stp/>
        <stp>BDH|12352683475280831301</stp>
        <tr r="F749" s="3"/>
      </tp>
      <tp t="s">
        <v>#N/A N/A</v>
        <stp/>
        <stp>BDH|10090224309724424666</stp>
        <tr r="F464" s="3"/>
      </tp>
      <tp t="s">
        <v>#N/A N/A</v>
        <stp/>
        <stp>BDH|14074598205322560308</stp>
        <tr r="F517" s="3"/>
      </tp>
      <tp t="s">
        <v>#N/A N/A</v>
        <stp/>
        <stp>BDH|12140172119021651318</stp>
        <tr r="F694" s="3"/>
      </tp>
      <tp t="s">
        <v>#N/A N/A</v>
        <stp/>
        <stp>BDH|15264757149180417629</stp>
        <tr r="F613" s="3"/>
      </tp>
      <tp t="s">
        <v>#N/A N/A</v>
        <stp/>
        <stp>BDH|16804681043824647080</stp>
        <tr r="F566" s="3"/>
      </tp>
      <tp t="s">
        <v>#N/A N/A</v>
        <stp/>
        <stp>BDH|17121692527260279309</stp>
        <tr r="F708" s="3"/>
      </tp>
      <tp t="s">
        <v>#N/A N/A</v>
        <stp/>
        <stp>BDH|11831499107937856226</stp>
        <tr r="F529" s="3"/>
      </tp>
      <tp t="s">
        <v>#N/A N/A</v>
        <stp/>
        <stp>BDH|13197976091457180499</stp>
        <tr r="F779" s="3"/>
      </tp>
      <tp t="s">
        <v>#N/A N/A</v>
        <stp/>
        <stp>BDH|11836698490636661882</stp>
        <tr r="F459" s="3"/>
      </tp>
      <tp t="s">
        <v>#N/A N/A</v>
        <stp/>
        <stp>BDH|14826366411550256631</stp>
        <tr r="F463" s="3"/>
      </tp>
      <tp t="s">
        <v>#N/A N/A</v>
        <stp/>
        <stp>BDH|11812396100836710550</stp>
        <tr r="F803" s="3"/>
      </tp>
      <tp t="s">
        <v>#N/A N/A</v>
        <stp/>
        <stp>BDH|13393595529523509629</stp>
        <tr r="F758" s="3"/>
      </tp>
      <tp t="s">
        <v>#N/A N/A</v>
        <stp/>
        <stp>BDH|16806710467155334392</stp>
        <tr r="F564" s="3"/>
      </tp>
      <tp t="s">
        <v>#N/A N/A</v>
        <stp/>
        <stp>BDH|14027371495986391955</stp>
        <tr r="F543" s="3"/>
      </tp>
      <tp t="s">
        <v>#N/A N/A</v>
        <stp/>
        <stp>BDH|15347386238651100592</stp>
        <tr r="F549" s="3"/>
      </tp>
      <tp t="s">
        <v>#N/A N/A</v>
        <stp/>
        <stp>BDH|16837651478033339591</stp>
        <tr r="F465" s="3"/>
      </tp>
      <tp t="s">
        <v>#N/A N/A</v>
        <stp/>
        <stp>BDH|14190651388303111835</stp>
        <tr r="F633" s="3"/>
      </tp>
      <tp t="s">
        <v>#N/A N/A</v>
        <stp/>
        <stp>BDH|12242911515139613519</stp>
        <tr r="F632" s="3"/>
      </tp>
      <tp t="s">
        <v>#N/A N/A</v>
        <stp/>
        <stp>BDH|15779344612308927993</stp>
        <tr r="F531" s="3"/>
      </tp>
      <tp t="s">
        <v>#N/A N/A</v>
        <stp/>
        <stp>BDH|13682321865796112636</stp>
        <tr r="F648" s="3"/>
      </tp>
      <tp t="s">
        <v>#N/A N/A</v>
        <stp/>
        <stp>BDH|11601823496824762265</stp>
        <tr r="F495" s="3"/>
      </tp>
      <tp t="s">
        <v>#N/A N/A</v>
        <stp/>
        <stp>BDH|16865742968600647114</stp>
        <tr r="F684" s="3"/>
      </tp>
      <tp t="s">
        <v>#N/A N/A</v>
        <stp/>
        <stp>BDH|14276615114167109256</stp>
        <tr r="F741" s="3"/>
      </tp>
      <tp t="s">
        <v>#N/A N/A</v>
        <stp/>
        <stp>BDH|11646622617478294839</stp>
        <tr r="F511" s="3"/>
      </tp>
      <tp t="s">
        <v>#N/A N/A</v>
        <stp/>
        <stp>BDH|11746422427269736877</stp>
        <tr r="F595" s="3"/>
      </tp>
      <tp t="s">
        <v>#N/A N/A</v>
        <stp/>
        <stp>BDH|13657557907335271527</stp>
        <tr r="F769" s="3"/>
      </tp>
      <tp t="s">
        <v>#N/A N/A</v>
        <stp/>
        <stp>BDH|15200669243130713185</stp>
        <tr r="F685" s="3"/>
      </tp>
      <tp t="s">
        <v>#N/A N/A</v>
        <stp/>
        <stp>BDH|13292514408230793040</stp>
        <tr r="F755" s="3"/>
      </tp>
      <tp t="s">
        <v>#N/A N/A</v>
        <stp/>
        <stp>BDH|11375716452536300384</stp>
        <tr r="F782" s="3"/>
      </tp>
      <tp t="s">
        <v>#N/A N/A</v>
        <stp/>
        <stp>BDH|14779324755461951536</stp>
        <tr r="F572" s="3"/>
      </tp>
      <tp t="s">
        <v>#N/A N/A</v>
        <stp/>
        <stp>BDH|17518782228985998101</stp>
        <tr r="F715" s="3"/>
      </tp>
      <tp t="s">
        <v>#N/A N/A</v>
        <stp/>
        <stp>BDH|11868599438843365260</stp>
        <tr r="F751" s="3"/>
      </tp>
      <tp t="s">
        <v>#N/A N/A</v>
        <stp/>
        <stp>BDH|17265184629002947055</stp>
        <tr r="F430" s="3"/>
      </tp>
      <tp t="s">
        <v>#N/A N/A</v>
        <stp/>
        <stp>BDH|11537416608516792551</stp>
        <tr r="F466" s="3"/>
      </tp>
      <tp t="s">
        <v>#N/A N/A</v>
        <stp/>
        <stp>BDH|17620361544355446229</stp>
        <tr r="F474" s="3"/>
      </tp>
      <tp t="s">
        <v>#N/A N/A</v>
        <stp/>
        <stp>BDH|11476324573665175700</stp>
        <tr r="F623" s="3"/>
      </tp>
      <tp t="s">
        <v>#N/A N/A</v>
        <stp/>
        <stp>BDH|13115018320737058186</stp>
        <tr r="F509" s="3"/>
      </tp>
      <tp t="s">
        <v>#N/A N/A</v>
        <stp/>
        <stp>BDH|18251739036548488386</stp>
        <tr r="F702" s="3"/>
      </tp>
      <tp t="s">
        <v>#N/A N/A</v>
        <stp/>
        <stp>BDH|18164773943829107594</stp>
        <tr r="F781" s="3"/>
      </tp>
      <tp t="s">
        <v>#N/A N/A</v>
        <stp/>
        <stp>BDH|12143231268224415535</stp>
        <tr r="F641" s="3"/>
      </tp>
      <tp t="s">
        <v>#N/A N/A</v>
        <stp/>
        <stp>BDH|16806985406458206095</stp>
        <tr r="F621" s="3"/>
      </tp>
      <tp t="s">
        <v>#N/A N/A</v>
        <stp/>
        <stp>BDH|15618984882360058339</stp>
        <tr r="F688" s="3"/>
      </tp>
      <tp t="s">
        <v>#N/A N/A</v>
        <stp/>
        <stp>BDH|11397279031233318493</stp>
        <tr r="F653" s="3"/>
      </tp>
      <tp t="s">
        <v>#N/A N/A</v>
        <stp/>
        <stp>BDH|11091644130365255685</stp>
        <tr r="F639" s="3"/>
      </tp>
      <tp t="s">
        <v>#N/A N/A</v>
        <stp/>
        <stp>BDH|18446071952212855877</stp>
        <tr r="F550" s="3"/>
      </tp>
      <tp t="s">
        <v>#N/A N/A</v>
        <stp/>
        <stp>BDH|16084228856625184051</stp>
        <tr r="F602" s="3"/>
      </tp>
      <tp t="s">
        <v>#N/A N/A</v>
        <stp/>
        <stp>BDH|15312158250792244773</stp>
        <tr r="F454" s="3"/>
      </tp>
      <tp t="s">
        <v>#N/A N/A</v>
        <stp/>
        <stp>BDH|13423400213022793034</stp>
        <tr r="F696" s="3"/>
      </tp>
      <tp t="s">
        <v>#N/A N/A</v>
        <stp/>
        <stp>BDH|10155458513951496001</stp>
        <tr r="F626" s="3"/>
      </tp>
      <tp t="s">
        <v>#N/A N/A</v>
        <stp/>
        <stp>BDH|11343601257951300754</stp>
        <tr r="F716" s="3"/>
      </tp>
      <tp t="s">
        <v>#N/A N/A</v>
        <stp/>
        <stp>BDH|18379345722059024417</stp>
        <tr r="F560" s="3"/>
      </tp>
      <tp t="s">
        <v>#N/A N/A</v>
        <stp/>
        <stp>BDH|17005733578076475580</stp>
        <tr r="F540" s="3"/>
      </tp>
      <tp t="s">
        <v>#N/A N/A</v>
        <stp/>
        <stp>BDH|15014503527701044718</stp>
        <tr r="F592" s="3"/>
      </tp>
      <tp t="s">
        <v>#N/A N/A</v>
        <stp/>
        <stp>BDH|12633875513868662724</stp>
        <tr r="F581" s="3"/>
      </tp>
      <tp t="s">
        <v>#N/A N/A</v>
        <stp/>
        <stp>BDH|18045621985176641471</stp>
        <tr r="F689" s="3"/>
      </tp>
      <tp t="s">
        <v>#N/A N/A</v>
        <stp/>
        <stp>BDH|17898721604191184560</stp>
        <tr r="F802" s="3"/>
      </tp>
      <tp t="s">
        <v>#N/A N/A</v>
        <stp/>
        <stp>BDH|14598434912141837464</stp>
        <tr r="F669" s="3"/>
      </tp>
      <tp t="s">
        <v>#N/A N/A</v>
        <stp/>
        <stp>BDH|13810278253114636407</stp>
        <tr r="F725" s="3"/>
      </tp>
      <tp t="s">
        <v>#N/A N/A</v>
        <stp/>
        <stp>BDH|17504380157815459016</stp>
        <tr r="F457" s="3"/>
      </tp>
      <tp t="s">
        <v>#N/A N/A</v>
        <stp/>
        <stp>BDH|10271243458454343730</stp>
        <tr r="F658" s="3"/>
      </tp>
      <tp t="s">
        <v>#N/A N/A</v>
        <stp/>
        <stp>BDH|16252374320084376653</stp>
        <tr r="F605" s="3"/>
      </tp>
      <tp t="s">
        <v>#N/A N/A</v>
        <stp/>
        <stp>BDH|12380296329525885295</stp>
        <tr r="F635" s="3"/>
      </tp>
      <tp t="s">
        <v>#N/A N/A</v>
        <stp/>
        <stp>BDH|12045432507652936196</stp>
        <tr r="F706" s="3"/>
      </tp>
      <tp t="s">
        <v>#N/A N/A</v>
        <stp/>
        <stp>BDH|13112106933467537305</stp>
        <tr r="F765" s="3"/>
      </tp>
      <tp t="s">
        <v>#N/A N/A</v>
        <stp/>
        <stp>BDH|15451439358491186059</stp>
        <tr r="F568" s="3"/>
      </tp>
      <tp t="s">
        <v>#N/A N/A</v>
        <stp/>
        <stp>BDH|15123518301696941353</stp>
        <tr r="F671" s="3"/>
      </tp>
      <tp t="s">
        <v>#N/A N/A</v>
        <stp/>
        <stp>BDH|16150233575182927432</stp>
        <tr r="F565" s="3"/>
      </tp>
      <tp t="s">
        <v>#N/A N/A</v>
        <stp/>
        <stp>BDH|18336935009191157554</stp>
        <tr r="F780" s="3"/>
      </tp>
      <tp t="s">
        <v>#N/A N/A</v>
        <stp/>
        <stp>BDH|15920221675404208109</stp>
        <tr r="F692" s="3"/>
      </tp>
      <tp t="s">
        <v>#N/A N/A</v>
        <stp/>
        <stp>BDH|15743336905041672282</stp>
        <tr r="F643" s="3"/>
      </tp>
    </main>
    <main first="bloomberg.ccyreader">
      <tp>
        <v>0</v>
        <stp/>
        <stp>#track</stp>
        <stp>DBG</stp>
        <stp>BIHITX</stp>
        <stp>1.0</stp>
        <stp>RepeatHit</stp>
        <tr r="A421" s="3"/>
      </tp>
    </main>
    <main first="bofaddin.rtdserver">
      <tp t="s">
        <v>#N/A N/A</v>
        <stp/>
        <stp>BDH|2236442394643063096</stp>
        <tr r="F475" s="3"/>
      </tp>
      <tp t="s">
        <v>#N/A N/A</v>
        <stp/>
        <stp>BDH|1782397180766074069</stp>
        <tr r="F756" s="3"/>
      </tp>
      <tp t="s">
        <v>#N/A N/A</v>
        <stp/>
        <stp>BDH|2931277923366372869</stp>
        <tr r="F804" s="3"/>
      </tp>
      <tp t="s">
        <v>#N/A N/A</v>
        <stp/>
        <stp>BDH|4826727281176674158</stp>
        <tr r="F599" s="3"/>
      </tp>
      <tp t="s">
        <v>#N/A N/A</v>
        <stp/>
        <stp>BDH|3549247600459954469</stp>
        <tr r="F681" s="3"/>
      </tp>
      <tp t="s">
        <v>#N/A N/A</v>
        <stp/>
        <stp>BDH|6687433189521743760</stp>
        <tr r="F796" s="3"/>
      </tp>
      <tp t="s">
        <v>#N/A N/A</v>
        <stp/>
        <stp>BDH|6121414815168629716</stp>
        <tr r="F638" s="3"/>
      </tp>
      <tp t="s">
        <v>#N/A N/A</v>
        <stp/>
        <stp>BDH|7570976674087725230</stp>
        <tr r="F573" s="3"/>
      </tp>
      <tp t="s">
        <v>#N/A N/A</v>
        <stp/>
        <stp>BDH|1737163107649514510</stp>
        <tr r="F795" s="3"/>
      </tp>
      <tp t="s">
        <v>#N/A N/A</v>
        <stp/>
        <stp>BDH|5879195209750284892</stp>
        <tr r="F472" s="3"/>
      </tp>
      <tp t="s">
        <v>#N/A N/A</v>
        <stp/>
        <stp>BDH|5101992642205923134</stp>
        <tr r="F577" s="3"/>
      </tp>
      <tp t="s">
        <v>#N/A N/A</v>
        <stp/>
        <stp>BDH|1322335252472654940</stp>
        <tr r="F429" s="3"/>
      </tp>
      <tp t="s">
        <v>#N/A N/A</v>
        <stp/>
        <stp>BDH|6705846742173233528</stp>
        <tr r="F486" s="3"/>
      </tp>
      <tp t="s">
        <v>#N/A N/A</v>
        <stp/>
        <stp>BDH|7789830455341137773</stp>
        <tr r="F798" s="3"/>
      </tp>
      <tp t="s">
        <v>#N/A N/A</v>
        <stp/>
        <stp>BDH|4008627449903259829</stp>
        <tr r="F478" s="3"/>
      </tp>
      <tp t="s">
        <v>#N/A N/A</v>
        <stp/>
        <stp>BDH|9739924797183067792</stp>
        <tr r="F462" s="3"/>
      </tp>
      <tp t="s">
        <v>#N/A N/A</v>
        <stp/>
        <stp>BDH|9728499874244902382</stp>
        <tr r="F607" s="3"/>
      </tp>
      <tp t="s">
        <v>#N/A N/A</v>
        <stp/>
        <stp>BDH|1985219977739875090</stp>
        <tr r="F695" s="3"/>
      </tp>
      <tp t="s">
        <v>#N/A N/A</v>
        <stp/>
        <stp>BDH|6858495634998044489</stp>
        <tr r="F603" s="3"/>
      </tp>
      <tp t="s">
        <v>#N/A N/A</v>
        <stp/>
        <stp>BDH|8881792968530912435</stp>
        <tr r="F619" s="3"/>
      </tp>
      <tp t="s">
        <v>#N/A N/A</v>
        <stp/>
        <stp>BDH|2599215128277944856</stp>
        <tr r="F733" s="3"/>
      </tp>
      <tp t="s">
        <v>#N/A N/A</v>
        <stp/>
        <stp>BDH|9467252505004464211</stp>
        <tr r="F469" s="3"/>
      </tp>
      <tp t="s">
        <v>#N/A N/A</v>
        <stp/>
        <stp>BDH|5858252639439549076</stp>
        <tr r="F753" s="3"/>
      </tp>
      <tp t="s">
        <v>#N/A N/A</v>
        <stp/>
        <stp>BDH|1513938718586169299</stp>
        <tr r="F473" s="3"/>
      </tp>
      <tp t="s">
        <v>#N/A N/A</v>
        <stp/>
        <stp>BDH|9641646816975528659</stp>
        <tr r="F764" s="3"/>
      </tp>
      <tp t="s">
        <v>#N/A N/A</v>
        <stp/>
        <stp>BDH|3970742953756209964</stp>
        <tr r="F552" s="3"/>
      </tp>
      <tp t="s">
        <v>#N/A N/A</v>
        <stp/>
        <stp>BDH|8222406109600475269</stp>
        <tr r="F460" s="3"/>
      </tp>
      <tp t="s">
        <v>#N/A N/A</v>
        <stp/>
        <stp>BDH|5826265387795273449</stp>
        <tr r="F593" s="3"/>
      </tp>
      <tp t="s">
        <v>#N/A N/A</v>
        <stp/>
        <stp>BDH|3746295793434712285</stp>
        <tr r="F544" s="3"/>
      </tp>
      <tp t="s">
        <v>#N/A N/A</v>
        <stp/>
        <stp>BDH|3636863601597729245</stp>
        <tr r="F718" s="3"/>
      </tp>
      <tp t="s">
        <v>#N/A N/A</v>
        <stp/>
        <stp>BDH|3317806942754366502</stp>
        <tr r="F536" s="3"/>
      </tp>
      <tp t="s">
        <v>#N/A N/A</v>
        <stp/>
        <stp>BDH|8488007677240233133</stp>
        <tr r="F735" s="3"/>
      </tp>
      <tp t="s">
        <v>#N/A N/A</v>
        <stp/>
        <stp>BDH|8638317506471029423</stp>
        <tr r="F712" s="3"/>
      </tp>
      <tp t="s">
        <v>#N/A N/A</v>
        <stp/>
        <stp>BDH|8127338871692542055</stp>
        <tr r="F436" s="3"/>
      </tp>
      <tp t="s">
        <v>#N/A N/A</v>
        <stp/>
        <stp>BDH|5922113993855981657</stp>
        <tr r="F503" s="3"/>
      </tp>
      <tp t="s">
        <v>#N/A N/A</v>
        <stp/>
        <stp>BDH|6492726594072024594</stp>
        <tr r="F499" s="3"/>
      </tp>
      <tp t="s">
        <v>#N/A N/A</v>
        <stp/>
        <stp>BDH|7821298584472990054</stp>
        <tr r="F657" s="3"/>
      </tp>
      <tp t="s">
        <v>#N/A N/A</v>
        <stp/>
        <stp>BDH|8619747928301634353</stp>
        <tr r="F597" s="3"/>
      </tp>
      <tp t="s">
        <v>#N/A N/A</v>
        <stp/>
        <stp>BDH|2896971770037217439</stp>
        <tr r="F508" s="3"/>
      </tp>
      <tp t="s">
        <v>#N/A N/A</v>
        <stp/>
        <stp>BDH|9438560218363275168</stp>
        <tr r="F542" s="3"/>
      </tp>
      <tp t="s">
        <v>#N/A N/A</v>
        <stp/>
        <stp>BDH|1182173093113384591</stp>
        <tr r="F492" s="3"/>
      </tp>
      <tp t="s">
        <v>#N/A N/A</v>
        <stp/>
        <stp>BDH|5713329298906235607</stp>
        <tr r="F455" s="3"/>
      </tp>
      <tp t="s">
        <v>#N/A N/A</v>
        <stp/>
        <stp>BDH|4057922213075525660</stp>
        <tr r="F551" s="3"/>
      </tp>
      <tp t="s">
        <v>#N/A N/A</v>
        <stp/>
        <stp>BDH|2619048551060351826</stp>
        <tr r="F636" s="3"/>
      </tp>
      <tp t="s">
        <v>#N/A N/A</v>
        <stp/>
        <stp>BDH|6912025633939223380</stp>
        <tr r="F754" s="3"/>
      </tp>
      <tp t="s">
        <v>#N/A N/A</v>
        <stp/>
        <stp>BDH|8330760201359413905</stp>
        <tr r="F793" s="3"/>
      </tp>
      <tp t="s">
        <v>#N/A N/A</v>
        <stp/>
        <stp>BDH|5550099375814107982</stp>
        <tr r="F747" s="3"/>
      </tp>
      <tp t="s">
        <v>#N/A N/A</v>
        <stp/>
        <stp>BDH|5958691593267425263</stp>
        <tr r="F567" s="3"/>
      </tp>
      <tp t="s">
        <v>#N/A N/A</v>
        <stp/>
        <stp>BDH|8444975403588467659</stp>
        <tr r="F744" s="3"/>
      </tp>
      <tp t="s">
        <v>#N/A N/A</v>
        <stp/>
        <stp>BDH|7770676703778610613</stp>
        <tr r="F660" s="3"/>
      </tp>
      <tp t="s">
        <v>#N/A N/A</v>
        <stp/>
        <stp>BDH|7539791595424088514</stp>
        <tr r="F598" s="3"/>
      </tp>
      <tp t="s">
        <v>#N/A N/A</v>
        <stp/>
        <stp>BDH|9708311356307155082</stp>
        <tr r="F644" s="3"/>
      </tp>
      <tp t="s">
        <v>#N/A N/A</v>
        <stp/>
        <stp>BDH|6011552668618454576</stp>
        <tr r="F512" s="3"/>
      </tp>
      <tp t="s">
        <v>#N/A N/A</v>
        <stp/>
        <stp>BDH|8113346188642037921</stp>
        <tr r="F734" s="3"/>
      </tp>
      <tp t="s">
        <v>#N/A N/A</v>
        <stp/>
        <stp>BDH|5693482776989355794</stp>
        <tr r="F505" s="3"/>
      </tp>
      <tp t="s">
        <v>#N/A N/A</v>
        <stp/>
        <stp>BDH|6107936369371858018</stp>
        <tr r="F618" s="3"/>
      </tp>
      <tp t="s">
        <v>#N/A N/A</v>
        <stp/>
        <stp>BDH|7175460199924410691</stp>
        <tr r="F683" s="3"/>
      </tp>
      <tp t="s">
        <v>#N/A N/A</v>
        <stp/>
        <stp>BDH|6405394492305510198</stp>
        <tr r="F438" s="3"/>
      </tp>
      <tp t="s">
        <v>#N/A N/A</v>
        <stp/>
        <stp>BDH|7985461370138715484</stp>
        <tr r="F477" s="3"/>
      </tp>
      <tp t="s">
        <v>#N/A N/A</v>
        <stp/>
        <stp>BDH|1783078111929496127</stp>
        <tr r="F739" s="3"/>
      </tp>
      <tp t="s">
        <v>#N/A N/A</v>
        <stp/>
        <stp>BDH|5520448979567407981</stp>
        <tr r="F642" s="3"/>
      </tp>
      <tp t="s">
        <v>#N/A N/A</v>
        <stp/>
        <stp>BDH|9202055541095875150</stp>
        <tr r="F575" s="3"/>
      </tp>
      <tp t="s">
        <v>#N/A N/A</v>
        <stp/>
        <stp>BDH|7412099154842367919</stp>
        <tr r="F548" s="3"/>
      </tp>
      <tp t="s">
        <v>#N/A N/A</v>
        <stp/>
        <stp>BDH|9109917525839205284</stp>
        <tr r="F794" s="3"/>
      </tp>
      <tp t="s">
        <v>#N/A N/A</v>
        <stp/>
        <stp>BDH|4878785114233624840</stp>
        <tr r="F467" s="3"/>
      </tp>
      <tp t="s">
        <v>#N/A N/A</v>
        <stp/>
        <stp>BDH|6047482674164336893</stp>
        <tr r="F470" s="3"/>
      </tp>
      <tp t="s">
        <v>#N/A N/A</v>
        <stp/>
        <stp>BDH|8078538057620134131</stp>
        <tr r="F785" s="3"/>
      </tp>
      <tp t="s">
        <v>#N/A N/A</v>
        <stp/>
        <stp>BDH|2065432210568318679</stp>
        <tr r="F788" s="3"/>
      </tp>
      <tp t="s">
        <v>#N/A N/A</v>
        <stp/>
        <stp>BDH|4168436442689154441</stp>
        <tr r="F555" s="3"/>
      </tp>
      <tp t="s">
        <v>#N/A N/A</v>
        <stp/>
        <stp>BDH|4589553121011746883</stp>
        <tr r="F611" s="3"/>
      </tp>
      <tp t="s">
        <v>#N/A N/A</v>
        <stp/>
        <stp>BDH|9634790240275139518</stp>
        <tr r="F745" s="3"/>
      </tp>
      <tp t="s">
        <v>#N/A N/A</v>
        <stp/>
        <stp>BDH|2554004488731080101</stp>
        <tr r="F759" s="3"/>
      </tp>
      <tp t="s">
        <v>#N/A N/A</v>
        <stp/>
        <stp>BDH|3088563599186810359</stp>
        <tr r="F673" s="3"/>
      </tp>
      <tp t="s">
        <v>#N/A N/A</v>
        <stp/>
        <stp>BDH|2087901642931428449</stp>
        <tr r="F799" s="3"/>
      </tp>
      <tp t="s">
        <v>#N/A N/A</v>
        <stp/>
        <stp>BDH|6301858291194256961</stp>
        <tr r="F726" s="3"/>
      </tp>
      <tp t="s">
        <v>#N/A N/A</v>
        <stp/>
        <stp>BDH|2409724842009738221</stp>
        <tr r="C829" s="3"/>
        <tr r="C821" s="3"/>
      </tp>
      <tp t="s">
        <v>#N/A N/A</v>
        <stp/>
        <stp>BDH|4506660174796379928</stp>
        <tr r="F530" s="3"/>
      </tp>
      <tp t="s">
        <v>#N/A N/A</v>
        <stp/>
        <stp>BDH|3140199999414537521</stp>
        <tr r="F646" s="3"/>
      </tp>
      <tp t="s">
        <v>#N/A N/A</v>
        <stp/>
        <stp>BDH|5744208535846360866</stp>
        <tr r="F698" s="3"/>
      </tp>
      <tp t="s">
        <v>#N/A N/A</v>
        <stp/>
        <stp>BDH|8689642064430749264</stp>
        <tr r="F527" s="3"/>
      </tp>
      <tp t="s">
        <v>#N/A N/A</v>
        <stp/>
        <stp>BDH|1614251687529676872</stp>
        <tr r="F524" s="3"/>
      </tp>
      <tp t="s">
        <v>#N/A N/A</v>
        <stp/>
        <stp>BDH|5193988371947264711</stp>
        <tr r="F797" s="3"/>
      </tp>
      <tp t="s">
        <v>#N/A N/A</v>
        <stp/>
        <stp>BDH|9263492408003265592</stp>
        <tr r="F730" s="3"/>
      </tp>
      <tp t="s">
        <v>#N/A N/A</v>
        <stp/>
        <stp>BDH|3347967079322406402</stp>
        <tr r="F526" s="3"/>
      </tp>
      <tp t="s">
        <v>#N/A N/A</v>
        <stp/>
        <stp>BDH|3163908918274211443</stp>
        <tr r="F476" s="3"/>
      </tp>
      <tp t="s">
        <v>#N/A N/A</v>
        <stp/>
        <stp>BDH|1927213892501872019</stp>
        <tr r="F776" s="3"/>
      </tp>
      <tp t="s">
        <v>#N/A N/A</v>
        <stp/>
        <stp>BDH|8107279300136443726</stp>
        <tr r="F709" s="3"/>
      </tp>
      <tp t="s">
        <v>#N/A N/A</v>
        <stp/>
        <stp>BDH|6363826905472303778</stp>
        <tr r="F558" s="3"/>
      </tp>
      <tp t="s">
        <v>#N/A N/A</v>
        <stp/>
        <stp>BDH|5946997323130425569</stp>
        <tr r="F668" s="3"/>
      </tp>
      <tp t="s">
        <v>#N/A N/A</v>
        <stp/>
        <stp>BDH|2480977944161016519</stp>
        <tr r="F616" s="3"/>
      </tp>
      <tp t="s">
        <v>#N/A N/A</v>
        <stp/>
        <stp>BDH|6238109587480194402</stp>
        <tr r="F691" s="3"/>
      </tp>
      <tp t="s">
        <v>#N/A N/A</v>
        <stp/>
        <stp>BDH|6931084373214950104</stp>
        <tr r="F437" s="3"/>
      </tp>
      <tp t="s">
        <v>#N/A N/A</v>
        <stp/>
        <stp>BDH|4370364632704477485</stp>
        <tr r="F634" s="3"/>
      </tp>
      <tp t="s">
        <v>#N/A N/A</v>
        <stp/>
        <stp>BDH|1497897600768010563</stp>
        <tr r="F625" s="3"/>
      </tp>
      <tp t="s">
        <v>#N/A N/A</v>
        <stp/>
        <stp>BDH|4975853806061390905</stp>
        <tr r="F682" s="3"/>
      </tp>
      <tp t="s">
        <v>#N/A N/A</v>
        <stp/>
        <stp>BDH|7533250535825445782</stp>
        <tr r="F439" s="3"/>
      </tp>
      <tp t="s">
        <v>#N/A N/A</v>
        <stp/>
        <stp>BDH|6082879891931199294</stp>
        <tr r="F547" s="3"/>
      </tp>
      <tp t="s">
        <v>#N/A N/A</v>
        <stp/>
        <stp>BDH|6052907313979592357</stp>
        <tr r="F589" s="3"/>
      </tp>
      <tp t="s">
        <v>#N/A N/A</v>
        <stp/>
        <stp>BDH|8214663277225891882</stp>
        <tr r="F740" s="3"/>
      </tp>
      <tp t="s">
        <v>#N/A N/A</v>
        <stp/>
        <stp>BDH|4846052532873779080</stp>
        <tr r="F701" s="3"/>
      </tp>
      <tp t="s">
        <v>#N/A N/A</v>
        <stp/>
        <stp>BDH|6817225921822878036</stp>
        <tr r="F680" s="3"/>
      </tp>
      <tp t="s">
        <v>#N/A N/A</v>
        <stp/>
        <stp>BDH|1031060825336242152</stp>
        <tr r="F562" s="3"/>
      </tp>
      <tp t="s">
        <v>#N/A N/A</v>
        <stp/>
        <stp>BDH|6150955696252376058</stp>
        <tr r="F672" s="3"/>
      </tp>
      <tp t="s">
        <v>#N/A N/A</v>
        <stp/>
        <stp>BDH|1705053732990677636</stp>
        <tr r="F732" s="3"/>
      </tp>
      <tp t="s">
        <v>#N/A N/A</v>
        <stp/>
        <stp>BDH|2957656610440569029</stp>
        <tr r="F665" s="3"/>
      </tp>
      <tp t="s">
        <v>#N/A N/A</v>
        <stp/>
        <stp>BDH|4907087729181794270</stp>
        <tr r="F582" s="3"/>
      </tp>
      <tp t="s">
        <v>#N/A N/A</v>
        <stp/>
        <stp>BDH|1095244422734925076</stp>
        <tr r="F728" s="3"/>
      </tp>
      <tp t="s">
        <v>#N/A N/A</v>
        <stp/>
        <stp>BDH|7163676318746830386</stp>
        <tr r="F736" s="3"/>
      </tp>
      <tp t="s">
        <v>#N/A N/A</v>
        <stp/>
        <stp>BDH|7181801885121384398</stp>
        <tr r="F506" s="3"/>
      </tp>
      <tp t="s">
        <v>#N/A N/A</v>
        <stp/>
        <stp>BDH|6447374324111900319</stp>
        <tr r="F654" s="3"/>
      </tp>
      <tp t="s">
        <v>#N/A N/A</v>
        <stp/>
        <stp>BDH|3574138356282932063</stp>
        <tr r="F608" s="3"/>
      </tp>
      <tp t="s">
        <v>#N/A N/A</v>
        <stp/>
        <stp>BDH|7854732827321528696</stp>
        <tr r="F656" s="3"/>
      </tp>
      <tp t="s">
        <v>#N/A N/A</v>
        <stp/>
        <stp>BDH|4896648338082707656</stp>
        <tr r="F574" s="3"/>
      </tp>
      <tp t="s">
        <v>#N/A N/A</v>
        <stp/>
        <stp>BDH|3395977658438333293</stp>
        <tr r="F762" s="3"/>
      </tp>
      <tp t="s">
        <v>#N/A N/A</v>
        <stp/>
        <stp>BDH|2625702711309185818</stp>
        <tr r="F604" s="3"/>
      </tp>
      <tp t="s">
        <v>#N/A N/A</v>
        <stp/>
        <stp>BDH|3836094650335203670</stp>
        <tr r="F488" s="3"/>
      </tp>
      <tp t="s">
        <v>#N/A N/A</v>
        <stp/>
        <stp>BDH|5536715175011235179</stp>
        <tr r="F707" s="3"/>
      </tp>
      <tp t="s">
        <v>#N/A N/A</v>
        <stp/>
        <stp>BDH|1107094754044717618</stp>
        <tr r="F594" s="3"/>
      </tp>
      <tp t="s">
        <v>#N/A N/A</v>
        <stp/>
        <stp>BDH|2916599688639698054</stp>
        <tr r="F617" s="3"/>
      </tp>
      <tp t="s">
        <v>#N/A N/A</v>
        <stp/>
        <stp>BDH|3881065374015864799</stp>
        <tr r="F790" s="3"/>
      </tp>
      <tp t="s">
        <v>#N/A N/A</v>
        <stp/>
        <stp>BDH|6059055870552934579</stp>
        <tr r="F514" s="3"/>
      </tp>
      <tp t="s">
        <v>#N/A N/A</v>
        <stp/>
        <stp>BDH|5106078593179989340</stp>
        <tr r="F481" s="3"/>
      </tp>
      <tp t="s">
        <v>#N/A N/A</v>
        <stp/>
        <stp>BDH|6485260818000076348</stp>
        <tr r="F471" s="3"/>
      </tp>
      <tp t="s">
        <v>#N/A N/A</v>
        <stp/>
        <stp>BDH|2423944612304652888</stp>
        <tr r="F458" s="3"/>
      </tp>
      <tp t="s">
        <v>#N/A N/A</v>
        <stp/>
        <stp>BDH|8551011552229790210</stp>
        <tr r="F778" s="3"/>
      </tp>
      <tp t="s">
        <v>#N/A N/A</v>
        <stp/>
        <stp>BDH|1276501136093586273</stp>
        <tr r="F631" s="3"/>
      </tp>
      <tp t="s">
        <v>#N/A N/A</v>
        <stp/>
        <stp>BDH|8672879659022861172</stp>
        <tr r="F787" s="3"/>
      </tp>
      <tp t="s">
        <v>#N/A N/A</v>
        <stp/>
        <stp>BDH|5018560105607307142</stp>
        <tr r="F687" s="3"/>
      </tp>
      <tp t="s">
        <v>#N/A N/A</v>
        <stp/>
        <stp>BDH|21137526278301021</stp>
        <tr r="F440" s="3"/>
      </tp>
      <tp t="s">
        <v>#N/A N/A</v>
        <stp/>
        <stp>BDH|9587035153602779997</stp>
        <tr r="F630" s="3"/>
      </tp>
      <tp t="s">
        <v>#N/A N/A</v>
        <stp/>
        <stp>BDH|9928182268751680817</stp>
        <tr r="F518" s="3"/>
      </tp>
      <tp t="s">
        <v>#N/A N/A</v>
        <stp/>
        <stp>BDH|5364338918673308345</stp>
        <tr r="F750" s="3"/>
      </tp>
      <tp t="s">
        <v>#N/A N/A</v>
        <stp/>
        <stp>BDH|6056663468595314415</stp>
        <tr r="F497" s="3"/>
      </tp>
      <tp t="s">
        <v>#N/A N/A</v>
        <stp/>
        <stp>BDH|2747869713265127918</stp>
        <tr r="F652" s="3"/>
      </tp>
      <tp t="s">
        <v>#N/A N/A</v>
        <stp/>
        <stp>BDH|7695563513055140111</stp>
        <tr r="F748" s="3"/>
      </tp>
      <tp t="s">
        <v>#N/A N/A</v>
        <stp/>
        <stp>BDH|1149717790158553053</stp>
        <tr r="F557" s="3"/>
      </tp>
      <tp t="s">
        <v>#N/A N/A</v>
        <stp/>
        <stp>BDH|4019542945996598458</stp>
        <tr r="F446" s="3"/>
      </tp>
      <tp t="s">
        <v>#N/A N/A</v>
        <stp/>
        <stp>BDH|9038592579639714568</stp>
        <tr r="F537" s="3"/>
      </tp>
      <tp t="s">
        <v>#N/A N/A</v>
        <stp/>
        <stp>BDH|4083708505024249007</stp>
        <tr r="C833" s="3"/>
        <tr r="C825" s="3"/>
      </tp>
      <tp t="s">
        <v>#N/A N/A</v>
        <stp/>
        <stp>BDH|1437232327240234662</stp>
        <tr r="F711" s="3"/>
      </tp>
      <tp t="s">
        <v>#N/A N/A</v>
        <stp/>
        <stp>BDH|5740475913821179662</stp>
        <tr r="F624" s="3"/>
      </tp>
      <tp t="s">
        <v>#N/A N/A</v>
        <stp/>
        <stp>BDH|1721491504641695396</stp>
        <tr r="F580" s="3"/>
      </tp>
      <tp t="s">
        <v>#N/A N/A</v>
        <stp/>
        <stp>BDH|8757080512298442130</stp>
        <tr r="F489" s="3"/>
      </tp>
      <tp t="s">
        <v>#N/A N/A</v>
        <stp/>
        <stp>BDH|7848456306933695079</stp>
        <tr r="F493" s="3"/>
      </tp>
      <tp t="s">
        <v>#N/A N/A</v>
        <stp/>
        <stp>BDH|8973494738586383953</stp>
        <tr r="F719" s="3"/>
      </tp>
      <tp t="s">
        <v>#N/A N/A</v>
        <stp/>
        <stp>BDH|2619264835816322580</stp>
        <tr r="F775" s="3"/>
      </tp>
      <tp t="s">
        <v>#N/A N/A</v>
        <stp/>
        <stp>BDH|1086258938279739954</stp>
        <tr r="F556" s="3"/>
      </tp>
      <tp t="s">
        <v>#N/A N/A</v>
        <stp/>
        <stp>BDH|1480938288251642155</stp>
        <tr r="F482" s="3"/>
      </tp>
      <tp t="s">
        <v>#N/A N/A</v>
        <stp/>
        <stp>BDH|7534993463551435997</stp>
        <tr r="F515" s="3"/>
      </tp>
      <tp t="s">
        <v>#N/A N/A</v>
        <stp/>
        <stp>BDH|1532754002413846580</stp>
        <tr r="F545" s="3"/>
      </tp>
      <tp t="s">
        <v>#N/A N/A</v>
        <stp/>
        <stp>BDH|7245083848362328100</stp>
        <tr r="F449" s="3"/>
      </tp>
      <tp t="s">
        <v>#N/A N/A</v>
        <stp/>
        <stp>BDH|5709263745951199236</stp>
        <tr r="F784" s="3"/>
      </tp>
      <tp t="s">
        <v>#N/A N/A</v>
        <stp/>
        <stp>BDH|7039884551888074327</stp>
        <tr r="F579" s="3"/>
      </tp>
      <tp t="s">
        <v>#N/A N/A</v>
        <stp/>
        <stp>BDH|7658121228483213662</stp>
        <tr r="F487" s="3"/>
      </tp>
      <tp t="s">
        <v>#N/A N/A</v>
        <stp/>
        <stp>BDH|9048549999136000257</stp>
        <tr r="F578" s="3"/>
      </tp>
      <tp t="s">
        <v>#N/A N/A</v>
        <stp/>
        <stp>BDH|2004506704153909547</stp>
        <tr r="F432" s="3"/>
      </tp>
      <tp t="s">
        <v>#N/A N/A</v>
        <stp/>
        <stp>BDH|6687417229204984597</stp>
        <tr r="F601" s="3"/>
      </tp>
      <tp t="s">
        <v>#N/A N/A</v>
        <stp/>
        <stp>BDH|4757472149223037678</stp>
        <tr r="F783" s="3"/>
      </tp>
      <tp t="s">
        <v>#N/A N/A</v>
        <stp/>
        <stp>BDH|5648093863093580153</stp>
        <tr r="F533" s="3"/>
      </tp>
      <tp t="s">
        <v>#N/A N/A</v>
        <stp/>
        <stp>BDH|7075072424546941277</stp>
        <tr r="F483" s="3"/>
      </tp>
      <tp t="s">
        <v>#N/A N/A</v>
        <stp/>
        <stp>BDH|3253979923129401020</stp>
        <tr r="F480" s="3"/>
      </tp>
      <tp t="s">
        <v>#N/A N/A</v>
        <stp/>
        <stp>BDH|9182629119739206691</stp>
        <tr r="F610" s="3"/>
      </tp>
      <tp t="s">
        <v>#N/A N/A</v>
        <stp/>
        <stp>BDH|2908069866496915373</stp>
        <tr r="F563" s="3"/>
      </tp>
      <tp t="s">
        <v>#N/A N/A</v>
        <stp/>
        <stp>BDH|1176730628732728476</stp>
        <tr r="F532" s="3"/>
      </tp>
      <tp t="s">
        <v>#N/A N/A</v>
        <stp/>
        <stp>BDH|6086134112520975431</stp>
        <tr r="F520" s="3"/>
      </tp>
      <tp t="s">
        <v>#N/A N/A</v>
        <stp/>
        <stp>BDH|8976218440098607462</stp>
        <tr r="F496" s="3"/>
      </tp>
      <tp t="s">
        <v>#N/A N/A</v>
        <stp/>
        <stp>BDH|5443685884609054011</stp>
        <tr r="F491" s="3"/>
      </tp>
      <tp t="s">
        <v>#N/A N/A</v>
        <stp/>
        <stp>BDH|8977738730166297869</stp>
        <tr r="F600" s="3"/>
      </tp>
      <tp t="s">
        <v>#N/A N/A</v>
        <stp/>
        <stp>BDH|8523825721347729726</stp>
        <tr r="F586" s="3"/>
      </tp>
      <tp t="s">
        <v>#N/A N/A</v>
        <stp/>
        <stp>BDH|4854049578108757902</stp>
        <tr r="F434" s="3"/>
      </tp>
      <tp t="s">
        <v>#N/A N/A</v>
        <stp/>
        <stp>BDH|7017313689606041891</stp>
        <tr r="F808" s="3"/>
      </tp>
      <tp t="s">
        <v>#N/A N/A</v>
        <stp/>
        <stp>BDH|1085312410822236355</stp>
        <tr r="F585" s="3"/>
      </tp>
      <tp t="s">
        <v>#N/A N/A</v>
        <stp/>
        <stp>BDH|4583788648657574268</stp>
        <tr r="F490" s="3"/>
      </tp>
      <tp t="s">
        <v>#N/A N/A</v>
        <stp/>
        <stp>BDH|4320103683646674921</stp>
        <tr r="F453" s="3"/>
      </tp>
      <tp t="s">
        <v>#N/A N/A</v>
        <stp/>
        <stp>BDH|2032673118727213093</stp>
        <tr r="F737" s="3"/>
      </tp>
      <tp t="s">
        <v>#N/A N/A</v>
        <stp/>
        <stp>BDH|6068715702264773702</stp>
        <tr r="F561" s="3"/>
      </tp>
      <tp t="s">
        <v>#N/A N/A</v>
        <stp/>
        <stp>BDH|5438572709677321430</stp>
        <tr r="F615" s="3"/>
      </tp>
      <tp t="s">
        <v>#N/A N/A</v>
        <stp/>
        <stp>BDH|9056914137763564380</stp>
        <tr r="F721" s="3"/>
      </tp>
      <tp t="s">
        <v>#N/A N/A</v>
        <stp/>
        <stp>BDH|2743106905263362384</stp>
        <tr r="F445" s="3"/>
      </tp>
      <tp t="s">
        <v>#N/A N/A</v>
        <stp/>
        <stp>BDH|1127432049210024279</stp>
        <tr r="F596" s="3"/>
      </tp>
      <tp t="s">
        <v>#N/A N/A</v>
        <stp/>
        <stp>BDH|1133783024365899295</stp>
        <tr r="F587" s="3"/>
      </tp>
      <tp t="s">
        <v>#N/A N/A</v>
        <stp/>
        <stp>BDH|5066690766316629047</stp>
        <tr r="F583" s="3"/>
      </tp>
      <tp t="s">
        <v>#N/A N/A</v>
        <stp/>
        <stp>BDH|5346570149297924093</stp>
        <tr r="F451" s="3"/>
      </tp>
      <tp t="s">
        <v>#N/A N/A</v>
        <stp/>
        <stp>BDH|8319195819252287933</stp>
        <tr r="F743" s="3"/>
      </tp>
      <tp t="s">
        <v>#N/A N/A</v>
        <stp/>
        <stp>BDH|8352513687493703518</stp>
        <tr r="F774" s="3"/>
      </tp>
      <tp t="s">
        <v>#N/A N/A</v>
        <stp/>
        <stp>BDH|9643098559389504651</stp>
        <tr r="F772" s="3"/>
      </tp>
      <tp t="s">
        <v>#N/A N/A</v>
        <stp/>
        <stp>BDH|1332449576514294563</stp>
        <tr r="F590" s="3"/>
      </tp>
      <tp t="s">
        <v>#N/A N/A</v>
        <stp/>
        <stp>BDH|2893326923680862049</stp>
        <tr r="F664" s="3"/>
      </tp>
      <tp t="s">
        <v>#N/A N/A</v>
        <stp/>
        <stp>BDH|948501484628915027</stp>
        <tr r="F675" s="3"/>
      </tp>
      <tp t="s">
        <v>#N/A N/A</v>
        <stp/>
        <stp>BDH|498540088941667828</stp>
        <tr r="F700" s="3"/>
      </tp>
      <tp t="s">
        <v>#N/A N/A</v>
        <stp/>
        <stp>BDH|429287270282762366</stp>
        <tr r="F806" s="3"/>
      </tp>
      <tp t="s">
        <v>#N/A N/A</v>
        <stp/>
        <stp>BDH|642035051410667114</stp>
        <tr r="F773" s="3"/>
      </tp>
      <tp t="s">
        <v>#N/A N/A</v>
        <stp/>
        <stp>BDH|518023200470439778</stp>
        <tr r="F738" s="3"/>
      </tp>
      <tp t="s">
        <v>#N/A N/A</v>
        <stp/>
        <stp>BDH|116732030370210590</stp>
        <tr r="F628" s="3"/>
      </tp>
      <tp t="s">
        <v>#N/A N/A</v>
        <stp/>
        <stp>BDH|676060695400619916</stp>
        <tr r="F746" s="3"/>
      </tp>
      <tp t="s">
        <v>#N/A N/A</v>
        <stp/>
        <stp>BDH|236256322795109613</stp>
        <tr r="F450" s="3"/>
      </tp>
      <tp t="s">
        <v>#N/A N/A</v>
        <stp/>
        <stp>BDH|516343834300452250</stp>
        <tr r="F693" s="3"/>
      </tp>
      <tp t="s">
        <v>#N/A N/A</v>
        <stp/>
        <stp>BDH|107764769074771780</stp>
        <tr r="F651" s="3"/>
      </tp>
      <tp t="s">
        <v>#N/A N/A</v>
        <stp/>
        <stp>BDH|931631960237835839</stp>
        <tr r="F569" s="3"/>
      </tp>
      <tp t="s">
        <v>#N/A N/A</v>
        <stp/>
        <stp>BDH|233883912854270333</stp>
        <tr r="F723" s="3"/>
      </tp>
      <tp t="s">
        <v>#N/A N/A</v>
        <stp/>
        <stp>BDH|445868098778035781</stp>
        <tr r="F539" s="3"/>
      </tp>
      <tp t="s">
        <v>#N/A N/A</v>
        <stp/>
        <stp>BDH|581594207616478859</stp>
        <tr r="F677" s="3"/>
      </tp>
      <tp t="s">
        <v>#N/A N/A</v>
        <stp/>
        <stp>BDH|661243249319667570</stp>
        <tr r="F649" s="3"/>
      </tp>
      <tp t="s">
        <v>#N/A N/A</v>
        <stp/>
        <stp>BDH|667979323856985786</stp>
        <tr r="F46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11"/>
  <sheetViews>
    <sheetView tabSelected="1" topLeftCell="J1" workbookViewId="0">
      <selection activeCell="O14" sqref="O14"/>
    </sheetView>
  </sheetViews>
  <sheetFormatPr defaultRowHeight="15" x14ac:dyDescent="0.25"/>
  <cols>
    <col min="1" max="1" width="56.28515625" customWidth="1"/>
    <col min="2" max="2" width="15.85546875" customWidth="1"/>
    <col min="3" max="38" width="9.140625" bestFit="1" customWidth="1"/>
  </cols>
  <sheetData>
    <row r="1" spans="1:38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x14ac:dyDescent="0.25">
      <c r="A2" t="str">
        <f>IFERROR(IF(0=LEN(ReferenceData!$A$2),"",ReferenceData!$A$2),"")</f>
        <v>Description</v>
      </c>
      <c r="B2" t="str">
        <f>IFERROR(IF(0=LEN(ReferenceData!$B$2),"",ReferenceData!$B$2),"")</f>
        <v>Ticker</v>
      </c>
      <c r="C2" t="str">
        <f>IFERROR(IF(0=LEN(ReferenceData!$C$2),"",ReferenceData!$C$2),"")</f>
        <v>Field ID</v>
      </c>
      <c r="D2" t="str">
        <f>IFERROR(IF(0=LEN(ReferenceData!$D$2),"",ReferenceData!$D$2),"")</f>
        <v>Field Mnemonic</v>
      </c>
      <c r="E2" t="str">
        <f>IFERROR(IF(0=LEN(ReferenceData!$E$2),"",ReferenceData!$E$2),"")</f>
        <v>Data State</v>
      </c>
      <c r="F2" t="str">
        <f>IFERROR(IF(0=LEN(ReferenceData!$F$2),"",ReferenceData!$F$2),"")</f>
        <v>2024</v>
      </c>
      <c r="G2" t="str">
        <f>IFERROR(IF(0=LEN(ReferenceData!$G$2),"",ReferenceData!$G$2),"")</f>
        <v>2023</v>
      </c>
      <c r="H2" t="str">
        <f>IFERROR(IF(0=LEN(ReferenceData!$H$2),"",ReferenceData!$H$2),"")</f>
        <v>2022</v>
      </c>
      <c r="I2" t="str">
        <f>IFERROR(IF(0=LEN(ReferenceData!$I$2),"",ReferenceData!$I$2),"")</f>
        <v>2021</v>
      </c>
      <c r="J2" t="str">
        <f>IFERROR(IF(0=LEN(ReferenceData!$J$2),"",ReferenceData!$J$2),"")</f>
        <v>2020</v>
      </c>
      <c r="K2" t="str">
        <f>IFERROR(IF(0=LEN(ReferenceData!$K$2),"",ReferenceData!$K$2),"")</f>
        <v>2019</v>
      </c>
      <c r="L2" t="str">
        <f>IFERROR(IF(0=LEN(ReferenceData!$L$2),"",ReferenceData!$L$2),"")</f>
        <v>2018</v>
      </c>
      <c r="M2" t="str">
        <f>IFERROR(IF(0=LEN(ReferenceData!$M$2),"",ReferenceData!$M$2),"")</f>
        <v>2017</v>
      </c>
      <c r="N2" t="str">
        <f>IFERROR(IF(0=LEN(ReferenceData!$N$2),"",ReferenceData!$N$2),"")</f>
        <v>2016</v>
      </c>
      <c r="O2" t="str">
        <f>IFERROR(IF(0=LEN(ReferenceData!$O$2),"",ReferenceData!$O$2),"")</f>
        <v>2015</v>
      </c>
      <c r="P2" t="str">
        <f>IFERROR(IF(0=LEN(ReferenceData!$P$2),"",ReferenceData!$P$2),"")</f>
        <v>2014</v>
      </c>
      <c r="Q2" t="str">
        <f>IFERROR(IF(0=LEN(ReferenceData!$Q$2),"",ReferenceData!$Q$2),"")</f>
        <v>2013</v>
      </c>
      <c r="R2" t="str">
        <f>IFERROR(IF(0=LEN(ReferenceData!$R$2),"",ReferenceData!$R$2),"")</f>
        <v>2012</v>
      </c>
      <c r="S2" t="str">
        <f>IFERROR(IF(0=LEN(ReferenceData!$S$2),"",ReferenceData!$S$2),"")</f>
        <v>2011</v>
      </c>
      <c r="T2" t="str">
        <f>IFERROR(IF(0=LEN(ReferenceData!$T$2),"",ReferenceData!$T$2),"")</f>
        <v>2010</v>
      </c>
      <c r="U2" t="str">
        <f>IFERROR(IF(0=LEN(ReferenceData!$U$2),"",ReferenceData!$U$2),"")</f>
        <v>2009</v>
      </c>
      <c r="V2" t="str">
        <f>IFERROR(IF(0=LEN(ReferenceData!$V$2),"",ReferenceData!$V$2),"")</f>
        <v>2008</v>
      </c>
      <c r="W2" t="str">
        <f>IFERROR(IF(0=LEN(ReferenceData!$W$2),"",ReferenceData!$W$2),"")</f>
        <v>2007</v>
      </c>
      <c r="X2" t="str">
        <f>IFERROR(IF(0=LEN(ReferenceData!$X$2),"",ReferenceData!$X$2),"")</f>
        <v>2006</v>
      </c>
      <c r="Y2" t="str">
        <f>IFERROR(IF(0=LEN(ReferenceData!$Y$2),"",ReferenceData!$Y$2),"")</f>
        <v>2005</v>
      </c>
      <c r="Z2" t="str">
        <f>IFERROR(IF(0=LEN(ReferenceData!$Z$2),"",ReferenceData!$Z$2),"")</f>
        <v>2004</v>
      </c>
      <c r="AA2" t="str">
        <f>IFERROR(IF(0=LEN(ReferenceData!$AA$2),"",ReferenceData!$AA$2),"")</f>
        <v>2003</v>
      </c>
      <c r="AB2" t="str">
        <f>IFERROR(IF(0=LEN(ReferenceData!$AB$2),"",ReferenceData!$AB$2),"")</f>
        <v>2002</v>
      </c>
      <c r="AC2" t="str">
        <f>IFERROR(IF(0=LEN(ReferenceData!$AC$2),"",ReferenceData!$AC$2),"")</f>
        <v>2001</v>
      </c>
      <c r="AD2" t="str">
        <f>IFERROR(IF(0=LEN(ReferenceData!$AD$2),"",ReferenceData!$AD$2),"")</f>
        <v>2000</v>
      </c>
      <c r="AE2" t="str">
        <f>IFERROR(IF(0=LEN(ReferenceData!$AE$2),"",ReferenceData!$AE$2),"")</f>
        <v>1999</v>
      </c>
      <c r="AF2" t="str">
        <f>IFERROR(IF(0=LEN(ReferenceData!$AF$2),"",ReferenceData!$AF$2),"")</f>
        <v>1998</v>
      </c>
      <c r="AG2" t="str">
        <f>IFERROR(IF(0=LEN(ReferenceData!$AG$2),"",ReferenceData!$AG$2),"")</f>
        <v>1997</v>
      </c>
      <c r="AH2" t="str">
        <f>IFERROR(IF(0=LEN(ReferenceData!$AH$2),"",ReferenceData!$AH$2),"")</f>
        <v>1996</v>
      </c>
      <c r="AI2" t="str">
        <f>IFERROR(IF(0=LEN(ReferenceData!$AI$2),"",ReferenceData!$AI$2),"")</f>
        <v>1995</v>
      </c>
      <c r="AJ2" t="str">
        <f>IFERROR(IF(0=LEN(ReferenceData!$AJ$2),"",ReferenceData!$AJ$2),"")</f>
        <v>1994</v>
      </c>
      <c r="AK2" t="str">
        <f>IFERROR(IF(0=LEN(ReferenceData!$AK$2),"",ReferenceData!$AK$2),"")</f>
        <v>1993</v>
      </c>
      <c r="AL2" t="str">
        <f>IFERROR(IF(0=LEN(ReferenceData!$AL$2),"",ReferenceData!$AL$2),"")</f>
        <v>1992</v>
      </c>
    </row>
    <row r="3" spans="1:38" x14ac:dyDescent="0.25">
      <c r="A3" t="str">
        <f>IFERROR(IF(0=LEN(ReferenceData!$A$3),"",ReferenceData!$A$3),"")</f>
        <v>Loan Composition - Total Loans and Leases, net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Sum</v>
      </c>
      <c r="F3">
        <f ca="1">IFERROR(IF(0=LEN(ReferenceData!$F$3),"",ReferenceData!$F$3),"")</f>
        <v>5974270.943</v>
      </c>
      <c r="G3">
        <f ca="1">IFERROR(IF(0=LEN(ReferenceData!$G$3),"",ReferenceData!$G$3),"")</f>
        <v>6555148.7280000001</v>
      </c>
      <c r="H3">
        <f ca="1">IFERROR(IF(0=LEN(ReferenceData!$H$3),"",ReferenceData!$H$3),"")</f>
        <v>6314115.2799999984</v>
      </c>
      <c r="I3">
        <f ca="1">IFERROR(IF(0=LEN(ReferenceData!$I$3),"",ReferenceData!$I$3),"")</f>
        <v>5848894.5390000008</v>
      </c>
      <c r="J3">
        <f ca="1">IFERROR(IF(0=LEN(ReferenceData!$J$3),"",ReferenceData!$J$3),"")</f>
        <v>5571191.9579999996</v>
      </c>
      <c r="K3">
        <f ca="1">IFERROR(IF(0=LEN(ReferenceData!$K$3),"",ReferenceData!$K$3),"")</f>
        <v>5598014.8959999997</v>
      </c>
      <c r="L3">
        <f ca="1">IFERROR(IF(0=LEN(ReferenceData!$L$3),"",ReferenceData!$L$3),"")</f>
        <v>5292972.175999999</v>
      </c>
      <c r="M3">
        <f ca="1">IFERROR(IF(0=LEN(ReferenceData!$M$3),"",ReferenceData!$M$3),"")</f>
        <v>5202559.1910000006</v>
      </c>
      <c r="N3">
        <f ca="1">IFERROR(IF(0=LEN(ReferenceData!$N$3),"",ReferenceData!$N$3),"")</f>
        <v>5050342.0930000003</v>
      </c>
      <c r="O3">
        <f ca="1">IFERROR(IF(0=LEN(ReferenceData!$O$3),"",ReferenceData!$O$3),"")</f>
        <v>4809914.7409999995</v>
      </c>
      <c r="P3">
        <f ca="1">IFERROR(IF(0=LEN(ReferenceData!$P$3),"",ReferenceData!$P$3),"")</f>
        <v>4602872.483</v>
      </c>
      <c r="Q3">
        <f ca="1">IFERROR(IF(0=LEN(ReferenceData!$Q$3),"",ReferenceData!$Q$3),"")</f>
        <v>4537634.3020000001</v>
      </c>
      <c r="R3">
        <f ca="1">IFERROR(IF(0=LEN(ReferenceData!$R$3),"",ReferenceData!$R$3),"")</f>
        <v>4517013.682</v>
      </c>
      <c r="S3">
        <f ca="1">IFERROR(IF(0=LEN(ReferenceData!$S$3),"",ReferenceData!$S$3),"")</f>
        <v>4342953.0599999996</v>
      </c>
      <c r="T3">
        <f ca="1">IFERROR(IF(0=LEN(ReferenceData!$T$3),"",ReferenceData!$T$3),"")</f>
        <v>4301148.5269999998</v>
      </c>
      <c r="U3">
        <f ca="1">IFERROR(IF(0=LEN(ReferenceData!$U$3),"",ReferenceData!$U$3),"")</f>
        <v>4137345.9220000003</v>
      </c>
      <c r="V3">
        <f ca="1">IFERROR(IF(0=LEN(ReferenceData!$V$3),"",ReferenceData!$V$3),"")</f>
        <v>4465669.1320000002</v>
      </c>
      <c r="W3">
        <f ca="1">IFERROR(IF(0=LEN(ReferenceData!$W$3),"",ReferenceData!$W$3),"")</f>
        <v>3709432.358</v>
      </c>
      <c r="X3">
        <f ca="1">IFERROR(IF(0=LEN(ReferenceData!$X$3),"",ReferenceData!$X$3),"")</f>
        <v>3178079.6060000006</v>
      </c>
      <c r="Y3">
        <f ca="1">IFERROR(IF(0=LEN(ReferenceData!$Y$3),"",ReferenceData!$Y$3),"")</f>
        <v>2777701.1799999992</v>
      </c>
      <c r="Z3">
        <f ca="1">IFERROR(IF(0=LEN(ReferenceData!$Z$3),"",ReferenceData!$Z$3),"")</f>
        <v>2563222.5320000001</v>
      </c>
      <c r="AA3">
        <f ca="1">IFERROR(IF(0=LEN(ReferenceData!$AA$3),"",ReferenceData!$AA$3),"")</f>
        <v>1892815.6410000001</v>
      </c>
      <c r="AB3">
        <f ca="1">IFERROR(IF(0=LEN(ReferenceData!$AB$3),"",ReferenceData!$AB$3),"")</f>
        <v>1762210.986</v>
      </c>
      <c r="AC3">
        <f ca="1">IFERROR(IF(0=LEN(ReferenceData!$AC$3),"",ReferenceData!$AC$3),"")</f>
        <v>1623605.97</v>
      </c>
      <c r="AD3" t="str">
        <f ca="1">IFERROR(IF(0=LEN(ReferenceData!$AD$3),"",ReferenceData!$AD$3),"")</f>
        <v/>
      </c>
      <c r="AE3" t="str">
        <f ca="1">IFERROR(IF(0=LEN(ReferenceData!$AE$3),"",ReferenceData!$AE$3),"")</f>
        <v/>
      </c>
      <c r="AF3" t="str">
        <f ca="1">IFERROR(IF(0=LEN(ReferenceData!$AF$3),"",ReferenceData!$AF$3),"")</f>
        <v/>
      </c>
      <c r="AG3" t="str">
        <f ca="1">IFERROR(IF(0=LEN(ReferenceData!$AG$3),"",ReferenceData!$AG$3),"")</f>
        <v/>
      </c>
      <c r="AH3" t="str">
        <f ca="1">IFERROR(IF(0=LEN(ReferenceData!$AH$3),"",ReferenceData!$AH$3),"")</f>
        <v/>
      </c>
      <c r="AI3" t="str">
        <f ca="1">IFERROR(IF(0=LEN(ReferenceData!$AI$3),"",ReferenceData!$AI$3),"")</f>
        <v/>
      </c>
      <c r="AJ3" t="str">
        <f ca="1">IFERROR(IF(0=LEN(ReferenceData!$AJ$3),"",ReferenceData!$AJ$3),"")</f>
        <v/>
      </c>
      <c r="AK3" t="str">
        <f ca="1">IFERROR(IF(0=LEN(ReferenceData!$AK$3),"",ReferenceData!$AK$3),"")</f>
        <v/>
      </c>
      <c r="AL3" t="str">
        <f ca="1">IFERROR(IF(0=LEN(ReferenceData!$AL$3),"",ReferenceData!$AL$3),"")</f>
        <v/>
      </c>
    </row>
    <row r="4" spans="1:38" x14ac:dyDescent="0.25">
      <c r="A4" t="str">
        <f>IFERROR(IF(0=LEN(ReferenceData!$A$4),"",ReferenceData!$A$4),"")</f>
        <v xml:space="preserve">        Bank of America Corp</v>
      </c>
      <c r="B4" t="str">
        <f>IFERROR(IF(0=LEN(ReferenceData!$B$4),"",ReferenceData!$B$4),"")</f>
        <v>BAC US Equity</v>
      </c>
      <c r="C4" t="str">
        <f>IFERROR(IF(0=LEN(ReferenceData!$C$4),"",ReferenceData!$C$4),"")</f>
        <v>FY421</v>
      </c>
      <c r="D4" t="str">
        <f>IFERROR(IF(0=LEN(ReferenceData!$D$4),"",ReferenceData!$D$4),"")</f>
        <v>FED_TOTAL_CONSOLIDATED_LOANS</v>
      </c>
      <c r="E4" t="str">
        <f>IFERROR(IF(0=LEN(ReferenceData!$E$4),"",ReferenceData!$E$4),"")</f>
        <v>Dynamic</v>
      </c>
      <c r="F4">
        <f ca="1">IFERROR(IF(0=LEN(ReferenceData!$F$4),"",ReferenceData!$F$4),"")</f>
        <v>1156551</v>
      </c>
      <c r="G4">
        <f ca="1">IFERROR(IF(0=LEN(ReferenceData!$G$4),"",ReferenceData!$G$4),"")</f>
        <v>1100493</v>
      </c>
      <c r="H4">
        <f ca="1">IFERROR(IF(0=LEN(ReferenceData!$H$4),"",ReferenceData!$H$4),"")</f>
        <v>1082024</v>
      </c>
      <c r="I4">
        <f ca="1">IFERROR(IF(0=LEN(ReferenceData!$I$4),"",ReferenceData!$I$4),"")</f>
        <v>1039425</v>
      </c>
      <c r="J4">
        <f ca="1">IFERROR(IF(0=LEN(ReferenceData!$J$4),"",ReferenceData!$J$4),"")</f>
        <v>973174</v>
      </c>
      <c r="K4">
        <f ca="1">IFERROR(IF(0=LEN(ReferenceData!$K$4),"",ReferenceData!$K$4),"")</f>
        <v>1028593</v>
      </c>
      <c r="L4">
        <f ca="1">IFERROR(IF(0=LEN(ReferenceData!$L$4),"",ReferenceData!$L$4),"")</f>
        <v>980380</v>
      </c>
      <c r="M4">
        <f ca="1">IFERROR(IF(0=LEN(ReferenceData!$M$4),"",ReferenceData!$M$4),"")</f>
        <v>991168</v>
      </c>
      <c r="N4">
        <f ca="1">IFERROR(IF(0=LEN(ReferenceData!$N$4),"",ReferenceData!$N$4),"")</f>
        <v>946954</v>
      </c>
      <c r="O4">
        <f ca="1">IFERROR(IF(0=LEN(ReferenceData!$O$4),"",ReferenceData!$O$4),"")</f>
        <v>930858</v>
      </c>
      <c r="P4">
        <f ca="1">IFERROR(IF(0=LEN(ReferenceData!$P$4),"",ReferenceData!$P$4),"")</f>
        <v>917349</v>
      </c>
      <c r="Q4">
        <f ca="1">IFERROR(IF(0=LEN(ReferenceData!$Q$4),"",ReferenceData!$Q$4),"")</f>
        <v>969381</v>
      </c>
      <c r="R4">
        <f ca="1">IFERROR(IF(0=LEN(ReferenceData!$R$4),"",ReferenceData!$R$4),"")</f>
        <v>968295.80599999998</v>
      </c>
      <c r="S4">
        <f ca="1">IFERROR(IF(0=LEN(ReferenceData!$S$4),"",ReferenceData!$S$4),"")</f>
        <v>967120.505</v>
      </c>
      <c r="T4">
        <f ca="1">IFERROR(IF(0=LEN(ReferenceData!$T$4),"",ReferenceData!$T$4),"")</f>
        <v>993149.15099999995</v>
      </c>
      <c r="U4">
        <f ca="1">IFERROR(IF(0=LEN(ReferenceData!$U$4),"",ReferenceData!$U$4),"")</f>
        <v>960866.92500000005</v>
      </c>
      <c r="V4">
        <f ca="1">IFERROR(IF(0=LEN(ReferenceData!$V$4),"",ReferenceData!$V$4),"")</f>
        <v>960802.76100000006</v>
      </c>
      <c r="W4">
        <f ca="1">IFERROR(IF(0=LEN(ReferenceData!$W$4),"",ReferenceData!$W$4),"")</f>
        <v>908519.18400000001</v>
      </c>
      <c r="X4">
        <f ca="1">IFERROR(IF(0=LEN(ReferenceData!$X$4),"",ReferenceData!$X$4),"")</f>
        <v>723420.56599999999</v>
      </c>
      <c r="Y4">
        <f ca="1">IFERROR(IF(0=LEN(ReferenceData!$Y$4),"",ReferenceData!$Y$4),"")</f>
        <v>586308.11</v>
      </c>
      <c r="Z4">
        <f ca="1">IFERROR(IF(0=LEN(ReferenceData!$Z$4),"",ReferenceData!$Z$4),"")</f>
        <v>530040.33100000001</v>
      </c>
      <c r="AA4">
        <f ca="1">IFERROR(IF(0=LEN(ReferenceData!$AA$4),"",ReferenceData!$AA$4),"")</f>
        <v>380341.098</v>
      </c>
      <c r="AB4">
        <f ca="1">IFERROR(IF(0=LEN(ReferenceData!$AB$4),"",ReferenceData!$AB$4),"")</f>
        <v>356586</v>
      </c>
      <c r="AC4">
        <f ca="1">IFERROR(IF(0=LEN(ReferenceData!$AC$4),"",ReferenceData!$AC$4),"")</f>
        <v>337466</v>
      </c>
      <c r="AD4" t="str">
        <f ca="1">IFERROR(IF(0=LEN(ReferenceData!$AD$4),"",ReferenceData!$AD$4),"")</f>
        <v/>
      </c>
      <c r="AE4" t="str">
        <f ca="1">IFERROR(IF(0=LEN(ReferenceData!$AE$4),"",ReferenceData!$AE$4),"")</f>
        <v/>
      </c>
      <c r="AF4" t="str">
        <f ca="1">IFERROR(IF(0=LEN(ReferenceData!$AF$4),"",ReferenceData!$AF$4),"")</f>
        <v/>
      </c>
      <c r="AG4" t="str">
        <f ca="1">IFERROR(IF(0=LEN(ReferenceData!$AG$4),"",ReferenceData!$AG$4),"")</f>
        <v/>
      </c>
      <c r="AH4" t="str">
        <f ca="1">IFERROR(IF(0=LEN(ReferenceData!$AH$4),"",ReferenceData!$AH$4),"")</f>
        <v/>
      </c>
      <c r="AI4" t="str">
        <f ca="1">IFERROR(IF(0=LEN(ReferenceData!$AI$4),"",ReferenceData!$AI$4),"")</f>
        <v/>
      </c>
      <c r="AJ4" t="str">
        <f ca="1">IFERROR(IF(0=LEN(ReferenceData!$AJ$4),"",ReferenceData!$AJ$4),"")</f>
        <v/>
      </c>
      <c r="AK4" t="str">
        <f ca="1">IFERROR(IF(0=LEN(ReferenceData!$AK$4),"",ReferenceData!$AK$4),"")</f>
        <v/>
      </c>
      <c r="AL4" t="str">
        <f ca="1">IFERROR(IF(0=LEN(ReferenceData!$AL$4),"",ReferenceData!$AL$4),"")</f>
        <v/>
      </c>
    </row>
    <row r="5" spans="1:38" x14ac:dyDescent="0.25">
      <c r="A5" t="str">
        <f>IFERROR(IF(0=LEN(ReferenceData!$A$5),"",ReferenceData!$A$5),"")</f>
        <v xml:space="preserve">        Citigroup Inc</v>
      </c>
      <c r="B5" t="str">
        <f>IFERROR(IF(0=LEN(ReferenceData!$B$5),"",ReferenceData!$B$5),"")</f>
        <v>C US Equity</v>
      </c>
      <c r="C5" t="str">
        <f>IFERROR(IF(0=LEN(ReferenceData!$C$5),"",ReferenceData!$C$5),"")</f>
        <v>FY421</v>
      </c>
      <c r="D5" t="str">
        <f>IFERROR(IF(0=LEN(ReferenceData!$D$5),"",ReferenceData!$D$5),"")</f>
        <v>FED_TOTAL_CONSOLIDATED_LOANS</v>
      </c>
      <c r="E5" t="str">
        <f>IFERROR(IF(0=LEN(ReferenceData!$E$5),"",ReferenceData!$E$5),"")</f>
        <v>Dynamic</v>
      </c>
      <c r="F5">
        <f ca="1">IFERROR(IF(0=LEN(ReferenceData!$F$5),"",ReferenceData!$F$5),"")</f>
        <v>711609</v>
      </c>
      <c r="G5">
        <f ca="1">IFERROR(IF(0=LEN(ReferenceData!$G$5),"",ReferenceData!$G$5),"")</f>
        <v>701173</v>
      </c>
      <c r="H5">
        <f ca="1">IFERROR(IF(0=LEN(ReferenceData!$H$5),"",ReferenceData!$H$5),"")</f>
        <v>681224</v>
      </c>
      <c r="I5">
        <f ca="1">IFERROR(IF(0=LEN(ReferenceData!$I$5),"",ReferenceData!$I$5),"")</f>
        <v>705150</v>
      </c>
      <c r="J5">
        <f ca="1">IFERROR(IF(0=LEN(ReferenceData!$J$5),"",ReferenceData!$J$5),"")</f>
        <v>694285</v>
      </c>
      <c r="K5">
        <f ca="1">IFERROR(IF(0=LEN(ReferenceData!$K$5),"",ReferenceData!$K$5),"")</f>
        <v>718117</v>
      </c>
      <c r="L5">
        <f ca="1">IFERROR(IF(0=LEN(ReferenceData!$L$5),"",ReferenceData!$L$5),"")</f>
        <v>700790</v>
      </c>
      <c r="M5">
        <f ca="1">IFERROR(IF(0=LEN(ReferenceData!$M$5),"",ReferenceData!$M$5),"")</f>
        <v>688135</v>
      </c>
      <c r="N5">
        <f ca="1">IFERROR(IF(0=LEN(ReferenceData!$N$5),"",ReferenceData!$N$5),"")</f>
        <v>641977</v>
      </c>
      <c r="O5">
        <f ca="1">IFERROR(IF(0=LEN(ReferenceData!$O$5),"",ReferenceData!$O$5),"")</f>
        <v>639726</v>
      </c>
      <c r="P5">
        <f ca="1">IFERROR(IF(0=LEN(ReferenceData!$P$5),"",ReferenceData!$P$5),"")</f>
        <v>660639</v>
      </c>
      <c r="Q5">
        <f ca="1">IFERROR(IF(0=LEN(ReferenceData!$Q$5),"",ReferenceData!$Q$5),"")</f>
        <v>677133</v>
      </c>
      <c r="R5">
        <f ca="1">IFERROR(IF(0=LEN(ReferenceData!$R$5),"",ReferenceData!$R$5),"")</f>
        <v>673019</v>
      </c>
      <c r="S5">
        <f ca="1">IFERROR(IF(0=LEN(ReferenceData!$S$5),"",ReferenceData!$S$5),"")</f>
        <v>676030</v>
      </c>
      <c r="T5">
        <f ca="1">IFERROR(IF(0=LEN(ReferenceData!$T$5),"",ReferenceData!$T$5),"")</f>
        <v>678662</v>
      </c>
      <c r="U5">
        <f ca="1">IFERROR(IF(0=LEN(ReferenceData!$U$5),"",ReferenceData!$U$5),"")</f>
        <v>619634</v>
      </c>
      <c r="V5">
        <f ca="1">IFERROR(IF(0=LEN(ReferenceData!$V$5),"",ReferenceData!$V$5),"")</f>
        <v>723696</v>
      </c>
      <c r="W5">
        <f ca="1">IFERROR(IF(0=LEN(ReferenceData!$W$5),"",ReferenceData!$W$5),"")</f>
        <v>858438</v>
      </c>
      <c r="X5">
        <f ca="1">IFERROR(IF(0=LEN(ReferenceData!$X$5),"",ReferenceData!$X$5),"")</f>
        <v>717294</v>
      </c>
      <c r="Y5">
        <f ca="1">IFERROR(IF(0=LEN(ReferenceData!$Y$5),"",ReferenceData!$Y$5),"")</f>
        <v>619160</v>
      </c>
      <c r="Z5">
        <f ca="1">IFERROR(IF(0=LEN(ReferenceData!$Z$5),"",ReferenceData!$Z$5),"")</f>
        <v>586057</v>
      </c>
      <c r="AA5">
        <f ca="1">IFERROR(IF(0=LEN(ReferenceData!$AA$5),"",ReferenceData!$AA$5),"")</f>
        <v>504803</v>
      </c>
      <c r="AB5">
        <f ca="1">IFERROR(IF(0=LEN(ReferenceData!$AB$5),"",ReferenceData!$AB$5),"")</f>
        <v>477323</v>
      </c>
      <c r="AC5">
        <f ca="1">IFERROR(IF(0=LEN(ReferenceData!$AC$5),"",ReferenceData!$AC$5),"")</f>
        <v>419928</v>
      </c>
      <c r="AD5" t="str">
        <f ca="1">IFERROR(IF(0=LEN(ReferenceData!$AD$5),"",ReferenceData!$AD$5),"")</f>
        <v/>
      </c>
      <c r="AE5" t="str">
        <f ca="1">IFERROR(IF(0=LEN(ReferenceData!$AE$5),"",ReferenceData!$AE$5),"")</f>
        <v/>
      </c>
      <c r="AF5" t="str">
        <f ca="1">IFERROR(IF(0=LEN(ReferenceData!$AF$5),"",ReferenceData!$AF$5),"")</f>
        <v/>
      </c>
      <c r="AG5" t="str">
        <f ca="1">IFERROR(IF(0=LEN(ReferenceData!$AG$5),"",ReferenceData!$AG$5),"")</f>
        <v/>
      </c>
      <c r="AH5" t="str">
        <f ca="1">IFERROR(IF(0=LEN(ReferenceData!$AH$5),"",ReferenceData!$AH$5),"")</f>
        <v/>
      </c>
      <c r="AI5" t="str">
        <f ca="1">IFERROR(IF(0=LEN(ReferenceData!$AI$5),"",ReferenceData!$AI$5),"")</f>
        <v/>
      </c>
      <c r="AJ5" t="str">
        <f ca="1">IFERROR(IF(0=LEN(ReferenceData!$AJ$5),"",ReferenceData!$AJ$5),"")</f>
        <v/>
      </c>
      <c r="AK5" t="str">
        <f ca="1">IFERROR(IF(0=LEN(ReferenceData!$AK$5),"",ReferenceData!$AK$5),"")</f>
        <v/>
      </c>
      <c r="AL5" t="str">
        <f ca="1">IFERROR(IF(0=LEN(ReferenceData!$AL$5),"",ReferenceData!$AL$5),"")</f>
        <v/>
      </c>
    </row>
    <row r="6" spans="1:38" x14ac:dyDescent="0.25">
      <c r="A6" t="str">
        <f>IFERROR(IF(0=LEN(ReferenceData!$A$6),"",ReferenceData!$A$6),"")</f>
        <v xml:space="preserve">        Citizens Financial Group Inc</v>
      </c>
      <c r="B6" t="str">
        <f>IFERROR(IF(0=LEN(ReferenceData!$B$6),"",ReferenceData!$B$6),"")</f>
        <v>CFG US Equity</v>
      </c>
      <c r="C6" t="str">
        <f>IFERROR(IF(0=LEN(ReferenceData!$C$6),"",ReferenceData!$C$6),"")</f>
        <v>FY421</v>
      </c>
      <c r="D6" t="str">
        <f>IFERROR(IF(0=LEN(ReferenceData!$D$6),"",ReferenceData!$D$6),"")</f>
        <v>FED_TOTAL_CONSOLIDATED_LOANS</v>
      </c>
      <c r="E6" t="str">
        <f>IFERROR(IF(0=LEN(ReferenceData!$E$6),"",ReferenceData!$E$6),"")</f>
        <v>Dynamic</v>
      </c>
      <c r="F6">
        <f ca="1">IFERROR(IF(0=LEN(ReferenceData!$F$6),"",ReferenceData!$F$6),"")</f>
        <v>140207.53599999999</v>
      </c>
      <c r="G6">
        <f ca="1">IFERROR(IF(0=LEN(ReferenceData!$G$6),"",ReferenceData!$G$6),"")</f>
        <v>146993.72500000001</v>
      </c>
      <c r="H6">
        <f ca="1">IFERROR(IF(0=LEN(ReferenceData!$H$6),"",ReferenceData!$H$6),"")</f>
        <v>157774.068</v>
      </c>
      <c r="I6">
        <f ca="1">IFERROR(IF(0=LEN(ReferenceData!$I$6),"",ReferenceData!$I$6),"")</f>
        <v>131631.13099999999</v>
      </c>
      <c r="J6">
        <f ca="1">IFERROR(IF(0=LEN(ReferenceData!$J$6),"",ReferenceData!$J$6),"")</f>
        <v>128081.219</v>
      </c>
      <c r="K6">
        <f ca="1">IFERROR(IF(0=LEN(ReferenceData!$K$6),"",ReferenceData!$K$6),"")</f>
        <v>122272.109</v>
      </c>
      <c r="L6">
        <f ca="1">IFERROR(IF(0=LEN(ReferenceData!$L$6),"",ReferenceData!$L$6),"")</f>
        <v>117744.967</v>
      </c>
      <c r="M6">
        <f ca="1">IFERROR(IF(0=LEN(ReferenceData!$M$6),"",ReferenceData!$M$6),"")</f>
        <v>111180.173</v>
      </c>
      <c r="N6">
        <f ca="1">IFERROR(IF(0=LEN(ReferenceData!$N$6),"",ReferenceData!$N$6),"")</f>
        <v>108232.204</v>
      </c>
      <c r="O6">
        <f ca="1">IFERROR(IF(0=LEN(ReferenceData!$O$6),"",ReferenceData!$O$6),"")</f>
        <v>99384.294999999998</v>
      </c>
      <c r="P6">
        <f ca="1">IFERROR(IF(0=LEN(ReferenceData!$P$6),"",ReferenceData!$P$6),"")</f>
        <v>93675.936000000002</v>
      </c>
      <c r="Q6">
        <f ca="1">IFERROR(IF(0=LEN(ReferenceData!$Q$6),"",ReferenceData!$Q$6),"")</f>
        <v>87137.156000000003</v>
      </c>
      <c r="R6">
        <f ca="1">IFERROR(IF(0=LEN(ReferenceData!$R$6),"",ReferenceData!$R$6),"")</f>
        <v>87916.694000000003</v>
      </c>
      <c r="S6">
        <f ca="1">IFERROR(IF(0=LEN(ReferenceData!$S$6),"",ReferenceData!$S$6),"")</f>
        <v>87381.176000000007</v>
      </c>
      <c r="T6">
        <f ca="1">IFERROR(IF(0=LEN(ReferenceData!$T$6),"",ReferenceData!$T$6),"")</f>
        <v>87770.357000000004</v>
      </c>
      <c r="U6">
        <f ca="1">IFERROR(IF(0=LEN(ReferenceData!$U$6),"",ReferenceData!$U$6),"")</f>
        <v>96074.607000000004</v>
      </c>
      <c r="V6">
        <f ca="1">IFERROR(IF(0=LEN(ReferenceData!$V$6),"",ReferenceData!$V$6),"")</f>
        <v>111195.501</v>
      </c>
      <c r="W6">
        <f ca="1">IFERROR(IF(0=LEN(ReferenceData!$W$6),"",ReferenceData!$W$6),"")</f>
        <v>111762.69</v>
      </c>
      <c r="X6">
        <f ca="1">IFERROR(IF(0=LEN(ReferenceData!$X$6),"",ReferenceData!$X$6),"")</f>
        <v>106062.823</v>
      </c>
      <c r="Y6">
        <f ca="1">IFERROR(IF(0=LEN(ReferenceData!$Y$6),"",ReferenceData!$Y$6),"")</f>
        <v>100000.266</v>
      </c>
      <c r="Z6">
        <f ca="1">IFERROR(IF(0=LEN(ReferenceData!$Z$6),"",ReferenceData!$Z$6),"")</f>
        <v>86681.343999999997</v>
      </c>
      <c r="AA6">
        <f ca="1">IFERROR(IF(0=LEN(ReferenceData!$AA$6),"",ReferenceData!$AA$6),"")</f>
        <v>43764.093000000001</v>
      </c>
      <c r="AB6">
        <f ca="1">IFERROR(IF(0=LEN(ReferenceData!$AB$6),"",ReferenceData!$AB$6),"")</f>
        <v>31559.427</v>
      </c>
      <c r="AC6">
        <f ca="1">IFERROR(IF(0=LEN(ReferenceData!$AC$6),"",ReferenceData!$AC$6),"")</f>
        <v>26415.282999999999</v>
      </c>
      <c r="AD6" t="str">
        <f ca="1">IFERROR(IF(0=LEN(ReferenceData!$AD$6),"",ReferenceData!$AD$6),"")</f>
        <v/>
      </c>
      <c r="AE6" t="str">
        <f ca="1">IFERROR(IF(0=LEN(ReferenceData!$AE$6),"",ReferenceData!$AE$6),"")</f>
        <v/>
      </c>
      <c r="AF6" t="str">
        <f ca="1">IFERROR(IF(0=LEN(ReferenceData!$AF$6),"",ReferenceData!$AF$6),"")</f>
        <v/>
      </c>
      <c r="AG6" t="str">
        <f ca="1">IFERROR(IF(0=LEN(ReferenceData!$AG$6),"",ReferenceData!$AG$6),"")</f>
        <v/>
      </c>
      <c r="AH6" t="str">
        <f ca="1">IFERROR(IF(0=LEN(ReferenceData!$AH$6),"",ReferenceData!$AH$6),"")</f>
        <v/>
      </c>
      <c r="AI6" t="str">
        <f ca="1">IFERROR(IF(0=LEN(ReferenceData!$AI$6),"",ReferenceData!$AI$6),"")</f>
        <v/>
      </c>
      <c r="AJ6" t="str">
        <f ca="1">IFERROR(IF(0=LEN(ReferenceData!$AJ$6),"",ReferenceData!$AJ$6),"")</f>
        <v/>
      </c>
      <c r="AK6" t="str">
        <f ca="1">IFERROR(IF(0=LEN(ReferenceData!$AK$6),"",ReferenceData!$AK$6),"")</f>
        <v/>
      </c>
      <c r="AL6" t="str">
        <f ca="1">IFERROR(IF(0=LEN(ReferenceData!$AL$6),"",ReferenceData!$AL$6),"")</f>
        <v/>
      </c>
    </row>
    <row r="7" spans="1:38" x14ac:dyDescent="0.25">
      <c r="A7" t="str">
        <f>IFERROR(IF(0=LEN(ReferenceData!$A$7),"",ReferenceData!$A$7),"")</f>
        <v xml:space="preserve">        Capital One Financial Corp</v>
      </c>
      <c r="B7" t="str">
        <f>IFERROR(IF(0=LEN(ReferenceData!$B$7),"",ReferenceData!$B$7),"")</f>
        <v>COF US Equity</v>
      </c>
      <c r="C7" t="str">
        <f>IFERROR(IF(0=LEN(ReferenceData!$C$7),"",ReferenceData!$C$7),"")</f>
        <v>FY421</v>
      </c>
      <c r="D7" t="str">
        <f>IFERROR(IF(0=LEN(ReferenceData!$D$7),"",ReferenceData!$D$7),"")</f>
        <v>FED_TOTAL_CONSOLIDATED_LOANS</v>
      </c>
      <c r="E7" t="str">
        <f>IFERROR(IF(0=LEN(ReferenceData!$E$7),"",ReferenceData!$E$7),"")</f>
        <v>Dynamic</v>
      </c>
      <c r="F7">
        <f ca="1">IFERROR(IF(0=LEN(ReferenceData!$F$7),"",ReferenceData!$F$7),"")</f>
        <v>327977.576</v>
      </c>
      <c r="G7">
        <f ca="1">IFERROR(IF(0=LEN(ReferenceData!$G$7),"",ReferenceData!$G$7),"")</f>
        <v>321325.283</v>
      </c>
      <c r="H7">
        <f ca="1">IFERROR(IF(0=LEN(ReferenceData!$H$7),"",ReferenceData!$H$7),"")</f>
        <v>312533.19199999998</v>
      </c>
      <c r="I7">
        <f ca="1">IFERROR(IF(0=LEN(ReferenceData!$I$7),"",ReferenceData!$I$7),"")</f>
        <v>283227.397</v>
      </c>
      <c r="J7">
        <f ca="1">IFERROR(IF(0=LEN(ReferenceData!$J$7),"",ReferenceData!$J$7),"")</f>
        <v>254333.81700000001</v>
      </c>
      <c r="K7">
        <f ca="1">IFERROR(IF(0=LEN(ReferenceData!$K$7),"",ReferenceData!$K$7),"")</f>
        <v>266209.05200000003</v>
      </c>
      <c r="L7">
        <f ca="1">IFERROR(IF(0=LEN(ReferenceData!$L$7),"",ReferenceData!$L$7),"")</f>
        <v>247090.74799999999</v>
      </c>
      <c r="M7">
        <f ca="1">IFERROR(IF(0=LEN(ReferenceData!$M$7),"",ReferenceData!$M$7),"")</f>
        <v>255443.198</v>
      </c>
      <c r="N7">
        <f ca="1">IFERROR(IF(0=LEN(ReferenceData!$N$7),"",ReferenceData!$N$7),"")</f>
        <v>246754.769</v>
      </c>
      <c r="O7">
        <f ca="1">IFERROR(IF(0=LEN(ReferenceData!$O$7),"",ReferenceData!$O$7),"")</f>
        <v>230923.889</v>
      </c>
      <c r="P7">
        <f ca="1">IFERROR(IF(0=LEN(ReferenceData!$P$7),"",ReferenceData!$P$7),"")</f>
        <v>209062.215</v>
      </c>
      <c r="Q7">
        <f ca="1">IFERROR(IF(0=LEN(ReferenceData!$Q$7),"",ReferenceData!$Q$7),"")</f>
        <v>197869.49</v>
      </c>
      <c r="R7">
        <f ca="1">IFERROR(IF(0=LEN(ReferenceData!$R$7),"",ReferenceData!$R$7),"")</f>
        <v>206212.78400000001</v>
      </c>
      <c r="S7">
        <f ca="1">IFERROR(IF(0=LEN(ReferenceData!$S$7),"",ReferenceData!$S$7),"")</f>
        <v>136484.163</v>
      </c>
      <c r="T7">
        <f ca="1">IFERROR(IF(0=LEN(ReferenceData!$T$7),"",ReferenceData!$T$7),"")</f>
        <v>126550.12300000001</v>
      </c>
      <c r="U7">
        <f ca="1">IFERROR(IF(0=LEN(ReferenceData!$U$7),"",ReferenceData!$U$7),"")</f>
        <v>91412.434999999998</v>
      </c>
      <c r="V7">
        <f ca="1">IFERROR(IF(0=LEN(ReferenceData!$V$7),"",ReferenceData!$V$7),"")</f>
        <v>101654.12300000001</v>
      </c>
      <c r="W7">
        <f ca="1">IFERROR(IF(0=LEN(ReferenceData!$W$7),"",ReferenceData!$W$7),"")</f>
        <v>102908.785</v>
      </c>
      <c r="X7">
        <f ca="1">IFERROR(IF(0=LEN(ReferenceData!$X$7),"",ReferenceData!$X$7),"")</f>
        <v>107406.982</v>
      </c>
      <c r="Y7">
        <f ca="1">IFERROR(IF(0=LEN(ReferenceData!$Y$7),"",ReferenceData!$Y$7),"")</f>
        <v>60193.620999999999</v>
      </c>
      <c r="Z7">
        <f ca="1">IFERROR(IF(0=LEN(ReferenceData!$Z$7),"",ReferenceData!$Z$7),"")</f>
        <v>38774.444000000003</v>
      </c>
      <c r="AA7" t="str">
        <f ca="1">IFERROR(IF(0=LEN(ReferenceData!$AA$7),"",ReferenceData!$AA$7),"")</f>
        <v/>
      </c>
      <c r="AB7" t="str">
        <f ca="1">IFERROR(IF(0=LEN(ReferenceData!$AB$7),"",ReferenceData!$AB$7),"")</f>
        <v/>
      </c>
      <c r="AC7" t="str">
        <f ca="1">IFERROR(IF(0=LEN(ReferenceData!$AC$7),"",ReferenceData!$AC$7),"")</f>
        <v/>
      </c>
      <c r="AD7" t="str">
        <f ca="1">IFERROR(IF(0=LEN(ReferenceData!$AD$7),"",ReferenceData!$AD$7),"")</f>
        <v/>
      </c>
      <c r="AE7" t="str">
        <f ca="1">IFERROR(IF(0=LEN(ReferenceData!$AE$7),"",ReferenceData!$AE$7),"")</f>
        <v/>
      </c>
      <c r="AF7" t="str">
        <f ca="1">IFERROR(IF(0=LEN(ReferenceData!$AF$7),"",ReferenceData!$AF$7),"")</f>
        <v/>
      </c>
      <c r="AG7" t="str">
        <f ca="1">IFERROR(IF(0=LEN(ReferenceData!$AG$7),"",ReferenceData!$AG$7),"")</f>
        <v/>
      </c>
      <c r="AH7" t="str">
        <f ca="1">IFERROR(IF(0=LEN(ReferenceData!$AH$7),"",ReferenceData!$AH$7),"")</f>
        <v/>
      </c>
      <c r="AI7" t="str">
        <f ca="1">IFERROR(IF(0=LEN(ReferenceData!$AI$7),"",ReferenceData!$AI$7),"")</f>
        <v/>
      </c>
      <c r="AJ7" t="str">
        <f ca="1">IFERROR(IF(0=LEN(ReferenceData!$AJ$7),"",ReferenceData!$AJ$7),"")</f>
        <v/>
      </c>
      <c r="AK7" t="str">
        <f ca="1">IFERROR(IF(0=LEN(ReferenceData!$AK$7),"",ReferenceData!$AK$7),"")</f>
        <v/>
      </c>
      <c r="AL7" t="str">
        <f ca="1">IFERROR(IF(0=LEN(ReferenceData!$AL$7),"",ReferenceData!$AL$7),"")</f>
        <v/>
      </c>
    </row>
    <row r="8" spans="1:38" x14ac:dyDescent="0.25">
      <c r="A8" t="str">
        <f>IFERROR(IF(0=LEN(ReferenceData!$A$8),"",ReferenceData!$A$8),"")</f>
        <v xml:space="preserve">        Comerica Inc</v>
      </c>
      <c r="B8" t="str">
        <f>IFERROR(IF(0=LEN(ReferenceData!$B$8),"",ReferenceData!$B$8),"")</f>
        <v>CMA US Equity</v>
      </c>
      <c r="C8" t="str">
        <f>IFERROR(IF(0=LEN(ReferenceData!$C$8),"",ReferenceData!$C$8),"")</f>
        <v>FY421</v>
      </c>
      <c r="D8" t="str">
        <f>IFERROR(IF(0=LEN(ReferenceData!$D$8),"",ReferenceData!$D$8),"")</f>
        <v>FED_TOTAL_CONSOLIDATED_LOANS</v>
      </c>
      <c r="E8" t="str">
        <f>IFERROR(IF(0=LEN(ReferenceData!$E$8),"",ReferenceData!$E$8),"")</f>
        <v>Dynamic</v>
      </c>
      <c r="F8" t="str">
        <f ca="1">IFERROR(IF(0=LEN(ReferenceData!$F$8),"",ReferenceData!$F$8),"")</f>
        <v/>
      </c>
      <c r="G8">
        <f ca="1">IFERROR(IF(0=LEN(ReferenceData!$G$8),"",ReferenceData!$G$8),"")</f>
        <v>52345</v>
      </c>
      <c r="H8">
        <f ca="1">IFERROR(IF(0=LEN(ReferenceData!$H$8),"",ReferenceData!$H$8),"")</f>
        <v>53403</v>
      </c>
      <c r="I8">
        <f ca="1">IFERROR(IF(0=LEN(ReferenceData!$I$8),"",ReferenceData!$I$8),"")</f>
        <v>49291</v>
      </c>
      <c r="J8">
        <f ca="1">IFERROR(IF(0=LEN(ReferenceData!$J$8),"",ReferenceData!$J$8),"")</f>
        <v>52296</v>
      </c>
      <c r="K8">
        <f ca="1">IFERROR(IF(0=LEN(ReferenceData!$K$8),"",ReferenceData!$K$8),"")</f>
        <v>50375</v>
      </c>
      <c r="L8">
        <f ca="1">IFERROR(IF(0=LEN(ReferenceData!$L$8),"",ReferenceData!$L$8),"")</f>
        <v>50165.673000000003</v>
      </c>
      <c r="M8">
        <f ca="1">IFERROR(IF(0=LEN(ReferenceData!$M$8),"",ReferenceData!$M$8),"")</f>
        <v>49175.788</v>
      </c>
      <c r="N8">
        <f ca="1">IFERROR(IF(0=LEN(ReferenceData!$N$8),"",ReferenceData!$N$8),"")</f>
        <v>49091.118000000002</v>
      </c>
      <c r="O8">
        <f ca="1">IFERROR(IF(0=LEN(ReferenceData!$O$8),"",ReferenceData!$O$8),"")</f>
        <v>49104.214999999997</v>
      </c>
      <c r="P8">
        <f ca="1">IFERROR(IF(0=LEN(ReferenceData!$P$8),"",ReferenceData!$P$8),"")</f>
        <v>48597.552000000003</v>
      </c>
      <c r="Q8">
        <f ca="1">IFERROR(IF(0=LEN(ReferenceData!$Q$8),"",ReferenceData!$Q$8),"")</f>
        <v>45473.836000000003</v>
      </c>
      <c r="R8">
        <f ca="1">IFERROR(IF(0=LEN(ReferenceData!$R$8),"",ReferenceData!$R$8),"")</f>
        <v>46067.699000000001</v>
      </c>
      <c r="S8">
        <f ca="1">IFERROR(IF(0=LEN(ReferenceData!$S$8),"",ReferenceData!$S$8),"")</f>
        <v>42713.012000000002</v>
      </c>
      <c r="T8">
        <f ca="1">IFERROR(IF(0=LEN(ReferenceData!$T$8),"",ReferenceData!$T$8),"")</f>
        <v>40258.275000000001</v>
      </c>
      <c r="U8">
        <f ca="1">IFERROR(IF(0=LEN(ReferenceData!$U$8),"",ReferenceData!$U$8),"")</f>
        <v>42189.722999999998</v>
      </c>
      <c r="V8">
        <f ca="1">IFERROR(IF(0=LEN(ReferenceData!$V$8),"",ReferenceData!$V$8),"")</f>
        <v>50539.921000000002</v>
      </c>
      <c r="W8">
        <f ca="1">IFERROR(IF(0=LEN(ReferenceData!$W$8),"",ReferenceData!$W$8),"")</f>
        <v>50960.853999999999</v>
      </c>
      <c r="X8">
        <f ca="1">IFERROR(IF(0=LEN(ReferenceData!$X$8),"",ReferenceData!$X$8),"")</f>
        <v>47578.22</v>
      </c>
      <c r="Y8">
        <f ca="1">IFERROR(IF(0=LEN(ReferenceData!$Y$8),"",ReferenceData!$Y$8),"")</f>
        <v>43397.720999999998</v>
      </c>
      <c r="Z8">
        <f ca="1">IFERROR(IF(0=LEN(ReferenceData!$Z$8),"",ReferenceData!$Z$8),"")</f>
        <v>40948.607000000004</v>
      </c>
      <c r="AA8">
        <f ca="1">IFERROR(IF(0=LEN(ReferenceData!$AA$8),"",ReferenceData!$AA$8),"")</f>
        <v>40522.218999999997</v>
      </c>
      <c r="AB8">
        <f ca="1">IFERROR(IF(0=LEN(ReferenceData!$AB$8),"",ReferenceData!$AB$8),"")</f>
        <v>42530.150999999998</v>
      </c>
      <c r="AC8">
        <f ca="1">IFERROR(IF(0=LEN(ReferenceData!$AC$8),"",ReferenceData!$AC$8),"")</f>
        <v>41471.159</v>
      </c>
      <c r="AD8" t="str">
        <f ca="1">IFERROR(IF(0=LEN(ReferenceData!$AD$8),"",ReferenceData!$AD$8),"")</f>
        <v/>
      </c>
      <c r="AE8" t="str">
        <f ca="1">IFERROR(IF(0=LEN(ReferenceData!$AE$8),"",ReferenceData!$AE$8),"")</f>
        <v/>
      </c>
      <c r="AF8" t="str">
        <f ca="1">IFERROR(IF(0=LEN(ReferenceData!$AF$8),"",ReferenceData!$AF$8),"")</f>
        <v/>
      </c>
      <c r="AG8" t="str">
        <f ca="1">IFERROR(IF(0=LEN(ReferenceData!$AG$8),"",ReferenceData!$AG$8),"")</f>
        <v/>
      </c>
      <c r="AH8" t="str">
        <f ca="1">IFERROR(IF(0=LEN(ReferenceData!$AH$8),"",ReferenceData!$AH$8),"")</f>
        <v/>
      </c>
      <c r="AI8" t="str">
        <f ca="1">IFERROR(IF(0=LEN(ReferenceData!$AI$8),"",ReferenceData!$AI$8),"")</f>
        <v/>
      </c>
      <c r="AJ8" t="str">
        <f ca="1">IFERROR(IF(0=LEN(ReferenceData!$AJ$8),"",ReferenceData!$AJ$8),"")</f>
        <v/>
      </c>
      <c r="AK8" t="str">
        <f ca="1">IFERROR(IF(0=LEN(ReferenceData!$AK$8),"",ReferenceData!$AK$8),"")</f>
        <v/>
      </c>
      <c r="AL8" t="str">
        <f ca="1">IFERROR(IF(0=LEN(ReferenceData!$AL$8),"",ReferenceData!$AL$8),"")</f>
        <v/>
      </c>
    </row>
    <row r="9" spans="1:38" x14ac:dyDescent="0.25">
      <c r="A9" t="str">
        <f>IFERROR(IF(0=LEN(ReferenceData!$A$9),"",ReferenceData!$A$9),"")</f>
        <v xml:space="preserve">        East West Bancorp Inc</v>
      </c>
      <c r="B9" t="str">
        <f>IFERROR(IF(0=LEN(ReferenceData!$B$9),"",ReferenceData!$B$9),"")</f>
        <v>EWBC US Equity</v>
      </c>
      <c r="C9" t="str">
        <f>IFERROR(IF(0=LEN(ReferenceData!$C$9),"",ReferenceData!$C$9),"")</f>
        <v>FY421</v>
      </c>
      <c r="D9" t="str">
        <f>IFERROR(IF(0=LEN(ReferenceData!$D$9),"",ReferenceData!$D$9),"")</f>
        <v>FED_TOTAL_CONSOLIDATED_LOANS</v>
      </c>
      <c r="E9" t="str">
        <f>IFERROR(IF(0=LEN(ReferenceData!$E$9),"",ReferenceData!$E$9),"")</f>
        <v>Dynamic</v>
      </c>
      <c r="F9" t="str">
        <f ca="1">IFERROR(IF(0=LEN(ReferenceData!$F$9),"",ReferenceData!$F$9),"")</f>
        <v/>
      </c>
      <c r="G9">
        <f ca="1">IFERROR(IF(0=LEN(ReferenceData!$G$9),"",ReferenceData!$G$9),"")</f>
        <v>52210.898000000001</v>
      </c>
      <c r="H9">
        <f ca="1">IFERROR(IF(0=LEN(ReferenceData!$H$9),"",ReferenceData!$H$9),"")</f>
        <v>48260.266000000003</v>
      </c>
      <c r="I9">
        <f ca="1">IFERROR(IF(0=LEN(ReferenceData!$I$9),"",ReferenceData!$I$9),"")</f>
        <v>42712.919000000002</v>
      </c>
      <c r="J9">
        <f ca="1">IFERROR(IF(0=LEN(ReferenceData!$J$9),"",ReferenceData!$J$9),"")</f>
        <v>38692.743000000002</v>
      </c>
      <c r="K9">
        <f ca="1">IFERROR(IF(0=LEN(ReferenceData!$K$9),"",ReferenceData!$K$9),"")</f>
        <v>34778.972999999998</v>
      </c>
      <c r="L9">
        <f ca="1">IFERROR(IF(0=LEN(ReferenceData!$L$9),"",ReferenceData!$L$9),"")</f>
        <v>32455.464</v>
      </c>
      <c r="M9">
        <f ca="1">IFERROR(IF(0=LEN(ReferenceData!$M$9),"",ReferenceData!$M$9),"")</f>
        <v>29103.936000000002</v>
      </c>
      <c r="N9">
        <f ca="1">IFERROR(IF(0=LEN(ReferenceData!$N$9),"",ReferenceData!$N$9),"")</f>
        <v>25551.215</v>
      </c>
      <c r="O9">
        <f ca="1">IFERROR(IF(0=LEN(ReferenceData!$O$9),"",ReferenceData!$O$9),"")</f>
        <v>23675.685000000001</v>
      </c>
      <c r="P9">
        <f ca="1">IFERROR(IF(0=LEN(ReferenceData!$P$9),"",ReferenceData!$P$9),"")</f>
        <v>21878.431</v>
      </c>
      <c r="Q9">
        <f ca="1">IFERROR(IF(0=LEN(ReferenceData!$Q$9),"",ReferenceData!$Q$9),"")</f>
        <v>18142.429</v>
      </c>
      <c r="R9">
        <f ca="1">IFERROR(IF(0=LEN(ReferenceData!$R$9),"",ReferenceData!$R$9),"")</f>
        <v>15104.361999999999</v>
      </c>
      <c r="S9">
        <f ca="1">IFERROR(IF(0=LEN(ReferenceData!$S$9),"",ReferenceData!$S$9),"")</f>
        <v>14962.259</v>
      </c>
      <c r="T9">
        <f ca="1">IFERROR(IF(0=LEN(ReferenceData!$T$9),"",ReferenceData!$T$9),"")</f>
        <v>13694.825999999999</v>
      </c>
      <c r="U9">
        <f ca="1">IFERROR(IF(0=LEN(ReferenceData!$U$9),"",ReferenceData!$U$9),"")</f>
        <v>14095.644</v>
      </c>
      <c r="V9">
        <f ca="1">IFERROR(IF(0=LEN(ReferenceData!$V$9),"",ReferenceData!$V$9),"")</f>
        <v>8248.4470000000001</v>
      </c>
      <c r="W9">
        <f ca="1">IFERROR(IF(0=LEN(ReferenceData!$W$9),"",ReferenceData!$W$9),"")</f>
        <v>8839.8989999999994</v>
      </c>
      <c r="X9">
        <f ca="1">IFERROR(IF(0=LEN(ReferenceData!$X$9),"",ReferenceData!$X$9),"")</f>
        <v>8261.0069999999996</v>
      </c>
      <c r="Y9">
        <f ca="1">IFERROR(IF(0=LEN(ReferenceData!$Y$9),"",ReferenceData!$Y$9),"")</f>
        <v>6793.0860000000002</v>
      </c>
      <c r="Z9">
        <f ca="1">IFERROR(IF(0=LEN(ReferenceData!$Z$9),"",ReferenceData!$Z$9),"")</f>
        <v>5131.3440000000001</v>
      </c>
      <c r="AA9">
        <f ca="1">IFERROR(IF(0=LEN(ReferenceData!$AA$9),"",ReferenceData!$AA$9),"")</f>
        <v>3273.44</v>
      </c>
      <c r="AB9">
        <f ca="1">IFERROR(IF(0=LEN(ReferenceData!$AB$9),"",ReferenceData!$AB$9),"")</f>
        <v>2348.6480000000001</v>
      </c>
      <c r="AC9">
        <f ca="1">IFERROR(IF(0=LEN(ReferenceData!$AC$9),"",ReferenceData!$AC$9),"")</f>
        <v>2160.645</v>
      </c>
      <c r="AD9" t="str">
        <f ca="1">IFERROR(IF(0=LEN(ReferenceData!$AD$9),"",ReferenceData!$AD$9),"")</f>
        <v/>
      </c>
      <c r="AE9" t="str">
        <f ca="1">IFERROR(IF(0=LEN(ReferenceData!$AE$9),"",ReferenceData!$AE$9),"")</f>
        <v/>
      </c>
      <c r="AF9" t="str">
        <f ca="1">IFERROR(IF(0=LEN(ReferenceData!$AF$9),"",ReferenceData!$AF$9),"")</f>
        <v/>
      </c>
      <c r="AG9" t="str">
        <f ca="1">IFERROR(IF(0=LEN(ReferenceData!$AG$9),"",ReferenceData!$AG$9),"")</f>
        <v/>
      </c>
      <c r="AH9" t="str">
        <f ca="1">IFERROR(IF(0=LEN(ReferenceData!$AH$9),"",ReferenceData!$AH$9),"")</f>
        <v/>
      </c>
      <c r="AI9" t="str">
        <f ca="1">IFERROR(IF(0=LEN(ReferenceData!$AI$9),"",ReferenceData!$AI$9),"")</f>
        <v/>
      </c>
      <c r="AJ9" t="str">
        <f ca="1">IFERROR(IF(0=LEN(ReferenceData!$AJ$9),"",ReferenceData!$AJ$9),"")</f>
        <v/>
      </c>
      <c r="AK9" t="str">
        <f ca="1">IFERROR(IF(0=LEN(ReferenceData!$AK$9),"",ReferenceData!$AK$9),"")</f>
        <v/>
      </c>
      <c r="AL9" t="str">
        <f ca="1">IFERROR(IF(0=LEN(ReferenceData!$AL$9),"",ReferenceData!$AL$9),"")</f>
        <v/>
      </c>
    </row>
    <row r="10" spans="1:38" x14ac:dyDescent="0.25">
      <c r="A10" t="str">
        <f>IFERROR(IF(0=LEN(ReferenceData!$A$10),"",ReferenceData!$A$10),"")</f>
        <v xml:space="preserve">        Fifth Third Bancorp</v>
      </c>
      <c r="B10" t="str">
        <f>IFERROR(IF(0=LEN(ReferenceData!$B$10),"",ReferenceData!$B$10),"")</f>
        <v>FITB US Equity</v>
      </c>
      <c r="C10" t="str">
        <f>IFERROR(IF(0=LEN(ReferenceData!$C$10),"",ReferenceData!$C$10),"")</f>
        <v>FY421</v>
      </c>
      <c r="D10" t="str">
        <f>IFERROR(IF(0=LEN(ReferenceData!$D$10),"",ReferenceData!$D$10),"")</f>
        <v>FED_TOTAL_CONSOLIDATED_LOANS</v>
      </c>
      <c r="E10" t="str">
        <f>IFERROR(IF(0=LEN(ReferenceData!$E$10),"",ReferenceData!$E$10),"")</f>
        <v>Dynamic</v>
      </c>
      <c r="F10">
        <f ca="1">IFERROR(IF(0=LEN(ReferenceData!$F$10),"",ReferenceData!$F$10),"")</f>
        <v>120431</v>
      </c>
      <c r="G10">
        <f ca="1">IFERROR(IF(0=LEN(ReferenceData!$G$10),"",ReferenceData!$G$10),"")</f>
        <v>117612</v>
      </c>
      <c r="H10">
        <f ca="1">IFERROR(IF(0=LEN(ReferenceData!$H$10),"",ReferenceData!$H$10),"")</f>
        <v>122486.198</v>
      </c>
      <c r="I10">
        <f ca="1">IFERROR(IF(0=LEN(ReferenceData!$I$10),"",ReferenceData!$I$10),"")</f>
        <v>116464.768</v>
      </c>
      <c r="J10">
        <f ca="1">IFERROR(IF(0=LEN(ReferenceData!$J$10),"",ReferenceData!$J$10),"")</f>
        <v>113522.71799999999</v>
      </c>
      <c r="K10">
        <f ca="1">IFERROR(IF(0=LEN(ReferenceData!$K$10),"",ReferenceData!$K$10),"")</f>
        <v>110957.451</v>
      </c>
      <c r="L10">
        <f ca="1">IFERROR(IF(0=LEN(ReferenceData!$L$10),"",ReferenceData!$L$10),"")</f>
        <v>95865.243000000002</v>
      </c>
      <c r="M10">
        <f ca="1">IFERROR(IF(0=LEN(ReferenceData!$M$10),"",ReferenceData!$M$10),"")</f>
        <v>92462.217000000004</v>
      </c>
      <c r="N10">
        <f ca="1">IFERROR(IF(0=LEN(ReferenceData!$N$10),"",ReferenceData!$N$10),"")</f>
        <v>92849.839000000007</v>
      </c>
      <c r="O10">
        <f ca="1">IFERROR(IF(0=LEN(ReferenceData!$O$10),"",ReferenceData!$O$10),"")</f>
        <v>93484.869000000006</v>
      </c>
      <c r="P10">
        <f ca="1">IFERROR(IF(0=LEN(ReferenceData!$P$10),"",ReferenceData!$P$10),"")</f>
        <v>91345.713000000003</v>
      </c>
      <c r="Q10">
        <f ca="1">IFERROR(IF(0=LEN(ReferenceData!$Q$10),"",ReferenceData!$Q$10),"")</f>
        <v>89557.899000000005</v>
      </c>
      <c r="R10">
        <f ca="1">IFERROR(IF(0=LEN(ReferenceData!$R$10),"",ReferenceData!$R$10),"")</f>
        <v>88720.445000000007</v>
      </c>
      <c r="S10">
        <f ca="1">IFERROR(IF(0=LEN(ReferenceData!$S$10),"",ReferenceData!$S$10),"")</f>
        <v>83971.659</v>
      </c>
      <c r="T10">
        <f ca="1">IFERROR(IF(0=LEN(ReferenceData!$T$10),"",ReferenceData!$T$10),"")</f>
        <v>79707.597999999998</v>
      </c>
      <c r="U10">
        <f ca="1">IFERROR(IF(0=LEN(ReferenceData!$U$10),"",ReferenceData!$U$10),"")</f>
        <v>78845.857999999993</v>
      </c>
      <c r="V10">
        <f ca="1">IFERROR(IF(0=LEN(ReferenceData!$V$10),"",ReferenceData!$V$10),"")</f>
        <v>85592.67</v>
      </c>
      <c r="W10">
        <f ca="1">IFERROR(IF(0=LEN(ReferenceData!$W$10),"",ReferenceData!$W$10),"")</f>
        <v>84580.053</v>
      </c>
      <c r="X10">
        <f ca="1">IFERROR(IF(0=LEN(ReferenceData!$X$10),"",ReferenceData!$X$10),"")</f>
        <v>75501.932000000001</v>
      </c>
      <c r="Y10">
        <f ca="1">IFERROR(IF(0=LEN(ReferenceData!$Y$10),"",ReferenceData!$Y$10),"")</f>
        <v>71228.86</v>
      </c>
      <c r="Z10">
        <f ca="1">IFERROR(IF(0=LEN(ReferenceData!$Z$10),"",ReferenceData!$Z$10),"")</f>
        <v>60366.961000000003</v>
      </c>
      <c r="AA10">
        <f ca="1">IFERROR(IF(0=LEN(ReferenceData!$AA$10),"",ReferenceData!$AA$10),"")</f>
        <v>54188.98</v>
      </c>
      <c r="AB10">
        <f ca="1">IFERROR(IF(0=LEN(ReferenceData!$AB$10),"",ReferenceData!$AB$10),"")</f>
        <v>49288.59</v>
      </c>
      <c r="AC10">
        <f ca="1">IFERROR(IF(0=LEN(ReferenceData!$AC$10),"",ReferenceData!$AC$10),"")</f>
        <v>43727.955000000002</v>
      </c>
      <c r="AD10" t="str">
        <f ca="1">IFERROR(IF(0=LEN(ReferenceData!$AD$10),"",ReferenceData!$AD$10),"")</f>
        <v/>
      </c>
      <c r="AE10" t="str">
        <f ca="1">IFERROR(IF(0=LEN(ReferenceData!$AE$10),"",ReferenceData!$AE$10),"")</f>
        <v/>
      </c>
      <c r="AF10" t="str">
        <f ca="1">IFERROR(IF(0=LEN(ReferenceData!$AF$10),"",ReferenceData!$AF$10),"")</f>
        <v/>
      </c>
      <c r="AG10" t="str">
        <f ca="1">IFERROR(IF(0=LEN(ReferenceData!$AG$10),"",ReferenceData!$AG$10),"")</f>
        <v/>
      </c>
      <c r="AH10" t="str">
        <f ca="1">IFERROR(IF(0=LEN(ReferenceData!$AH$10),"",ReferenceData!$AH$10),"")</f>
        <v/>
      </c>
      <c r="AI10" t="str">
        <f ca="1">IFERROR(IF(0=LEN(ReferenceData!$AI$10),"",ReferenceData!$AI$10),"")</f>
        <v/>
      </c>
      <c r="AJ10" t="str">
        <f ca="1">IFERROR(IF(0=LEN(ReferenceData!$AJ$10),"",ReferenceData!$AJ$10),"")</f>
        <v/>
      </c>
      <c r="AK10" t="str">
        <f ca="1">IFERROR(IF(0=LEN(ReferenceData!$AK$10),"",ReferenceData!$AK$10),"")</f>
        <v/>
      </c>
      <c r="AL10" t="str">
        <f ca="1">IFERROR(IF(0=LEN(ReferenceData!$AL$10),"",ReferenceData!$AL$10),"")</f>
        <v/>
      </c>
    </row>
    <row r="11" spans="1:38" x14ac:dyDescent="0.25">
      <c r="A11" t="str">
        <f>IFERROR(IF(0=LEN(ReferenceData!$A$11),"",ReferenceData!$A$11),"")</f>
        <v xml:space="preserve">        First Citizens BancShares Inc/</v>
      </c>
      <c r="B11" t="str">
        <f>IFERROR(IF(0=LEN(ReferenceData!$B$11),"",ReferenceData!$B$11),"")</f>
        <v>FCNCA US Equity</v>
      </c>
      <c r="C11" t="str">
        <f>IFERROR(IF(0=LEN(ReferenceData!$C$11),"",ReferenceData!$C$11),"")</f>
        <v>FY421</v>
      </c>
      <c r="D11" t="str">
        <f>IFERROR(IF(0=LEN(ReferenceData!$D$11),"",ReferenceData!$D$11),"")</f>
        <v>FED_TOTAL_CONSOLIDATED_LOANS</v>
      </c>
      <c r="E11" t="str">
        <f>IFERROR(IF(0=LEN(ReferenceData!$E$11),"",ReferenceData!$E$11),"")</f>
        <v>Dynamic</v>
      </c>
      <c r="F11">
        <f ca="1">IFERROR(IF(0=LEN(ReferenceData!$F$11),"",ReferenceData!$F$11),"")</f>
        <v>140303</v>
      </c>
      <c r="G11">
        <f ca="1">IFERROR(IF(0=LEN(ReferenceData!$G$11),"",ReferenceData!$G$11),"")</f>
        <v>133374.807</v>
      </c>
      <c r="H11">
        <f ca="1">IFERROR(IF(0=LEN(ReferenceData!$H$11),"",ReferenceData!$H$11),"")</f>
        <v>70833.100999999995</v>
      </c>
      <c r="I11">
        <f ca="1">IFERROR(IF(0=LEN(ReferenceData!$I$11),"",ReferenceData!$I$11),"")</f>
        <v>32470.262999999999</v>
      </c>
      <c r="J11">
        <f ca="1">IFERROR(IF(0=LEN(ReferenceData!$J$11),"",ReferenceData!$J$11),"")</f>
        <v>32916.811999999998</v>
      </c>
      <c r="K11">
        <f ca="1">IFERROR(IF(0=LEN(ReferenceData!$K$11),"",ReferenceData!$K$11),"")</f>
        <v>28949.365000000002</v>
      </c>
      <c r="L11">
        <f ca="1">IFERROR(IF(0=LEN(ReferenceData!$L$11),"",ReferenceData!$L$11),"")</f>
        <v>25568.780999999999</v>
      </c>
      <c r="M11">
        <f ca="1">IFERROR(IF(0=LEN(ReferenceData!$M$11),"",ReferenceData!$M$11),"")</f>
        <v>23648.004000000001</v>
      </c>
      <c r="N11">
        <f ca="1">IFERROR(IF(0=LEN(ReferenceData!$N$11),"",ReferenceData!$N$11),"")</f>
        <v>21812.278999999999</v>
      </c>
      <c r="O11">
        <f ca="1">IFERROR(IF(0=LEN(ReferenceData!$O$11),"",ReferenceData!$O$11),"")</f>
        <v>20299.756000000001</v>
      </c>
      <c r="P11">
        <f ca="1">IFERROR(IF(0=LEN(ReferenceData!$P$11),"",ReferenceData!$P$11),"")</f>
        <v>18833.161</v>
      </c>
      <c r="Q11">
        <f ca="1">IFERROR(IF(0=LEN(ReferenceData!$Q$11),"",ReferenceData!$Q$11),"")</f>
        <v>13180.995999999999</v>
      </c>
      <c r="R11">
        <f ca="1">IFERROR(IF(0=LEN(ReferenceData!$R$11),"",ReferenceData!$R$11),"")</f>
        <v>13471.683000000001</v>
      </c>
      <c r="S11">
        <f ca="1">IFERROR(IF(0=LEN(ReferenceData!$S$11),"",ReferenceData!$S$11),"")</f>
        <v>14036.328</v>
      </c>
      <c r="T11">
        <f ca="1">IFERROR(IF(0=LEN(ReferenceData!$T$11),"",ReferenceData!$T$11),"")</f>
        <v>13576.960999999999</v>
      </c>
      <c r="U11">
        <f ca="1">IFERROR(IF(0=LEN(ReferenceData!$U$11),"",ReferenceData!$U$11),"")</f>
        <v>12885.4</v>
      </c>
      <c r="V11">
        <f ca="1">IFERROR(IF(0=LEN(ReferenceData!$V$11),"",ReferenceData!$V$11),"")</f>
        <v>11719.285</v>
      </c>
      <c r="W11">
        <f ca="1">IFERROR(IF(0=LEN(ReferenceData!$W$11),"",ReferenceData!$W$11),"")</f>
        <v>10963.904</v>
      </c>
      <c r="X11">
        <f ca="1">IFERROR(IF(0=LEN(ReferenceData!$X$11),"",ReferenceData!$X$11),"")</f>
        <v>10239.550999999999</v>
      </c>
      <c r="Y11">
        <f ca="1">IFERROR(IF(0=LEN(ReferenceData!$Y$11),"",ReferenceData!$Y$11),"")</f>
        <v>9642.9940000000006</v>
      </c>
      <c r="Z11">
        <f ca="1">IFERROR(IF(0=LEN(ReferenceData!$Z$11),"",ReferenceData!$Z$11),"")</f>
        <v>9354.3870000000006</v>
      </c>
      <c r="AA11">
        <f ca="1">IFERROR(IF(0=LEN(ReferenceData!$AA$11),"",ReferenceData!$AA$11),"")</f>
        <v>8326.598</v>
      </c>
      <c r="AB11">
        <f ca="1">IFERROR(IF(0=LEN(ReferenceData!$AB$11),"",ReferenceData!$AB$11),"")</f>
        <v>7620.2629999999999</v>
      </c>
      <c r="AC11">
        <f ca="1">IFERROR(IF(0=LEN(ReferenceData!$AC$11),"",ReferenceData!$AC$11),"")</f>
        <v>7196.1769999999997</v>
      </c>
      <c r="AD11" t="str">
        <f ca="1">IFERROR(IF(0=LEN(ReferenceData!$AD$11),"",ReferenceData!$AD$11),"")</f>
        <v/>
      </c>
      <c r="AE11" t="str">
        <f ca="1">IFERROR(IF(0=LEN(ReferenceData!$AE$11),"",ReferenceData!$AE$11),"")</f>
        <v/>
      </c>
      <c r="AF11" t="str">
        <f ca="1">IFERROR(IF(0=LEN(ReferenceData!$AF$11),"",ReferenceData!$AF$11),"")</f>
        <v/>
      </c>
      <c r="AG11" t="str">
        <f ca="1">IFERROR(IF(0=LEN(ReferenceData!$AG$11),"",ReferenceData!$AG$11),"")</f>
        <v/>
      </c>
      <c r="AH11" t="str">
        <f ca="1">IFERROR(IF(0=LEN(ReferenceData!$AH$11),"",ReferenceData!$AH$11),"")</f>
        <v/>
      </c>
      <c r="AI11" t="str">
        <f ca="1">IFERROR(IF(0=LEN(ReferenceData!$AI$11),"",ReferenceData!$AI$11),"")</f>
        <v/>
      </c>
      <c r="AJ11" t="str">
        <f ca="1">IFERROR(IF(0=LEN(ReferenceData!$AJ$11),"",ReferenceData!$AJ$11),"")</f>
        <v/>
      </c>
      <c r="AK11" t="str">
        <f ca="1">IFERROR(IF(0=LEN(ReferenceData!$AK$11),"",ReferenceData!$AK$11),"")</f>
        <v/>
      </c>
      <c r="AL11" t="str">
        <f ca="1">IFERROR(IF(0=LEN(ReferenceData!$AL$11),"",ReferenceData!$AL$11),"")</f>
        <v/>
      </c>
    </row>
    <row r="12" spans="1:38" x14ac:dyDescent="0.25">
      <c r="A12" t="str">
        <f>IFERROR(IF(0=LEN(ReferenceData!$A$12),"",ReferenceData!$A$12),"")</f>
        <v xml:space="preserve">        Flagstar Financial Inc</v>
      </c>
      <c r="B12" t="str">
        <f>IFERROR(IF(0=LEN(ReferenceData!$B$12),"",ReferenceData!$B$12),"")</f>
        <v>FLG US Equity</v>
      </c>
      <c r="C12" t="str">
        <f>IFERROR(IF(0=LEN(ReferenceData!$C$12),"",ReferenceData!$C$12),"")</f>
        <v>FY421</v>
      </c>
      <c r="D12" t="str">
        <f>IFERROR(IF(0=LEN(ReferenceData!$D$12),"",ReferenceData!$D$12),"")</f>
        <v>FED_TOTAL_CONSOLIDATED_LOANS</v>
      </c>
      <c r="E12" t="str">
        <f>IFERROR(IF(0=LEN(ReferenceData!$E$12),"",ReferenceData!$E$12),"")</f>
        <v>Dynamic</v>
      </c>
      <c r="F12" t="str">
        <f ca="1">IFERROR(IF(0=LEN(ReferenceData!$F$12),"",ReferenceData!$F$12),"")</f>
        <v/>
      </c>
      <c r="G12">
        <f ca="1">IFERROR(IF(0=LEN(ReferenceData!$G$12),"",ReferenceData!$G$12),"")</f>
        <v>85800.926999999996</v>
      </c>
      <c r="H12">
        <f ca="1">IFERROR(IF(0=LEN(ReferenceData!$H$12),"",ReferenceData!$H$12),"")</f>
        <v>70116.717999999993</v>
      </c>
      <c r="I12">
        <f ca="1">IFERROR(IF(0=LEN(ReferenceData!$I$12),"",ReferenceData!$I$12),"")</f>
        <v>45738.504000000001</v>
      </c>
      <c r="J12">
        <f ca="1">IFERROR(IF(0=LEN(ReferenceData!$J$12),"",ReferenceData!$J$12),"")</f>
        <v>43000.733999999997</v>
      </c>
      <c r="K12">
        <f ca="1">IFERROR(IF(0=LEN(ReferenceData!$K$12),"",ReferenceData!$K$12),"")</f>
        <v>41894.154999999999</v>
      </c>
      <c r="L12">
        <f ca="1">IFERROR(IF(0=LEN(ReferenceData!$L$12),"",ReferenceData!$L$12),"")</f>
        <v>40165.908000000003</v>
      </c>
      <c r="M12">
        <f ca="1">IFERROR(IF(0=LEN(ReferenceData!$M$12),"",ReferenceData!$M$12),"")</f>
        <v>38423.228999999999</v>
      </c>
      <c r="N12">
        <f ca="1">IFERROR(IF(0=LEN(ReferenceData!$N$12),"",ReferenceData!$N$12),"")</f>
        <v>39490.006999999998</v>
      </c>
      <c r="O12">
        <f ca="1">IFERROR(IF(0=LEN(ReferenceData!$O$12),"",ReferenceData!$O$12),"")</f>
        <v>38190.512999999999</v>
      </c>
      <c r="P12">
        <f ca="1">IFERROR(IF(0=LEN(ReferenceData!$P$12),"",ReferenceData!$P$12),"")</f>
        <v>35832.976999999999</v>
      </c>
      <c r="Q12">
        <f ca="1">IFERROR(IF(0=LEN(ReferenceData!$Q$12),"",ReferenceData!$Q$12),"")</f>
        <v>32933.521999999997</v>
      </c>
      <c r="R12">
        <f ca="1">IFERROR(IF(0=LEN(ReferenceData!$R$12),"",ReferenceData!$R$12),"")</f>
        <v>31771.972000000002</v>
      </c>
      <c r="S12">
        <f ca="1">IFERROR(IF(0=LEN(ReferenceData!$S$12),"",ReferenceData!$S$12),"")</f>
        <v>30322.743999999999</v>
      </c>
      <c r="T12">
        <f ca="1">IFERROR(IF(0=LEN(ReferenceData!$T$12),"",ReferenceData!$T$12),"")</f>
        <v>29213.916000000001</v>
      </c>
      <c r="U12">
        <f ca="1">IFERROR(IF(0=LEN(ReferenceData!$U$12),"",ReferenceData!$U$12),"")</f>
        <v>28393.123</v>
      </c>
      <c r="V12">
        <f ca="1">IFERROR(IF(0=LEN(ReferenceData!$V$12),"",ReferenceData!$V$12),"")</f>
        <v>22192.544999999998</v>
      </c>
      <c r="W12">
        <f ca="1">IFERROR(IF(0=LEN(ReferenceData!$W$12),"",ReferenceData!$W$12),"")</f>
        <v>20365.07</v>
      </c>
      <c r="X12">
        <f ca="1">IFERROR(IF(0=LEN(ReferenceData!$X$12),"",ReferenceData!$X$12),"")</f>
        <v>19673.543000000001</v>
      </c>
      <c r="Y12">
        <f ca="1">IFERROR(IF(0=LEN(ReferenceData!$Y$12),"",ReferenceData!$Y$12),"")</f>
        <v>17028.95</v>
      </c>
      <c r="Z12">
        <f ca="1">IFERROR(IF(0=LEN(ReferenceData!$Z$12),"",ReferenceData!$Z$12),"")</f>
        <v>13396.677</v>
      </c>
      <c r="AA12">
        <f ca="1">IFERROR(IF(0=LEN(ReferenceData!$AA$12),"",ReferenceData!$AA$12),"")</f>
        <v>10507.083000000001</v>
      </c>
      <c r="AB12">
        <f ca="1">IFERROR(IF(0=LEN(ReferenceData!$AB$12),"",ReferenceData!$AB$12),"")</f>
        <v>5491.049</v>
      </c>
      <c r="AC12">
        <f ca="1">IFERROR(IF(0=LEN(ReferenceData!$AC$12),"",ReferenceData!$AC$12),"")</f>
        <v>5401.6869999999999</v>
      </c>
      <c r="AD12" t="str">
        <f ca="1">IFERROR(IF(0=LEN(ReferenceData!$AD$12),"",ReferenceData!$AD$12),"")</f>
        <v/>
      </c>
      <c r="AE12" t="str">
        <f ca="1">IFERROR(IF(0=LEN(ReferenceData!$AE$12),"",ReferenceData!$AE$12),"")</f>
        <v/>
      </c>
      <c r="AF12" t="str">
        <f ca="1">IFERROR(IF(0=LEN(ReferenceData!$AF$12),"",ReferenceData!$AF$12),"")</f>
        <v/>
      </c>
      <c r="AG12" t="str">
        <f ca="1">IFERROR(IF(0=LEN(ReferenceData!$AG$12),"",ReferenceData!$AG$12),"")</f>
        <v/>
      </c>
      <c r="AH12" t="str">
        <f ca="1">IFERROR(IF(0=LEN(ReferenceData!$AH$12),"",ReferenceData!$AH$12),"")</f>
        <v/>
      </c>
      <c r="AI12" t="str">
        <f ca="1">IFERROR(IF(0=LEN(ReferenceData!$AI$12),"",ReferenceData!$AI$12),"")</f>
        <v/>
      </c>
      <c r="AJ12" t="str">
        <f ca="1">IFERROR(IF(0=LEN(ReferenceData!$AJ$12),"",ReferenceData!$AJ$12),"")</f>
        <v/>
      </c>
      <c r="AK12" t="str">
        <f ca="1">IFERROR(IF(0=LEN(ReferenceData!$AK$12),"",ReferenceData!$AK$12),"")</f>
        <v/>
      </c>
      <c r="AL12" t="str">
        <f ca="1">IFERROR(IF(0=LEN(ReferenceData!$AL$12),"",ReferenceData!$AL$12),"")</f>
        <v/>
      </c>
    </row>
    <row r="13" spans="1:38" x14ac:dyDescent="0.25">
      <c r="A13" t="str">
        <f>IFERROR(IF(0=LEN(ReferenceData!$A$13),"",ReferenceData!$A$13),"")</f>
        <v xml:space="preserve">        Huntington Bancshares Inc/OH</v>
      </c>
      <c r="B13" t="str">
        <f>IFERROR(IF(0=LEN(ReferenceData!$B$13),"",ReferenceData!$B$13),"")</f>
        <v>HBAN US Equity</v>
      </c>
      <c r="C13" t="str">
        <f>IFERROR(IF(0=LEN(ReferenceData!$C$13),"",ReferenceData!$C$13),"")</f>
        <v>FY421</v>
      </c>
      <c r="D13" t="str">
        <f>IFERROR(IF(0=LEN(ReferenceData!$D$13),"",ReferenceData!$D$13),"")</f>
        <v>FED_TOTAL_CONSOLIDATED_LOANS</v>
      </c>
      <c r="E13" t="str">
        <f>IFERROR(IF(0=LEN(ReferenceData!$E$13),"",ReferenceData!$E$13),"")</f>
        <v>Dynamic</v>
      </c>
      <c r="F13">
        <f ca="1">IFERROR(IF(0=LEN(ReferenceData!$F$13),"",ReferenceData!$F$13),"")</f>
        <v>130695.679</v>
      </c>
      <c r="G13">
        <f ca="1">IFERROR(IF(0=LEN(ReferenceData!$G$13),"",ReferenceData!$G$13),"")</f>
        <v>122498.124</v>
      </c>
      <c r="H13">
        <f ca="1">IFERROR(IF(0=LEN(ReferenceData!$H$13),"",ReferenceData!$H$13),"")</f>
        <v>120772.227</v>
      </c>
      <c r="I13">
        <f ca="1">IFERROR(IF(0=LEN(ReferenceData!$I$13),"",ReferenceData!$I$13),"")</f>
        <v>113596.806</v>
      </c>
      <c r="J13">
        <f ca="1">IFERROR(IF(0=LEN(ReferenceData!$J$13),"",ReferenceData!$J$13),"")</f>
        <v>82882.997000000003</v>
      </c>
      <c r="K13">
        <f ca="1">IFERROR(IF(0=LEN(ReferenceData!$K$13),"",ReferenceData!$K$13),"")</f>
        <v>76281.36</v>
      </c>
      <c r="L13">
        <f ca="1">IFERROR(IF(0=LEN(ReferenceData!$L$13),"",ReferenceData!$L$13),"")</f>
        <v>75703.650999999998</v>
      </c>
      <c r="M13">
        <f ca="1">IFERROR(IF(0=LEN(ReferenceData!$M$13),"",ReferenceData!$M$13),"")</f>
        <v>70604.365000000005</v>
      </c>
      <c r="N13">
        <f ca="1">IFERROR(IF(0=LEN(ReferenceData!$N$13),"",ReferenceData!$N$13),"")</f>
        <v>67460.327000000005</v>
      </c>
      <c r="O13">
        <f ca="1">IFERROR(IF(0=LEN(ReferenceData!$O$13),"",ReferenceData!$O$13),"")</f>
        <v>50802.822999999997</v>
      </c>
      <c r="P13">
        <f ca="1">IFERROR(IF(0=LEN(ReferenceData!$P$13),"",ReferenceData!$P$13),"")</f>
        <v>48062.474000000002</v>
      </c>
      <c r="Q13">
        <f ca="1">IFERROR(IF(0=LEN(ReferenceData!$Q$13),"",ReferenceData!$Q$13),"")</f>
        <v>43438.392</v>
      </c>
      <c r="R13">
        <f ca="1">IFERROR(IF(0=LEN(ReferenceData!$R$13),"",ReferenceData!$R$13),"")</f>
        <v>41485.394</v>
      </c>
      <c r="S13">
        <f ca="1">IFERROR(IF(0=LEN(ReferenceData!$S$13),"",ReferenceData!$S$13),"")</f>
        <v>40527.470999999998</v>
      </c>
      <c r="T13">
        <f ca="1">IFERROR(IF(0=LEN(ReferenceData!$T$13),"",ReferenceData!$T$13),"")</f>
        <v>38879.737000000001</v>
      </c>
      <c r="U13">
        <f ca="1">IFERROR(IF(0=LEN(ReferenceData!$U$13),"",ReferenceData!$U$13),"")</f>
        <v>37232.498</v>
      </c>
      <c r="V13">
        <f ca="1">IFERROR(IF(0=LEN(ReferenceData!$V$13),"",ReferenceData!$V$13),"")</f>
        <v>41460.957999999999</v>
      </c>
      <c r="W13">
        <f ca="1">IFERROR(IF(0=LEN(ReferenceData!$W$13),"",ReferenceData!$W$13),"")</f>
        <v>40529.497000000003</v>
      </c>
      <c r="X13">
        <f ca="1">IFERROR(IF(0=LEN(ReferenceData!$X$13),"",ReferenceData!$X$13),"")</f>
        <v>26425.190999999999</v>
      </c>
      <c r="Y13">
        <f ca="1">IFERROR(IF(0=LEN(ReferenceData!$Y$13),"",ReferenceData!$Y$13),"")</f>
        <v>24764.848000000002</v>
      </c>
      <c r="Z13">
        <f ca="1">IFERROR(IF(0=LEN(ReferenceData!$Z$13),"",ReferenceData!$Z$13),"")</f>
        <v>23772.844000000001</v>
      </c>
      <c r="AA13">
        <f ca="1">IFERROR(IF(0=LEN(ReferenceData!$AA$13),"",ReferenceData!$AA$13),"")</f>
        <v>21289.718000000001</v>
      </c>
      <c r="AB13">
        <f ca="1">IFERROR(IF(0=LEN(ReferenceData!$AB$13),"",ReferenceData!$AB$13),"")</f>
        <v>19090.973999999998</v>
      </c>
      <c r="AC13">
        <f ca="1">IFERROR(IF(0=LEN(ReferenceData!$AC$13),"",ReferenceData!$AC$13),"")</f>
        <v>19068.800999999999</v>
      </c>
      <c r="AD13" t="str">
        <f ca="1">IFERROR(IF(0=LEN(ReferenceData!$AD$13),"",ReferenceData!$AD$13),"")</f>
        <v/>
      </c>
      <c r="AE13" t="str">
        <f ca="1">IFERROR(IF(0=LEN(ReferenceData!$AE$13),"",ReferenceData!$AE$13),"")</f>
        <v/>
      </c>
      <c r="AF13" t="str">
        <f ca="1">IFERROR(IF(0=LEN(ReferenceData!$AF$13),"",ReferenceData!$AF$13),"")</f>
        <v/>
      </c>
      <c r="AG13" t="str">
        <f ca="1">IFERROR(IF(0=LEN(ReferenceData!$AG$13),"",ReferenceData!$AG$13),"")</f>
        <v/>
      </c>
      <c r="AH13" t="str">
        <f ca="1">IFERROR(IF(0=LEN(ReferenceData!$AH$13),"",ReferenceData!$AH$13),"")</f>
        <v/>
      </c>
      <c r="AI13" t="str">
        <f ca="1">IFERROR(IF(0=LEN(ReferenceData!$AI$13),"",ReferenceData!$AI$13),"")</f>
        <v/>
      </c>
      <c r="AJ13" t="str">
        <f ca="1">IFERROR(IF(0=LEN(ReferenceData!$AJ$13),"",ReferenceData!$AJ$13),"")</f>
        <v/>
      </c>
      <c r="AK13" t="str">
        <f ca="1">IFERROR(IF(0=LEN(ReferenceData!$AK$13),"",ReferenceData!$AK$13),"")</f>
        <v/>
      </c>
      <c r="AL13" t="str">
        <f ca="1">IFERROR(IF(0=LEN(ReferenceData!$AL$13),"",ReferenceData!$AL$13),"")</f>
        <v/>
      </c>
    </row>
    <row r="14" spans="1:38" x14ac:dyDescent="0.25">
      <c r="A14" t="str">
        <f>IFERROR(IF(0=LEN(ReferenceData!$A$14),"",ReferenceData!$A$14),"")</f>
        <v xml:space="preserve">        JPMorgan Chase &amp; Co</v>
      </c>
      <c r="B14" t="str">
        <f>IFERROR(IF(0=LEN(ReferenceData!$B$14),"",ReferenceData!$B$14),"")</f>
        <v>JPM US Equity</v>
      </c>
      <c r="C14" t="str">
        <f>IFERROR(IF(0=LEN(ReferenceData!$C$14),"",ReferenceData!$C$14),"")</f>
        <v>FY421</v>
      </c>
      <c r="D14" t="str">
        <f>IFERROR(IF(0=LEN(ReferenceData!$D$14),"",ReferenceData!$D$14),"")</f>
        <v>FED_TOTAL_CONSOLIDATED_LOANS</v>
      </c>
      <c r="E14" t="str">
        <f>IFERROR(IF(0=LEN(ReferenceData!$E$14),"",ReferenceData!$E$14),"")</f>
        <v>Dynamic</v>
      </c>
      <c r="F14">
        <f ca="1">IFERROR(IF(0=LEN(ReferenceData!$F$14),"",ReferenceData!$F$14),"")</f>
        <v>1399917</v>
      </c>
      <c r="G14">
        <f ca="1">IFERROR(IF(0=LEN(ReferenceData!$G$14),"",ReferenceData!$G$14),"")</f>
        <v>1371587</v>
      </c>
      <c r="H14">
        <f ca="1">IFERROR(IF(0=LEN(ReferenceData!$H$14),"",ReferenceData!$H$14),"")</f>
        <v>1184928</v>
      </c>
      <c r="I14">
        <f ca="1">IFERROR(IF(0=LEN(ReferenceData!$I$14),"",ReferenceData!$I$14),"")</f>
        <v>1137371</v>
      </c>
      <c r="J14">
        <f ca="1">IFERROR(IF(0=LEN(ReferenceData!$J$14),"",ReferenceData!$J$14),"")</f>
        <v>1060578</v>
      </c>
      <c r="K14">
        <f ca="1">IFERROR(IF(0=LEN(ReferenceData!$K$14),"",ReferenceData!$K$14),"")</f>
        <v>993488</v>
      </c>
      <c r="L14">
        <f ca="1">IFERROR(IF(0=LEN(ReferenceData!$L$14),"",ReferenceData!$L$14),"")</f>
        <v>1014765</v>
      </c>
      <c r="M14">
        <f ca="1">IFERROR(IF(0=LEN(ReferenceData!$M$14),"",ReferenceData!$M$14),"")</f>
        <v>956829</v>
      </c>
      <c r="N14">
        <f ca="1">IFERROR(IF(0=LEN(ReferenceData!$N$14),"",ReferenceData!$N$14),"")</f>
        <v>912208</v>
      </c>
      <c r="O14">
        <f ca="1">IFERROR(IF(0=LEN(ReferenceData!$O$14),"",ReferenceData!$O$14),"")</f>
        <v>850732</v>
      </c>
      <c r="P14">
        <f ca="1">IFERROR(IF(0=LEN(ReferenceData!$P$14),"",ReferenceData!$P$14),"")</f>
        <v>786287</v>
      </c>
      <c r="Q14">
        <f ca="1">IFERROR(IF(0=LEN(ReferenceData!$Q$14),"",ReferenceData!$Q$14),"")</f>
        <v>765104</v>
      </c>
      <c r="R14">
        <f ca="1">IFERROR(IF(0=LEN(ReferenceData!$R$14),"",ReferenceData!$R$14),"")</f>
        <v>758676</v>
      </c>
      <c r="S14">
        <f ca="1">IFERROR(IF(0=LEN(ReferenceData!$S$14),"",ReferenceData!$S$14),"")</f>
        <v>742373</v>
      </c>
      <c r="T14">
        <f ca="1">IFERROR(IF(0=LEN(ReferenceData!$T$14),"",ReferenceData!$T$14),"")</f>
        <v>726922</v>
      </c>
      <c r="U14">
        <f ca="1">IFERROR(IF(0=LEN(ReferenceData!$U$14),"",ReferenceData!$U$14),"")</f>
        <v>650815</v>
      </c>
      <c r="V14">
        <f ca="1">IFERROR(IF(0=LEN(ReferenceData!$V$14),"",ReferenceData!$V$14),"")</f>
        <v>761186</v>
      </c>
      <c r="W14">
        <f ca="1">IFERROR(IF(0=LEN(ReferenceData!$W$14),"",ReferenceData!$W$14),"")</f>
        <v>555524</v>
      </c>
      <c r="X14">
        <f ca="1">IFERROR(IF(0=LEN(ReferenceData!$X$14),"",ReferenceData!$X$14),"")</f>
        <v>483127</v>
      </c>
      <c r="Y14">
        <f ca="1">IFERROR(IF(0=LEN(ReferenceData!$Y$14),"",ReferenceData!$Y$14),"")</f>
        <v>448888</v>
      </c>
      <c r="Z14">
        <f ca="1">IFERROR(IF(0=LEN(ReferenceData!$Z$14),"",ReferenceData!$Z$14),"")</f>
        <v>433836</v>
      </c>
      <c r="AA14">
        <f ca="1">IFERROR(IF(0=LEN(ReferenceData!$AA$14),"",ReferenceData!$AA$14),"")</f>
        <v>219518</v>
      </c>
      <c r="AB14">
        <f ca="1">IFERROR(IF(0=LEN(ReferenceData!$AB$14),"",ReferenceData!$AB$14),"")</f>
        <v>216253</v>
      </c>
      <c r="AC14">
        <f ca="1">IFERROR(IF(0=LEN(ReferenceData!$AC$14),"",ReferenceData!$AC$14),"")</f>
        <v>217397</v>
      </c>
      <c r="AD14" t="str">
        <f ca="1">IFERROR(IF(0=LEN(ReferenceData!$AD$14),"",ReferenceData!$AD$14),"")</f>
        <v/>
      </c>
      <c r="AE14" t="str">
        <f ca="1">IFERROR(IF(0=LEN(ReferenceData!$AE$14),"",ReferenceData!$AE$14),"")</f>
        <v/>
      </c>
      <c r="AF14" t="str">
        <f ca="1">IFERROR(IF(0=LEN(ReferenceData!$AF$14),"",ReferenceData!$AF$14),"")</f>
        <v/>
      </c>
      <c r="AG14" t="str">
        <f ca="1">IFERROR(IF(0=LEN(ReferenceData!$AG$14),"",ReferenceData!$AG$14),"")</f>
        <v/>
      </c>
      <c r="AH14" t="str">
        <f ca="1">IFERROR(IF(0=LEN(ReferenceData!$AH$14),"",ReferenceData!$AH$14),"")</f>
        <v/>
      </c>
      <c r="AI14" t="str">
        <f ca="1">IFERROR(IF(0=LEN(ReferenceData!$AI$14),"",ReferenceData!$AI$14),"")</f>
        <v/>
      </c>
      <c r="AJ14" t="str">
        <f ca="1">IFERROR(IF(0=LEN(ReferenceData!$AJ$14),"",ReferenceData!$AJ$14),"")</f>
        <v/>
      </c>
      <c r="AK14" t="str">
        <f ca="1">IFERROR(IF(0=LEN(ReferenceData!$AK$14),"",ReferenceData!$AK$14),"")</f>
        <v/>
      </c>
      <c r="AL14" t="str">
        <f ca="1">IFERROR(IF(0=LEN(ReferenceData!$AL$14),"",ReferenceData!$AL$14),"")</f>
        <v/>
      </c>
    </row>
    <row r="15" spans="1:38" x14ac:dyDescent="0.25">
      <c r="A15" t="str">
        <f>IFERROR(IF(0=LEN(ReferenceData!$A$15),"",ReferenceData!$A$15),"")</f>
        <v xml:space="preserve">        KeyCorp</v>
      </c>
      <c r="B15" t="str">
        <f>IFERROR(IF(0=LEN(ReferenceData!$B$15),"",ReferenceData!$B$15),"")</f>
        <v>KEY US Equity</v>
      </c>
      <c r="C15" t="str">
        <f>IFERROR(IF(0=LEN(ReferenceData!$C$15),"",ReferenceData!$C$15),"")</f>
        <v>FY421</v>
      </c>
      <c r="D15" t="str">
        <f>IFERROR(IF(0=LEN(ReferenceData!$D$15),"",ReferenceData!$D$15),"")</f>
        <v>FED_TOTAL_CONSOLIDATED_LOANS</v>
      </c>
      <c r="E15" t="str">
        <f>IFERROR(IF(0=LEN(ReferenceData!$E$15),"",ReferenceData!$E$15),"")</f>
        <v>Dynamic</v>
      </c>
      <c r="F15">
        <f ca="1">IFERROR(IF(0=LEN(ReferenceData!$F$15),"",ReferenceData!$F$15),"")</f>
        <v>105314.223</v>
      </c>
      <c r="G15">
        <f ca="1">IFERROR(IF(0=LEN(ReferenceData!$G$15),"",ReferenceData!$G$15),"")</f>
        <v>113427.44899999999</v>
      </c>
      <c r="H15">
        <f ca="1">IFERROR(IF(0=LEN(ReferenceData!$H$15),"",ReferenceData!$H$15),"")</f>
        <v>120791.406</v>
      </c>
      <c r="I15">
        <f ca="1">IFERROR(IF(0=LEN(ReferenceData!$I$15),"",ReferenceData!$I$15),"")</f>
        <v>105151.035</v>
      </c>
      <c r="J15">
        <f ca="1">IFERROR(IF(0=LEN(ReferenceData!$J$15),"",ReferenceData!$J$15),"")</f>
        <v>103478.476</v>
      </c>
      <c r="K15">
        <f ca="1">IFERROR(IF(0=LEN(ReferenceData!$K$15),"",ReferenceData!$K$15),"")</f>
        <v>96845.281000000003</v>
      </c>
      <c r="L15">
        <f ca="1">IFERROR(IF(0=LEN(ReferenceData!$L$15),"",ReferenceData!$L$15),"")</f>
        <v>91852.993000000002</v>
      </c>
      <c r="M15">
        <f ca="1">IFERROR(IF(0=LEN(ReferenceData!$M$15),"",ReferenceData!$M$15),"")</f>
        <v>88909.918000000005</v>
      </c>
      <c r="N15">
        <f ca="1">IFERROR(IF(0=LEN(ReferenceData!$N$15),"",ReferenceData!$N$15),"")</f>
        <v>88762.259000000005</v>
      </c>
      <c r="O15">
        <f ca="1">IFERROR(IF(0=LEN(ReferenceData!$O$15),"",ReferenceData!$O$15),"")</f>
        <v>62367.034</v>
      </c>
      <c r="P15">
        <f ca="1">IFERROR(IF(0=LEN(ReferenceData!$P$15),"",ReferenceData!$P$15),"")</f>
        <v>60410.483</v>
      </c>
      <c r="Q15">
        <f ca="1">IFERROR(IF(0=LEN(ReferenceData!$Q$15),"",ReferenceData!$Q$15),"")</f>
        <v>59565.082000000002</v>
      </c>
      <c r="R15">
        <f ca="1">IFERROR(IF(0=LEN(ReferenceData!$R$15),"",ReferenceData!$R$15),"")</f>
        <v>58622.578999999998</v>
      </c>
      <c r="S15">
        <f ca="1">IFERROR(IF(0=LEN(ReferenceData!$S$15),"",ReferenceData!$S$15),"")</f>
        <v>56115.175999999999</v>
      </c>
      <c r="T15">
        <f ca="1">IFERROR(IF(0=LEN(ReferenceData!$T$15),"",ReferenceData!$T$15),"")</f>
        <v>57039.33</v>
      </c>
      <c r="U15">
        <f ca="1">IFERROR(IF(0=LEN(ReferenceData!$U$15),"",ReferenceData!$U$15),"")</f>
        <v>63170.298999999999</v>
      </c>
      <c r="V15">
        <f ca="1">IFERROR(IF(0=LEN(ReferenceData!$V$15),"",ReferenceData!$V$15),"")</f>
        <v>77531.497000000003</v>
      </c>
      <c r="W15">
        <f ca="1">IFERROR(IF(0=LEN(ReferenceData!$W$15),"",ReferenceData!$W$15),"")</f>
        <v>75559.216</v>
      </c>
      <c r="X15">
        <f ca="1">IFERROR(IF(0=LEN(ReferenceData!$X$15),"",ReferenceData!$X$15),"")</f>
        <v>69463.396999999997</v>
      </c>
      <c r="Y15">
        <f ca="1">IFERROR(IF(0=LEN(ReferenceData!$Y$15),"",ReferenceData!$Y$15),"")</f>
        <v>69858.258000000002</v>
      </c>
      <c r="Z15">
        <f ca="1">IFERROR(IF(0=LEN(ReferenceData!$Z$15),"",ReferenceData!$Z$15),"")</f>
        <v>68464.218999999997</v>
      </c>
      <c r="AA15">
        <f ca="1">IFERROR(IF(0=LEN(ReferenceData!$AA$15),"",ReferenceData!$AA$15),"")</f>
        <v>62700.355000000003</v>
      </c>
      <c r="AB15">
        <f ca="1">IFERROR(IF(0=LEN(ReferenceData!$AB$15),"",ReferenceData!$AB$15),"")</f>
        <v>62457.423999999999</v>
      </c>
      <c r="AC15">
        <f ca="1">IFERROR(IF(0=LEN(ReferenceData!$AC$15),"",ReferenceData!$AC$15),"")</f>
        <v>63308.542999999998</v>
      </c>
      <c r="AD15" t="str">
        <f ca="1">IFERROR(IF(0=LEN(ReferenceData!$AD$15),"",ReferenceData!$AD$15),"")</f>
        <v/>
      </c>
      <c r="AE15" t="str">
        <f ca="1">IFERROR(IF(0=LEN(ReferenceData!$AE$15),"",ReferenceData!$AE$15),"")</f>
        <v/>
      </c>
      <c r="AF15" t="str">
        <f ca="1">IFERROR(IF(0=LEN(ReferenceData!$AF$15),"",ReferenceData!$AF$15),"")</f>
        <v/>
      </c>
      <c r="AG15" t="str">
        <f ca="1">IFERROR(IF(0=LEN(ReferenceData!$AG$15),"",ReferenceData!$AG$15),"")</f>
        <v/>
      </c>
      <c r="AH15" t="str">
        <f ca="1">IFERROR(IF(0=LEN(ReferenceData!$AH$15),"",ReferenceData!$AH$15),"")</f>
        <v/>
      </c>
      <c r="AI15" t="str">
        <f ca="1">IFERROR(IF(0=LEN(ReferenceData!$AI$15),"",ReferenceData!$AI$15),"")</f>
        <v/>
      </c>
      <c r="AJ15" t="str">
        <f ca="1">IFERROR(IF(0=LEN(ReferenceData!$AJ$15),"",ReferenceData!$AJ$15),"")</f>
        <v/>
      </c>
      <c r="AK15" t="str">
        <f ca="1">IFERROR(IF(0=LEN(ReferenceData!$AK$15),"",ReferenceData!$AK$15),"")</f>
        <v/>
      </c>
      <c r="AL15" t="str">
        <f ca="1">IFERROR(IF(0=LEN(ReferenceData!$AL$15),"",ReferenceData!$AL$15),"")</f>
        <v/>
      </c>
    </row>
    <row r="16" spans="1:38" x14ac:dyDescent="0.25">
      <c r="A16" t="str">
        <f>IFERROR(IF(0=LEN(ReferenceData!$A$16),"",ReferenceData!$A$16),"")</f>
        <v xml:space="preserve">        M&amp;T Bank Corp</v>
      </c>
      <c r="B16" t="str">
        <f>IFERROR(IF(0=LEN(ReferenceData!$B$16),"",ReferenceData!$B$16),"")</f>
        <v>MTB US Equity</v>
      </c>
      <c r="C16" t="str">
        <f>IFERROR(IF(0=LEN(ReferenceData!$C$16),"",ReferenceData!$C$16),"")</f>
        <v>FY421</v>
      </c>
      <c r="D16" t="str">
        <f>IFERROR(IF(0=LEN(ReferenceData!$D$16),"",ReferenceData!$D$16),"")</f>
        <v>FED_TOTAL_CONSOLIDATED_LOANS</v>
      </c>
      <c r="E16" t="str">
        <f>IFERROR(IF(0=LEN(ReferenceData!$E$16),"",ReferenceData!$E$16),"")</f>
        <v>Dynamic</v>
      </c>
      <c r="F16">
        <f ca="1">IFERROR(IF(0=LEN(ReferenceData!$F$16),"",ReferenceData!$F$16),"")</f>
        <v>135670.929</v>
      </c>
      <c r="G16">
        <f ca="1">IFERROR(IF(0=LEN(ReferenceData!$G$16),"",ReferenceData!$G$16),"")</f>
        <v>134180.28599999999</v>
      </c>
      <c r="H16">
        <f ca="1">IFERROR(IF(0=LEN(ReferenceData!$H$16),"",ReferenceData!$H$16),"")</f>
        <v>131641.014</v>
      </c>
      <c r="I16">
        <f ca="1">IFERROR(IF(0=LEN(ReferenceData!$I$16),"",ReferenceData!$I$16),"")</f>
        <v>92912.452000000005</v>
      </c>
      <c r="J16">
        <f ca="1">IFERROR(IF(0=LEN(ReferenceData!$J$16),"",ReferenceData!$J$16),"")</f>
        <v>98535.866999999998</v>
      </c>
      <c r="K16">
        <f ca="1">IFERROR(IF(0=LEN(ReferenceData!$K$16),"",ReferenceData!$K$16),"")</f>
        <v>90922.869000000006</v>
      </c>
      <c r="L16">
        <f ca="1">IFERROR(IF(0=LEN(ReferenceData!$L$16),"",ReferenceData!$L$16),"")</f>
        <v>88466.476999999999</v>
      </c>
      <c r="M16">
        <f ca="1">IFERROR(IF(0=LEN(ReferenceData!$M$16),"",ReferenceData!$M$16),"")</f>
        <v>87988.982999999993</v>
      </c>
      <c r="N16">
        <f ca="1">IFERROR(IF(0=LEN(ReferenceData!$N$16),"",ReferenceData!$N$16),"")</f>
        <v>90853.415999999997</v>
      </c>
      <c r="O16">
        <f ca="1">IFERROR(IF(0=LEN(ReferenceData!$O$16),"",ReferenceData!$O$16),"")</f>
        <v>87489.498999999996</v>
      </c>
      <c r="P16">
        <f ca="1">IFERROR(IF(0=LEN(ReferenceData!$P$16),"",ReferenceData!$P$16),"")</f>
        <v>66670.645000000004</v>
      </c>
      <c r="Q16">
        <f ca="1">IFERROR(IF(0=LEN(ReferenceData!$Q$16),"",ReferenceData!$Q$16),"")</f>
        <v>64073.159</v>
      </c>
      <c r="R16">
        <f ca="1">IFERROR(IF(0=LEN(ReferenceData!$R$16),"",ReferenceData!$R$16),"")</f>
        <v>66570.956999999995</v>
      </c>
      <c r="S16">
        <f ca="1">IFERROR(IF(0=LEN(ReferenceData!$S$16),"",ReferenceData!$S$16),"")</f>
        <v>60096.004999999997</v>
      </c>
      <c r="T16">
        <f ca="1">IFERROR(IF(0=LEN(ReferenceData!$T$16),"",ReferenceData!$T$16),"")</f>
        <v>51990.381999999998</v>
      </c>
      <c r="U16">
        <f ca="1">IFERROR(IF(0=LEN(ReferenceData!$U$16),"",ReferenceData!$U$16),"")</f>
        <v>51936.686000000002</v>
      </c>
      <c r="V16">
        <f ca="1">IFERROR(IF(0=LEN(ReferenceData!$V$16),"",ReferenceData!$V$16),"")</f>
        <v>49000.463000000003</v>
      </c>
      <c r="W16">
        <f ca="1">IFERROR(IF(0=LEN(ReferenceData!$W$16),"",ReferenceData!$W$16),"")</f>
        <v>48021.561999999998</v>
      </c>
      <c r="X16">
        <f ca="1">IFERROR(IF(0=LEN(ReferenceData!$X$16),"",ReferenceData!$X$16),"")</f>
        <v>42947.296999999999</v>
      </c>
      <c r="Y16">
        <f ca="1">IFERROR(IF(0=LEN(ReferenceData!$Y$16),"",ReferenceData!$Y$16),"")</f>
        <v>40330.644999999997</v>
      </c>
      <c r="Z16">
        <f ca="1">IFERROR(IF(0=LEN(ReferenceData!$Z$16),"",ReferenceData!$Z$16),"")</f>
        <v>38398.476999999999</v>
      </c>
      <c r="AA16">
        <f ca="1">IFERROR(IF(0=LEN(ReferenceData!$AA$16),"",ReferenceData!$AA$16),"")</f>
        <v>35769.99</v>
      </c>
      <c r="AB16">
        <f ca="1">IFERROR(IF(0=LEN(ReferenceData!$AB$16),"",ReferenceData!$AB$16),"")</f>
        <v>25727.784</v>
      </c>
      <c r="AC16">
        <f ca="1">IFERROR(IF(0=LEN(ReferenceData!$AC$16),"",ReferenceData!$AC$16),"")</f>
        <v>25187.759999999998</v>
      </c>
      <c r="AD16" t="str">
        <f ca="1">IFERROR(IF(0=LEN(ReferenceData!$AD$16),"",ReferenceData!$AD$16),"")</f>
        <v/>
      </c>
      <c r="AE16" t="str">
        <f ca="1">IFERROR(IF(0=LEN(ReferenceData!$AE$16),"",ReferenceData!$AE$16),"")</f>
        <v/>
      </c>
      <c r="AF16" t="str">
        <f ca="1">IFERROR(IF(0=LEN(ReferenceData!$AF$16),"",ReferenceData!$AF$16),"")</f>
        <v/>
      </c>
      <c r="AG16" t="str">
        <f ca="1">IFERROR(IF(0=LEN(ReferenceData!$AG$16),"",ReferenceData!$AG$16),"")</f>
        <v/>
      </c>
      <c r="AH16" t="str">
        <f ca="1">IFERROR(IF(0=LEN(ReferenceData!$AH$16),"",ReferenceData!$AH$16),"")</f>
        <v/>
      </c>
      <c r="AI16" t="str">
        <f ca="1">IFERROR(IF(0=LEN(ReferenceData!$AI$16),"",ReferenceData!$AI$16),"")</f>
        <v/>
      </c>
      <c r="AJ16" t="str">
        <f ca="1">IFERROR(IF(0=LEN(ReferenceData!$AJ$16),"",ReferenceData!$AJ$16),"")</f>
        <v/>
      </c>
      <c r="AK16" t="str">
        <f ca="1">IFERROR(IF(0=LEN(ReferenceData!$AK$16),"",ReferenceData!$AK$16),"")</f>
        <v/>
      </c>
      <c r="AL16" t="str">
        <f ca="1">IFERROR(IF(0=LEN(ReferenceData!$AL$16),"",ReferenceData!$AL$16),"")</f>
        <v/>
      </c>
    </row>
    <row r="17" spans="1:38" x14ac:dyDescent="0.25">
      <c r="A17" t="str">
        <f>IFERROR(IF(0=LEN(ReferenceData!$A$17),"",ReferenceData!$A$17),"")</f>
        <v xml:space="preserve">        PNC Financial Services Group I</v>
      </c>
      <c r="B17" t="str">
        <f>IFERROR(IF(0=LEN(ReferenceData!$B$17),"",ReferenceData!$B$17),"")</f>
        <v>PNC US Equity</v>
      </c>
      <c r="C17" t="str">
        <f>IFERROR(IF(0=LEN(ReferenceData!$C$17),"",ReferenceData!$C$17),"")</f>
        <v>FY421</v>
      </c>
      <c r="D17" t="str">
        <f>IFERROR(IF(0=LEN(ReferenceData!$D$17),"",ReferenceData!$D$17),"")</f>
        <v>FED_TOTAL_CONSOLIDATED_LOANS</v>
      </c>
      <c r="E17" t="str">
        <f>IFERROR(IF(0=LEN(ReferenceData!$E$17),"",ReferenceData!$E$17),"")</f>
        <v>Dynamic</v>
      </c>
      <c r="F17" t="str">
        <f ca="1">IFERROR(IF(0=LEN(ReferenceData!$F$17),"",ReferenceData!$F$17),"")</f>
        <v/>
      </c>
      <c r="G17">
        <f ca="1">IFERROR(IF(0=LEN(ReferenceData!$G$17),"",ReferenceData!$G$17),"")</f>
        <v>322261.788</v>
      </c>
      <c r="H17">
        <f ca="1">IFERROR(IF(0=LEN(ReferenceData!$H$17),"",ReferenceData!$H$17),"")</f>
        <v>327053.75099999999</v>
      </c>
      <c r="I17">
        <f ca="1">IFERROR(IF(0=LEN(ReferenceData!$I$17),"",ReferenceData!$I$17),"")</f>
        <v>290631.40999999997</v>
      </c>
      <c r="J17">
        <f ca="1">IFERROR(IF(0=LEN(ReferenceData!$J$17),"",ReferenceData!$J$17),"")</f>
        <v>243539.557</v>
      </c>
      <c r="K17">
        <f ca="1">IFERROR(IF(0=LEN(ReferenceData!$K$17),"",ReferenceData!$K$17),"")</f>
        <v>240934.98499999999</v>
      </c>
      <c r="L17">
        <f ca="1">IFERROR(IF(0=LEN(ReferenceData!$L$17),"",ReferenceData!$L$17),"")</f>
        <v>227171.36600000001</v>
      </c>
      <c r="M17">
        <f ca="1">IFERROR(IF(0=LEN(ReferenceData!$M$17),"",ReferenceData!$M$17),"")</f>
        <v>223031.674</v>
      </c>
      <c r="N17">
        <f ca="1">IFERROR(IF(0=LEN(ReferenceData!$N$17),"",ReferenceData!$N$17),"")</f>
        <v>213283.99900000001</v>
      </c>
      <c r="O17">
        <f ca="1">IFERROR(IF(0=LEN(ReferenceData!$O$17),"",ReferenceData!$O$17),"")</f>
        <v>208224.43</v>
      </c>
      <c r="P17">
        <f ca="1">IFERROR(IF(0=LEN(ReferenceData!$P$17),"",ReferenceData!$P$17),"")</f>
        <v>207210.01699999999</v>
      </c>
      <c r="Q17">
        <f ca="1">IFERROR(IF(0=LEN(ReferenceData!$Q$17),"",ReferenceData!$Q$17),"")</f>
        <v>198139.875</v>
      </c>
      <c r="R17">
        <f ca="1">IFERROR(IF(0=LEN(ReferenceData!$R$17),"",ReferenceData!$R$17),"")</f>
        <v>189707.74799999999</v>
      </c>
      <c r="S17">
        <f ca="1">IFERROR(IF(0=LEN(ReferenceData!$S$17),"",ReferenceData!$S$17),"")</f>
        <v>162161.084</v>
      </c>
      <c r="T17">
        <f ca="1">IFERROR(IF(0=LEN(ReferenceData!$T$17),"",ReferenceData!$T$17),"")</f>
        <v>154199.71900000001</v>
      </c>
      <c r="U17">
        <f ca="1">IFERROR(IF(0=LEN(ReferenceData!$U$17),"",ReferenceData!$U$17),"")</f>
        <v>160139.21400000001</v>
      </c>
      <c r="V17">
        <f ca="1">IFERROR(IF(0=LEN(ReferenceData!$V$17),"",ReferenceData!$V$17),"")</f>
        <v>179903.595</v>
      </c>
      <c r="W17">
        <f ca="1">IFERROR(IF(0=LEN(ReferenceData!$W$17),"",ReferenceData!$W$17),"")</f>
        <v>72300.256999999998</v>
      </c>
      <c r="X17">
        <f ca="1">IFERROR(IF(0=LEN(ReferenceData!$X$17),"",ReferenceData!$X$17),"")</f>
        <v>52512.7</v>
      </c>
      <c r="Y17">
        <f ca="1">IFERROR(IF(0=LEN(ReferenceData!$Y$17),"",ReferenceData!$Y$17),"")</f>
        <v>51566.093000000001</v>
      </c>
      <c r="Z17">
        <f ca="1">IFERROR(IF(0=LEN(ReferenceData!$Z$17),"",ReferenceData!$Z$17),"")</f>
        <v>45185.71</v>
      </c>
      <c r="AA17">
        <f ca="1">IFERROR(IF(0=LEN(ReferenceData!$AA$17),"",ReferenceData!$AA$17),"")</f>
        <v>35507.603999999999</v>
      </c>
      <c r="AB17">
        <f ca="1">IFERROR(IF(0=LEN(ReferenceData!$AB$17),"",ReferenceData!$AB$17),"")</f>
        <v>37089.307999999997</v>
      </c>
      <c r="AC17">
        <f ca="1">IFERROR(IF(0=LEN(ReferenceData!$AC$17),"",ReferenceData!$AC$17),"")</f>
        <v>42152.595000000001</v>
      </c>
      <c r="AD17" t="str">
        <f ca="1">IFERROR(IF(0=LEN(ReferenceData!$AD$17),"",ReferenceData!$AD$17),"")</f>
        <v/>
      </c>
      <c r="AE17" t="str">
        <f ca="1">IFERROR(IF(0=LEN(ReferenceData!$AE$17),"",ReferenceData!$AE$17),"")</f>
        <v/>
      </c>
      <c r="AF17" t="str">
        <f ca="1">IFERROR(IF(0=LEN(ReferenceData!$AF$17),"",ReferenceData!$AF$17),"")</f>
        <v/>
      </c>
      <c r="AG17" t="str">
        <f ca="1">IFERROR(IF(0=LEN(ReferenceData!$AG$17),"",ReferenceData!$AG$17),"")</f>
        <v/>
      </c>
      <c r="AH17" t="str">
        <f ca="1">IFERROR(IF(0=LEN(ReferenceData!$AH$17),"",ReferenceData!$AH$17),"")</f>
        <v/>
      </c>
      <c r="AI17" t="str">
        <f ca="1">IFERROR(IF(0=LEN(ReferenceData!$AI$17),"",ReferenceData!$AI$17),"")</f>
        <v/>
      </c>
      <c r="AJ17" t="str">
        <f ca="1">IFERROR(IF(0=LEN(ReferenceData!$AJ$17),"",ReferenceData!$AJ$17),"")</f>
        <v/>
      </c>
      <c r="AK17" t="str">
        <f ca="1">IFERROR(IF(0=LEN(ReferenceData!$AK$17),"",ReferenceData!$AK$17),"")</f>
        <v/>
      </c>
      <c r="AL17" t="str">
        <f ca="1">IFERROR(IF(0=LEN(ReferenceData!$AL$17),"",ReferenceData!$AL$17),"")</f>
        <v/>
      </c>
    </row>
    <row r="18" spans="1:38" x14ac:dyDescent="0.25">
      <c r="A18" t="str">
        <f>IFERROR(IF(0=LEN(ReferenceData!$A$18),"",ReferenceData!$A$18),"")</f>
        <v xml:space="preserve">        Regions Financial Corp</v>
      </c>
      <c r="B18" t="str">
        <f>IFERROR(IF(0=LEN(ReferenceData!$B$18),"",ReferenceData!$B$18),"")</f>
        <v>RF US Equity</v>
      </c>
      <c r="C18" t="str">
        <f>IFERROR(IF(0=LEN(ReferenceData!$C$18),"",ReferenceData!$C$18),"")</f>
        <v>FY421</v>
      </c>
      <c r="D18" t="str">
        <f>IFERROR(IF(0=LEN(ReferenceData!$D$18),"",ReferenceData!$D$18),"")</f>
        <v>FED_TOTAL_CONSOLIDATED_LOANS</v>
      </c>
      <c r="E18" t="str">
        <f>IFERROR(IF(0=LEN(ReferenceData!$E$18),"",ReferenceData!$E$18),"")</f>
        <v>Dynamic</v>
      </c>
      <c r="F18" t="str">
        <f ca="1">IFERROR(IF(0=LEN(ReferenceData!$F$18),"",ReferenceData!$F$18),"")</f>
        <v/>
      </c>
      <c r="G18">
        <f ca="1">IFERROR(IF(0=LEN(ReferenceData!$G$18),"",ReferenceData!$G$18),"")</f>
        <v>98762</v>
      </c>
      <c r="H18">
        <f ca="1">IFERROR(IF(0=LEN(ReferenceData!$H$18),"",ReferenceData!$H$18),"")</f>
        <v>97347</v>
      </c>
      <c r="I18">
        <f ca="1">IFERROR(IF(0=LEN(ReferenceData!$I$18),"",ReferenceData!$I$18),"")</f>
        <v>88774</v>
      </c>
      <c r="J18">
        <f ca="1">IFERROR(IF(0=LEN(ReferenceData!$J$18),"",ReferenceData!$J$18),"")</f>
        <v>87164</v>
      </c>
      <c r="K18">
        <f ca="1">IFERROR(IF(0=LEN(ReferenceData!$K$18),"",ReferenceData!$K$18),"")</f>
        <v>83600</v>
      </c>
      <c r="L18">
        <f ca="1">IFERROR(IF(0=LEN(ReferenceData!$L$18),"",ReferenceData!$L$18),"")</f>
        <v>83456.275999999998</v>
      </c>
      <c r="M18">
        <f ca="1">IFERROR(IF(0=LEN(ReferenceData!$M$18),"",ReferenceData!$M$18),"")</f>
        <v>80295.770999999993</v>
      </c>
      <c r="N18">
        <f ca="1">IFERROR(IF(0=LEN(ReferenceData!$N$18),"",ReferenceData!$N$18),"")</f>
        <v>80812.543000000005</v>
      </c>
      <c r="O18">
        <f ca="1">IFERROR(IF(0=LEN(ReferenceData!$O$18),"",ReferenceData!$O$18),"")</f>
        <v>81610.187000000005</v>
      </c>
      <c r="P18">
        <f ca="1">IFERROR(IF(0=LEN(ReferenceData!$P$18),"",ReferenceData!$P$18),"")</f>
        <v>77848.493000000002</v>
      </c>
      <c r="Q18">
        <f ca="1">IFERROR(IF(0=LEN(ReferenceData!$Q$18),"",ReferenceData!$Q$18),"")</f>
        <v>75672.493000000002</v>
      </c>
      <c r="R18">
        <f ca="1">IFERROR(IF(0=LEN(ReferenceData!$R$18),"",ReferenceData!$R$18),"")</f>
        <v>75377.826000000001</v>
      </c>
      <c r="S18">
        <f ca="1">IFERROR(IF(0=LEN(ReferenceData!$S$18),"",ReferenceData!$S$18),"")</f>
        <v>78882.84</v>
      </c>
      <c r="T18">
        <f ca="1">IFERROR(IF(0=LEN(ReferenceData!$T$18),"",ReferenceData!$T$18),"")</f>
        <v>84415.005999999994</v>
      </c>
      <c r="U18">
        <f ca="1">IFERROR(IF(0=LEN(ReferenceData!$U$18),"",ReferenceData!$U$18),"")</f>
        <v>92243.486000000004</v>
      </c>
      <c r="V18">
        <f ca="1">IFERROR(IF(0=LEN(ReferenceData!$V$18),"",ReferenceData!$V$18),"")</f>
        <v>98859.824999999997</v>
      </c>
      <c r="W18">
        <f ca="1">IFERROR(IF(0=LEN(ReferenceData!$W$18),"",ReferenceData!$W$18),"")</f>
        <v>96236.679000000004</v>
      </c>
      <c r="X18">
        <f ca="1">IFERROR(IF(0=LEN(ReferenceData!$X$18),"",ReferenceData!$X$18),"")</f>
        <v>99784.236999999994</v>
      </c>
      <c r="Y18">
        <f ca="1">IFERROR(IF(0=LEN(ReferenceData!$Y$18),"",ReferenceData!$Y$18),"")</f>
        <v>60247.902999999998</v>
      </c>
      <c r="Z18">
        <f ca="1">IFERROR(IF(0=LEN(ReferenceData!$Z$18),"",ReferenceData!$Z$18),"")</f>
        <v>59661.050999999999</v>
      </c>
      <c r="AA18" t="str">
        <f ca="1">IFERROR(IF(0=LEN(ReferenceData!$AA$18),"",ReferenceData!$AA$18),"")</f>
        <v/>
      </c>
      <c r="AB18" t="str">
        <f ca="1">IFERROR(IF(0=LEN(ReferenceData!$AB$18),"",ReferenceData!$AB$18),"")</f>
        <v/>
      </c>
      <c r="AC18" t="str">
        <f ca="1">IFERROR(IF(0=LEN(ReferenceData!$AC$18),"",ReferenceData!$AC$18),"")</f>
        <v/>
      </c>
      <c r="AD18" t="str">
        <f ca="1">IFERROR(IF(0=LEN(ReferenceData!$AD$18),"",ReferenceData!$AD$18),"")</f>
        <v/>
      </c>
      <c r="AE18" t="str">
        <f ca="1">IFERROR(IF(0=LEN(ReferenceData!$AE$18),"",ReferenceData!$AE$18),"")</f>
        <v/>
      </c>
      <c r="AF18" t="str">
        <f ca="1">IFERROR(IF(0=LEN(ReferenceData!$AF$18),"",ReferenceData!$AF$18),"")</f>
        <v/>
      </c>
      <c r="AG18" t="str">
        <f ca="1">IFERROR(IF(0=LEN(ReferenceData!$AG$18),"",ReferenceData!$AG$18),"")</f>
        <v/>
      </c>
      <c r="AH18" t="str">
        <f ca="1">IFERROR(IF(0=LEN(ReferenceData!$AH$18),"",ReferenceData!$AH$18),"")</f>
        <v/>
      </c>
      <c r="AI18" t="str">
        <f ca="1">IFERROR(IF(0=LEN(ReferenceData!$AI$18),"",ReferenceData!$AI$18),"")</f>
        <v/>
      </c>
      <c r="AJ18" t="str">
        <f ca="1">IFERROR(IF(0=LEN(ReferenceData!$AJ$18),"",ReferenceData!$AJ$18),"")</f>
        <v/>
      </c>
      <c r="AK18" t="str">
        <f ca="1">IFERROR(IF(0=LEN(ReferenceData!$AK$18),"",ReferenceData!$AK$18),"")</f>
        <v/>
      </c>
      <c r="AL18" t="str">
        <f ca="1">IFERROR(IF(0=LEN(ReferenceData!$AL$18),"",ReferenceData!$AL$18),"")</f>
        <v/>
      </c>
    </row>
    <row r="19" spans="1:38" x14ac:dyDescent="0.25">
      <c r="A19" t="str">
        <f>IFERROR(IF(0=LEN(ReferenceData!$A$19),"",ReferenceData!$A$19),"")</f>
        <v xml:space="preserve">        Truist Financial Corp</v>
      </c>
      <c r="B19" t="str">
        <f>IFERROR(IF(0=LEN(ReferenceData!$B$19),"",ReferenceData!$B$19),"")</f>
        <v>TFC US Equity</v>
      </c>
      <c r="C19" t="str">
        <f>IFERROR(IF(0=LEN(ReferenceData!$C$19),"",ReferenceData!$C$19),"")</f>
        <v>FY421</v>
      </c>
      <c r="D19" t="str">
        <f>IFERROR(IF(0=LEN(ReferenceData!$D$19),"",ReferenceData!$D$19),"")</f>
        <v>FED_TOTAL_CONSOLIDATED_LOANS</v>
      </c>
      <c r="E19" t="str">
        <f>IFERROR(IF(0=LEN(ReferenceData!$E$19),"",ReferenceData!$E$19),"")</f>
        <v>Dynamic</v>
      </c>
      <c r="F19">
        <f ca="1">IFERROR(IF(0=LEN(ReferenceData!$F$19),"",ReferenceData!$F$19),"")</f>
        <v>307771</v>
      </c>
      <c r="G19">
        <f ca="1">IFERROR(IF(0=LEN(ReferenceData!$G$19),"",ReferenceData!$G$19),"")</f>
        <v>313341</v>
      </c>
      <c r="H19">
        <f ca="1">IFERROR(IF(0=LEN(ReferenceData!$H$19),"",ReferenceData!$H$19),"")</f>
        <v>327435</v>
      </c>
      <c r="I19">
        <f ca="1">IFERROR(IF(0=LEN(ReferenceData!$I$19),"",ReferenceData!$I$19),"")</f>
        <v>294325</v>
      </c>
      <c r="J19">
        <f ca="1">IFERROR(IF(0=LEN(ReferenceData!$J$19),"",ReferenceData!$J$19),"")</f>
        <v>305793</v>
      </c>
      <c r="K19">
        <f ca="1">IFERROR(IF(0=LEN(ReferenceData!$K$19),"",ReferenceData!$K$19),"")</f>
        <v>308215</v>
      </c>
      <c r="L19">
        <f ca="1">IFERROR(IF(0=LEN(ReferenceData!$L$19),"",ReferenceData!$L$19),"")</f>
        <v>150001</v>
      </c>
      <c r="M19">
        <f ca="1">IFERROR(IF(0=LEN(ReferenceData!$M$19),"",ReferenceData!$M$19),"")</f>
        <v>144800</v>
      </c>
      <c r="N19">
        <f ca="1">IFERROR(IF(0=LEN(ReferenceData!$N$19),"",ReferenceData!$N$19),"")</f>
        <v>145037.682</v>
      </c>
      <c r="O19">
        <f ca="1">IFERROR(IF(0=LEN(ReferenceData!$O$19),"",ReferenceData!$O$19),"")</f>
        <v>136985.883</v>
      </c>
      <c r="P19">
        <f ca="1">IFERROR(IF(0=LEN(ReferenceData!$P$19),"",ReferenceData!$P$19),"")</f>
        <v>121307.121</v>
      </c>
      <c r="Q19">
        <f ca="1">IFERROR(IF(0=LEN(ReferenceData!$Q$19),"",ReferenceData!$Q$19),"")</f>
        <v>117139.558</v>
      </c>
      <c r="R19">
        <f ca="1">IFERROR(IF(0=LEN(ReferenceData!$R$19),"",ReferenceData!$R$19),"")</f>
        <v>118364.41499999999</v>
      </c>
      <c r="S19">
        <f ca="1">IFERROR(IF(0=LEN(ReferenceData!$S$19),"",ReferenceData!$S$19),"")</f>
        <v>111204.569</v>
      </c>
      <c r="T19">
        <f ca="1">IFERROR(IF(0=LEN(ReferenceData!$T$19),"",ReferenceData!$T$19),"")</f>
        <v>107263.60400000001</v>
      </c>
      <c r="U19">
        <f ca="1">IFERROR(IF(0=LEN(ReferenceData!$U$19),"",ReferenceData!$U$19),"")</f>
        <v>106207.386</v>
      </c>
      <c r="V19">
        <f ca="1">IFERROR(IF(0=LEN(ReferenceData!$V$19),"",ReferenceData!$V$19),"")</f>
        <v>98668.626000000004</v>
      </c>
      <c r="W19">
        <f ca="1">IFERROR(IF(0=LEN(ReferenceData!$W$19),"",ReferenceData!$W$19),"")</f>
        <v>91685.698999999993</v>
      </c>
      <c r="X19">
        <f ca="1">IFERROR(IF(0=LEN(ReferenceData!$X$19),"",ReferenceData!$X$19),"")</f>
        <v>83590.937999999995</v>
      </c>
      <c r="Y19">
        <f ca="1">IFERROR(IF(0=LEN(ReferenceData!$Y$19),"",ReferenceData!$Y$19),"")</f>
        <v>75023.487999999998</v>
      </c>
      <c r="Z19">
        <f ca="1">IFERROR(IF(0=LEN(ReferenceData!$Z$19),"",ReferenceData!$Z$19),"")</f>
        <v>68162.600999999995</v>
      </c>
      <c r="AA19">
        <f ca="1">IFERROR(IF(0=LEN(ReferenceData!$AA$19),"",ReferenceData!$AA$19),"")</f>
        <v>62305.385999999999</v>
      </c>
      <c r="AB19">
        <f ca="1">IFERROR(IF(0=LEN(ReferenceData!$AB$19),"",ReferenceData!$AB$19),"")</f>
        <v>53518.012999999999</v>
      </c>
      <c r="AC19">
        <f ca="1">IFERROR(IF(0=LEN(ReferenceData!$AC$19),"",ReferenceData!$AC$19),"")</f>
        <v>47443.173000000003</v>
      </c>
      <c r="AD19" t="str">
        <f ca="1">IFERROR(IF(0=LEN(ReferenceData!$AD$19),"",ReferenceData!$AD$19),"")</f>
        <v/>
      </c>
      <c r="AE19" t="str">
        <f ca="1">IFERROR(IF(0=LEN(ReferenceData!$AE$19),"",ReferenceData!$AE$19),"")</f>
        <v/>
      </c>
      <c r="AF19" t="str">
        <f ca="1">IFERROR(IF(0=LEN(ReferenceData!$AF$19),"",ReferenceData!$AF$19),"")</f>
        <v/>
      </c>
      <c r="AG19" t="str">
        <f ca="1">IFERROR(IF(0=LEN(ReferenceData!$AG$19),"",ReferenceData!$AG$19),"")</f>
        <v/>
      </c>
      <c r="AH19" t="str">
        <f ca="1">IFERROR(IF(0=LEN(ReferenceData!$AH$19),"",ReferenceData!$AH$19),"")</f>
        <v/>
      </c>
      <c r="AI19" t="str">
        <f ca="1">IFERROR(IF(0=LEN(ReferenceData!$AI$19),"",ReferenceData!$AI$19),"")</f>
        <v/>
      </c>
      <c r="AJ19" t="str">
        <f ca="1">IFERROR(IF(0=LEN(ReferenceData!$AJ$19),"",ReferenceData!$AJ$19),"")</f>
        <v/>
      </c>
      <c r="AK19" t="str">
        <f ca="1">IFERROR(IF(0=LEN(ReferenceData!$AK$19),"",ReferenceData!$AK$19),"")</f>
        <v/>
      </c>
      <c r="AL19" t="str">
        <f ca="1">IFERROR(IF(0=LEN(ReferenceData!$AL$19),"",ReferenceData!$AL$19),"")</f>
        <v/>
      </c>
    </row>
    <row r="20" spans="1:38" x14ac:dyDescent="0.25">
      <c r="A20" t="str">
        <f>IFERROR(IF(0=LEN(ReferenceData!$A$20),"",ReferenceData!$A$20),"")</f>
        <v xml:space="preserve">        US Bancorp</v>
      </c>
      <c r="B20" t="str">
        <f>IFERROR(IF(0=LEN(ReferenceData!$B$20),"",ReferenceData!$B$20),"")</f>
        <v>USB US Equity</v>
      </c>
      <c r="C20" t="str">
        <f>IFERROR(IF(0=LEN(ReferenceData!$C$20),"",ReferenceData!$C$20),"")</f>
        <v>FY421</v>
      </c>
      <c r="D20" t="str">
        <f>IFERROR(IF(0=LEN(ReferenceData!$D$20),"",ReferenceData!$D$20),"")</f>
        <v>FED_TOTAL_CONSOLIDATED_LOANS</v>
      </c>
      <c r="E20" t="str">
        <f>IFERROR(IF(0=LEN(ReferenceData!$E$20),"",ReferenceData!$E$20),"")</f>
        <v>Dynamic</v>
      </c>
      <c r="F20">
        <f ca="1">IFERROR(IF(0=LEN(ReferenceData!$F$20),"",ReferenceData!$F$20),"")</f>
        <v>382405</v>
      </c>
      <c r="G20">
        <f ca="1">IFERROR(IF(0=LEN(ReferenceData!$G$20),"",ReferenceData!$G$20),"")</f>
        <v>376036</v>
      </c>
      <c r="H20">
        <f ca="1">IFERROR(IF(0=LEN(ReferenceData!$H$20),"",ReferenceData!$H$20),"")</f>
        <v>390413</v>
      </c>
      <c r="I20">
        <f ca="1">IFERROR(IF(0=LEN(ReferenceData!$I$20),"",ReferenceData!$I$20),"")</f>
        <v>319803</v>
      </c>
      <c r="J20">
        <f ca="1">IFERROR(IF(0=LEN(ReferenceData!$J$20),"",ReferenceData!$J$20),"")</f>
        <v>306468</v>
      </c>
      <c r="K20">
        <f ca="1">IFERROR(IF(0=LEN(ReferenceData!$K$20),"",ReferenceData!$K$20),"")</f>
        <v>301680</v>
      </c>
      <c r="L20">
        <f ca="1">IFERROR(IF(0=LEN(ReferenceData!$L$20),"",ReferenceData!$L$20),"")</f>
        <v>288774</v>
      </c>
      <c r="M20">
        <f ca="1">IFERROR(IF(0=LEN(ReferenceData!$M$20),"",ReferenceData!$M$20),"")</f>
        <v>283428</v>
      </c>
      <c r="N20">
        <f ca="1">IFERROR(IF(0=LEN(ReferenceData!$N$20),"",ReferenceData!$N$20),"")</f>
        <v>277229</v>
      </c>
      <c r="O20">
        <f ca="1">IFERROR(IF(0=LEN(ReferenceData!$O$20),"",ReferenceData!$O$20),"")</f>
        <v>263001</v>
      </c>
      <c r="P20">
        <f ca="1">IFERROR(IF(0=LEN(ReferenceData!$P$20),"",ReferenceData!$P$20),"")</f>
        <v>251468</v>
      </c>
      <c r="Q20">
        <f ca="1">IFERROR(IF(0=LEN(ReferenceData!$Q$20),"",ReferenceData!$Q$20),"")</f>
        <v>236903</v>
      </c>
      <c r="R20">
        <f ca="1">IFERROR(IF(0=LEN(ReferenceData!$R$20),"",ReferenceData!$R$20),"")</f>
        <v>230025</v>
      </c>
      <c r="S20">
        <f ca="1">IFERROR(IF(0=LEN(ReferenceData!$S$20),"",ReferenceData!$S$20),"")</f>
        <v>214465</v>
      </c>
      <c r="T20">
        <f ca="1">IFERROR(IF(0=LEN(ReferenceData!$T$20),"",ReferenceData!$T$20),"")</f>
        <v>202295</v>
      </c>
      <c r="U20">
        <f ca="1">IFERROR(IF(0=LEN(ReferenceData!$U$20),"",ReferenceData!$U$20),"")</f>
        <v>199527</v>
      </c>
      <c r="V20">
        <f ca="1">IFERROR(IF(0=LEN(ReferenceData!$V$20),"",ReferenceData!$V$20),"")</f>
        <v>188165</v>
      </c>
      <c r="W20">
        <f ca="1">IFERROR(IF(0=LEN(ReferenceData!$W$20),"",ReferenceData!$W$20),"")</f>
        <v>158646</v>
      </c>
      <c r="X20">
        <f ca="1">IFERROR(IF(0=LEN(ReferenceData!$X$20),"",ReferenceData!$X$20),"")</f>
        <v>146853</v>
      </c>
      <c r="Y20">
        <f ca="1">IFERROR(IF(0=LEN(ReferenceData!$Y$20),"",ReferenceData!$Y$20),"")</f>
        <v>139492</v>
      </c>
      <c r="Z20">
        <f ca="1">IFERROR(IF(0=LEN(ReferenceData!$Z$20),"",ReferenceData!$Z$20),"")</f>
        <v>127754</v>
      </c>
      <c r="AA20">
        <f ca="1">IFERROR(IF(0=LEN(ReferenceData!$AA$20),"",ReferenceData!$AA$20),"")</f>
        <v>119668</v>
      </c>
      <c r="AB20">
        <f ca="1">IFERROR(IF(0=LEN(ReferenceData!$AB$20),"",ReferenceData!$AB$20),"")</f>
        <v>120410</v>
      </c>
      <c r="AC20">
        <f ca="1">IFERROR(IF(0=LEN(ReferenceData!$AC$20),"",ReferenceData!$AC$20),"")</f>
        <v>117225</v>
      </c>
      <c r="AD20" t="str">
        <f ca="1">IFERROR(IF(0=LEN(ReferenceData!$AD$20),"",ReferenceData!$AD$20),"")</f>
        <v/>
      </c>
      <c r="AE20" t="str">
        <f ca="1">IFERROR(IF(0=LEN(ReferenceData!$AE$20),"",ReferenceData!$AE$20),"")</f>
        <v/>
      </c>
      <c r="AF20" t="str">
        <f ca="1">IFERROR(IF(0=LEN(ReferenceData!$AF$20),"",ReferenceData!$AF$20),"")</f>
        <v/>
      </c>
      <c r="AG20" t="str">
        <f ca="1">IFERROR(IF(0=LEN(ReferenceData!$AG$20),"",ReferenceData!$AG$20),"")</f>
        <v/>
      </c>
      <c r="AH20" t="str">
        <f ca="1">IFERROR(IF(0=LEN(ReferenceData!$AH$20),"",ReferenceData!$AH$20),"")</f>
        <v/>
      </c>
      <c r="AI20" t="str">
        <f ca="1">IFERROR(IF(0=LEN(ReferenceData!$AI$20),"",ReferenceData!$AI$20),"")</f>
        <v/>
      </c>
      <c r="AJ20" t="str">
        <f ca="1">IFERROR(IF(0=LEN(ReferenceData!$AJ$20),"",ReferenceData!$AJ$20),"")</f>
        <v/>
      </c>
      <c r="AK20" t="str">
        <f ca="1">IFERROR(IF(0=LEN(ReferenceData!$AK$20),"",ReferenceData!$AK$20),"")</f>
        <v/>
      </c>
      <c r="AL20" t="str">
        <f ca="1">IFERROR(IF(0=LEN(ReferenceData!$AL$20),"",ReferenceData!$AL$20),"")</f>
        <v/>
      </c>
    </row>
    <row r="21" spans="1:38" x14ac:dyDescent="0.25">
      <c r="A21" t="str">
        <f>IFERROR(IF(0=LEN(ReferenceData!$A$21),"",ReferenceData!$A$21),"")</f>
        <v xml:space="preserve">        Wells Fargo &amp; Co</v>
      </c>
      <c r="B21" t="str">
        <f>IFERROR(IF(0=LEN(ReferenceData!$B$21),"",ReferenceData!$B$21),"")</f>
        <v>WFC US Equity</v>
      </c>
      <c r="C21" t="str">
        <f>IFERROR(IF(0=LEN(ReferenceData!$C$21),"",ReferenceData!$C$21),"")</f>
        <v>FY421</v>
      </c>
      <c r="D21" t="str">
        <f>IFERROR(IF(0=LEN(ReferenceData!$D$21),"",ReferenceData!$D$21),"")</f>
        <v>FED_TOTAL_CONSOLIDATED_LOANS</v>
      </c>
      <c r="E21" t="str">
        <f>IFERROR(IF(0=LEN(ReferenceData!$E$21),"",ReferenceData!$E$21),"")</f>
        <v>Dynamic</v>
      </c>
      <c r="F21">
        <f ca="1">IFERROR(IF(0=LEN(ReferenceData!$F$21),"",ReferenceData!$F$21),"")</f>
        <v>915418</v>
      </c>
      <c r="G21">
        <f ca="1">IFERROR(IF(0=LEN(ReferenceData!$G$21),"",ReferenceData!$G$21),"")</f>
        <v>939825</v>
      </c>
      <c r="H21">
        <f ca="1">IFERROR(IF(0=LEN(ReferenceData!$H$21),"",ReferenceData!$H$21),"")</f>
        <v>961509</v>
      </c>
      <c r="I21">
        <f ca="1">IFERROR(IF(0=LEN(ReferenceData!$I$21),"",ReferenceData!$I$21),"")</f>
        <v>915502</v>
      </c>
      <c r="J21">
        <f ca="1">IFERROR(IF(0=LEN(ReferenceData!$J$21),"",ReferenceData!$J$21),"")</f>
        <v>925396</v>
      </c>
      <c r="K21">
        <f ca="1">IFERROR(IF(0=LEN(ReferenceData!$K$21),"",ReferenceData!$K$21),"")</f>
        <v>982778</v>
      </c>
      <c r="L21">
        <f ca="1">IFERROR(IF(0=LEN(ReferenceData!$L$21),"",ReferenceData!$L$21),"")</f>
        <v>964844</v>
      </c>
      <c r="M21">
        <f ca="1">IFERROR(IF(0=LEN(ReferenceData!$M$21),"",ReferenceData!$M$21),"")</f>
        <v>972838</v>
      </c>
      <c r="N21">
        <f ca="1">IFERROR(IF(0=LEN(ReferenceData!$N$21),"",ReferenceData!$N$21),"")</f>
        <v>988774</v>
      </c>
      <c r="O21">
        <f ca="1">IFERROR(IF(0=LEN(ReferenceData!$O$21),"",ReferenceData!$O$21),"")</f>
        <v>931918</v>
      </c>
      <c r="P21">
        <f ca="1">IFERROR(IF(0=LEN(ReferenceData!$P$21),"",ReferenceData!$P$21),"")</f>
        <v>877996</v>
      </c>
      <c r="Q21">
        <f ca="1">IFERROR(IF(0=LEN(ReferenceData!$Q$21),"",ReferenceData!$Q$21),"")</f>
        <v>839988</v>
      </c>
      <c r="R21">
        <f ca="1">IFERROR(IF(0=LEN(ReferenceData!$R$21),"",ReferenceData!$R$21),"")</f>
        <v>841894</v>
      </c>
      <c r="S21">
        <f ca="1">IFERROR(IF(0=LEN(ReferenceData!$S$21),"",ReferenceData!$S$21),"")</f>
        <v>819326</v>
      </c>
      <c r="T21">
        <f ca="1">IFERROR(IF(0=LEN(ReferenceData!$T$21),"",ReferenceData!$T$21),"")</f>
        <v>811320</v>
      </c>
      <c r="U21">
        <f ca="1">IFERROR(IF(0=LEN(ReferenceData!$U$21),"",ReferenceData!$U$21),"")</f>
        <v>827597</v>
      </c>
      <c r="V21">
        <f ca="1">IFERROR(IF(0=LEN(ReferenceData!$V$21),"",ReferenceData!$V$21),"")</f>
        <v>891156</v>
      </c>
      <c r="W21">
        <f ca="1">IFERROR(IF(0=LEN(ReferenceData!$W$21),"",ReferenceData!$W$21),"")</f>
        <v>409958</v>
      </c>
      <c r="X21">
        <f ca="1">IFERROR(IF(0=LEN(ReferenceData!$X$21),"",ReferenceData!$X$21),"")</f>
        <v>354934</v>
      </c>
      <c r="Y21">
        <f ca="1">IFERROR(IF(0=LEN(ReferenceData!$Y$21),"",ReferenceData!$Y$21),"")</f>
        <v>351983</v>
      </c>
      <c r="Z21">
        <f ca="1">IFERROR(IF(0=LEN(ReferenceData!$Z$21),"",ReferenceData!$Z$21),"")</f>
        <v>326048</v>
      </c>
      <c r="AA21">
        <f ca="1">IFERROR(IF(0=LEN(ReferenceData!$AA$21),"",ReferenceData!$AA$21),"")</f>
        <v>289597</v>
      </c>
      <c r="AB21">
        <f ca="1">IFERROR(IF(0=LEN(ReferenceData!$AB$21),"",ReferenceData!$AB$21),"")</f>
        <v>254453</v>
      </c>
      <c r="AC21">
        <f ca="1">IFERROR(IF(0=LEN(ReferenceData!$AC$21),"",ReferenceData!$AC$21),"")</f>
        <v>207649</v>
      </c>
      <c r="AD21" t="str">
        <f ca="1">IFERROR(IF(0=LEN(ReferenceData!$AD$21),"",ReferenceData!$AD$21),"")</f>
        <v/>
      </c>
      <c r="AE21" t="str">
        <f ca="1">IFERROR(IF(0=LEN(ReferenceData!$AE$21),"",ReferenceData!$AE$21),"")</f>
        <v/>
      </c>
      <c r="AF21" t="str">
        <f ca="1">IFERROR(IF(0=LEN(ReferenceData!$AF$21),"",ReferenceData!$AF$21),"")</f>
        <v/>
      </c>
      <c r="AG21" t="str">
        <f ca="1">IFERROR(IF(0=LEN(ReferenceData!$AG$21),"",ReferenceData!$AG$21),"")</f>
        <v/>
      </c>
      <c r="AH21" t="str">
        <f ca="1">IFERROR(IF(0=LEN(ReferenceData!$AH$21),"",ReferenceData!$AH$21),"")</f>
        <v/>
      </c>
      <c r="AI21" t="str">
        <f ca="1">IFERROR(IF(0=LEN(ReferenceData!$AI$21),"",ReferenceData!$AI$21),"")</f>
        <v/>
      </c>
      <c r="AJ21" t="str">
        <f ca="1">IFERROR(IF(0=LEN(ReferenceData!$AJ$21),"",ReferenceData!$AJ$21),"")</f>
        <v/>
      </c>
      <c r="AK21" t="str">
        <f ca="1">IFERROR(IF(0=LEN(ReferenceData!$AK$21),"",ReferenceData!$AK$21),"")</f>
        <v/>
      </c>
      <c r="AL21" t="str">
        <f ca="1">IFERROR(IF(0=LEN(ReferenceData!$AL$21),"",ReferenceData!$AL$21),"")</f>
        <v/>
      </c>
    </row>
    <row r="22" spans="1:38" x14ac:dyDescent="0.25">
      <c r="A22" t="str">
        <f>IFERROR(IF(0=LEN(ReferenceData!$A$22),"",ReferenceData!$A$22),"")</f>
        <v xml:space="preserve">        Western Alliance Bancorp</v>
      </c>
      <c r="B22" t="str">
        <f>IFERROR(IF(0=LEN(ReferenceData!$B$22),"",ReferenceData!$B$22),"")</f>
        <v>WAL US Equity</v>
      </c>
      <c r="C22" t="str">
        <f>IFERROR(IF(0=LEN(ReferenceData!$C$22),"",ReferenceData!$C$22),"")</f>
        <v>FY421</v>
      </c>
      <c r="D22" t="str">
        <f>IFERROR(IF(0=LEN(ReferenceData!$D$22),"",ReferenceData!$D$22),"")</f>
        <v>FED_TOTAL_CONSOLIDATED_LOANS</v>
      </c>
      <c r="E22" t="str">
        <f>IFERROR(IF(0=LEN(ReferenceData!$E$22),"",ReferenceData!$E$22),"")</f>
        <v>Dynamic</v>
      </c>
      <c r="F22" t="str">
        <f ca="1">IFERROR(IF(0=LEN(ReferenceData!$F$22),"",ReferenceData!$F$22),"")</f>
        <v/>
      </c>
      <c r="G22">
        <f ca="1">IFERROR(IF(0=LEN(ReferenceData!$G$22),"",ReferenceData!$G$22),"")</f>
        <v>51901.440999999999</v>
      </c>
      <c r="H22">
        <f ca="1">IFERROR(IF(0=LEN(ReferenceData!$H$22),"",ReferenceData!$H$22),"")</f>
        <v>53570.339</v>
      </c>
      <c r="I22">
        <f ca="1">IFERROR(IF(0=LEN(ReferenceData!$I$22),"",ReferenceData!$I$22),"")</f>
        <v>44716.853999999999</v>
      </c>
      <c r="J22">
        <f ca="1">IFERROR(IF(0=LEN(ReferenceData!$J$22),"",ReferenceData!$J$22),"")</f>
        <v>27053.018</v>
      </c>
      <c r="K22">
        <f ca="1">IFERROR(IF(0=LEN(ReferenceData!$K$22),"",ReferenceData!$K$22),"")</f>
        <v>21123.295999999998</v>
      </c>
      <c r="L22">
        <f ca="1">IFERROR(IF(0=LEN(ReferenceData!$L$22),"",ReferenceData!$L$22),"")</f>
        <v>17710.629000000001</v>
      </c>
      <c r="M22">
        <f ca="1">IFERROR(IF(0=LEN(ReferenceData!$M$22),"",ReferenceData!$M$22),"")</f>
        <v>15093.934999999999</v>
      </c>
      <c r="N22">
        <f ca="1">IFERROR(IF(0=LEN(ReferenceData!$N$22),"",ReferenceData!$N$22),"")</f>
        <v>13208.436</v>
      </c>
      <c r="O22">
        <f ca="1">IFERROR(IF(0=LEN(ReferenceData!$O$22),"",ReferenceData!$O$22),"")</f>
        <v>11136.663</v>
      </c>
      <c r="P22">
        <f ca="1">IFERROR(IF(0=LEN(ReferenceData!$P$22),"",ReferenceData!$P$22),"")</f>
        <v>8398.2649999999994</v>
      </c>
      <c r="Q22">
        <f ca="1">IFERROR(IF(0=LEN(ReferenceData!$Q$22),"",ReferenceData!$Q$22),"")</f>
        <v>6801.415</v>
      </c>
      <c r="R22">
        <f ca="1">IFERROR(IF(0=LEN(ReferenceData!$R$22),"",ReferenceData!$R$22),"")</f>
        <v>5709.3180000000002</v>
      </c>
      <c r="S22">
        <f ca="1">IFERROR(IF(0=LEN(ReferenceData!$S$22),"",ReferenceData!$S$22),"")</f>
        <v>4780.0690000000004</v>
      </c>
      <c r="T22">
        <f ca="1">IFERROR(IF(0=LEN(ReferenceData!$T$22),"",ReferenceData!$T$22),"")</f>
        <v>4240.5420000000004</v>
      </c>
      <c r="U22">
        <f ca="1">IFERROR(IF(0=LEN(ReferenceData!$U$22),"",ReferenceData!$U$22),"")</f>
        <v>4079.6379999999999</v>
      </c>
      <c r="V22">
        <f ca="1">IFERROR(IF(0=LEN(ReferenceData!$V$22),"",ReferenceData!$V$22),"")</f>
        <v>4095.915</v>
      </c>
      <c r="W22">
        <f ca="1">IFERROR(IF(0=LEN(ReferenceData!$W$22),"",ReferenceData!$W$22),"")</f>
        <v>3633.009</v>
      </c>
      <c r="X22">
        <f ca="1">IFERROR(IF(0=LEN(ReferenceData!$X$22),"",ReferenceData!$X$22),"")</f>
        <v>3003.2220000000002</v>
      </c>
      <c r="Y22">
        <f ca="1">IFERROR(IF(0=LEN(ReferenceData!$Y$22),"",ReferenceData!$Y$22),"")</f>
        <v>1793.337</v>
      </c>
      <c r="Z22">
        <f ca="1">IFERROR(IF(0=LEN(ReferenceData!$Z$22),"",ReferenceData!$Z$22),"")</f>
        <v>1188.5350000000001</v>
      </c>
      <c r="AA22">
        <f ca="1">IFERROR(IF(0=LEN(ReferenceData!$AA$22),"",ReferenceData!$AA$22),"")</f>
        <v>733.077</v>
      </c>
      <c r="AB22">
        <f ca="1">IFERROR(IF(0=LEN(ReferenceData!$AB$22),"",ReferenceData!$AB$22),"")</f>
        <v>464.35500000000002</v>
      </c>
      <c r="AC22">
        <f ca="1">IFERROR(IF(0=LEN(ReferenceData!$AC$22),"",ReferenceData!$AC$22),"")</f>
        <v>407.19200000000001</v>
      </c>
      <c r="AD22" t="str">
        <f ca="1">IFERROR(IF(0=LEN(ReferenceData!$AD$22),"",ReferenceData!$AD$22),"")</f>
        <v/>
      </c>
      <c r="AE22" t="str">
        <f ca="1">IFERROR(IF(0=LEN(ReferenceData!$AE$22),"",ReferenceData!$AE$22),"")</f>
        <v/>
      </c>
      <c r="AF22" t="str">
        <f ca="1">IFERROR(IF(0=LEN(ReferenceData!$AF$22),"",ReferenceData!$AF$22),"")</f>
        <v/>
      </c>
      <c r="AG22" t="str">
        <f ca="1">IFERROR(IF(0=LEN(ReferenceData!$AG$22),"",ReferenceData!$AG$22),"")</f>
        <v/>
      </c>
      <c r="AH22" t="str">
        <f ca="1">IFERROR(IF(0=LEN(ReferenceData!$AH$22),"",ReferenceData!$AH$22),"")</f>
        <v/>
      </c>
      <c r="AI22" t="str">
        <f ca="1">IFERROR(IF(0=LEN(ReferenceData!$AI$22),"",ReferenceData!$AI$22),"")</f>
        <v/>
      </c>
      <c r="AJ22" t="str">
        <f ca="1">IFERROR(IF(0=LEN(ReferenceData!$AJ$22),"",ReferenceData!$AJ$22),"")</f>
        <v/>
      </c>
      <c r="AK22" t="str">
        <f ca="1">IFERROR(IF(0=LEN(ReferenceData!$AK$22),"",ReferenceData!$AK$22),"")</f>
        <v/>
      </c>
      <c r="AL22" t="str">
        <f ca="1">IFERROR(IF(0=LEN(ReferenceData!$AL$22),"",ReferenceData!$AL$22),"")</f>
        <v/>
      </c>
    </row>
    <row r="23" spans="1:38" x14ac:dyDescent="0.25">
      <c r="A23" t="str">
        <f>IFERROR(IF(0=LEN(ReferenceData!$A$23),"",ReferenceData!$A$23),"")</f>
        <v xml:space="preserve">        Zions Bancorp NA</v>
      </c>
      <c r="B23" t="str">
        <f>IFERROR(IF(0=LEN(ReferenceData!$B$23),"",ReferenceData!$B$23),"")</f>
        <v>ZION US Equity</v>
      </c>
      <c r="C23" t="str">
        <f>IFERROR(IF(0=LEN(ReferenceData!$C$23),"",ReferenceData!$C$23),"")</f>
        <v>FY421</v>
      </c>
      <c r="D23" t="str">
        <f>IFERROR(IF(0=LEN(ReferenceData!$D$23),"",ReferenceData!$D$23),"")</f>
        <v>FED_TOTAL_CONSOLIDATED_LOANS</v>
      </c>
      <c r="E23" t="str">
        <f>IFERROR(IF(0=LEN(ReferenceData!$E$23),"",ReferenceData!$E$23),"")</f>
        <v>Dynamic</v>
      </c>
      <c r="F23" t="str">
        <f ca="1">IFERROR(IF(0=LEN(ReferenceData!$F$23),"",ReferenceData!$F$23),"")</f>
        <v/>
      </c>
      <c r="G23" t="str">
        <f ca="1">IFERROR(IF(0=LEN(ReferenceData!$G$23),"",ReferenceData!$G$23),"")</f>
        <v/>
      </c>
      <c r="H23" t="str">
        <f ca="1">IFERROR(IF(0=LEN(ReferenceData!$H$23),"",ReferenceData!$H$23),"")</f>
        <v/>
      </c>
      <c r="I23" t="str">
        <f ca="1">IFERROR(IF(0=LEN(ReferenceData!$I$23),"",ReferenceData!$I$23),"")</f>
        <v/>
      </c>
      <c r="J23" t="str">
        <f ca="1">IFERROR(IF(0=LEN(ReferenceData!$J$23),"",ReferenceData!$J$23),"")</f>
        <v/>
      </c>
      <c r="K23" t="str">
        <f ca="1">IFERROR(IF(0=LEN(ReferenceData!$K$23),"",ReferenceData!$K$23),"")</f>
        <v/>
      </c>
      <c r="L23" t="str">
        <f ca="1">IFERROR(IF(0=LEN(ReferenceData!$L$23),"",ReferenceData!$L$23),"")</f>
        <v/>
      </c>
      <c r="M23" t="str">
        <f ca="1">IFERROR(IF(0=LEN(ReferenceData!$M$23),"",ReferenceData!$M$23),"")</f>
        <v/>
      </c>
      <c r="N23" t="str">
        <f ca="1">IFERROR(IF(0=LEN(ReferenceData!$N$23),"",ReferenceData!$N$23),"")</f>
        <v/>
      </c>
      <c r="O23" t="str">
        <f ca="1">IFERROR(IF(0=LEN(ReferenceData!$O$23),"",ReferenceData!$O$23),"")</f>
        <v/>
      </c>
      <c r="P23" t="str">
        <f ca="1">IFERROR(IF(0=LEN(ReferenceData!$P$23),"",ReferenceData!$P$23),"")</f>
        <v/>
      </c>
      <c r="Q23" t="str">
        <f ca="1">IFERROR(IF(0=LEN(ReferenceData!$Q$23),"",ReferenceData!$Q$23),"")</f>
        <v/>
      </c>
      <c r="R23" t="str">
        <f ca="1">IFERROR(IF(0=LEN(ReferenceData!$R$23),"",ReferenceData!$R$23),"")</f>
        <v/>
      </c>
      <c r="S23" t="str">
        <f ca="1">IFERROR(IF(0=LEN(ReferenceData!$S$23),"",ReferenceData!$S$23),"")</f>
        <v/>
      </c>
      <c r="T23" t="str">
        <f ca="1">IFERROR(IF(0=LEN(ReferenceData!$T$23),"",ReferenceData!$T$23),"")</f>
        <v/>
      </c>
      <c r="U23" t="str">
        <f ca="1">IFERROR(IF(0=LEN(ReferenceData!$U$23),"",ReferenceData!$U$23),"")</f>
        <v/>
      </c>
      <c r="V23" t="str">
        <f ca="1">IFERROR(IF(0=LEN(ReferenceData!$V$23),"",ReferenceData!$V$23),"")</f>
        <v/>
      </c>
      <c r="W23" t="str">
        <f ca="1">IFERROR(IF(0=LEN(ReferenceData!$W$23),"",ReferenceData!$W$23),"")</f>
        <v/>
      </c>
      <c r="X23" t="str">
        <f ca="1">IFERROR(IF(0=LEN(ReferenceData!$X$23),"",ReferenceData!$X$23),"")</f>
        <v/>
      </c>
      <c r="Y23" t="str">
        <f ca="1">IFERROR(IF(0=LEN(ReferenceData!$Y$23),"",ReferenceData!$Y$23),"")</f>
        <v/>
      </c>
      <c r="Z23" t="str">
        <f ca="1">IFERROR(IF(0=LEN(ReferenceData!$Z$23),"",ReferenceData!$Z$23),"")</f>
        <v/>
      </c>
      <c r="AA23" t="str">
        <f ca="1">IFERROR(IF(0=LEN(ReferenceData!$AA$23),"",ReferenceData!$AA$23),"")</f>
        <v/>
      </c>
      <c r="AB23" t="str">
        <f ca="1">IFERROR(IF(0=LEN(ReferenceData!$AB$23),"",ReferenceData!$AB$23),"")</f>
        <v/>
      </c>
      <c r="AC23" t="str">
        <f ca="1">IFERROR(IF(0=LEN(ReferenceData!$AC$23),"",ReferenceData!$AC$23),"")</f>
        <v/>
      </c>
      <c r="AD23" t="str">
        <f ca="1">IFERROR(IF(0=LEN(ReferenceData!$AD$23),"",ReferenceData!$AD$23),"")</f>
        <v/>
      </c>
      <c r="AE23" t="str">
        <f ca="1">IFERROR(IF(0=LEN(ReferenceData!$AE$23),"",ReferenceData!$AE$23),"")</f>
        <v/>
      </c>
      <c r="AF23" t="str">
        <f ca="1">IFERROR(IF(0=LEN(ReferenceData!$AF$23),"",ReferenceData!$AF$23),"")</f>
        <v/>
      </c>
      <c r="AG23" t="str">
        <f ca="1">IFERROR(IF(0=LEN(ReferenceData!$AG$23),"",ReferenceData!$AG$23),"")</f>
        <v/>
      </c>
      <c r="AH23" t="str">
        <f ca="1">IFERROR(IF(0=LEN(ReferenceData!$AH$23),"",ReferenceData!$AH$23),"")</f>
        <v/>
      </c>
      <c r="AI23" t="str">
        <f ca="1">IFERROR(IF(0=LEN(ReferenceData!$AI$23),"",ReferenceData!$AI$23),"")</f>
        <v/>
      </c>
      <c r="AJ23" t="str">
        <f ca="1">IFERROR(IF(0=LEN(ReferenceData!$AJ$23),"",ReferenceData!$AJ$23),"")</f>
        <v/>
      </c>
      <c r="AK23" t="str">
        <f ca="1">IFERROR(IF(0=LEN(ReferenceData!$AK$23),"",ReferenceData!$AK$23),"")</f>
        <v/>
      </c>
      <c r="AL23" t="str">
        <f ca="1">IFERROR(IF(0=LEN(ReferenceData!$AL$23),"",ReferenceData!$AL$23),"")</f>
        <v/>
      </c>
    </row>
    <row r="24" spans="1:38" x14ac:dyDescent="0.25">
      <c r="A24" t="str">
        <f>IFERROR(IF(0=LEN(ReferenceData!$A$24),"",ReferenceData!$A$24),"")</f>
        <v>US Real Estate Loans</v>
      </c>
      <c r="B24" t="str">
        <f>IFERROR(IF(0=LEN(ReferenceData!$B$24),"",ReferenceData!$B$24),"")</f>
        <v/>
      </c>
      <c r="C24" t="str">
        <f>IFERROR(IF(0=LEN(ReferenceData!$C$24),"",ReferenceData!$C$24),"")</f>
        <v/>
      </c>
      <c r="D24" t="str">
        <f>IFERROR(IF(0=LEN(ReferenceData!$D$24),"",ReferenceData!$D$24),"")</f>
        <v/>
      </c>
      <c r="E24" t="str">
        <f>IFERROR(IF(0=LEN(ReferenceData!$E$24),"",ReferenceData!$E$24),"")</f>
        <v>Expression</v>
      </c>
      <c r="F24">
        <f ca="1">IFERROR(IF(0=LEN(ReferenceData!$F$24),"",ReferenceData!$F$24),"")</f>
        <v>2100171.9139999999</v>
      </c>
      <c r="G24">
        <f ca="1">IFERROR(IF(0=LEN(ReferenceData!$G$24),"",ReferenceData!$G$24),"")</f>
        <v>2379961.4010000001</v>
      </c>
      <c r="H24">
        <f ca="1">IFERROR(IF(0=LEN(ReferenceData!$H$24),"",ReferenceData!$H$24),"")</f>
        <v>2242313.642</v>
      </c>
      <c r="I24">
        <f ca="1">IFERROR(IF(0=LEN(ReferenceData!$I$24),"",ReferenceData!$I$24),"")</f>
        <v>2056044.4750000001</v>
      </c>
      <c r="J24">
        <f ca="1">IFERROR(IF(0=LEN(ReferenceData!$J$24),"",ReferenceData!$J$24),"")</f>
        <v>2023865.5349999999</v>
      </c>
      <c r="K24">
        <f ca="1">IFERROR(IF(0=LEN(ReferenceData!$K$24),"",ReferenceData!$K$24),"")</f>
        <v>2052977.2290000001</v>
      </c>
      <c r="L24">
        <f ca="1">IFERROR(IF(0=LEN(ReferenceData!$L$24),"",ReferenceData!$L$24),"")</f>
        <v>1969914.825</v>
      </c>
      <c r="M24">
        <f ca="1">IFERROR(IF(0=LEN(ReferenceData!$M$24),"",ReferenceData!$M$24),"")</f>
        <v>1998009.0160000001</v>
      </c>
      <c r="N24">
        <f ca="1">IFERROR(IF(0=LEN(ReferenceData!$N$24),"",ReferenceData!$N$24),"")</f>
        <v>2002414.98</v>
      </c>
      <c r="O24">
        <f ca="1">IFERROR(IF(0=LEN(ReferenceData!$O$24),"",ReferenceData!$O$24),"")</f>
        <v>1934986.96</v>
      </c>
      <c r="P24">
        <f ca="1">IFERROR(IF(0=LEN(ReferenceData!$P$24),"",ReferenceData!$P$24),"")</f>
        <v>1868855.9639999999</v>
      </c>
      <c r="Q24">
        <f ca="1">IFERROR(IF(0=LEN(ReferenceData!$Q$24),"",ReferenceData!$Q$24),"")</f>
        <v>1905827.2790000001</v>
      </c>
      <c r="R24">
        <f ca="1">IFERROR(IF(0=LEN(ReferenceData!$R$24),"",ReferenceData!$R$24),"")</f>
        <v>1998711.2660000001</v>
      </c>
      <c r="S24">
        <f ca="1">IFERROR(IF(0=LEN(ReferenceData!$S$24),"",ReferenceData!$S$24),"")</f>
        <v>2005844.8019999999</v>
      </c>
      <c r="T24">
        <f ca="1">IFERROR(IF(0=LEN(ReferenceData!$T$24),"",ReferenceData!$T$24),"")</f>
        <v>2089854.0249999999</v>
      </c>
      <c r="U24">
        <f ca="1">IFERROR(IF(0=LEN(ReferenceData!$U$24),"",ReferenceData!$U$24),"")</f>
        <v>2208194.7069999999</v>
      </c>
      <c r="V24">
        <f ca="1">IFERROR(IF(0=LEN(ReferenceData!$V$24),"",ReferenceData!$V$24),"")</f>
        <v>2267005.1030000001</v>
      </c>
      <c r="W24">
        <f ca="1">IFERROR(IF(0=LEN(ReferenceData!$W$24),"",ReferenceData!$W$24),"")</f>
        <v>1715894.3840000001</v>
      </c>
      <c r="X24">
        <f ca="1">IFERROR(IF(0=LEN(ReferenceData!$X$24),"",ReferenceData!$X$24),"")</f>
        <v>1166896.858</v>
      </c>
      <c r="Y24">
        <f ca="1">IFERROR(IF(0=LEN(ReferenceData!$Y$24),"",ReferenceData!$Y$24),"")</f>
        <v>1026981.3</v>
      </c>
      <c r="Z24">
        <f ca="1">IFERROR(IF(0=LEN(ReferenceData!$Z$24),"",ReferenceData!$Z$24),"")</f>
        <v>928103.69</v>
      </c>
      <c r="AA24">
        <f ca="1">IFERROR(IF(0=LEN(ReferenceData!$AA$24),"",ReferenceData!$AA$24),"")</f>
        <v>683495.26599999995</v>
      </c>
      <c r="AB24">
        <f ca="1">IFERROR(IF(0=LEN(ReferenceData!$AB$24),"",ReferenceData!$AB$24),"")</f>
        <v>593547.11499999999</v>
      </c>
      <c r="AC24">
        <f ca="1">IFERROR(IF(0=LEN(ReferenceData!$AC$24),"",ReferenceData!$AC$24),"")</f>
        <v>451187.17700000003</v>
      </c>
      <c r="AD24">
        <f ca="1">IFERROR(IF(0=LEN(ReferenceData!$AD$24),"",ReferenceData!$AD$24),"")</f>
        <v>205988.87100000001</v>
      </c>
      <c r="AE24">
        <f ca="1">IFERROR(IF(0=LEN(ReferenceData!$AE$24),"",ReferenceData!$AE$24),"")</f>
        <v>176337.60200000001</v>
      </c>
      <c r="AF24">
        <f ca="1">IFERROR(IF(0=LEN(ReferenceData!$AF$24),"",ReferenceData!$AF$24),"")</f>
        <v>172658.008</v>
      </c>
      <c r="AG24">
        <f ca="1">IFERROR(IF(0=LEN(ReferenceData!$AG$24),"",ReferenceData!$AG$24),"")</f>
        <v>125620.73299999999</v>
      </c>
      <c r="AH24">
        <f ca="1">IFERROR(IF(0=LEN(ReferenceData!$AH$24),"",ReferenceData!$AH$24),"")</f>
        <v>70376.448000000004</v>
      </c>
      <c r="AI24">
        <f ca="1">IFERROR(IF(0=LEN(ReferenceData!$AI$24),"",ReferenceData!$AI$24),"")</f>
        <v>69439.539999999994</v>
      </c>
      <c r="AJ24">
        <f ca="1">IFERROR(IF(0=LEN(ReferenceData!$AJ$24),"",ReferenceData!$AJ$24),"")</f>
        <v>45117.603000000003</v>
      </c>
      <c r="AK24">
        <f ca="1">IFERROR(IF(0=LEN(ReferenceData!$AK$24),"",ReferenceData!$AK$24),"")</f>
        <v>33147.786999999997</v>
      </c>
      <c r="AL24">
        <f ca="1">IFERROR(IF(0=LEN(ReferenceData!$AL$24),"",ReferenceData!$AL$24),"")</f>
        <v>22651.197</v>
      </c>
    </row>
    <row r="25" spans="1:38" x14ac:dyDescent="0.25">
      <c r="A25" t="str">
        <f>IFERROR(IF(0=LEN(ReferenceData!$A$25),"",ReferenceData!$A$25),"")</f>
        <v xml:space="preserve">    Residential Real Estate</v>
      </c>
      <c r="B25" t="str">
        <f>IFERROR(IF(0=LEN(ReferenceData!$B$25),"",ReferenceData!$B$25),"")</f>
        <v/>
      </c>
      <c r="C25" t="str">
        <f>IFERROR(IF(0=LEN(ReferenceData!$C$25),"",ReferenceData!$C$25),"")</f>
        <v/>
      </c>
      <c r="D25" t="str">
        <f>IFERROR(IF(0=LEN(ReferenceData!$D$25),"",ReferenceData!$D$25),"")</f>
        <v/>
      </c>
      <c r="E25" t="str">
        <f>IFERROR(IF(0=LEN(ReferenceData!$E$25),"",ReferenceData!$E$25),"")</f>
        <v>Expression</v>
      </c>
      <c r="F25">
        <f ca="1">IFERROR(IF(0=LEN(ReferenceData!$F$25),"",ReferenceData!$F$25),"")</f>
        <v>1359752.7790000001</v>
      </c>
      <c r="G25">
        <f ca="1">IFERROR(IF(0=LEN(ReferenceData!$G$25),"",ReferenceData!$G$25),"")</f>
        <v>1501437.5079999999</v>
      </c>
      <c r="H25">
        <f ca="1">IFERROR(IF(0=LEN(ReferenceData!$H$25),"",ReferenceData!$H$25),"")</f>
        <v>1400938.827</v>
      </c>
      <c r="I25">
        <f ca="1">IFERROR(IF(0=LEN(ReferenceData!$I$25),"",ReferenceData!$I$25),"")</f>
        <v>1301431.267</v>
      </c>
      <c r="J25">
        <f ca="1">IFERROR(IF(0=LEN(ReferenceData!$J$25),"",ReferenceData!$J$25),"")</f>
        <v>1299628.4069999999</v>
      </c>
      <c r="K25">
        <f ca="1">IFERROR(IF(0=LEN(ReferenceData!$K$25),"",ReferenceData!$K$25),"")</f>
        <v>1338941.8640000001</v>
      </c>
      <c r="L25">
        <f ca="1">IFERROR(IF(0=LEN(ReferenceData!$L$25),"",ReferenceData!$L$25),"")</f>
        <v>1296076.4890000001</v>
      </c>
      <c r="M25">
        <f ca="1">IFERROR(IF(0=LEN(ReferenceData!$M$25),"",ReferenceData!$M$25),"")</f>
        <v>1327077.3419999999</v>
      </c>
      <c r="N25">
        <f ca="1">IFERROR(IF(0=LEN(ReferenceData!$N$25),"",ReferenceData!$N$25),"")</f>
        <v>1333859.0530000001</v>
      </c>
      <c r="O25">
        <f ca="1">IFERROR(IF(0=LEN(ReferenceData!$O$25),"",ReferenceData!$O$25),"")</f>
        <v>1321966.1610000001</v>
      </c>
      <c r="P25">
        <f ca="1">IFERROR(IF(0=LEN(ReferenceData!$P$25),"",ReferenceData!$P$25),"")</f>
        <v>1315366.156</v>
      </c>
      <c r="Q25">
        <f ca="1">IFERROR(IF(0=LEN(ReferenceData!$Q$25),"",ReferenceData!$Q$25),"")</f>
        <v>1368024.4820000001</v>
      </c>
      <c r="R25">
        <f ca="1">IFERROR(IF(0=LEN(ReferenceData!$R$25),"",ReferenceData!$R$25),"")</f>
        <v>1474080.193</v>
      </c>
      <c r="S25">
        <f ca="1">IFERROR(IF(0=LEN(ReferenceData!$S$25),"",ReferenceData!$S$25),"")</f>
        <v>1480835.446</v>
      </c>
      <c r="T25">
        <f ca="1">IFERROR(IF(0=LEN(ReferenceData!$T$25),"",ReferenceData!$T$25),"")</f>
        <v>1536270.81</v>
      </c>
      <c r="U25">
        <f ca="1">IFERROR(IF(0=LEN(ReferenceData!$U$25),"",ReferenceData!$U$25),"")</f>
        <v>1583952.155</v>
      </c>
      <c r="V25">
        <f ca="1">IFERROR(IF(0=LEN(ReferenceData!$V$25),"",ReferenceData!$V$25),"")</f>
        <v>1632733.618</v>
      </c>
      <c r="W25">
        <f ca="1">IFERROR(IF(0=LEN(ReferenceData!$W$25),"",ReferenceData!$W$25),"")</f>
        <v>1248489.263</v>
      </c>
      <c r="X25">
        <f ca="1">IFERROR(IF(0=LEN(ReferenceData!$X$25),"",ReferenceData!$X$25),"")</f>
        <v>1110118.4069999999</v>
      </c>
      <c r="Y25">
        <f ca="1">IFERROR(IF(0=LEN(ReferenceData!$Y$25),"",ReferenceData!$Y$25),"")</f>
        <v>979846.88</v>
      </c>
      <c r="Z25">
        <f ca="1">IFERROR(IF(0=LEN(ReferenceData!$Z$25),"",ReferenceData!$Z$25),"")</f>
        <v>885831.44</v>
      </c>
      <c r="AA25">
        <f ca="1">IFERROR(IF(0=LEN(ReferenceData!$AA$25),"",ReferenceData!$AA$25),"")</f>
        <v>650467.49600000004</v>
      </c>
      <c r="AB25">
        <f ca="1">IFERROR(IF(0=LEN(ReferenceData!$AB$25),"",ReferenceData!$AB$25),"")</f>
        <v>563946.321</v>
      </c>
      <c r="AC25">
        <f ca="1">IFERROR(IF(0=LEN(ReferenceData!$AC$25),"",ReferenceData!$AC$25),"")</f>
        <v>428282.90600000002</v>
      </c>
      <c r="AD25">
        <f ca="1">IFERROR(IF(0=LEN(ReferenceData!$AD$25),"",ReferenceData!$AD$25),"")</f>
        <v>219473.25099999999</v>
      </c>
      <c r="AE25">
        <f ca="1">IFERROR(IF(0=LEN(ReferenceData!$AE$25),"",ReferenceData!$AE$25),"")</f>
        <v>183366.72099999999</v>
      </c>
      <c r="AF25">
        <f ca="1">IFERROR(IF(0=LEN(ReferenceData!$AF$25),"",ReferenceData!$AF$25),"")</f>
        <v>175434.785</v>
      </c>
      <c r="AG25">
        <f ca="1">IFERROR(IF(0=LEN(ReferenceData!$AG$25),"",ReferenceData!$AG$25),"")</f>
        <v>119092.9</v>
      </c>
      <c r="AH25">
        <f ca="1">IFERROR(IF(0=LEN(ReferenceData!$AH$25),"",ReferenceData!$AH$25),"")</f>
        <v>104166.985</v>
      </c>
      <c r="AI25">
        <f ca="1">IFERROR(IF(0=LEN(ReferenceData!$AI$25),"",ReferenceData!$AI$25),"")</f>
        <v>86148.793000000005</v>
      </c>
      <c r="AJ25">
        <f ca="1">IFERROR(IF(0=LEN(ReferenceData!$AJ$25),"",ReferenceData!$AJ$25),"")</f>
        <v>69262.251999999993</v>
      </c>
      <c r="AK25">
        <f ca="1">IFERROR(IF(0=LEN(ReferenceData!$AK$25),"",ReferenceData!$AK$25),"")</f>
        <v>59307.785000000003</v>
      </c>
      <c r="AL25">
        <f ca="1">IFERROR(IF(0=LEN(ReferenceData!$AL$25),"",ReferenceData!$AL$25),"")</f>
        <v>44826.048000000003</v>
      </c>
    </row>
    <row r="26" spans="1:38" x14ac:dyDescent="0.25">
      <c r="A26" t="str">
        <f>IFERROR(IF(0=LEN(ReferenceData!$A$26),"",ReferenceData!$A$26),"")</f>
        <v xml:space="preserve">        Residential Real Estate by Company</v>
      </c>
      <c r="B26" t="str">
        <f>IFERROR(IF(0=LEN(ReferenceData!$B$26),"",ReferenceData!$B$26),"")</f>
        <v/>
      </c>
      <c r="C26" t="str">
        <f>IFERROR(IF(0=LEN(ReferenceData!$C$26),"",ReferenceData!$C$26),"")</f>
        <v/>
      </c>
      <c r="D26" t="str">
        <f>IFERROR(IF(0=LEN(ReferenceData!$D$26),"",ReferenceData!$D$26),"")</f>
        <v/>
      </c>
      <c r="E26" t="str">
        <f>IFERROR(IF(0=LEN(ReferenceData!$E$26),"",ReferenceData!$E$26),"")</f>
        <v>Sum</v>
      </c>
      <c r="F26">
        <f ca="1">IFERROR(IF(0=LEN(ReferenceData!$F$26),"",ReferenceData!$F$26),"")</f>
        <v>1359752.7790000001</v>
      </c>
      <c r="G26">
        <f ca="1">IFERROR(IF(0=LEN(ReferenceData!$G$26),"",ReferenceData!$G$26),"")</f>
        <v>1501437.5079999999</v>
      </c>
      <c r="H26">
        <f ca="1">IFERROR(IF(0=LEN(ReferenceData!$H$26),"",ReferenceData!$H$26),"")</f>
        <v>1400938.827</v>
      </c>
      <c r="I26">
        <f ca="1">IFERROR(IF(0=LEN(ReferenceData!$I$26),"",ReferenceData!$I$26),"")</f>
        <v>1301431.267</v>
      </c>
      <c r="J26">
        <f ca="1">IFERROR(IF(0=LEN(ReferenceData!$J$26),"",ReferenceData!$J$26),"")</f>
        <v>1299628.4069999997</v>
      </c>
      <c r="K26">
        <f ca="1">IFERROR(IF(0=LEN(ReferenceData!$K$26),"",ReferenceData!$K$26),"")</f>
        <v>1338941.8640000003</v>
      </c>
      <c r="L26">
        <f ca="1">IFERROR(IF(0=LEN(ReferenceData!$L$26),"",ReferenceData!$L$26),"")</f>
        <v>1296076.4890000001</v>
      </c>
      <c r="M26">
        <f ca="1">IFERROR(IF(0=LEN(ReferenceData!$M$26),"",ReferenceData!$M$26),"")</f>
        <v>1327077.3419999997</v>
      </c>
      <c r="N26">
        <f ca="1">IFERROR(IF(0=LEN(ReferenceData!$N$26),"",ReferenceData!$N$26),"")</f>
        <v>1333859.0530000001</v>
      </c>
      <c r="O26">
        <f ca="1">IFERROR(IF(0=LEN(ReferenceData!$O$26),"",ReferenceData!$O$26),"")</f>
        <v>1321966.1609999998</v>
      </c>
      <c r="P26">
        <f ca="1">IFERROR(IF(0=LEN(ReferenceData!$P$26),"",ReferenceData!$P$26),"")</f>
        <v>1315366.1559999997</v>
      </c>
      <c r="Q26">
        <f ca="1">IFERROR(IF(0=LEN(ReferenceData!$Q$26),"",ReferenceData!$Q$26),"")</f>
        <v>1368024.4820000003</v>
      </c>
      <c r="R26">
        <f ca="1">IFERROR(IF(0=LEN(ReferenceData!$R$26),"",ReferenceData!$R$26),"")</f>
        <v>1474080.1930000002</v>
      </c>
      <c r="S26">
        <f ca="1">IFERROR(IF(0=LEN(ReferenceData!$S$26),"",ReferenceData!$S$26),"")</f>
        <v>1480835.4460000002</v>
      </c>
      <c r="T26">
        <f ca="1">IFERROR(IF(0=LEN(ReferenceData!$T$26),"",ReferenceData!$T$26),"")</f>
        <v>1536270.81</v>
      </c>
      <c r="U26">
        <f ca="1">IFERROR(IF(0=LEN(ReferenceData!$U$26),"",ReferenceData!$U$26),"")</f>
        <v>1583952.155</v>
      </c>
      <c r="V26">
        <f ca="1">IFERROR(IF(0=LEN(ReferenceData!$V$26),"",ReferenceData!$V$26),"")</f>
        <v>1632733.6179999998</v>
      </c>
      <c r="W26">
        <f ca="1">IFERROR(IF(0=LEN(ReferenceData!$W$26),"",ReferenceData!$W$26),"")</f>
        <v>1248489.263</v>
      </c>
      <c r="X26">
        <f ca="1">IFERROR(IF(0=LEN(ReferenceData!$X$26),"",ReferenceData!$X$26),"")</f>
        <v>1110118.4070000004</v>
      </c>
      <c r="Y26">
        <f ca="1">IFERROR(IF(0=LEN(ReferenceData!$Y$26),"",ReferenceData!$Y$26),"")</f>
        <v>979846.88</v>
      </c>
      <c r="Z26">
        <f ca="1">IFERROR(IF(0=LEN(ReferenceData!$Z$26),"",ReferenceData!$Z$26),"")</f>
        <v>885831.44000000006</v>
      </c>
      <c r="AA26">
        <f ca="1">IFERROR(IF(0=LEN(ReferenceData!$AA$26),"",ReferenceData!$AA$26),"")</f>
        <v>650467.49600000004</v>
      </c>
      <c r="AB26">
        <f ca="1">IFERROR(IF(0=LEN(ReferenceData!$AB$26),"",ReferenceData!$AB$26),"")</f>
        <v>563946.321</v>
      </c>
      <c r="AC26">
        <f ca="1">IFERROR(IF(0=LEN(ReferenceData!$AC$26),"",ReferenceData!$AC$26),"")</f>
        <v>428282.90599999996</v>
      </c>
      <c r="AD26">
        <f ca="1">IFERROR(IF(0=LEN(ReferenceData!$AD$26),"",ReferenceData!$AD$26),"")</f>
        <v>219473.25099999999</v>
      </c>
      <c r="AE26">
        <f ca="1">IFERROR(IF(0=LEN(ReferenceData!$AE$26),"",ReferenceData!$AE$26),"")</f>
        <v>183366.72099999999</v>
      </c>
      <c r="AF26">
        <f ca="1">IFERROR(IF(0=LEN(ReferenceData!$AF$26),"",ReferenceData!$AF$26),"")</f>
        <v>175434.78499999997</v>
      </c>
      <c r="AG26">
        <f ca="1">IFERROR(IF(0=LEN(ReferenceData!$AG$26),"",ReferenceData!$AG$26),"")</f>
        <v>119092.90000000002</v>
      </c>
      <c r="AH26">
        <f ca="1">IFERROR(IF(0=LEN(ReferenceData!$AH$26),"",ReferenceData!$AH$26),"")</f>
        <v>104166.985</v>
      </c>
      <c r="AI26">
        <f ca="1">IFERROR(IF(0=LEN(ReferenceData!$AI$26),"",ReferenceData!$AI$26),"")</f>
        <v>86148.793000000005</v>
      </c>
      <c r="AJ26">
        <f ca="1">IFERROR(IF(0=LEN(ReferenceData!$AJ$26),"",ReferenceData!$AJ$26),"")</f>
        <v>69262.252000000008</v>
      </c>
      <c r="AK26">
        <f ca="1">IFERROR(IF(0=LEN(ReferenceData!$AK$26),"",ReferenceData!$AK$26),"")</f>
        <v>59307.784999999989</v>
      </c>
      <c r="AL26">
        <f ca="1">IFERROR(IF(0=LEN(ReferenceData!$AL$26),"",ReferenceData!$AL$26),"")</f>
        <v>44826.048000000003</v>
      </c>
    </row>
    <row r="27" spans="1:38" x14ac:dyDescent="0.25">
      <c r="A27" t="str">
        <f>IFERROR(IF(0=LEN(ReferenceData!$A$27),"",ReferenceData!$A$27),"")</f>
        <v xml:space="preserve">            Bank of America Corp</v>
      </c>
      <c r="B27" t="str">
        <f>IFERROR(IF(0=LEN(ReferenceData!$B$27),"",ReferenceData!$B$27),"")</f>
        <v>BAC US Equity</v>
      </c>
      <c r="C27" t="str">
        <f>IFERROR(IF(0=LEN(ReferenceData!$C$27),"",ReferenceData!$C$27),"")</f>
        <v>FC004</v>
      </c>
      <c r="D27" t="str">
        <f>IFERROR(IF(0=LEN(ReferenceData!$D$27),"",ReferenceData!$D$27),"")</f>
        <v>FDIC_FAM_RESIDENT_LOANS</v>
      </c>
      <c r="E27" t="str">
        <f>IFERROR(IF(0=LEN(ReferenceData!$E$27),"",ReferenceData!$E$27),"")</f>
        <v>Dynamic</v>
      </c>
      <c r="F27">
        <f ca="1">IFERROR(IF(0=LEN(ReferenceData!$F$27),"",ReferenceData!$F$27),"")</f>
        <v>254697</v>
      </c>
      <c r="G27">
        <f ca="1">IFERROR(IF(0=LEN(ReferenceData!$G$27),"",ReferenceData!$G$27),"")</f>
        <v>255302</v>
      </c>
      <c r="H27">
        <f ca="1">IFERROR(IF(0=LEN(ReferenceData!$H$27),"",ReferenceData!$H$27),"")</f>
        <v>256813</v>
      </c>
      <c r="I27">
        <f ca="1">IFERROR(IF(0=LEN(ReferenceData!$I$27),"",ReferenceData!$I$27),"")</f>
        <v>252380</v>
      </c>
      <c r="J27">
        <f ca="1">IFERROR(IF(0=LEN(ReferenceData!$J$27),"",ReferenceData!$J$27),"")</f>
        <v>258879</v>
      </c>
      <c r="K27">
        <f ca="1">IFERROR(IF(0=LEN(ReferenceData!$K$27),"",ReferenceData!$K$27),"")</f>
        <v>278413</v>
      </c>
      <c r="L27">
        <f ca="1">IFERROR(IF(0=LEN(ReferenceData!$L$27),"",ReferenceData!$L$27),"")</f>
        <v>258145</v>
      </c>
      <c r="M27">
        <f ca="1">IFERROR(IF(0=LEN(ReferenceData!$M$27),"",ReferenceData!$M$27),"")</f>
        <v>262960</v>
      </c>
      <c r="N27">
        <f ca="1">IFERROR(IF(0=LEN(ReferenceData!$N$27),"",ReferenceData!$N$27),"")</f>
        <v>261525</v>
      </c>
      <c r="O27">
        <f ca="1">IFERROR(IF(0=LEN(ReferenceData!$O$27),"",ReferenceData!$O$27),"")</f>
        <v>267581</v>
      </c>
      <c r="P27">
        <f ca="1">IFERROR(IF(0=LEN(ReferenceData!$P$27),"",ReferenceData!$P$27),"")</f>
        <v>306330</v>
      </c>
      <c r="Q27">
        <f ca="1">IFERROR(IF(0=LEN(ReferenceData!$Q$27),"",ReferenceData!$Q$27),"")</f>
        <v>349108</v>
      </c>
      <c r="R27">
        <f ca="1">IFERROR(IF(0=LEN(ReferenceData!$R$27),"",ReferenceData!$R$27),"")</f>
        <v>380565.255</v>
      </c>
      <c r="S27">
        <f ca="1">IFERROR(IF(0=LEN(ReferenceData!$S$27),"",ReferenceData!$S$27),"")</f>
        <v>415799.516</v>
      </c>
      <c r="T27">
        <f ca="1">IFERROR(IF(0=LEN(ReferenceData!$T$27),"",ReferenceData!$T$27),"")</f>
        <v>433240.53200000001</v>
      </c>
      <c r="U27">
        <f ca="1">IFERROR(IF(0=LEN(ReferenceData!$U$27),"",ReferenceData!$U$27),"")</f>
        <v>443224.63099999999</v>
      </c>
      <c r="V27">
        <f ca="1">IFERROR(IF(0=LEN(ReferenceData!$V$27),"",ReferenceData!$V$27),"")</f>
        <v>428782.25900000002</v>
      </c>
      <c r="W27">
        <f ca="1">IFERROR(IF(0=LEN(ReferenceData!$W$27),"",ReferenceData!$W$27),"")</f>
        <v>394835.24699999997</v>
      </c>
      <c r="X27">
        <f ca="1">IFERROR(IF(0=LEN(ReferenceData!$X$27),"",ReferenceData!$X$27),"")</f>
        <v>316728.42499999999</v>
      </c>
      <c r="Y27">
        <f ca="1">IFERROR(IF(0=LEN(ReferenceData!$Y$27),"",ReferenceData!$Y$27),"")</f>
        <v>250411.147</v>
      </c>
      <c r="Z27">
        <f ca="1">IFERROR(IF(0=LEN(ReferenceData!$Z$27),"",ReferenceData!$Z$27),"")</f>
        <v>235816.04800000001</v>
      </c>
      <c r="AA27">
        <f ca="1">IFERROR(IF(0=LEN(ReferenceData!$AA$27),"",ReferenceData!$AA$27),"")</f>
        <v>170819.649</v>
      </c>
      <c r="AB27">
        <f ca="1">IFERROR(IF(0=LEN(ReferenceData!$AB$27),"",ReferenceData!$AB$27),"")</f>
        <v>144039</v>
      </c>
      <c r="AC27">
        <f ca="1">IFERROR(IF(0=LEN(ReferenceData!$AC$27),"",ReferenceData!$AC$27),"")</f>
        <v>101953</v>
      </c>
      <c r="AD27" t="str">
        <f ca="1">IFERROR(IF(0=LEN(ReferenceData!$AD$27),"",ReferenceData!$AD$27),"")</f>
        <v/>
      </c>
      <c r="AE27" t="str">
        <f ca="1">IFERROR(IF(0=LEN(ReferenceData!$AE$27),"",ReferenceData!$AE$27),"")</f>
        <v/>
      </c>
      <c r="AF27" t="str">
        <f ca="1">IFERROR(IF(0=LEN(ReferenceData!$AF$27),"",ReferenceData!$AF$27),"")</f>
        <v/>
      </c>
      <c r="AG27" t="str">
        <f ca="1">IFERROR(IF(0=LEN(ReferenceData!$AG$27),"",ReferenceData!$AG$27),"")</f>
        <v/>
      </c>
      <c r="AH27" t="str">
        <f ca="1">IFERROR(IF(0=LEN(ReferenceData!$AH$27),"",ReferenceData!$AH$27),"")</f>
        <v/>
      </c>
      <c r="AI27" t="str">
        <f ca="1">IFERROR(IF(0=LEN(ReferenceData!$AI$27),"",ReferenceData!$AI$27),"")</f>
        <v/>
      </c>
      <c r="AJ27" t="str">
        <f ca="1">IFERROR(IF(0=LEN(ReferenceData!$AJ$27),"",ReferenceData!$AJ$27),"")</f>
        <v/>
      </c>
      <c r="AK27" t="str">
        <f ca="1">IFERROR(IF(0=LEN(ReferenceData!$AK$27),"",ReferenceData!$AK$27),"")</f>
        <v/>
      </c>
      <c r="AL27" t="str">
        <f ca="1">IFERROR(IF(0=LEN(ReferenceData!$AL$27),"",ReferenceData!$AL$27),"")</f>
        <v/>
      </c>
    </row>
    <row r="28" spans="1:38" x14ac:dyDescent="0.25">
      <c r="A28" t="str">
        <f>IFERROR(IF(0=LEN(ReferenceData!$A$28),"",ReferenceData!$A$28),"")</f>
        <v xml:space="preserve">            Citigroup Inc</v>
      </c>
      <c r="B28" t="str">
        <f>IFERROR(IF(0=LEN(ReferenceData!$B$28),"",ReferenceData!$B$28),"")</f>
        <v>C US Equity</v>
      </c>
      <c r="C28" t="str">
        <f>IFERROR(IF(0=LEN(ReferenceData!$C$28),"",ReferenceData!$C$28),"")</f>
        <v>FC004</v>
      </c>
      <c r="D28" t="str">
        <f>IFERROR(IF(0=LEN(ReferenceData!$D$28),"",ReferenceData!$D$28),"")</f>
        <v>FDIC_FAM_RESIDENT_LOANS</v>
      </c>
      <c r="E28" t="str">
        <f>IFERROR(IF(0=LEN(ReferenceData!$E$28),"",ReferenceData!$E$28),"")</f>
        <v>Dynamic</v>
      </c>
      <c r="F28">
        <f ca="1">IFERROR(IF(0=LEN(ReferenceData!$F$28),"",ReferenceData!$F$28),"")</f>
        <v>118468</v>
      </c>
      <c r="G28">
        <f ca="1">IFERROR(IF(0=LEN(ReferenceData!$G$28),"",ReferenceData!$G$28),"")</f>
        <v>112986</v>
      </c>
      <c r="H28">
        <f ca="1">IFERROR(IF(0=LEN(ReferenceData!$H$28),"",ReferenceData!$H$28),"")</f>
        <v>101591</v>
      </c>
      <c r="I28">
        <f ca="1">IFERROR(IF(0=LEN(ReferenceData!$I$28),"",ReferenceData!$I$28),"")</f>
        <v>92493</v>
      </c>
      <c r="J28">
        <f ca="1">IFERROR(IF(0=LEN(ReferenceData!$J$28),"",ReferenceData!$J$28),"")</f>
        <v>93950</v>
      </c>
      <c r="K28">
        <f ca="1">IFERROR(IF(0=LEN(ReferenceData!$K$28),"",ReferenceData!$K$28),"")</f>
        <v>90884</v>
      </c>
      <c r="L28">
        <f ca="1">IFERROR(IF(0=LEN(ReferenceData!$L$28),"",ReferenceData!$L$28),"")</f>
        <v>88632</v>
      </c>
      <c r="M28">
        <f ca="1">IFERROR(IF(0=LEN(ReferenceData!$M$28),"",ReferenceData!$M$28),"")</f>
        <v>92045</v>
      </c>
      <c r="N28">
        <f ca="1">IFERROR(IF(0=LEN(ReferenceData!$N$28),"",ReferenceData!$N$28),"")</f>
        <v>99813</v>
      </c>
      <c r="O28">
        <f ca="1">IFERROR(IF(0=LEN(ReferenceData!$O$28),"",ReferenceData!$O$28),"")</f>
        <v>108860</v>
      </c>
      <c r="P28">
        <f ca="1">IFERROR(IF(0=LEN(ReferenceData!$P$28),"",ReferenceData!$P$28),"")</f>
        <v>118221</v>
      </c>
      <c r="Q28">
        <f ca="1">IFERROR(IF(0=LEN(ReferenceData!$Q$28),"",ReferenceData!$Q$28),"")</f>
        <v>127575</v>
      </c>
      <c r="R28">
        <f ca="1">IFERROR(IF(0=LEN(ReferenceData!$R$28),"",ReferenceData!$R$28),"")</f>
        <v>148171</v>
      </c>
      <c r="S28">
        <f ca="1">IFERROR(IF(0=LEN(ReferenceData!$S$28),"",ReferenceData!$S$28),"")</f>
        <v>158689</v>
      </c>
      <c r="T28">
        <f ca="1">IFERROR(IF(0=LEN(ReferenceData!$T$28),"",ReferenceData!$T$28),"")</f>
        <v>168282</v>
      </c>
      <c r="U28">
        <f ca="1">IFERROR(IF(0=LEN(ReferenceData!$U$28),"",ReferenceData!$U$28),"")</f>
        <v>190434</v>
      </c>
      <c r="V28">
        <f ca="1">IFERROR(IF(0=LEN(ReferenceData!$V$28),"",ReferenceData!$V$28),"")</f>
        <v>219875</v>
      </c>
      <c r="W28">
        <f ca="1">IFERROR(IF(0=LEN(ReferenceData!$W$28),"",ReferenceData!$W$28),"")</f>
        <v>242468</v>
      </c>
      <c r="X28">
        <f ca="1">IFERROR(IF(0=LEN(ReferenceData!$X$28),"",ReferenceData!$X$28),"")</f>
        <v>217882</v>
      </c>
      <c r="Y28">
        <f ca="1">IFERROR(IF(0=LEN(ReferenceData!$Y$28),"",ReferenceData!$Y$28),"")</f>
        <v>182699</v>
      </c>
      <c r="Z28">
        <f ca="1">IFERROR(IF(0=LEN(ReferenceData!$Z$28),"",ReferenceData!$Z$28),"")</f>
        <v>155805</v>
      </c>
      <c r="AA28">
        <f ca="1">IFERROR(IF(0=LEN(ReferenceData!$AA$28),"",ReferenceData!$AA$28),"")</f>
        <v>124745</v>
      </c>
      <c r="AB28">
        <f ca="1">IFERROR(IF(0=LEN(ReferenceData!$AB$28),"",ReferenceData!$AB$28),"")</f>
        <v>117363</v>
      </c>
      <c r="AC28">
        <f ca="1">IFERROR(IF(0=LEN(ReferenceData!$AC$28),"",ReferenceData!$AC$28),"")</f>
        <v>81032</v>
      </c>
      <c r="AD28">
        <f ca="1">IFERROR(IF(0=LEN(ReferenceData!$AD$28),"",ReferenceData!$AD$28),"")</f>
        <v>38289.023999999998</v>
      </c>
      <c r="AE28">
        <f ca="1">IFERROR(IF(0=LEN(ReferenceData!$AE$28),"",ReferenceData!$AE$28),"")</f>
        <v>28717.59</v>
      </c>
      <c r="AF28">
        <f ca="1">IFERROR(IF(0=LEN(ReferenceData!$AF$28),"",ReferenceData!$AF$28),"")</f>
        <v>23425.052</v>
      </c>
      <c r="AG28" t="str">
        <f ca="1">IFERROR(IF(0=LEN(ReferenceData!$AG$28),"",ReferenceData!$AG$28),"")</f>
        <v/>
      </c>
      <c r="AH28" t="str">
        <f ca="1">IFERROR(IF(0=LEN(ReferenceData!$AH$28),"",ReferenceData!$AH$28),"")</f>
        <v/>
      </c>
      <c r="AI28" t="str">
        <f ca="1">IFERROR(IF(0=LEN(ReferenceData!$AI$28),"",ReferenceData!$AI$28),"")</f>
        <v/>
      </c>
      <c r="AJ28" t="str">
        <f ca="1">IFERROR(IF(0=LEN(ReferenceData!$AJ$28),"",ReferenceData!$AJ$28),"")</f>
        <v/>
      </c>
      <c r="AK28" t="str">
        <f ca="1">IFERROR(IF(0=LEN(ReferenceData!$AK$28),"",ReferenceData!$AK$28),"")</f>
        <v/>
      </c>
      <c r="AL28" t="str">
        <f ca="1">IFERROR(IF(0=LEN(ReferenceData!$AL$28),"",ReferenceData!$AL$28),"")</f>
        <v/>
      </c>
    </row>
    <row r="29" spans="1:38" x14ac:dyDescent="0.25">
      <c r="A29" t="str">
        <f>IFERROR(IF(0=LEN(ReferenceData!$A$29),"",ReferenceData!$A$29),"")</f>
        <v xml:space="preserve">            Citizens Financial Group Inc</v>
      </c>
      <c r="B29" t="str">
        <f>IFERROR(IF(0=LEN(ReferenceData!$B$29),"",ReferenceData!$B$29),"")</f>
        <v>CFG US Equity</v>
      </c>
      <c r="C29" t="str">
        <f>IFERROR(IF(0=LEN(ReferenceData!$C$29),"",ReferenceData!$C$29),"")</f>
        <v>FC004</v>
      </c>
      <c r="D29" t="str">
        <f>IFERROR(IF(0=LEN(ReferenceData!$D$29),"",ReferenceData!$D$29),"")</f>
        <v>FDIC_FAM_RESIDENT_LOANS</v>
      </c>
      <c r="E29" t="str">
        <f>IFERROR(IF(0=LEN(ReferenceData!$E$29),"",ReferenceData!$E$29),"")</f>
        <v>Dynamic</v>
      </c>
      <c r="F29">
        <f ca="1">IFERROR(IF(0=LEN(ReferenceData!$F$29),"",ReferenceData!$F$29),"")</f>
        <v>49818.45</v>
      </c>
      <c r="G29">
        <f ca="1">IFERROR(IF(0=LEN(ReferenceData!$G$29),"",ReferenceData!$G$29),"")</f>
        <v>46633.01</v>
      </c>
      <c r="H29">
        <f ca="1">IFERROR(IF(0=LEN(ReferenceData!$H$29),"",ReferenceData!$H$29),"")</f>
        <v>43935.243999999999</v>
      </c>
      <c r="I29">
        <f ca="1">IFERROR(IF(0=LEN(ReferenceData!$I$29),"",ReferenceData!$I$29),"")</f>
        <v>36850.557000000001</v>
      </c>
      <c r="J29">
        <f ca="1">IFERROR(IF(0=LEN(ReferenceData!$J$29),"",ReferenceData!$J$29),"")</f>
        <v>35775.152999999998</v>
      </c>
      <c r="K29">
        <f ca="1">IFERROR(IF(0=LEN(ReferenceData!$K$29),"",ReferenceData!$K$29),"")</f>
        <v>34745.133999999998</v>
      </c>
      <c r="L29">
        <f ca="1">IFERROR(IF(0=LEN(ReferenceData!$L$29),"",ReferenceData!$L$29),"")</f>
        <v>33790.315000000002</v>
      </c>
      <c r="M29">
        <f ca="1">IFERROR(IF(0=LEN(ReferenceData!$M$29),"",ReferenceData!$M$29),"")</f>
        <v>32394.419000000002</v>
      </c>
      <c r="N29">
        <f ca="1">IFERROR(IF(0=LEN(ReferenceData!$N$29),"",ReferenceData!$N$29),"")</f>
        <v>31966.937999999998</v>
      </c>
      <c r="O29">
        <f ca="1">IFERROR(IF(0=LEN(ReferenceData!$O$29),"",ReferenceData!$O$29),"")</f>
        <v>31762.332999999999</v>
      </c>
      <c r="P29">
        <f ca="1">IFERROR(IF(0=LEN(ReferenceData!$P$29),"",ReferenceData!$P$29),"")</f>
        <v>32509.040000000001</v>
      </c>
      <c r="Q29">
        <f ca="1">IFERROR(IF(0=LEN(ReferenceData!$Q$29),"",ReferenceData!$Q$29),"")</f>
        <v>32414.482</v>
      </c>
      <c r="R29">
        <f ca="1">IFERROR(IF(0=LEN(ReferenceData!$R$29),"",ReferenceData!$R$29),"")</f>
        <v>34671.885000000002</v>
      </c>
      <c r="S29">
        <f ca="1">IFERROR(IF(0=LEN(ReferenceData!$S$29),"",ReferenceData!$S$29),"")</f>
        <v>37386.466999999997</v>
      </c>
      <c r="T29">
        <f ca="1">IFERROR(IF(0=LEN(ReferenceData!$T$29),"",ReferenceData!$T$29),"")</f>
        <v>38961.057999999997</v>
      </c>
      <c r="U29">
        <f ca="1">IFERROR(IF(0=LEN(ReferenceData!$U$29),"",ReferenceData!$U$29),"")</f>
        <v>43076.387999999999</v>
      </c>
      <c r="V29">
        <f ca="1">IFERROR(IF(0=LEN(ReferenceData!$V$29),"",ReferenceData!$V$29),"")</f>
        <v>50365.379000000001</v>
      </c>
      <c r="W29">
        <f ca="1">IFERROR(IF(0=LEN(ReferenceData!$W$29),"",ReferenceData!$W$29),"")</f>
        <v>54319.930999999997</v>
      </c>
      <c r="X29">
        <f ca="1">IFERROR(IF(0=LEN(ReferenceData!$X$29),"",ReferenceData!$X$29),"")</f>
        <v>53172.578999999998</v>
      </c>
      <c r="Y29">
        <f ca="1">IFERROR(IF(0=LEN(ReferenceData!$Y$29),"",ReferenceData!$Y$29),"")</f>
        <v>50143.733999999997</v>
      </c>
      <c r="Z29">
        <f ca="1">IFERROR(IF(0=LEN(ReferenceData!$Z$29),"",ReferenceData!$Z$29),"")</f>
        <v>40752.696000000004</v>
      </c>
      <c r="AA29">
        <f ca="1">IFERROR(IF(0=LEN(ReferenceData!$AA$29),"",ReferenceData!$AA$29),"")</f>
        <v>17393.501</v>
      </c>
      <c r="AB29">
        <f ca="1">IFERROR(IF(0=LEN(ReferenceData!$AB$29),"",ReferenceData!$AB$29),"")</f>
        <v>9193.4629999999997</v>
      </c>
      <c r="AC29">
        <f ca="1">IFERROR(IF(0=LEN(ReferenceData!$AC$29),"",ReferenceData!$AC$29),"")</f>
        <v>5800.777</v>
      </c>
      <c r="AD29" t="str">
        <f ca="1">IFERROR(IF(0=LEN(ReferenceData!$AD$29),"",ReferenceData!$AD$29),"")</f>
        <v/>
      </c>
      <c r="AE29" t="str">
        <f ca="1">IFERROR(IF(0=LEN(ReferenceData!$AE$29),"",ReferenceData!$AE$29),"")</f>
        <v/>
      </c>
      <c r="AF29" t="str">
        <f ca="1">IFERROR(IF(0=LEN(ReferenceData!$AF$29),"",ReferenceData!$AF$29),"")</f>
        <v/>
      </c>
      <c r="AG29" t="str">
        <f ca="1">IFERROR(IF(0=LEN(ReferenceData!$AG$29),"",ReferenceData!$AG$29),"")</f>
        <v/>
      </c>
      <c r="AH29" t="str">
        <f ca="1">IFERROR(IF(0=LEN(ReferenceData!$AH$29),"",ReferenceData!$AH$29),"")</f>
        <v/>
      </c>
      <c r="AI29" t="str">
        <f ca="1">IFERROR(IF(0=LEN(ReferenceData!$AI$29),"",ReferenceData!$AI$29),"")</f>
        <v/>
      </c>
      <c r="AJ29" t="str">
        <f ca="1">IFERROR(IF(0=LEN(ReferenceData!$AJ$29),"",ReferenceData!$AJ$29),"")</f>
        <v/>
      </c>
      <c r="AK29" t="str">
        <f ca="1">IFERROR(IF(0=LEN(ReferenceData!$AK$29),"",ReferenceData!$AK$29),"")</f>
        <v/>
      </c>
      <c r="AL29" t="str">
        <f ca="1">IFERROR(IF(0=LEN(ReferenceData!$AL$29),"",ReferenceData!$AL$29),"")</f>
        <v/>
      </c>
    </row>
    <row r="30" spans="1:38" x14ac:dyDescent="0.25">
      <c r="A30" t="str">
        <f>IFERROR(IF(0=LEN(ReferenceData!$A$30),"",ReferenceData!$A$30),"")</f>
        <v xml:space="preserve">            Capital One Financial Corp</v>
      </c>
      <c r="B30" t="str">
        <f>IFERROR(IF(0=LEN(ReferenceData!$B$30),"",ReferenceData!$B$30),"")</f>
        <v>COF US Equity</v>
      </c>
      <c r="C30" t="str">
        <f>IFERROR(IF(0=LEN(ReferenceData!$C$30),"",ReferenceData!$C$30),"")</f>
        <v>FC004</v>
      </c>
      <c r="D30" t="str">
        <f>IFERROR(IF(0=LEN(ReferenceData!$D$30),"",ReferenceData!$D$30),"")</f>
        <v>FDIC_FAM_RESIDENT_LOANS</v>
      </c>
      <c r="E30" t="str">
        <f>IFERROR(IF(0=LEN(ReferenceData!$E$30),"",ReferenceData!$E$30),"")</f>
        <v>Dynamic</v>
      </c>
      <c r="F30">
        <f ca="1">IFERROR(IF(0=LEN(ReferenceData!$F$30),"",ReferenceData!$F$30),"")</f>
        <v>296.32</v>
      </c>
      <c r="G30">
        <f ca="1">IFERROR(IF(0=LEN(ReferenceData!$G$30),"",ReferenceData!$G$30),"")</f>
        <v>129.55500000000001</v>
      </c>
      <c r="H30">
        <f ca="1">IFERROR(IF(0=LEN(ReferenceData!$H$30),"",ReferenceData!$H$30),"")</f>
        <v>125.142</v>
      </c>
      <c r="I30">
        <f ca="1">IFERROR(IF(0=LEN(ReferenceData!$I$30),"",ReferenceData!$I$30),"")</f>
        <v>155.18899999999999</v>
      </c>
      <c r="J30">
        <f ca="1">IFERROR(IF(0=LEN(ReferenceData!$J$30),"",ReferenceData!$J$30),"")</f>
        <v>183.75</v>
      </c>
      <c r="K30">
        <f ca="1">IFERROR(IF(0=LEN(ReferenceData!$K$30),"",ReferenceData!$K$30),"")</f>
        <v>233.946</v>
      </c>
      <c r="L30">
        <f ca="1">IFERROR(IF(0=LEN(ReferenceData!$L$30),"",ReferenceData!$L$30),"")</f>
        <v>243.91800000000001</v>
      </c>
      <c r="M30">
        <f ca="1">IFERROR(IF(0=LEN(ReferenceData!$M$30),"",ReferenceData!$M$30),"")</f>
        <v>18628.940999999999</v>
      </c>
      <c r="N30">
        <f ca="1">IFERROR(IF(0=LEN(ReferenceData!$N$30),"",ReferenceData!$N$30),"")</f>
        <v>22535.603999999999</v>
      </c>
      <c r="O30">
        <f ca="1">IFERROR(IF(0=LEN(ReferenceData!$O$30),"",ReferenceData!$O$30),"")</f>
        <v>26131.725999999999</v>
      </c>
      <c r="P30">
        <f ca="1">IFERROR(IF(0=LEN(ReferenceData!$P$30),"",ReferenceData!$P$30),"")</f>
        <v>30858.545999999998</v>
      </c>
      <c r="Q30">
        <f ca="1">IFERROR(IF(0=LEN(ReferenceData!$Q$30),"",ReferenceData!$Q$30),"")</f>
        <v>36746.642</v>
      </c>
      <c r="R30">
        <f ca="1">IFERROR(IF(0=LEN(ReferenceData!$R$30),"",ReferenceData!$R$30),"")</f>
        <v>45660.364999999998</v>
      </c>
      <c r="S30">
        <f ca="1">IFERROR(IF(0=LEN(ReferenceData!$S$30),"",ReferenceData!$S$30),"")</f>
        <v>12073.655000000001</v>
      </c>
      <c r="T30">
        <f ca="1">IFERROR(IF(0=LEN(ReferenceData!$T$30),"",ReferenceData!$T$30),"")</f>
        <v>13758.463</v>
      </c>
      <c r="U30">
        <f ca="1">IFERROR(IF(0=LEN(ReferenceData!$U$30),"",ReferenceData!$U$30),"")</f>
        <v>16398.483</v>
      </c>
      <c r="V30">
        <f ca="1">IFERROR(IF(0=LEN(ReferenceData!$V$30),"",ReferenceData!$V$30),"")</f>
        <v>12009.944</v>
      </c>
      <c r="W30">
        <f ca="1">IFERROR(IF(0=LEN(ReferenceData!$W$30),"",ReferenceData!$W$30),"")</f>
        <v>13727.955</v>
      </c>
      <c r="X30">
        <f ca="1">IFERROR(IF(0=LEN(ReferenceData!$X$30),"",ReferenceData!$X$30),"")</f>
        <v>23588.012999999999</v>
      </c>
      <c r="Y30">
        <f ca="1">IFERROR(IF(0=LEN(ReferenceData!$Y$30),"",ReferenceData!$Y$30),"")</f>
        <v>5951.78</v>
      </c>
      <c r="Z30">
        <f ca="1">IFERROR(IF(0=LEN(ReferenceData!$Z$30),"",ReferenceData!$Z$30),"")</f>
        <v>40.158000000000001</v>
      </c>
      <c r="AA30" t="str">
        <f ca="1">IFERROR(IF(0=LEN(ReferenceData!$AA$30),"",ReferenceData!$AA$30),"")</f>
        <v/>
      </c>
      <c r="AB30" t="str">
        <f ca="1">IFERROR(IF(0=LEN(ReferenceData!$AB$30),"",ReferenceData!$AB$30),"")</f>
        <v/>
      </c>
      <c r="AC30" t="str">
        <f ca="1">IFERROR(IF(0=LEN(ReferenceData!$AC$30),"",ReferenceData!$AC$30),"")</f>
        <v/>
      </c>
      <c r="AD30" t="str">
        <f ca="1">IFERROR(IF(0=LEN(ReferenceData!$AD$30),"",ReferenceData!$AD$30),"")</f>
        <v/>
      </c>
      <c r="AE30" t="str">
        <f ca="1">IFERROR(IF(0=LEN(ReferenceData!$AE$30),"",ReferenceData!$AE$30),"")</f>
        <v/>
      </c>
      <c r="AF30" t="str">
        <f ca="1">IFERROR(IF(0=LEN(ReferenceData!$AF$30),"",ReferenceData!$AF$30),"")</f>
        <v/>
      </c>
      <c r="AG30" t="str">
        <f ca="1">IFERROR(IF(0=LEN(ReferenceData!$AG$30),"",ReferenceData!$AG$30),"")</f>
        <v/>
      </c>
      <c r="AH30" t="str">
        <f ca="1">IFERROR(IF(0=LEN(ReferenceData!$AH$30),"",ReferenceData!$AH$30),"")</f>
        <v/>
      </c>
      <c r="AI30" t="str">
        <f ca="1">IFERROR(IF(0=LEN(ReferenceData!$AI$30),"",ReferenceData!$AI$30),"")</f>
        <v/>
      </c>
      <c r="AJ30" t="str">
        <f ca="1">IFERROR(IF(0=LEN(ReferenceData!$AJ$30),"",ReferenceData!$AJ$30),"")</f>
        <v/>
      </c>
      <c r="AK30" t="str">
        <f ca="1">IFERROR(IF(0=LEN(ReferenceData!$AK$30),"",ReferenceData!$AK$30),"")</f>
        <v/>
      </c>
      <c r="AL30" t="str">
        <f ca="1">IFERROR(IF(0=LEN(ReferenceData!$AL$30),"",ReferenceData!$AL$30),"")</f>
        <v/>
      </c>
    </row>
    <row r="31" spans="1:38" x14ac:dyDescent="0.25">
      <c r="A31" t="str">
        <f>IFERROR(IF(0=LEN(ReferenceData!$A$31),"",ReferenceData!$A$31),"")</f>
        <v xml:space="preserve">            Comerica Inc</v>
      </c>
      <c r="B31" t="str">
        <f>IFERROR(IF(0=LEN(ReferenceData!$B$31),"",ReferenceData!$B$31),"")</f>
        <v>CMA US Equity</v>
      </c>
      <c r="C31" t="str">
        <f>IFERROR(IF(0=LEN(ReferenceData!$C$31),"",ReferenceData!$C$31),"")</f>
        <v>FC004</v>
      </c>
      <c r="D31" t="str">
        <f>IFERROR(IF(0=LEN(ReferenceData!$D$31),"",ReferenceData!$D$31),"")</f>
        <v>FDIC_FAM_RESIDENT_LOANS</v>
      </c>
      <c r="E31" t="str">
        <f>IFERROR(IF(0=LEN(ReferenceData!$E$31),"",ReferenceData!$E$31),"")</f>
        <v>Dynamic</v>
      </c>
      <c r="F31" t="str">
        <f ca="1">IFERROR(IF(0=LEN(ReferenceData!$F$31),"",ReferenceData!$F$31),"")</f>
        <v/>
      </c>
      <c r="G31">
        <f ca="1">IFERROR(IF(0=LEN(ReferenceData!$G$31),"",ReferenceData!$G$31),"")</f>
        <v>3850</v>
      </c>
      <c r="H31">
        <f ca="1">IFERROR(IF(0=LEN(ReferenceData!$H$31),"",ReferenceData!$H$31),"")</f>
        <v>3784</v>
      </c>
      <c r="I31">
        <f ca="1">IFERROR(IF(0=LEN(ReferenceData!$I$31),"",ReferenceData!$I$31),"")</f>
        <v>3528</v>
      </c>
      <c r="J31">
        <f ca="1">IFERROR(IF(0=LEN(ReferenceData!$J$31),"",ReferenceData!$J$31),"")</f>
        <v>3675</v>
      </c>
      <c r="K31">
        <f ca="1">IFERROR(IF(0=LEN(ReferenceData!$K$31),"",ReferenceData!$K$31),"")</f>
        <v>3781</v>
      </c>
      <c r="L31">
        <f ca="1">IFERROR(IF(0=LEN(ReferenceData!$L$31),"",ReferenceData!$L$31),"")</f>
        <v>3988.0859999999998</v>
      </c>
      <c r="M31">
        <f ca="1">IFERROR(IF(0=LEN(ReferenceData!$M$31),"",ReferenceData!$M$31),"")</f>
        <v>4033.2170000000001</v>
      </c>
      <c r="N31">
        <f ca="1">IFERROR(IF(0=LEN(ReferenceData!$N$31),"",ReferenceData!$N$31),"")</f>
        <v>3916.7449999999999</v>
      </c>
      <c r="O31">
        <f ca="1">IFERROR(IF(0=LEN(ReferenceData!$O$31),"",ReferenceData!$O$31),"")</f>
        <v>3740.2939999999999</v>
      </c>
      <c r="P31">
        <f ca="1">IFERROR(IF(0=LEN(ReferenceData!$P$31),"",ReferenceData!$P$31),"")</f>
        <v>3633.5720000000001</v>
      </c>
      <c r="Q31">
        <f ca="1">IFERROR(IF(0=LEN(ReferenceData!$Q$31),"",ReferenceData!$Q$31),"")</f>
        <v>3392.0070000000001</v>
      </c>
      <c r="R31">
        <f ca="1">IFERROR(IF(0=LEN(ReferenceData!$R$31),"",ReferenceData!$R$31),"")</f>
        <v>3360.348</v>
      </c>
      <c r="S31">
        <f ca="1">IFERROR(IF(0=LEN(ReferenceData!$S$31),"",ReferenceData!$S$31),"")</f>
        <v>3590.7460000000001</v>
      </c>
      <c r="T31">
        <f ca="1">IFERROR(IF(0=LEN(ReferenceData!$T$31),"",ReferenceData!$T$31),"")</f>
        <v>3667.951</v>
      </c>
      <c r="U31">
        <f ca="1">IFERROR(IF(0=LEN(ReferenceData!$U$31),"",ReferenceData!$U$31),"")</f>
        <v>3850.9259999999999</v>
      </c>
      <c r="V31">
        <f ca="1">IFERROR(IF(0=LEN(ReferenceData!$V$31),"",ReferenceData!$V$31),"")</f>
        <v>4116.0290000000005</v>
      </c>
      <c r="W31">
        <f ca="1">IFERROR(IF(0=LEN(ReferenceData!$W$31),"",ReferenceData!$W$31),"")</f>
        <v>4026.9059999999999</v>
      </c>
      <c r="X31">
        <f ca="1">IFERROR(IF(0=LEN(ReferenceData!$X$31),"",ReferenceData!$X$31),"")</f>
        <v>3448.9029999999998</v>
      </c>
      <c r="Y31">
        <f ca="1">IFERROR(IF(0=LEN(ReferenceData!$Y$31),"",ReferenceData!$Y$31),"")</f>
        <v>3433.902</v>
      </c>
      <c r="Z31">
        <f ca="1">IFERROR(IF(0=LEN(ReferenceData!$Z$31),"",ReferenceData!$Z$31),"")</f>
        <v>3192.933</v>
      </c>
      <c r="AA31">
        <f ca="1">IFERROR(IF(0=LEN(ReferenceData!$AA$31),"",ReferenceData!$AA$31),"")</f>
        <v>2962.4070000000002</v>
      </c>
      <c r="AB31">
        <f ca="1">IFERROR(IF(0=LEN(ReferenceData!$AB$31),"",ReferenceData!$AB$31),"")</f>
        <v>2778.549</v>
      </c>
      <c r="AC31">
        <f ca="1">IFERROR(IF(0=LEN(ReferenceData!$AC$31),"",ReferenceData!$AC$31),"")</f>
        <v>2501.1280000000002</v>
      </c>
      <c r="AD31">
        <f ca="1">IFERROR(IF(0=LEN(ReferenceData!$AD$31),"",ReferenceData!$AD$31),"")</f>
        <v>2412.1309999999999</v>
      </c>
      <c r="AE31">
        <f ca="1">IFERROR(IF(0=LEN(ReferenceData!$AE$31),"",ReferenceData!$AE$31),"")</f>
        <v>2350.0079999999998</v>
      </c>
      <c r="AF31">
        <f ca="1">IFERROR(IF(0=LEN(ReferenceData!$AF$31),"",ReferenceData!$AF$31),"")</f>
        <v>2424.86</v>
      </c>
      <c r="AG31">
        <f ca="1">IFERROR(IF(0=LEN(ReferenceData!$AG$31),"",ReferenceData!$AG$31),"")</f>
        <v>2806.855</v>
      </c>
      <c r="AH31">
        <f ca="1">IFERROR(IF(0=LEN(ReferenceData!$AH$31),"",ReferenceData!$AH$31),"")</f>
        <v>2953.3960000000002</v>
      </c>
      <c r="AI31">
        <f ca="1">IFERROR(IF(0=LEN(ReferenceData!$AI$31),"",ReferenceData!$AI$31),"")</f>
        <v>3542.5880000000002</v>
      </c>
      <c r="AJ31">
        <f ca="1">IFERROR(IF(0=LEN(ReferenceData!$AJ$31),"",ReferenceData!$AJ$31),"")</f>
        <v>3506.221</v>
      </c>
      <c r="AK31">
        <f ca="1">IFERROR(IF(0=LEN(ReferenceData!$AK$31),"",ReferenceData!$AK$31),"")</f>
        <v>3117.973</v>
      </c>
      <c r="AL31">
        <f ca="1">IFERROR(IF(0=LEN(ReferenceData!$AL$31),"",ReferenceData!$AL$31),"")</f>
        <v>3150.471</v>
      </c>
    </row>
    <row r="32" spans="1:38" x14ac:dyDescent="0.25">
      <c r="A32" t="str">
        <f>IFERROR(IF(0=LEN(ReferenceData!$A$32),"",ReferenceData!$A$32),"")</f>
        <v xml:space="preserve">            East West Bancorp Inc</v>
      </c>
      <c r="B32" t="str">
        <f>IFERROR(IF(0=LEN(ReferenceData!$B$32),"",ReferenceData!$B$32),"")</f>
        <v>EWBC US Equity</v>
      </c>
      <c r="C32" t="str">
        <f>IFERROR(IF(0=LEN(ReferenceData!$C$32),"",ReferenceData!$C$32),"")</f>
        <v>FC004</v>
      </c>
      <c r="D32" t="str">
        <f>IFERROR(IF(0=LEN(ReferenceData!$D$32),"",ReferenceData!$D$32),"")</f>
        <v>FDIC_FAM_RESIDENT_LOANS</v>
      </c>
      <c r="E32" t="str">
        <f>IFERROR(IF(0=LEN(ReferenceData!$E$32),"",ReferenceData!$E$32),"")</f>
        <v>Dynamic</v>
      </c>
      <c r="F32" t="str">
        <f ca="1">IFERROR(IF(0=LEN(ReferenceData!$F$32),"",ReferenceData!$F$32),"")</f>
        <v/>
      </c>
      <c r="G32">
        <f ca="1">IFERROR(IF(0=LEN(ReferenceData!$G$32),"",ReferenceData!$G$32),"")</f>
        <v>15765.011</v>
      </c>
      <c r="H32">
        <f ca="1">IFERROR(IF(0=LEN(ReferenceData!$H$32),"",ReferenceData!$H$32),"")</f>
        <v>14001.596</v>
      </c>
      <c r="I32">
        <f ca="1">IFERROR(IF(0=LEN(ReferenceData!$I$32),"",ReferenceData!$I$32),"")</f>
        <v>11816.014999999999</v>
      </c>
      <c r="J32">
        <f ca="1">IFERROR(IF(0=LEN(ReferenceData!$J$32),"",ReferenceData!$J$32),"")</f>
        <v>10278.281000000001</v>
      </c>
      <c r="K32">
        <f ca="1">IFERROR(IF(0=LEN(ReferenceData!$K$32),"",ReferenceData!$K$32),"")</f>
        <v>8982.9150000000009</v>
      </c>
      <c r="L32">
        <f ca="1">IFERROR(IF(0=LEN(ReferenceData!$L$32),"",ReferenceData!$L$32),"")</f>
        <v>8119.1329999999998</v>
      </c>
      <c r="M32">
        <f ca="1">IFERROR(IF(0=LEN(ReferenceData!$M$32),"",ReferenceData!$M$32),"")</f>
        <v>6841.8789999999999</v>
      </c>
      <c r="N32">
        <f ca="1">IFERROR(IF(0=LEN(ReferenceData!$N$32),"",ReferenceData!$N$32),"")</f>
        <v>5571.4560000000001</v>
      </c>
      <c r="O32">
        <f ca="1">IFERROR(IF(0=LEN(ReferenceData!$O$32),"",ReferenceData!$O$32),"")</f>
        <v>4943.2579999999998</v>
      </c>
      <c r="P32">
        <f ca="1">IFERROR(IF(0=LEN(ReferenceData!$P$32),"",ReferenceData!$P$32),"")</f>
        <v>5243.8760000000002</v>
      </c>
      <c r="Q32">
        <f ca="1">IFERROR(IF(0=LEN(ReferenceData!$Q$32),"",ReferenceData!$Q$32),"")</f>
        <v>4217.38</v>
      </c>
      <c r="R32">
        <f ca="1">IFERROR(IF(0=LEN(ReferenceData!$R$32),"",ReferenceData!$R$32),"")</f>
        <v>2858.3980000000001</v>
      </c>
      <c r="S32">
        <f ca="1">IFERROR(IF(0=LEN(ReferenceData!$S$32),"",ReferenceData!$S$32),"")</f>
        <v>2536.3020000000001</v>
      </c>
      <c r="T32">
        <f ca="1">IFERROR(IF(0=LEN(ReferenceData!$T$32),"",ReferenceData!$T$32),"")</f>
        <v>1929.3320000000001</v>
      </c>
      <c r="U32">
        <f ca="1">IFERROR(IF(0=LEN(ReferenceData!$U$32),"",ReferenceData!$U$32),"")</f>
        <v>1786.6780000000001</v>
      </c>
      <c r="V32">
        <f ca="1">IFERROR(IF(0=LEN(ReferenceData!$V$32),"",ReferenceData!$V$32),"")</f>
        <v>653.99699999999996</v>
      </c>
      <c r="W32">
        <f ca="1">IFERROR(IF(0=LEN(ReferenceData!$W$32),"",ReferenceData!$W$32),"")</f>
        <v>554.09199999999998</v>
      </c>
      <c r="X32">
        <f ca="1">IFERROR(IF(0=LEN(ReferenceData!$X$32),"",ReferenceData!$X$32),"")</f>
        <v>507.55200000000002</v>
      </c>
      <c r="Y32">
        <f ca="1">IFERROR(IF(0=LEN(ReferenceData!$Y$32),"",ReferenceData!$Y$32),"")</f>
        <v>691.54</v>
      </c>
      <c r="Z32">
        <f ca="1">IFERROR(IF(0=LEN(ReferenceData!$Z$32),"",ReferenceData!$Z$32),"")</f>
        <v>491.98899999999998</v>
      </c>
      <c r="AA32">
        <f ca="1">IFERROR(IF(0=LEN(ReferenceData!$AA$32),"",ReferenceData!$AA$32),"")</f>
        <v>268.85599999999999</v>
      </c>
      <c r="AB32">
        <f ca="1">IFERROR(IF(0=LEN(ReferenceData!$AB$32),"",ReferenceData!$AB$32),"")</f>
        <v>194.971</v>
      </c>
      <c r="AC32">
        <f ca="1">IFERROR(IF(0=LEN(ReferenceData!$AC$32),"",ReferenceData!$AC$32),"")</f>
        <v>367.13400000000001</v>
      </c>
      <c r="AD32">
        <f ca="1">IFERROR(IF(0=LEN(ReferenceData!$AD$32),"",ReferenceData!$AD$32),"")</f>
        <v>367.77800000000002</v>
      </c>
      <c r="AE32">
        <f ca="1">IFERROR(IF(0=LEN(ReferenceData!$AE$32),"",ReferenceData!$AE$32),"")</f>
        <v>297.79399999999998</v>
      </c>
      <c r="AF32">
        <f ca="1">IFERROR(IF(0=LEN(ReferenceData!$AF$32),"",ReferenceData!$AF$32),"")</f>
        <v>282.15499999999997</v>
      </c>
      <c r="AG32" t="str">
        <f ca="1">IFERROR(IF(0=LEN(ReferenceData!$AG$32),"",ReferenceData!$AG$32),"")</f>
        <v/>
      </c>
      <c r="AH32" t="str">
        <f ca="1">IFERROR(IF(0=LEN(ReferenceData!$AH$32),"",ReferenceData!$AH$32),"")</f>
        <v/>
      </c>
      <c r="AI32" t="str">
        <f ca="1">IFERROR(IF(0=LEN(ReferenceData!$AI$32),"",ReferenceData!$AI$32),"")</f>
        <v/>
      </c>
      <c r="AJ32" t="str">
        <f ca="1">IFERROR(IF(0=LEN(ReferenceData!$AJ$32),"",ReferenceData!$AJ$32),"")</f>
        <v/>
      </c>
      <c r="AK32" t="str">
        <f ca="1">IFERROR(IF(0=LEN(ReferenceData!$AK$32),"",ReferenceData!$AK$32),"")</f>
        <v/>
      </c>
      <c r="AL32" t="str">
        <f ca="1">IFERROR(IF(0=LEN(ReferenceData!$AL$32),"",ReferenceData!$AL$32),"")</f>
        <v/>
      </c>
    </row>
    <row r="33" spans="1:38" x14ac:dyDescent="0.25">
      <c r="A33" t="str">
        <f>IFERROR(IF(0=LEN(ReferenceData!$A$33),"",ReferenceData!$A$33),"")</f>
        <v xml:space="preserve">            Fifth Third Bancorp</v>
      </c>
      <c r="B33" t="str">
        <f>IFERROR(IF(0=LEN(ReferenceData!$B$33),"",ReferenceData!$B$33),"")</f>
        <v>FITB US Equity</v>
      </c>
      <c r="C33" t="str">
        <f>IFERROR(IF(0=LEN(ReferenceData!$C$33),"",ReferenceData!$C$33),"")</f>
        <v>FC004</v>
      </c>
      <c r="D33" t="str">
        <f>IFERROR(IF(0=LEN(ReferenceData!$D$33),"",ReferenceData!$D$33),"")</f>
        <v>FDIC_FAM_RESIDENT_LOANS</v>
      </c>
      <c r="E33" t="str">
        <f>IFERROR(IF(0=LEN(ReferenceData!$E$33),"",ReferenceData!$E$33),"")</f>
        <v>Dynamic</v>
      </c>
      <c r="F33">
        <f ca="1">IFERROR(IF(0=LEN(ReferenceData!$F$33),"",ReferenceData!$F$33),"")</f>
        <v>21882</v>
      </c>
      <c r="G33">
        <f ca="1">IFERROR(IF(0=LEN(ReferenceData!$G$33),"",ReferenceData!$G$33),"")</f>
        <v>20846</v>
      </c>
      <c r="H33">
        <f ca="1">IFERROR(IF(0=LEN(ReferenceData!$H$33),"",ReferenceData!$H$33),"")</f>
        <v>22204.278999999999</v>
      </c>
      <c r="I33">
        <f ca="1">IFERROR(IF(0=LEN(ReferenceData!$I$33),"",ReferenceData!$I$33),"")</f>
        <v>24533.073</v>
      </c>
      <c r="J33">
        <f ca="1">IFERROR(IF(0=LEN(ReferenceData!$J$33),"",ReferenceData!$J$33),"")</f>
        <v>25186.95</v>
      </c>
      <c r="K33">
        <f ca="1">IFERROR(IF(0=LEN(ReferenceData!$K$33),"",ReferenceData!$K$33),"")</f>
        <v>23568.696</v>
      </c>
      <c r="L33">
        <f ca="1">IFERROR(IF(0=LEN(ReferenceData!$L$33),"",ReferenceData!$L$33),"")</f>
        <v>21869.364000000001</v>
      </c>
      <c r="M33">
        <f ca="1">IFERROR(IF(0=LEN(ReferenceData!$M$33),"",ReferenceData!$M$33),"")</f>
        <v>22465</v>
      </c>
      <c r="N33">
        <f ca="1">IFERROR(IF(0=LEN(ReferenceData!$N$33),"",ReferenceData!$N$33),"")</f>
        <v>22696.782999999999</v>
      </c>
      <c r="O33">
        <f ca="1">IFERROR(IF(0=LEN(ReferenceData!$O$33),"",ReferenceData!$O$33),"")</f>
        <v>22027.731</v>
      </c>
      <c r="P33">
        <f ca="1">IFERROR(IF(0=LEN(ReferenceData!$P$33),"",ReferenceData!$P$33),"")</f>
        <v>21815.423999999999</v>
      </c>
      <c r="Q33">
        <f ca="1">IFERROR(IF(0=LEN(ReferenceData!$Q$33),"",ReferenceData!$Q$33),"")</f>
        <v>22271.501</v>
      </c>
      <c r="R33">
        <f ca="1">IFERROR(IF(0=LEN(ReferenceData!$R$33),"",ReferenceData!$R$33),"")</f>
        <v>24457.736000000001</v>
      </c>
      <c r="S33">
        <f ca="1">IFERROR(IF(0=LEN(ReferenceData!$S$33),"",ReferenceData!$S$33),"")</f>
        <v>23864.955000000002</v>
      </c>
      <c r="T33">
        <f ca="1">IFERROR(IF(0=LEN(ReferenceData!$T$33),"",ReferenceData!$T$33),"")</f>
        <v>22085.291000000001</v>
      </c>
      <c r="U33">
        <f ca="1">IFERROR(IF(0=LEN(ReferenceData!$U$33),"",ReferenceData!$U$33),"")</f>
        <v>21821.242999999999</v>
      </c>
      <c r="V33">
        <f ca="1">IFERROR(IF(0=LEN(ReferenceData!$V$33),"",ReferenceData!$V$33),"")</f>
        <v>22477.023000000001</v>
      </c>
      <c r="W33">
        <f ca="1">IFERROR(IF(0=LEN(ReferenceData!$W$33),"",ReferenceData!$W$33),"")</f>
        <v>22456.776999999998</v>
      </c>
      <c r="X33">
        <f ca="1">IFERROR(IF(0=LEN(ReferenceData!$X$33),"",ReferenceData!$X$33),"")</f>
        <v>21382.897000000001</v>
      </c>
      <c r="Y33">
        <f ca="1">IFERROR(IF(0=LEN(ReferenceData!$Y$33),"",ReferenceData!$Y$33),"")</f>
        <v>20205.214</v>
      </c>
      <c r="Z33">
        <f ca="1">IFERROR(IF(0=LEN(ReferenceData!$Z$33),"",ReferenceData!$Z$33),"")</f>
        <v>18173.718000000001</v>
      </c>
      <c r="AA33">
        <f ca="1">IFERROR(IF(0=LEN(ReferenceData!$AA$33),"",ReferenceData!$AA$33),"")</f>
        <v>14598.907999999999</v>
      </c>
      <c r="AB33">
        <f ca="1">IFERROR(IF(0=LEN(ReferenceData!$AB$33),"",ReferenceData!$AB$33),"")</f>
        <v>15319.308999999999</v>
      </c>
      <c r="AC33">
        <f ca="1">IFERROR(IF(0=LEN(ReferenceData!$AC$33),"",ReferenceData!$AC$33),"")</f>
        <v>14313.187</v>
      </c>
      <c r="AD33">
        <f ca="1">IFERROR(IF(0=LEN(ReferenceData!$AD$33),"",ReferenceData!$AD$33),"")</f>
        <v>7871.94</v>
      </c>
      <c r="AE33">
        <f ca="1">IFERROR(IF(0=LEN(ReferenceData!$AE$33),"",ReferenceData!$AE$33),"")</f>
        <v>7472.0559999999996</v>
      </c>
      <c r="AF33">
        <f ca="1">IFERROR(IF(0=LEN(ReferenceData!$AF$33),"",ReferenceData!$AF$33),"")</f>
        <v>6177.6509999999998</v>
      </c>
      <c r="AG33">
        <f ca="1">IFERROR(IF(0=LEN(ReferenceData!$AG$33),"",ReferenceData!$AG$33),"")</f>
        <v>3254.53</v>
      </c>
      <c r="AH33">
        <f ca="1">IFERROR(IF(0=LEN(ReferenceData!$AH$33),"",ReferenceData!$AH$33),"")</f>
        <v>2947.4760000000001</v>
      </c>
      <c r="AI33">
        <f ca="1">IFERROR(IF(0=LEN(ReferenceData!$AI$33),"",ReferenceData!$AI$33),"")</f>
        <v>2575.9110000000001</v>
      </c>
      <c r="AJ33">
        <f ca="1">IFERROR(IF(0=LEN(ReferenceData!$AJ$33),"",ReferenceData!$AJ$33),"")</f>
        <v>2761.7170000000001</v>
      </c>
      <c r="AK33">
        <f ca="1">IFERROR(IF(0=LEN(ReferenceData!$AK$33),"",ReferenceData!$AK$33),"")</f>
        <v>2387.5830000000001</v>
      </c>
      <c r="AL33">
        <f ca="1">IFERROR(IF(0=LEN(ReferenceData!$AL$33),"",ReferenceData!$AL$33),"")</f>
        <v>2169.096</v>
      </c>
    </row>
    <row r="34" spans="1:38" x14ac:dyDescent="0.25">
      <c r="A34" t="str">
        <f>IFERROR(IF(0=LEN(ReferenceData!$A$34),"",ReferenceData!$A$34),"")</f>
        <v xml:space="preserve">            First Citizens BancShares Inc/</v>
      </c>
      <c r="B34" t="str">
        <f>IFERROR(IF(0=LEN(ReferenceData!$B$34),"",ReferenceData!$B$34),"")</f>
        <v>FCNCA US Equity</v>
      </c>
      <c r="C34" t="str">
        <f>IFERROR(IF(0=LEN(ReferenceData!$C$34),"",ReferenceData!$C$34),"")</f>
        <v>FC004</v>
      </c>
      <c r="D34" t="str">
        <f>IFERROR(IF(0=LEN(ReferenceData!$D$34),"",ReferenceData!$D$34),"")</f>
        <v>FDIC_FAM_RESIDENT_LOANS</v>
      </c>
      <c r="E34" t="str">
        <f>IFERROR(IF(0=LEN(ReferenceData!$E$34),"",ReferenceData!$E$34),"")</f>
        <v>Dynamic</v>
      </c>
      <c r="F34">
        <f ca="1">IFERROR(IF(0=LEN(ReferenceData!$F$34),"",ReferenceData!$F$34),"")</f>
        <v>25390</v>
      </c>
      <c r="G34">
        <f ca="1">IFERROR(IF(0=LEN(ReferenceData!$G$34),"",ReferenceData!$G$34),"")</f>
        <v>24530.958999999999</v>
      </c>
      <c r="H34">
        <f ca="1">IFERROR(IF(0=LEN(ReferenceData!$H$34),"",ReferenceData!$H$34),"")</f>
        <v>14855.508</v>
      </c>
      <c r="I34">
        <f ca="1">IFERROR(IF(0=LEN(ReferenceData!$I$34),"",ReferenceData!$I$34),"")</f>
        <v>7725.3940000000002</v>
      </c>
      <c r="J34">
        <f ca="1">IFERROR(IF(0=LEN(ReferenceData!$J$34),"",ReferenceData!$J$34),"")</f>
        <v>7955.8329999999996</v>
      </c>
      <c r="K34">
        <f ca="1">IFERROR(IF(0=LEN(ReferenceData!$K$34),"",ReferenceData!$K$34),"")</f>
        <v>7970.076</v>
      </c>
      <c r="L34">
        <f ca="1">IFERROR(IF(0=LEN(ReferenceData!$L$34),"",ReferenceData!$L$34),"")</f>
        <v>7160.2579999999998</v>
      </c>
      <c r="M34">
        <f ca="1">IFERROR(IF(0=LEN(ReferenceData!$M$34),"",ReferenceData!$M$34),"")</f>
        <v>6639.7160000000003</v>
      </c>
      <c r="N34">
        <f ca="1">IFERROR(IF(0=LEN(ReferenceData!$N$34),"",ReferenceData!$N$34),"")</f>
        <v>5872.2960000000003</v>
      </c>
      <c r="O34">
        <f ca="1">IFERROR(IF(0=LEN(ReferenceData!$O$34),"",ReferenceData!$O$34),"")</f>
        <v>5633.4859999999999</v>
      </c>
      <c r="P34">
        <f ca="1">IFERROR(IF(0=LEN(ReferenceData!$P$34),"",ReferenceData!$P$34),"")</f>
        <v>5602.4840000000004</v>
      </c>
      <c r="Q34">
        <f ca="1">IFERROR(IF(0=LEN(ReferenceData!$Q$34),"",ReferenceData!$Q$34),"")</f>
        <v>3387.6619999999998</v>
      </c>
      <c r="R34">
        <f ca="1">IFERROR(IF(0=LEN(ReferenceData!$R$34),"",ReferenceData!$R$34),"")</f>
        <v>3461.9850000000001</v>
      </c>
      <c r="S34">
        <f ca="1">IFERROR(IF(0=LEN(ReferenceData!$S$34),"",ReferenceData!$S$34),"")</f>
        <v>3552.0819999999999</v>
      </c>
      <c r="T34">
        <f ca="1">IFERROR(IF(0=LEN(ReferenceData!$T$34),"",ReferenceData!$T$34),"")</f>
        <v>3293.9380000000001</v>
      </c>
      <c r="U34">
        <f ca="1">IFERROR(IF(0=LEN(ReferenceData!$U$34),"",ReferenceData!$U$34),"")</f>
        <v>3231.62</v>
      </c>
      <c r="V34">
        <f ca="1">IFERROR(IF(0=LEN(ReferenceData!$V$34),"",ReferenceData!$V$34),"")</f>
        <v>2876.0189999999998</v>
      </c>
      <c r="W34">
        <f ca="1">IFERROR(IF(0=LEN(ReferenceData!$W$34),"",ReferenceData!$W$34),"")</f>
        <v>2523.4609999999998</v>
      </c>
      <c r="X34">
        <f ca="1">IFERROR(IF(0=LEN(ReferenceData!$X$34),"",ReferenceData!$X$34),"")</f>
        <v>2351.6379999999999</v>
      </c>
      <c r="Y34">
        <f ca="1">IFERROR(IF(0=LEN(ReferenceData!$Y$34),"",ReferenceData!$Y$34),"")</f>
        <v>2385.4270000000001</v>
      </c>
      <c r="Z34">
        <f ca="1">IFERROR(IF(0=LEN(ReferenceData!$Z$34),"",ReferenceData!$Z$34),"")</f>
        <v>2693.7</v>
      </c>
      <c r="AA34">
        <f ca="1">IFERROR(IF(0=LEN(ReferenceData!$AA$34),"",ReferenceData!$AA$34),"")</f>
        <v>2568.1039999999998</v>
      </c>
      <c r="AB34">
        <f ca="1">IFERROR(IF(0=LEN(ReferenceData!$AB$34),"",ReferenceData!$AB$34),"")</f>
        <v>2474.9070000000002</v>
      </c>
      <c r="AC34">
        <f ca="1">IFERROR(IF(0=LEN(ReferenceData!$AC$34),"",ReferenceData!$AC$34),"")</f>
        <v>2346.9899999999998</v>
      </c>
      <c r="AD34">
        <f ca="1">IFERROR(IF(0=LEN(ReferenceData!$AD$34),"",ReferenceData!$AD$34),"")</f>
        <v>2377.596</v>
      </c>
      <c r="AE34">
        <f ca="1">IFERROR(IF(0=LEN(ReferenceData!$AE$34),"",ReferenceData!$AE$34),"")</f>
        <v>2084.4140000000002</v>
      </c>
      <c r="AF34">
        <f ca="1">IFERROR(IF(0=LEN(ReferenceData!$AF$34),"",ReferenceData!$AF$34),"")</f>
        <v>1915.25</v>
      </c>
      <c r="AG34">
        <f ca="1">IFERROR(IF(0=LEN(ReferenceData!$AG$34),"",ReferenceData!$AG$34),"")</f>
        <v>2004.259</v>
      </c>
      <c r="AH34">
        <f ca="1">IFERROR(IF(0=LEN(ReferenceData!$AH$34),"",ReferenceData!$AH$34),"")</f>
        <v>1950.972</v>
      </c>
      <c r="AI34">
        <f ca="1">IFERROR(IF(0=LEN(ReferenceData!$AI$34),"",ReferenceData!$AI$34),"")</f>
        <v>1835.7809999999999</v>
      </c>
      <c r="AJ34">
        <f ca="1">IFERROR(IF(0=LEN(ReferenceData!$AJ$34),"",ReferenceData!$AJ$34),"")</f>
        <v>1643.25</v>
      </c>
      <c r="AK34">
        <f ca="1">IFERROR(IF(0=LEN(ReferenceData!$AK$34),"",ReferenceData!$AK$34),"")</f>
        <v>1431.453</v>
      </c>
      <c r="AL34">
        <f ca="1">IFERROR(IF(0=LEN(ReferenceData!$AL$34),"",ReferenceData!$AL$34),"")</f>
        <v>1316.634</v>
      </c>
    </row>
    <row r="35" spans="1:38" x14ac:dyDescent="0.25">
      <c r="A35" t="str">
        <f>IFERROR(IF(0=LEN(ReferenceData!$A$35),"",ReferenceData!$A$35),"")</f>
        <v xml:space="preserve">            Flagstar Financial Inc</v>
      </c>
      <c r="B35" t="str">
        <f>IFERROR(IF(0=LEN(ReferenceData!$B$35),"",ReferenceData!$B$35),"")</f>
        <v>FLG US Equity</v>
      </c>
      <c r="C35" t="str">
        <f>IFERROR(IF(0=LEN(ReferenceData!$C$35),"",ReferenceData!$C$35),"")</f>
        <v>FC004</v>
      </c>
      <c r="D35" t="str">
        <f>IFERROR(IF(0=LEN(ReferenceData!$D$35),"",ReferenceData!$D$35),"")</f>
        <v>FDIC_FAM_RESIDENT_LOANS</v>
      </c>
      <c r="E35" t="str">
        <f>IFERROR(IF(0=LEN(ReferenceData!$E$35),"",ReferenceData!$E$35),"")</f>
        <v>Dynamic</v>
      </c>
      <c r="F35">
        <f ca="1">IFERROR(IF(0=LEN(ReferenceData!$F$35),"",ReferenceData!$F$35),"")</f>
        <v>7179.1840000000002</v>
      </c>
      <c r="G35">
        <f ca="1">IFERROR(IF(0=LEN(ReferenceData!$G$35),"",ReferenceData!$G$35),"")</f>
        <v>8215.5930000000008</v>
      </c>
      <c r="H35">
        <f ca="1">IFERROR(IF(0=LEN(ReferenceData!$H$35),"",ReferenceData!$H$35),"")</f>
        <v>7711.7250000000004</v>
      </c>
      <c r="I35">
        <f ca="1">IFERROR(IF(0=LEN(ReferenceData!$I$35),"",ReferenceData!$I$35),"")</f>
        <v>160.44900000000001</v>
      </c>
      <c r="J35">
        <f ca="1">IFERROR(IF(0=LEN(ReferenceData!$J$35),"",ReferenceData!$J$35),"")</f>
        <v>236.267</v>
      </c>
      <c r="K35">
        <f ca="1">IFERROR(IF(0=LEN(ReferenceData!$K$35),"",ReferenceData!$K$35),"")</f>
        <v>380.68400000000003</v>
      </c>
      <c r="L35">
        <f ca="1">IFERROR(IF(0=LEN(ReferenceData!$L$35),"",ReferenceData!$L$35),"")</f>
        <v>446.41300000000001</v>
      </c>
      <c r="M35">
        <f ca="1">IFERROR(IF(0=LEN(ReferenceData!$M$35),"",ReferenceData!$M$35),"")</f>
        <v>512.48599999999999</v>
      </c>
      <c r="N35">
        <f ca="1">IFERROR(IF(0=LEN(ReferenceData!$N$35),"",ReferenceData!$N$35),"")</f>
        <v>2494.94</v>
      </c>
      <c r="O35">
        <f ca="1">IFERROR(IF(0=LEN(ReferenceData!$O$35),"",ReferenceData!$O$35),"")</f>
        <v>2554.1329999999998</v>
      </c>
      <c r="P35">
        <f ca="1">IFERROR(IF(0=LEN(ReferenceData!$P$35),"",ReferenceData!$P$35),"")</f>
        <v>2782.5520000000001</v>
      </c>
      <c r="Q35">
        <f ca="1">IFERROR(IF(0=LEN(ReferenceData!$Q$35),"",ReferenceData!$Q$35),"")</f>
        <v>3639.3319999999999</v>
      </c>
      <c r="R35">
        <f ca="1">IFERROR(IF(0=LEN(ReferenceData!$R$35),"",ReferenceData!$R$35),"")</f>
        <v>4666.4319999999998</v>
      </c>
      <c r="S35">
        <f ca="1">IFERROR(IF(0=LEN(ReferenceData!$S$35),"",ReferenceData!$S$35),"")</f>
        <v>4863.1000000000004</v>
      </c>
      <c r="T35">
        <f ca="1">IFERROR(IF(0=LEN(ReferenceData!$T$35),"",ReferenceData!$T$35),"")</f>
        <v>5599.58</v>
      </c>
      <c r="U35">
        <f ca="1">IFERROR(IF(0=LEN(ReferenceData!$U$35),"",ReferenceData!$U$35),"")</f>
        <v>5327.0619999999999</v>
      </c>
      <c r="V35">
        <f ca="1">IFERROR(IF(0=LEN(ReferenceData!$V$35),"",ReferenceData!$V$35),"")</f>
        <v>397.07400000000001</v>
      </c>
      <c r="W35">
        <f ca="1">IFERROR(IF(0=LEN(ReferenceData!$W$35),"",ReferenceData!$W$35),"")</f>
        <v>551.13499999999999</v>
      </c>
      <c r="X35">
        <f ca="1">IFERROR(IF(0=LEN(ReferenceData!$X$35),"",ReferenceData!$X$35),"")</f>
        <v>246.702</v>
      </c>
      <c r="Y35">
        <f ca="1">IFERROR(IF(0=LEN(ReferenceData!$Y$35),"",ReferenceData!$Y$35),"")</f>
        <v>270.779</v>
      </c>
      <c r="Z35">
        <f ca="1">IFERROR(IF(0=LEN(ReferenceData!$Z$35),"",ReferenceData!$Z$35),"")</f>
        <v>513.96699999999998</v>
      </c>
      <c r="AA35">
        <f ca="1">IFERROR(IF(0=LEN(ReferenceData!$AA$35),"",ReferenceData!$AA$35),"")</f>
        <v>873.303</v>
      </c>
      <c r="AB35">
        <f ca="1">IFERROR(IF(0=LEN(ReferenceData!$AB$35),"",ReferenceData!$AB$35),"")</f>
        <v>268.93700000000001</v>
      </c>
      <c r="AC35">
        <f ca="1">IFERROR(IF(0=LEN(ReferenceData!$AC$35),"",ReferenceData!$AC$35),"")</f>
        <v>1413.107</v>
      </c>
      <c r="AD35">
        <f ca="1">IFERROR(IF(0=LEN(ReferenceData!$AD$35),"",ReferenceData!$AD$35),"")</f>
        <v>1805.297</v>
      </c>
      <c r="AE35">
        <f ca="1">IFERROR(IF(0=LEN(ReferenceData!$AE$35),"",ReferenceData!$AE$35),"")</f>
        <v>161.49600000000001</v>
      </c>
      <c r="AF35">
        <f ca="1">IFERROR(IF(0=LEN(ReferenceData!$AF$35),"",ReferenceData!$AF$35),"")</f>
        <v>188.95599999999999</v>
      </c>
      <c r="AG35">
        <f ca="1">IFERROR(IF(0=LEN(ReferenceData!$AG$35),"",ReferenceData!$AG$35),"")</f>
        <v>235.80799999999999</v>
      </c>
      <c r="AH35">
        <f ca="1">IFERROR(IF(0=LEN(ReferenceData!$AH$35),"",ReferenceData!$AH$35),"")</f>
        <v>269.78100000000001</v>
      </c>
      <c r="AI35">
        <f ca="1">IFERROR(IF(0=LEN(ReferenceData!$AI$35),"",ReferenceData!$AI$35),"")</f>
        <v>302.70499999999998</v>
      </c>
      <c r="AJ35">
        <f ca="1">IFERROR(IF(0=LEN(ReferenceData!$AJ$35),"",ReferenceData!$AJ$35),"")</f>
        <v>319.73500000000001</v>
      </c>
      <c r="AK35">
        <f ca="1">IFERROR(IF(0=LEN(ReferenceData!$AK$35),"",ReferenceData!$AK$35),"")</f>
        <v>288.89699999999999</v>
      </c>
      <c r="AL35" t="str">
        <f ca="1">IFERROR(IF(0=LEN(ReferenceData!$AL$35),"",ReferenceData!$AL$35),"")</f>
        <v/>
      </c>
    </row>
    <row r="36" spans="1:38" x14ac:dyDescent="0.25">
      <c r="A36" t="str">
        <f>IFERROR(IF(0=LEN(ReferenceData!$A$36),"",ReferenceData!$A$36),"")</f>
        <v xml:space="preserve">            Huntington Bancshares Inc/OH</v>
      </c>
      <c r="B36" t="str">
        <f>IFERROR(IF(0=LEN(ReferenceData!$B$36),"",ReferenceData!$B$36),"")</f>
        <v>HBAN US Equity</v>
      </c>
      <c r="C36" t="str">
        <f>IFERROR(IF(0=LEN(ReferenceData!$C$36),"",ReferenceData!$C$36),"")</f>
        <v>FC004</v>
      </c>
      <c r="D36" t="str">
        <f>IFERROR(IF(0=LEN(ReferenceData!$D$36),"",ReferenceData!$D$36),"")</f>
        <v>FDIC_FAM_RESIDENT_LOANS</v>
      </c>
      <c r="E36" t="str">
        <f>IFERROR(IF(0=LEN(ReferenceData!$E$36),"",ReferenceData!$E$36),"")</f>
        <v>Dynamic</v>
      </c>
      <c r="F36">
        <f ca="1">IFERROR(IF(0=LEN(ReferenceData!$F$36),"",ReferenceData!$F$36),"")</f>
        <v>34716.815000000002</v>
      </c>
      <c r="G36">
        <f ca="1">IFERROR(IF(0=LEN(ReferenceData!$G$36),"",ReferenceData!$G$36),"")</f>
        <v>34020.006999999998</v>
      </c>
      <c r="H36">
        <f ca="1">IFERROR(IF(0=LEN(ReferenceData!$H$36),"",ReferenceData!$H$36),"")</f>
        <v>32808.451000000001</v>
      </c>
      <c r="I36">
        <f ca="1">IFERROR(IF(0=LEN(ReferenceData!$I$36),"",ReferenceData!$I$36),"")</f>
        <v>30861.969000000001</v>
      </c>
      <c r="J36">
        <f ca="1">IFERROR(IF(0=LEN(ReferenceData!$J$36),"",ReferenceData!$J$36),"")</f>
        <v>22003.716</v>
      </c>
      <c r="K36">
        <f ca="1">IFERROR(IF(0=LEN(ReferenceData!$K$36),"",ReferenceData!$K$36),"")</f>
        <v>21055.613000000001</v>
      </c>
      <c r="L36">
        <f ca="1">IFERROR(IF(0=LEN(ReferenceData!$L$36),"",ReferenceData!$L$36),"")</f>
        <v>20906.517</v>
      </c>
      <c r="M36">
        <f ca="1">IFERROR(IF(0=LEN(ReferenceData!$M$36),"",ReferenceData!$M$36),"")</f>
        <v>19169.643</v>
      </c>
      <c r="N36">
        <f ca="1">IFERROR(IF(0=LEN(ReferenceData!$N$36),"",ReferenceData!$N$36),"")</f>
        <v>18134.503000000001</v>
      </c>
      <c r="O36">
        <f ca="1">IFERROR(IF(0=LEN(ReferenceData!$O$36),"",ReferenceData!$O$36),"")</f>
        <v>14841.903</v>
      </c>
      <c r="P36">
        <f ca="1">IFERROR(IF(0=LEN(ReferenceData!$P$36),"",ReferenceData!$P$36),"")</f>
        <v>14595.217000000001</v>
      </c>
      <c r="Q36">
        <f ca="1">IFERROR(IF(0=LEN(ReferenceData!$Q$36),"",ReferenceData!$Q$36),"")</f>
        <v>13991.876</v>
      </c>
      <c r="R36">
        <f ca="1">IFERROR(IF(0=LEN(ReferenceData!$R$36),"",ReferenceData!$R$36),"")</f>
        <v>13825.241</v>
      </c>
      <c r="S36">
        <f ca="1">IFERROR(IF(0=LEN(ReferenceData!$S$36),"",ReferenceData!$S$36),"")</f>
        <v>13886.472</v>
      </c>
      <c r="T36">
        <f ca="1">IFERROR(IF(0=LEN(ReferenceData!$T$36),"",ReferenceData!$T$36),"")</f>
        <v>13287.779</v>
      </c>
      <c r="U36">
        <f ca="1">IFERROR(IF(0=LEN(ReferenceData!$U$36),"",ReferenceData!$U$36),"")</f>
        <v>13018.645</v>
      </c>
      <c r="V36">
        <f ca="1">IFERROR(IF(0=LEN(ReferenceData!$V$36),"",ReferenceData!$V$36),"")</f>
        <v>12938.627</v>
      </c>
      <c r="W36">
        <f ca="1">IFERROR(IF(0=LEN(ReferenceData!$W$36),"",ReferenceData!$W$36),"")</f>
        <v>13918.166999999999</v>
      </c>
      <c r="X36">
        <f ca="1">IFERROR(IF(0=LEN(ReferenceData!$X$36),"",ReferenceData!$X$36),"")</f>
        <v>9916.8539999999994</v>
      </c>
      <c r="Y36">
        <f ca="1">IFERROR(IF(0=LEN(ReferenceData!$Y$36),"",ReferenceData!$Y$36),"")</f>
        <v>9374.19</v>
      </c>
      <c r="Z36">
        <f ca="1">IFERROR(IF(0=LEN(ReferenceData!$Z$36),"",ReferenceData!$Z$36),"")</f>
        <v>8949.2039999999997</v>
      </c>
      <c r="AA36">
        <f ca="1">IFERROR(IF(0=LEN(ReferenceData!$AA$36),"",ReferenceData!$AA$36),"")</f>
        <v>6383.1120000000001</v>
      </c>
      <c r="AB36">
        <f ca="1">IFERROR(IF(0=LEN(ReferenceData!$AB$36),"",ReferenceData!$AB$36),"")</f>
        <v>5510.91</v>
      </c>
      <c r="AC36">
        <f ca="1">IFERROR(IF(0=LEN(ReferenceData!$AC$36),"",ReferenceData!$AC$36),"")</f>
        <v>5307.0020000000004</v>
      </c>
      <c r="AD36">
        <f ca="1">IFERROR(IF(0=LEN(ReferenceData!$AD$36),"",ReferenceData!$AD$36),"")</f>
        <v>4424.2060000000001</v>
      </c>
      <c r="AE36">
        <f ca="1">IFERROR(IF(0=LEN(ReferenceData!$AE$36),"",ReferenceData!$AE$36),"")</f>
        <v>4252.5510000000004</v>
      </c>
      <c r="AF36">
        <f ca="1">IFERROR(IF(0=LEN(ReferenceData!$AF$36),"",ReferenceData!$AF$36),"")</f>
        <v>4258.6490000000003</v>
      </c>
      <c r="AG36">
        <f ca="1">IFERROR(IF(0=LEN(ReferenceData!$AG$36),"",ReferenceData!$AG$36),"")</f>
        <v>3646.5259999999998</v>
      </c>
      <c r="AH36">
        <f ca="1">IFERROR(IF(0=LEN(ReferenceData!$AH$36),"",ReferenceData!$AH$36),"")</f>
        <v>2743.5430000000001</v>
      </c>
      <c r="AI36">
        <f ca="1">IFERROR(IF(0=LEN(ReferenceData!$AI$36),"",ReferenceData!$AI$36),"")</f>
        <v>2718.6950000000002</v>
      </c>
      <c r="AJ36">
        <f ca="1">IFERROR(IF(0=LEN(ReferenceData!$AJ$36),"",ReferenceData!$AJ$36),"")</f>
        <v>2978.7829999999999</v>
      </c>
      <c r="AK36">
        <f ca="1">IFERROR(IF(0=LEN(ReferenceData!$AK$36),"",ReferenceData!$AK$36),"")</f>
        <v>3473.6320000000001</v>
      </c>
      <c r="AL36">
        <f ca="1">IFERROR(IF(0=LEN(ReferenceData!$AL$36),"",ReferenceData!$AL$36),"")</f>
        <v>2021.3610000000001</v>
      </c>
    </row>
    <row r="37" spans="1:38" x14ac:dyDescent="0.25">
      <c r="A37" t="str">
        <f>IFERROR(IF(0=LEN(ReferenceData!$A$37),"",ReferenceData!$A$37),"")</f>
        <v xml:space="preserve">            JPMorgan Chase &amp; Co</v>
      </c>
      <c r="B37" t="str">
        <f>IFERROR(IF(0=LEN(ReferenceData!$B$37),"",ReferenceData!$B$37),"")</f>
        <v>JPM US Equity</v>
      </c>
      <c r="C37" t="str">
        <f>IFERROR(IF(0=LEN(ReferenceData!$C$37),"",ReferenceData!$C$37),"")</f>
        <v>FC004</v>
      </c>
      <c r="D37" t="str">
        <f>IFERROR(IF(0=LEN(ReferenceData!$D$37),"",ReferenceData!$D$37),"")</f>
        <v>FDIC_FAM_RESIDENT_LOANS</v>
      </c>
      <c r="E37" t="str">
        <f>IFERROR(IF(0=LEN(ReferenceData!$E$37),"",ReferenceData!$E$37),"")</f>
        <v>Dynamic</v>
      </c>
      <c r="F37">
        <f ca="1">IFERROR(IF(0=LEN(ReferenceData!$F$37),"",ReferenceData!$F$37),"")</f>
        <v>322739</v>
      </c>
      <c r="G37">
        <f ca="1">IFERROR(IF(0=LEN(ReferenceData!$G$37),"",ReferenceData!$G$37),"")</f>
        <v>335448</v>
      </c>
      <c r="H37">
        <f ca="1">IFERROR(IF(0=LEN(ReferenceData!$H$37),"",ReferenceData!$H$37),"")</f>
        <v>247551</v>
      </c>
      <c r="I37">
        <f ca="1">IFERROR(IF(0=LEN(ReferenceData!$I$37),"",ReferenceData!$I$37),"")</f>
        <v>252018</v>
      </c>
      <c r="J37">
        <f ca="1">IFERROR(IF(0=LEN(ReferenceData!$J$37),"",ReferenceData!$J$37),"")</f>
        <v>241603</v>
      </c>
      <c r="K37">
        <f ca="1">IFERROR(IF(0=LEN(ReferenceData!$K$37),"",ReferenceData!$K$37),"")</f>
        <v>246239</v>
      </c>
      <c r="L37">
        <f ca="1">IFERROR(IF(0=LEN(ReferenceData!$L$37),"",ReferenceData!$L$37),"")</f>
        <v>283388</v>
      </c>
      <c r="M37">
        <f ca="1">IFERROR(IF(0=LEN(ReferenceData!$M$37),"",ReferenceData!$M$37),"")</f>
        <v>280479</v>
      </c>
      <c r="N37">
        <f ca="1">IFERROR(IF(0=LEN(ReferenceData!$N$37),"",ReferenceData!$N$37),"")</f>
        <v>267183</v>
      </c>
      <c r="O37">
        <f ca="1">IFERROR(IF(0=LEN(ReferenceData!$O$37),"",ReferenceData!$O$37),"")</f>
        <v>253724</v>
      </c>
      <c r="P37">
        <f ca="1">IFERROR(IF(0=LEN(ReferenceData!$P$37),"",ReferenceData!$P$37),"")</f>
        <v>210247</v>
      </c>
      <c r="Q37">
        <f ca="1">IFERROR(IF(0=LEN(ReferenceData!$Q$37),"",ReferenceData!$Q$37),"")</f>
        <v>208135</v>
      </c>
      <c r="R37">
        <f ca="1">IFERROR(IF(0=LEN(ReferenceData!$R$37),"",ReferenceData!$R$37),"")</f>
        <v>214294</v>
      </c>
      <c r="S37">
        <f ca="1">IFERROR(IF(0=LEN(ReferenceData!$S$37),"",ReferenceData!$S$37),"")</f>
        <v>231880</v>
      </c>
      <c r="T37">
        <f ca="1">IFERROR(IF(0=LEN(ReferenceData!$T$37),"",ReferenceData!$T$37),"")</f>
        <v>249758</v>
      </c>
      <c r="U37">
        <f ca="1">IFERROR(IF(0=LEN(ReferenceData!$U$37),"",ReferenceData!$U$37),"")</f>
        <v>270197</v>
      </c>
      <c r="V37">
        <f ca="1">IFERROR(IF(0=LEN(ReferenceData!$V$37),"",ReferenceData!$V$37),"")</f>
        <v>299508</v>
      </c>
      <c r="W37">
        <f ca="1">IFERROR(IF(0=LEN(ReferenceData!$W$37),"",ReferenceData!$W$37),"")</f>
        <v>172405</v>
      </c>
      <c r="X37">
        <f ca="1">IFERROR(IF(0=LEN(ReferenceData!$X$37),"",ReferenceData!$X$37),"")</f>
        <v>160020</v>
      </c>
      <c r="Y37">
        <f ca="1">IFERROR(IF(0=LEN(ReferenceData!$Y$37),"",ReferenceData!$Y$37),"")</f>
        <v>147159</v>
      </c>
      <c r="Z37">
        <f ca="1">IFERROR(IF(0=LEN(ReferenceData!$Z$37),"",ReferenceData!$Z$37),"")</f>
        <v>133191</v>
      </c>
      <c r="AA37">
        <f ca="1">IFERROR(IF(0=LEN(ReferenceData!$AA$37),"",ReferenceData!$AA$37),"")</f>
        <v>73145</v>
      </c>
      <c r="AB37">
        <f ca="1">IFERROR(IF(0=LEN(ReferenceData!$AB$37),"",ReferenceData!$AB$37),"")</f>
        <v>63411</v>
      </c>
      <c r="AC37">
        <f ca="1">IFERROR(IF(0=LEN(ReferenceData!$AC$37),"",ReferenceData!$AC$37),"")</f>
        <v>58942</v>
      </c>
      <c r="AD37">
        <f ca="1">IFERROR(IF(0=LEN(ReferenceData!$AD$37),"",ReferenceData!$AD$37),"")</f>
        <v>49893.603000000003</v>
      </c>
      <c r="AE37">
        <f ca="1">IFERROR(IF(0=LEN(ReferenceData!$AE$37),"",ReferenceData!$AE$37),"")</f>
        <v>44212.142999999996</v>
      </c>
      <c r="AF37">
        <f ca="1">IFERROR(IF(0=LEN(ReferenceData!$AF$37),"",ReferenceData!$AF$37),"")</f>
        <v>41782.705999999998</v>
      </c>
      <c r="AG37">
        <f ca="1">IFERROR(IF(0=LEN(ReferenceData!$AG$37),"",ReferenceData!$AG$37),"")</f>
        <v>38633.203000000001</v>
      </c>
      <c r="AH37">
        <f ca="1">IFERROR(IF(0=LEN(ReferenceData!$AH$37),"",ReferenceData!$AH$37),"")</f>
        <v>36558.754000000001</v>
      </c>
      <c r="AI37">
        <f ca="1">IFERROR(IF(0=LEN(ReferenceData!$AI$37),"",ReferenceData!$AI$37),"")</f>
        <v>18163.781999999999</v>
      </c>
      <c r="AJ37">
        <f ca="1">IFERROR(IF(0=LEN(ReferenceData!$AJ$37),"",ReferenceData!$AJ$37),"")</f>
        <v>13463.46</v>
      </c>
      <c r="AK37">
        <f ca="1">IFERROR(IF(0=LEN(ReferenceData!$AK$37),"",ReferenceData!$AK$37),"")</f>
        <v>12055.898999999999</v>
      </c>
      <c r="AL37">
        <f ca="1">IFERROR(IF(0=LEN(ReferenceData!$AL$37),"",ReferenceData!$AL$37),"")</f>
        <v>10944.135</v>
      </c>
    </row>
    <row r="38" spans="1:38" x14ac:dyDescent="0.25">
      <c r="A38" t="str">
        <f>IFERROR(IF(0=LEN(ReferenceData!$A$38),"",ReferenceData!$A$38),"")</f>
        <v xml:space="preserve">            KeyCorp</v>
      </c>
      <c r="B38" t="str">
        <f>IFERROR(IF(0=LEN(ReferenceData!$B$38),"",ReferenceData!$B$38),"")</f>
        <v>KEY US Equity</v>
      </c>
      <c r="C38" t="str">
        <f>IFERROR(IF(0=LEN(ReferenceData!$C$38),"",ReferenceData!$C$38),"")</f>
        <v>FC004</v>
      </c>
      <c r="D38" t="str">
        <f>IFERROR(IF(0=LEN(ReferenceData!$D$38),"",ReferenceData!$D$38),"")</f>
        <v>FDIC_FAM_RESIDENT_LOANS</v>
      </c>
      <c r="E38" t="str">
        <f>IFERROR(IF(0=LEN(ReferenceData!$E$38),"",ReferenceData!$E$38),"")</f>
        <v>Dynamic</v>
      </c>
      <c r="F38">
        <f ca="1">IFERROR(IF(0=LEN(ReferenceData!$F$38),"",ReferenceData!$F$38),"")</f>
        <v>26336.841</v>
      </c>
      <c r="G38">
        <f ca="1">IFERROR(IF(0=LEN(ReferenceData!$G$38),"",ReferenceData!$G$38),"")</f>
        <v>28148.434000000001</v>
      </c>
      <c r="H38">
        <f ca="1">IFERROR(IF(0=LEN(ReferenceData!$H$38),"",ReferenceData!$H$38),"")</f>
        <v>29375.451000000001</v>
      </c>
      <c r="I38">
        <f ca="1">IFERROR(IF(0=LEN(ReferenceData!$I$38),"",ReferenceData!$I$38),"")</f>
        <v>24504.156999999999</v>
      </c>
      <c r="J38">
        <f ca="1">IFERROR(IF(0=LEN(ReferenceData!$J$38),"",ReferenceData!$J$38),"")</f>
        <v>18921.59</v>
      </c>
      <c r="K38">
        <f ca="1">IFERROR(IF(0=LEN(ReferenceData!$K$38),"",ReferenceData!$K$38),"")</f>
        <v>17436.456999999999</v>
      </c>
      <c r="L38">
        <f ca="1">IFERROR(IF(0=LEN(ReferenceData!$L$38),"",ReferenceData!$L$38),"")</f>
        <v>16719.893</v>
      </c>
      <c r="M38">
        <f ca="1">IFERROR(IF(0=LEN(ReferenceData!$M$38),"",ReferenceData!$M$38),"")</f>
        <v>17582.322</v>
      </c>
      <c r="N38">
        <f ca="1">IFERROR(IF(0=LEN(ReferenceData!$N$38),"",ReferenceData!$N$38),"")</f>
        <v>18282.831999999999</v>
      </c>
      <c r="O38">
        <f ca="1">IFERROR(IF(0=LEN(ReferenceData!$O$38),"",ReferenceData!$O$38),"")</f>
        <v>12594.343000000001</v>
      </c>
      <c r="P38">
        <f ca="1">IFERROR(IF(0=LEN(ReferenceData!$P$38),"",ReferenceData!$P$38),"")</f>
        <v>12875.697</v>
      </c>
      <c r="Q38">
        <f ca="1">IFERROR(IF(0=LEN(ReferenceData!$Q$38),"",ReferenceData!$Q$38),"")</f>
        <v>12878.777</v>
      </c>
      <c r="R38">
        <f ca="1">IFERROR(IF(0=LEN(ReferenceData!$R$38),"",ReferenceData!$R$38),"")</f>
        <v>12497.082</v>
      </c>
      <c r="S38">
        <f ca="1">IFERROR(IF(0=LEN(ReferenceData!$S$38),"",ReferenceData!$S$38),"")</f>
        <v>11804.796</v>
      </c>
      <c r="T38">
        <f ca="1">IFERROR(IF(0=LEN(ReferenceData!$T$38),"",ReferenceData!$T$38),"")</f>
        <v>12134.297</v>
      </c>
      <c r="U38">
        <f ca="1">IFERROR(IF(0=LEN(ReferenceData!$U$38),"",ReferenceData!$U$38),"")</f>
        <v>12820.784</v>
      </c>
      <c r="V38">
        <f ca="1">IFERROR(IF(0=LEN(ReferenceData!$V$38),"",ReferenceData!$V$38),"")</f>
        <v>13160.433000000001</v>
      </c>
      <c r="W38">
        <f ca="1">IFERROR(IF(0=LEN(ReferenceData!$W$38),"",ReferenceData!$W$38),"")</f>
        <v>12558.2</v>
      </c>
      <c r="X38">
        <f ca="1">IFERROR(IF(0=LEN(ReferenceData!$X$38),"",ReferenceData!$X$38),"")</f>
        <v>12468.772000000001</v>
      </c>
      <c r="Y38">
        <f ca="1">IFERROR(IF(0=LEN(ReferenceData!$Y$38),"",ReferenceData!$Y$38),"")</f>
        <v>14957.022999999999</v>
      </c>
      <c r="Z38">
        <f ca="1">IFERROR(IF(0=LEN(ReferenceData!$Z$38),"",ReferenceData!$Z$38),"")</f>
        <v>15590.465</v>
      </c>
      <c r="AA38">
        <f ca="1">IFERROR(IF(0=LEN(ReferenceData!$AA$38),"",ReferenceData!$AA$38),"")</f>
        <v>16667.065999999999</v>
      </c>
      <c r="AB38">
        <f ca="1">IFERROR(IF(0=LEN(ReferenceData!$AB$38),"",ReferenceData!$AB$38),"")</f>
        <v>15870.323</v>
      </c>
      <c r="AC38">
        <f ca="1">IFERROR(IF(0=LEN(ReferenceData!$AC$38),"",ReferenceData!$AC$38),"")</f>
        <v>13616.451999999999</v>
      </c>
      <c r="AD38">
        <f ca="1">IFERROR(IF(0=LEN(ReferenceData!$AD$38),"",ReferenceData!$AD$38),"")</f>
        <v>14155.037</v>
      </c>
      <c r="AE38">
        <f ca="1">IFERROR(IF(0=LEN(ReferenceData!$AE$38),"",ReferenceData!$AE$38),"")</f>
        <v>12352.356</v>
      </c>
      <c r="AF38">
        <f ca="1">IFERROR(IF(0=LEN(ReferenceData!$AF$38),"",ReferenceData!$AF$38),"")</f>
        <v>12489.018</v>
      </c>
      <c r="AG38">
        <f ca="1">IFERROR(IF(0=LEN(ReferenceData!$AG$38),"",ReferenceData!$AG$38),"")</f>
        <v>11975.717000000001</v>
      </c>
      <c r="AH38">
        <f ca="1">IFERROR(IF(0=LEN(ReferenceData!$AH$38),"",ReferenceData!$AH$38),"")</f>
        <v>11071.308999999999</v>
      </c>
      <c r="AI38">
        <f ca="1">IFERROR(IF(0=LEN(ReferenceData!$AI$38),"",ReferenceData!$AI$38),"")</f>
        <v>12824.376</v>
      </c>
      <c r="AJ38">
        <f ca="1">IFERROR(IF(0=LEN(ReferenceData!$AJ$38),"",ReferenceData!$AJ$38),"")</f>
        <v>13923.14</v>
      </c>
      <c r="AK38">
        <f ca="1">IFERROR(IF(0=LEN(ReferenceData!$AK$38),"",ReferenceData!$AK$38),"")</f>
        <v>4895.5829999999996</v>
      </c>
      <c r="AL38">
        <f ca="1">IFERROR(IF(0=LEN(ReferenceData!$AL$38),"",ReferenceData!$AL$38),"")</f>
        <v>3372.306</v>
      </c>
    </row>
    <row r="39" spans="1:38" x14ac:dyDescent="0.25">
      <c r="A39" t="str">
        <f>IFERROR(IF(0=LEN(ReferenceData!$A$39),"",ReferenceData!$A$39),"")</f>
        <v xml:space="preserve">            M&amp;T Bank Corp</v>
      </c>
      <c r="B39" t="str">
        <f>IFERROR(IF(0=LEN(ReferenceData!$B$39),"",ReferenceData!$B$39),"")</f>
        <v>MTB US Equity</v>
      </c>
      <c r="C39" t="str">
        <f>IFERROR(IF(0=LEN(ReferenceData!$C$39),"",ReferenceData!$C$39),"")</f>
        <v>FC004</v>
      </c>
      <c r="D39" t="str">
        <f>IFERROR(IF(0=LEN(ReferenceData!$D$39),"",ReferenceData!$D$39),"")</f>
        <v>FDIC_FAM_RESIDENT_LOANS</v>
      </c>
      <c r="E39" t="str">
        <f>IFERROR(IF(0=LEN(ReferenceData!$E$39),"",ReferenceData!$E$39),"")</f>
        <v>Dynamic</v>
      </c>
      <c r="F39">
        <f ca="1">IFERROR(IF(0=LEN(ReferenceData!$F$39),"",ReferenceData!$F$39),"")</f>
        <v>27794.978999999999</v>
      </c>
      <c r="G39">
        <f ca="1">IFERROR(IF(0=LEN(ReferenceData!$G$39),"",ReferenceData!$G$39),"")</f>
        <v>27996.985000000001</v>
      </c>
      <c r="H39">
        <f ca="1">IFERROR(IF(0=LEN(ReferenceData!$H$39),"",ReferenceData!$H$39),"")</f>
        <v>28797.671999999999</v>
      </c>
      <c r="I39">
        <f ca="1">IFERROR(IF(0=LEN(ReferenceData!$I$39),"",ReferenceData!$I$39),"")</f>
        <v>19589.857</v>
      </c>
      <c r="J39">
        <f ca="1">IFERROR(IF(0=LEN(ReferenceData!$J$39),"",ReferenceData!$J$39),"")</f>
        <v>20673.366999999998</v>
      </c>
      <c r="K39">
        <f ca="1">IFERROR(IF(0=LEN(ReferenceData!$K$39),"",ReferenceData!$K$39),"")</f>
        <v>20561.465</v>
      </c>
      <c r="L39">
        <f ca="1">IFERROR(IF(0=LEN(ReferenceData!$L$39),"",ReferenceData!$L$39),"")</f>
        <v>21993.848999999998</v>
      </c>
      <c r="M39">
        <f ca="1">IFERROR(IF(0=LEN(ReferenceData!$M$39),"",ReferenceData!$M$39),"")</f>
        <v>24907.758999999998</v>
      </c>
      <c r="N39">
        <f ca="1">IFERROR(IF(0=LEN(ReferenceData!$N$39),"",ReferenceData!$N$39),"")</f>
        <v>28232.277999999998</v>
      </c>
      <c r="O39">
        <f ca="1">IFERROR(IF(0=LEN(ReferenceData!$O$39),"",ReferenceData!$O$39),"")</f>
        <v>32229.888999999999</v>
      </c>
      <c r="P39">
        <f ca="1">IFERROR(IF(0=LEN(ReferenceData!$P$39),"",ReferenceData!$P$39),"")</f>
        <v>14682.343000000001</v>
      </c>
      <c r="Q39">
        <f ca="1">IFERROR(IF(0=LEN(ReferenceData!$Q$39),"",ReferenceData!$Q$39),"")</f>
        <v>15035.241</v>
      </c>
      <c r="R39">
        <f ca="1">IFERROR(IF(0=LEN(ReferenceData!$R$39),"",ReferenceData!$R$39),"")</f>
        <v>17540.982</v>
      </c>
      <c r="S39">
        <f ca="1">IFERROR(IF(0=LEN(ReferenceData!$S$39),"",ReferenceData!$S$39),"")</f>
        <v>14563.947</v>
      </c>
      <c r="T39">
        <f ca="1">IFERROR(IF(0=LEN(ReferenceData!$T$39),"",ReferenceData!$T$39),"")</f>
        <v>12421.047</v>
      </c>
      <c r="U39">
        <f ca="1">IFERROR(IF(0=LEN(ReferenceData!$U$39),"",ReferenceData!$U$39),"")</f>
        <v>12365.058999999999</v>
      </c>
      <c r="V39">
        <f ca="1">IFERROR(IF(0=LEN(ReferenceData!$V$39),"",ReferenceData!$V$39),"")</f>
        <v>10542.545</v>
      </c>
      <c r="W39">
        <f ca="1">IFERROR(IF(0=LEN(ReferenceData!$W$39),"",ReferenceData!$W$39),"")</f>
        <v>11184.808999999999</v>
      </c>
      <c r="X39">
        <f ca="1">IFERROR(IF(0=LEN(ReferenceData!$X$39),"",ReferenceData!$X$39),"")</f>
        <v>10840.137000000001</v>
      </c>
      <c r="Y39">
        <f ca="1">IFERROR(IF(0=LEN(ReferenceData!$Y$39),"",ReferenceData!$Y$39),"")</f>
        <v>9318.7199999999993</v>
      </c>
      <c r="Z39">
        <f ca="1">IFERROR(IF(0=LEN(ReferenceData!$Z$39),"",ReferenceData!$Z$39),"")</f>
        <v>8291.7729999999992</v>
      </c>
      <c r="AA39">
        <f ca="1">IFERROR(IF(0=LEN(ReferenceData!$AA$39),"",ReferenceData!$AA$39),"")</f>
        <v>7731.46</v>
      </c>
      <c r="AB39">
        <f ca="1">IFERROR(IF(0=LEN(ReferenceData!$AB$39),"",ReferenceData!$AB$39),"")</f>
        <v>5444.0209999999997</v>
      </c>
      <c r="AC39">
        <f ca="1">IFERROR(IF(0=LEN(ReferenceData!$AC$39),"",ReferenceData!$AC$39),"")</f>
        <v>6394.5150000000003</v>
      </c>
      <c r="AD39">
        <f ca="1">IFERROR(IF(0=LEN(ReferenceData!$AD$39),"",ReferenceData!$AD$39),"")</f>
        <v>5546.5259999999998</v>
      </c>
      <c r="AE39">
        <f ca="1">IFERROR(IF(0=LEN(ReferenceData!$AE$39),"",ReferenceData!$AE$39),"")</f>
        <v>4892.5479999999998</v>
      </c>
      <c r="AF39">
        <f ca="1">IFERROR(IF(0=LEN(ReferenceData!$AF$39),"",ReferenceData!$AF$39),"")</f>
        <v>4884.7150000000001</v>
      </c>
      <c r="AG39">
        <f ca="1">IFERROR(IF(0=LEN(ReferenceData!$AG$39),"",ReferenceData!$AG$39),"")</f>
        <v>3028.1419999999998</v>
      </c>
      <c r="AH39">
        <f ca="1">IFERROR(IF(0=LEN(ReferenceData!$AH$39),"",ReferenceData!$AH$39),"")</f>
        <v>2785.0720000000001</v>
      </c>
      <c r="AI39">
        <f ca="1">IFERROR(IF(0=LEN(ReferenceData!$AI$39),"",ReferenceData!$AI$39),"")</f>
        <v>2583.482</v>
      </c>
      <c r="AJ39">
        <f ca="1">IFERROR(IF(0=LEN(ReferenceData!$AJ$39),"",ReferenceData!$AJ$39),"")</f>
        <v>2251.904</v>
      </c>
      <c r="AK39">
        <f ca="1">IFERROR(IF(0=LEN(ReferenceData!$AK$39),"",ReferenceData!$AK$39),"")</f>
        <v>2105.636</v>
      </c>
      <c r="AL39">
        <f ca="1">IFERROR(IF(0=LEN(ReferenceData!$AL$39),"",ReferenceData!$AL$39),"")</f>
        <v>2199.4609999999998</v>
      </c>
    </row>
    <row r="40" spans="1:38" x14ac:dyDescent="0.25">
      <c r="A40" t="str">
        <f>IFERROR(IF(0=LEN(ReferenceData!$A$40),"",ReferenceData!$A$40),"")</f>
        <v xml:space="preserve">            PNC Financial Services Group I</v>
      </c>
      <c r="B40" t="str">
        <f>IFERROR(IF(0=LEN(ReferenceData!$B$40),"",ReferenceData!$B$40),"")</f>
        <v>PNC US Equity</v>
      </c>
      <c r="C40" t="str">
        <f>IFERROR(IF(0=LEN(ReferenceData!$C$40),"",ReferenceData!$C$40),"")</f>
        <v>FC004</v>
      </c>
      <c r="D40" t="str">
        <f>IFERROR(IF(0=LEN(ReferenceData!$D$40),"",ReferenceData!$D$40),"")</f>
        <v>FDIC_FAM_RESIDENT_LOANS</v>
      </c>
      <c r="E40" t="str">
        <f>IFERROR(IF(0=LEN(ReferenceData!$E$40),"",ReferenceData!$E$40),"")</f>
        <v>Dynamic</v>
      </c>
      <c r="F40" t="str">
        <f ca="1">IFERROR(IF(0=LEN(ReferenceData!$F$40),"",ReferenceData!$F$40),"")</f>
        <v/>
      </c>
      <c r="G40">
        <f ca="1">IFERROR(IF(0=LEN(ReferenceData!$G$40),"",ReferenceData!$G$40),"")</f>
        <v>74079.695000000007</v>
      </c>
      <c r="H40">
        <f ca="1">IFERROR(IF(0=LEN(ReferenceData!$H$40),"",ReferenceData!$H$40),"")</f>
        <v>72128.629000000001</v>
      </c>
      <c r="I40">
        <f ca="1">IFERROR(IF(0=LEN(ReferenceData!$I$40),"",ReferenceData!$I$40),"")</f>
        <v>64421.201999999997</v>
      </c>
      <c r="J40">
        <f ca="1">IFERROR(IF(0=LEN(ReferenceData!$J$40),"",ReferenceData!$J$40),"")</f>
        <v>47529.904000000002</v>
      </c>
      <c r="K40">
        <f ca="1">IFERROR(IF(0=LEN(ReferenceData!$K$40),"",ReferenceData!$K$40),"")</f>
        <v>47720.214</v>
      </c>
      <c r="L40">
        <f ca="1">IFERROR(IF(0=LEN(ReferenceData!$L$40),"",ReferenceData!$L$40),"")</f>
        <v>45279.508999999998</v>
      </c>
      <c r="M40">
        <f ca="1">IFERROR(IF(0=LEN(ReferenceData!$M$40),"",ReferenceData!$M$40),"")</f>
        <v>46434.45</v>
      </c>
      <c r="N40">
        <f ca="1">IFERROR(IF(0=LEN(ReferenceData!$N$40),"",ReferenceData!$N$40),"")</f>
        <v>46604.186999999998</v>
      </c>
      <c r="O40">
        <f ca="1">IFERROR(IF(0=LEN(ReferenceData!$O$40),"",ReferenceData!$O$40),"")</f>
        <v>47459.144999999997</v>
      </c>
      <c r="P40">
        <f ca="1">IFERROR(IF(0=LEN(ReferenceData!$P$40),"",ReferenceData!$P$40),"")</f>
        <v>50303.680999999997</v>
      </c>
      <c r="Q40">
        <f ca="1">IFERROR(IF(0=LEN(ReferenceData!$Q$40),"",ReferenceData!$Q$40),"")</f>
        <v>52902.695</v>
      </c>
      <c r="R40">
        <f ca="1">IFERROR(IF(0=LEN(ReferenceData!$R$40),"",ReferenceData!$R$40),"")</f>
        <v>53462.813000000002</v>
      </c>
      <c r="S40">
        <f ca="1">IFERROR(IF(0=LEN(ReferenceData!$S$40),"",ReferenceData!$S$40),"")</f>
        <v>49316.612999999998</v>
      </c>
      <c r="T40">
        <f ca="1">IFERROR(IF(0=LEN(ReferenceData!$T$40),"",ReferenceData!$T$40),"")</f>
        <v>52319.349000000002</v>
      </c>
      <c r="U40">
        <f ca="1">IFERROR(IF(0=LEN(ReferenceData!$U$40),"",ReferenceData!$U$40),"")</f>
        <v>56446.368000000002</v>
      </c>
      <c r="V40">
        <f ca="1">IFERROR(IF(0=LEN(ReferenceData!$V$40),"",ReferenceData!$V$40),"")</f>
        <v>61208.19</v>
      </c>
      <c r="W40">
        <f ca="1">IFERROR(IF(0=LEN(ReferenceData!$W$40),"",ReferenceData!$W$40),"")</f>
        <v>24514.975999999999</v>
      </c>
      <c r="X40">
        <f ca="1">IFERROR(IF(0=LEN(ReferenceData!$X$40),"",ReferenceData!$X$40),"")</f>
        <v>20416.901000000002</v>
      </c>
      <c r="Y40">
        <f ca="1">IFERROR(IF(0=LEN(ReferenceData!$Y$40),"",ReferenceData!$Y$40),"")</f>
        <v>21349.635999999999</v>
      </c>
      <c r="Z40">
        <f ca="1">IFERROR(IF(0=LEN(ReferenceData!$Z$40),"",ReferenceData!$Z$40),"")</f>
        <v>17696.653999999999</v>
      </c>
      <c r="AA40">
        <f ca="1">IFERROR(IF(0=LEN(ReferenceData!$AA$40),"",ReferenceData!$AA$40),"")</f>
        <v>12819.819</v>
      </c>
      <c r="AB40">
        <f ca="1">IFERROR(IF(0=LEN(ReferenceData!$AB$40),"",ReferenceData!$AB$40),"")</f>
        <v>12173.571</v>
      </c>
      <c r="AC40">
        <f ca="1">IFERROR(IF(0=LEN(ReferenceData!$AC$40),"",ReferenceData!$AC$40),"")</f>
        <v>13579.878000000001</v>
      </c>
      <c r="AD40">
        <f ca="1">IFERROR(IF(0=LEN(ReferenceData!$AD$40),"",ReferenceData!$AD$40),"")</f>
        <v>19991.16</v>
      </c>
      <c r="AE40">
        <f ca="1">IFERROR(IF(0=LEN(ReferenceData!$AE$40),"",ReferenceData!$AE$40),"")</f>
        <v>21486.828000000001</v>
      </c>
      <c r="AF40">
        <f ca="1">IFERROR(IF(0=LEN(ReferenceData!$AF$40),"",ReferenceData!$AF$40),"")</f>
        <v>21039.008000000002</v>
      </c>
      <c r="AG40">
        <f ca="1">IFERROR(IF(0=LEN(ReferenceData!$AG$40),"",ReferenceData!$AG$40),"")</f>
        <v>20279.073</v>
      </c>
      <c r="AH40">
        <f ca="1">IFERROR(IF(0=LEN(ReferenceData!$AH$40),"",ReferenceData!$AH$40),"")</f>
        <v>18583.409</v>
      </c>
      <c r="AI40">
        <f ca="1">IFERROR(IF(0=LEN(ReferenceData!$AI$40),"",ReferenceData!$AI$40),"")</f>
        <v>17429.635999999999</v>
      </c>
      <c r="AJ40">
        <f ca="1">IFERROR(IF(0=LEN(ReferenceData!$AJ$40),"",ReferenceData!$AJ$40),"")</f>
        <v>12856.200999999999</v>
      </c>
      <c r="AK40">
        <f ca="1">IFERROR(IF(0=LEN(ReferenceData!$AK$40),"",ReferenceData!$AK$40),"")</f>
        <v>12392.589</v>
      </c>
      <c r="AL40">
        <f ca="1">IFERROR(IF(0=LEN(ReferenceData!$AL$40),"",ReferenceData!$AL$40),"")</f>
        <v>5791.7659999999996</v>
      </c>
    </row>
    <row r="41" spans="1:38" x14ac:dyDescent="0.25">
      <c r="A41" t="str">
        <f>IFERROR(IF(0=LEN(ReferenceData!$A$41),"",ReferenceData!$A$41),"")</f>
        <v xml:space="preserve">            Regions Financial Corp</v>
      </c>
      <c r="B41" t="str">
        <f>IFERROR(IF(0=LEN(ReferenceData!$B$41),"",ReferenceData!$B$41),"")</f>
        <v>RF US Equity</v>
      </c>
      <c r="C41" t="str">
        <f>IFERROR(IF(0=LEN(ReferenceData!$C$41),"",ReferenceData!$C$41),"")</f>
        <v>FC004</v>
      </c>
      <c r="D41" t="str">
        <f>IFERROR(IF(0=LEN(ReferenceData!$D$41),"",ReferenceData!$D$41),"")</f>
        <v>FDIC_FAM_RESIDENT_LOANS</v>
      </c>
      <c r="E41" t="str">
        <f>IFERROR(IF(0=LEN(ReferenceData!$E$41),"",ReferenceData!$E$41),"")</f>
        <v>Dynamic</v>
      </c>
      <c r="F41" t="str">
        <f ca="1">IFERROR(IF(0=LEN(ReferenceData!$F$41),"",ReferenceData!$F$41),"")</f>
        <v/>
      </c>
      <c r="G41">
        <f ca="1">IFERROR(IF(0=LEN(ReferenceData!$G$41),"",ReferenceData!$G$41),"")</f>
        <v>25335</v>
      </c>
      <c r="H41">
        <f ca="1">IFERROR(IF(0=LEN(ReferenceData!$H$41),"",ReferenceData!$H$41),"")</f>
        <v>23992</v>
      </c>
      <c r="I41">
        <f ca="1">IFERROR(IF(0=LEN(ReferenceData!$I$41),"",ReferenceData!$I$41),"")</f>
        <v>23605</v>
      </c>
      <c r="J41">
        <f ca="1">IFERROR(IF(0=LEN(ReferenceData!$J$41),"",ReferenceData!$J$41),"")</f>
        <v>24798</v>
      </c>
      <c r="K41">
        <f ca="1">IFERROR(IF(0=LEN(ReferenceData!$K$41),"",ReferenceData!$K$41),"")</f>
        <v>22995</v>
      </c>
      <c r="L41">
        <f ca="1">IFERROR(IF(0=LEN(ReferenceData!$L$41),"",ReferenceData!$L$41),"")</f>
        <v>23452.879000000001</v>
      </c>
      <c r="M41">
        <f ca="1">IFERROR(IF(0=LEN(ReferenceData!$M$41),"",ReferenceData!$M$41),"")</f>
        <v>24319.57</v>
      </c>
      <c r="N41">
        <f ca="1">IFERROR(IF(0=LEN(ReferenceData!$N$41),"",ReferenceData!$N$41),"")</f>
        <v>24453.627</v>
      </c>
      <c r="O41">
        <f ca="1">IFERROR(IF(0=LEN(ReferenceData!$O$41),"",ReferenceData!$O$41),"")</f>
        <v>23990.043000000001</v>
      </c>
      <c r="P41">
        <f ca="1">IFERROR(IF(0=LEN(ReferenceData!$P$41),"",ReferenceData!$P$41),"")</f>
        <v>23554.953000000001</v>
      </c>
      <c r="Q41">
        <f ca="1">IFERROR(IF(0=LEN(ReferenceData!$Q$41),"",ReferenceData!$Q$41),"")</f>
        <v>24384.402999999998</v>
      </c>
      <c r="R41">
        <f ca="1">IFERROR(IF(0=LEN(ReferenceData!$R$41),"",ReferenceData!$R$41),"")</f>
        <v>26120.224999999999</v>
      </c>
      <c r="S41">
        <f ca="1">IFERROR(IF(0=LEN(ReferenceData!$S$41),"",ReferenceData!$S$41),"")</f>
        <v>27881.257000000001</v>
      </c>
      <c r="T41">
        <f ca="1">IFERROR(IF(0=LEN(ReferenceData!$T$41),"",ReferenceData!$T$41),"")</f>
        <v>30568.21</v>
      </c>
      <c r="U41">
        <f ca="1">IFERROR(IF(0=LEN(ReferenceData!$U$41),"",ReferenceData!$U$41),"")</f>
        <v>27723.528999999999</v>
      </c>
      <c r="V41">
        <f ca="1">IFERROR(IF(0=LEN(ReferenceData!$V$41),"",ReferenceData!$V$41),"")</f>
        <v>29478.955999999998</v>
      </c>
      <c r="W41">
        <f ca="1">IFERROR(IF(0=LEN(ReferenceData!$W$41),"",ReferenceData!$W$41),"")</f>
        <v>30906.43</v>
      </c>
      <c r="X41">
        <f ca="1">IFERROR(IF(0=LEN(ReferenceData!$X$41),"",ReferenceData!$X$41),"")</f>
        <v>34262.449000000001</v>
      </c>
      <c r="Y41">
        <f ca="1">IFERROR(IF(0=LEN(ReferenceData!$Y$41),"",ReferenceData!$Y$41),"")</f>
        <v>19360.105</v>
      </c>
      <c r="Z41">
        <f ca="1">IFERROR(IF(0=LEN(ReferenceData!$Z$41),"",ReferenceData!$Z$41),"")</f>
        <v>18874.745999999999</v>
      </c>
      <c r="AA41" t="str">
        <f ca="1">IFERROR(IF(0=LEN(ReferenceData!$AA$41),"",ReferenceData!$AA$41),"")</f>
        <v/>
      </c>
      <c r="AB41" t="str">
        <f ca="1">IFERROR(IF(0=LEN(ReferenceData!$AB$41),"",ReferenceData!$AB$41),"")</f>
        <v/>
      </c>
      <c r="AC41" t="str">
        <f ca="1">IFERROR(IF(0=LEN(ReferenceData!$AC$41),"",ReferenceData!$AC$41),"")</f>
        <v/>
      </c>
      <c r="AD41" t="str">
        <f ca="1">IFERROR(IF(0=LEN(ReferenceData!$AD$41),"",ReferenceData!$AD$41),"")</f>
        <v/>
      </c>
      <c r="AE41" t="str">
        <f ca="1">IFERROR(IF(0=LEN(ReferenceData!$AE$41),"",ReferenceData!$AE$41),"")</f>
        <v/>
      </c>
      <c r="AF41" t="str">
        <f ca="1">IFERROR(IF(0=LEN(ReferenceData!$AF$41),"",ReferenceData!$AF$41),"")</f>
        <v/>
      </c>
      <c r="AG41" t="str">
        <f ca="1">IFERROR(IF(0=LEN(ReferenceData!$AG$41),"",ReferenceData!$AG$41),"")</f>
        <v/>
      </c>
      <c r="AH41" t="str">
        <f ca="1">IFERROR(IF(0=LEN(ReferenceData!$AH$41),"",ReferenceData!$AH$41),"")</f>
        <v/>
      </c>
      <c r="AI41" t="str">
        <f ca="1">IFERROR(IF(0=LEN(ReferenceData!$AI$41),"",ReferenceData!$AI$41),"")</f>
        <v/>
      </c>
      <c r="AJ41" t="str">
        <f ca="1">IFERROR(IF(0=LEN(ReferenceData!$AJ$41),"",ReferenceData!$AJ$41),"")</f>
        <v/>
      </c>
      <c r="AK41" t="str">
        <f ca="1">IFERROR(IF(0=LEN(ReferenceData!$AK$41),"",ReferenceData!$AK$41),"")</f>
        <v/>
      </c>
      <c r="AL41" t="str">
        <f ca="1">IFERROR(IF(0=LEN(ReferenceData!$AL$41),"",ReferenceData!$AL$41),"")</f>
        <v/>
      </c>
    </row>
    <row r="42" spans="1:38" x14ac:dyDescent="0.25">
      <c r="A42" t="str">
        <f>IFERROR(IF(0=LEN(ReferenceData!$A$42),"",ReferenceData!$A$42),"")</f>
        <v xml:space="preserve">            Truist Financial Corp</v>
      </c>
      <c r="B42" t="str">
        <f>IFERROR(IF(0=LEN(ReferenceData!$B$42),"",ReferenceData!$B$42),"")</f>
        <v>TFC US Equity</v>
      </c>
      <c r="C42" t="str">
        <f>IFERROR(IF(0=LEN(ReferenceData!$C$42),"",ReferenceData!$C$42),"")</f>
        <v>FC004</v>
      </c>
      <c r="D42" t="str">
        <f>IFERROR(IF(0=LEN(ReferenceData!$D$42),"",ReferenceData!$D$42),"")</f>
        <v>FDIC_FAM_RESIDENT_LOANS</v>
      </c>
      <c r="E42" t="str">
        <f>IFERROR(IF(0=LEN(ReferenceData!$E$42),"",ReferenceData!$E$42),"")</f>
        <v>Dynamic</v>
      </c>
      <c r="F42">
        <f ca="1">IFERROR(IF(0=LEN(ReferenceData!$F$42),"",ReferenceData!$F$42),"")</f>
        <v>66579</v>
      </c>
      <c r="G42">
        <f ca="1">IFERROR(IF(0=LEN(ReferenceData!$G$42),"",ReferenceData!$G$42),"")</f>
        <v>66656</v>
      </c>
      <c r="H42">
        <f ca="1">IFERROR(IF(0=LEN(ReferenceData!$H$42),"",ReferenceData!$H$42),"")</f>
        <v>68650</v>
      </c>
      <c r="I42">
        <f ca="1">IFERROR(IF(0=LEN(ReferenceData!$I$42),"",ReferenceData!$I$42),"")</f>
        <v>62497</v>
      </c>
      <c r="J42">
        <f ca="1">IFERROR(IF(0=LEN(ReferenceData!$J$42),"",ReferenceData!$J$42),"")</f>
        <v>64932</v>
      </c>
      <c r="K42">
        <f ca="1">IFERROR(IF(0=LEN(ReferenceData!$K$42),"",ReferenceData!$K$42),"")</f>
        <v>76291</v>
      </c>
      <c r="L42">
        <f ca="1">IFERROR(IF(0=LEN(ReferenceData!$L$42),"",ReferenceData!$L$42),"")</f>
        <v>41340</v>
      </c>
      <c r="M42">
        <f ca="1">IFERROR(IF(0=LEN(ReferenceData!$M$42),"",ReferenceData!$M$42),"")</f>
        <v>39569</v>
      </c>
      <c r="N42">
        <f ca="1">IFERROR(IF(0=LEN(ReferenceData!$N$42),"",ReferenceData!$N$42),"")</f>
        <v>42047.432999999997</v>
      </c>
      <c r="O42">
        <f ca="1">IFERROR(IF(0=LEN(ReferenceData!$O$42),"",ReferenceData!$O$42),"")</f>
        <v>41289.938999999998</v>
      </c>
      <c r="P42">
        <f ca="1">IFERROR(IF(0=LEN(ReferenceData!$P$42),"",ReferenceData!$P$42),"")</f>
        <v>39683.368999999999</v>
      </c>
      <c r="Q42">
        <f ca="1">IFERROR(IF(0=LEN(ReferenceData!$Q$42),"",ReferenceData!$Q$42),"")</f>
        <v>41369.171000000002</v>
      </c>
      <c r="R42">
        <f ca="1">IFERROR(IF(0=LEN(ReferenceData!$R$42),"",ReferenceData!$R$42),"")</f>
        <v>44066.510999999999</v>
      </c>
      <c r="S42">
        <f ca="1">IFERROR(IF(0=LEN(ReferenceData!$S$42),"",ReferenceData!$S$42),"")</f>
        <v>39434.519</v>
      </c>
      <c r="T42">
        <f ca="1">IFERROR(IF(0=LEN(ReferenceData!$T$42),"",ReferenceData!$T$42),"")</f>
        <v>35627.915999999997</v>
      </c>
      <c r="U42">
        <f ca="1">IFERROR(IF(0=LEN(ReferenceData!$U$42),"",ReferenceData!$U$42),"")</f>
        <v>33429.417000000001</v>
      </c>
      <c r="V42">
        <f ca="1">IFERROR(IF(0=LEN(ReferenceData!$V$42),"",ReferenceData!$V$42),"")</f>
        <v>32021.447</v>
      </c>
      <c r="W42">
        <f ca="1">IFERROR(IF(0=LEN(ReferenceData!$W$42),"",ReferenceData!$W$42),"")</f>
        <v>31147.863000000001</v>
      </c>
      <c r="X42">
        <f ca="1">IFERROR(IF(0=LEN(ReferenceData!$X$42),"",ReferenceData!$X$42),"")</f>
        <v>29162.474999999999</v>
      </c>
      <c r="Y42">
        <f ca="1">IFERROR(IF(0=LEN(ReferenceData!$Y$42),"",ReferenceData!$Y$42),"")</f>
        <v>27258.822</v>
      </c>
      <c r="Z42">
        <f ca="1">IFERROR(IF(0=LEN(ReferenceData!$Z$42),"",ReferenceData!$Z$42),"")</f>
        <v>24779.028999999999</v>
      </c>
      <c r="AA42">
        <f ca="1">IFERROR(IF(0=LEN(ReferenceData!$AA$42),"",ReferenceData!$AA$42),"")</f>
        <v>22576.539000000001</v>
      </c>
      <c r="AB42">
        <f ca="1">IFERROR(IF(0=LEN(ReferenceData!$AB$42),"",ReferenceData!$AB$42),"")</f>
        <v>19044.467000000001</v>
      </c>
      <c r="AC42">
        <f ca="1">IFERROR(IF(0=LEN(ReferenceData!$AC$42),"",ReferenceData!$AC$42),"")</f>
        <v>16298.012000000001</v>
      </c>
      <c r="AD42">
        <f ca="1">IFERROR(IF(0=LEN(ReferenceData!$AD$42),"",ReferenceData!$AD$42),"")</f>
        <v>14212.623</v>
      </c>
      <c r="AE42">
        <f ca="1">IFERROR(IF(0=LEN(ReferenceData!$AE$42),"",ReferenceData!$AE$42),"")</f>
        <v>10364.093999999999</v>
      </c>
      <c r="AF42">
        <f ca="1">IFERROR(IF(0=LEN(ReferenceData!$AF$42),"",ReferenceData!$AF$42),"")</f>
        <v>9748.4110000000001</v>
      </c>
      <c r="AG42">
        <f ca="1">IFERROR(IF(0=LEN(ReferenceData!$AG$42),"",ReferenceData!$AG$42),"")</f>
        <v>8049.2250000000004</v>
      </c>
      <c r="AH42">
        <f ca="1">IFERROR(IF(0=LEN(ReferenceData!$AH$42),"",ReferenceData!$AH$42),"")</f>
        <v>5746.0959999999995</v>
      </c>
      <c r="AI42">
        <f ca="1">IFERROR(IF(0=LEN(ReferenceData!$AI$42),"",ReferenceData!$AI$42),"")</f>
        <v>5992.442</v>
      </c>
      <c r="AJ42">
        <f ca="1">IFERROR(IF(0=LEN(ReferenceData!$AJ$42),"",ReferenceData!$AJ$42),"")</f>
        <v>2404.875</v>
      </c>
      <c r="AK42">
        <f ca="1">IFERROR(IF(0=LEN(ReferenceData!$AK$42),"",ReferenceData!$AK$42),"")</f>
        <v>1279.818</v>
      </c>
      <c r="AL42">
        <f ca="1">IFERROR(IF(0=LEN(ReferenceData!$AL$42),"",ReferenceData!$AL$42),"")</f>
        <v>917.04</v>
      </c>
    </row>
    <row r="43" spans="1:38" x14ac:dyDescent="0.25">
      <c r="A43" t="str">
        <f>IFERROR(IF(0=LEN(ReferenceData!$A$43),"",ReferenceData!$A$43),"")</f>
        <v xml:space="preserve">            US Bancorp</v>
      </c>
      <c r="B43" t="str">
        <f>IFERROR(IF(0=LEN(ReferenceData!$B$43),"",ReferenceData!$B$43),"")</f>
        <v>USB US Equity</v>
      </c>
      <c r="C43" t="str">
        <f>IFERROR(IF(0=LEN(ReferenceData!$C$43),"",ReferenceData!$C$43),"")</f>
        <v>FC004</v>
      </c>
      <c r="D43" t="str">
        <f>IFERROR(IF(0=LEN(ReferenceData!$D$43),"",ReferenceData!$D$43),"")</f>
        <v>FDIC_FAM_RESIDENT_LOANS</v>
      </c>
      <c r="E43" t="str">
        <f>IFERROR(IF(0=LEN(ReferenceData!$E$43),"",ReferenceData!$E$43),"")</f>
        <v>Dynamic</v>
      </c>
      <c r="F43">
        <f ca="1">IFERROR(IF(0=LEN(ReferenceData!$F$43),"",ReferenceData!$F$43),"")</f>
        <v>134629</v>
      </c>
      <c r="G43">
        <f ca="1">IFERROR(IF(0=LEN(ReferenceData!$G$43),"",ReferenceData!$G$43),"")</f>
        <v>130597</v>
      </c>
      <c r="H43">
        <f ca="1">IFERROR(IF(0=LEN(ReferenceData!$H$43),"",ReferenceData!$H$43),"")</f>
        <v>130580</v>
      </c>
      <c r="I43">
        <f ca="1">IFERROR(IF(0=LEN(ReferenceData!$I$43),"",ReferenceData!$I$43),"")</f>
        <v>93562</v>
      </c>
      <c r="J43">
        <f ca="1">IFERROR(IF(0=LEN(ReferenceData!$J$43),"",ReferenceData!$J$43),"")</f>
        <v>97151</v>
      </c>
      <c r="K43">
        <f ca="1">IFERROR(IF(0=LEN(ReferenceData!$K$43),"",ReferenceData!$K$43),"")</f>
        <v>91183</v>
      </c>
      <c r="L43">
        <f ca="1">IFERROR(IF(0=LEN(ReferenceData!$L$43),"",ReferenceData!$L$43),"")</f>
        <v>83191</v>
      </c>
      <c r="M43">
        <f ca="1">IFERROR(IF(0=LEN(ReferenceData!$M$43),"",ReferenceData!$M$43),"")</f>
        <v>82207</v>
      </c>
      <c r="N43">
        <f ca="1">IFERROR(IF(0=LEN(ReferenceData!$N$43),"",ReferenceData!$N$43),"")</f>
        <v>81497</v>
      </c>
      <c r="O43">
        <f ca="1">IFERROR(IF(0=LEN(ReferenceData!$O$43),"",ReferenceData!$O$43),"")</f>
        <v>76554</v>
      </c>
      <c r="P43">
        <f ca="1">IFERROR(IF(0=LEN(ReferenceData!$P$43),"",ReferenceData!$P$43),"")</f>
        <v>76415</v>
      </c>
      <c r="Q43">
        <f ca="1">IFERROR(IF(0=LEN(ReferenceData!$Q$43),"",ReferenceData!$Q$43),"")</f>
        <v>74454</v>
      </c>
      <c r="R43">
        <f ca="1">IFERROR(IF(0=LEN(ReferenceData!$R$43),"",ReferenceData!$R$43),"")</f>
        <v>74563</v>
      </c>
      <c r="S43">
        <f ca="1">IFERROR(IF(0=LEN(ReferenceData!$S$43),"",ReferenceData!$S$43),"")</f>
        <v>68198</v>
      </c>
      <c r="T43">
        <f ca="1">IFERROR(IF(0=LEN(ReferenceData!$T$43),"",ReferenceData!$T$43),"")</f>
        <v>64138</v>
      </c>
      <c r="U43">
        <f ca="1">IFERROR(IF(0=LEN(ReferenceData!$U$43),"",ReferenceData!$U$43),"")</f>
        <v>57463</v>
      </c>
      <c r="V43">
        <f ca="1">IFERROR(IF(0=LEN(ReferenceData!$V$43),"",ReferenceData!$V$43),"")</f>
        <v>53283</v>
      </c>
      <c r="W43">
        <f ca="1">IFERROR(IF(0=LEN(ReferenceData!$W$43),"",ReferenceData!$W$43),"")</f>
        <v>42504</v>
      </c>
      <c r="X43">
        <f ca="1">IFERROR(IF(0=LEN(ReferenceData!$X$43),"",ReferenceData!$X$43),"")</f>
        <v>38579</v>
      </c>
      <c r="Y43">
        <f ca="1">IFERROR(IF(0=LEN(ReferenceData!$Y$43),"",ReferenceData!$Y$43),"")</f>
        <v>37395</v>
      </c>
      <c r="Z43">
        <f ca="1">IFERROR(IF(0=LEN(ReferenceData!$Z$43),"",ReferenceData!$Z$43),"")</f>
        <v>31657</v>
      </c>
      <c r="AA43">
        <f ca="1">IFERROR(IF(0=LEN(ReferenceData!$AA$43),"",ReferenceData!$AA$43),"")</f>
        <v>28100</v>
      </c>
      <c r="AB43">
        <f ca="1">IFERROR(IF(0=LEN(ReferenceData!$AB$43),"",ReferenceData!$AB$43),"")</f>
        <v>27477</v>
      </c>
      <c r="AC43">
        <f ca="1">IFERROR(IF(0=LEN(ReferenceData!$AC$43),"",ReferenceData!$AC$43),"")</f>
        <v>22877</v>
      </c>
      <c r="AD43">
        <f ca="1">IFERROR(IF(0=LEN(ReferenceData!$AD$43),"",ReferenceData!$AD$43),"")</f>
        <v>11952.511</v>
      </c>
      <c r="AE43">
        <f ca="1">IFERROR(IF(0=LEN(ReferenceData!$AE$43),"",ReferenceData!$AE$43),"")</f>
        <v>11381.629000000001</v>
      </c>
      <c r="AF43">
        <f ca="1">IFERROR(IF(0=LEN(ReferenceData!$AF$43),"",ReferenceData!$AF$43),"")</f>
        <v>10670.707</v>
      </c>
      <c r="AG43">
        <f ca="1">IFERROR(IF(0=LEN(ReferenceData!$AG$43),"",ReferenceData!$AG$43),"")</f>
        <v>10132.031000000001</v>
      </c>
      <c r="AH43">
        <f ca="1">IFERROR(IF(0=LEN(ReferenceData!$AH$43),"",ReferenceData!$AH$43),"")</f>
        <v>6392.826</v>
      </c>
      <c r="AI43">
        <f ca="1">IFERROR(IF(0=LEN(ReferenceData!$AI$43),"",ReferenceData!$AI$43),"")</f>
        <v>7735.835</v>
      </c>
      <c r="AJ43">
        <f ca="1">IFERROR(IF(0=LEN(ReferenceData!$AJ$43),"",ReferenceData!$AJ$43),"")</f>
        <v>4640.1220000000003</v>
      </c>
      <c r="AK43">
        <f ca="1">IFERROR(IF(0=LEN(ReferenceData!$AK$43),"",ReferenceData!$AK$43),"")</f>
        <v>5256.4709999999995</v>
      </c>
      <c r="AL43">
        <f ca="1">IFERROR(IF(0=LEN(ReferenceData!$AL$43),"",ReferenceData!$AL$43),"")</f>
        <v>4144.28</v>
      </c>
    </row>
    <row r="44" spans="1:38" x14ac:dyDescent="0.25">
      <c r="A44" t="str">
        <f>IFERROR(IF(0=LEN(ReferenceData!$A$44),"",ReferenceData!$A$44),"")</f>
        <v xml:space="preserve">            Wells Fargo &amp; Co</v>
      </c>
      <c r="B44" t="str">
        <f>IFERROR(IF(0=LEN(ReferenceData!$B$44),"",ReferenceData!$B$44),"")</f>
        <v>WFC US Equity</v>
      </c>
      <c r="C44" t="str">
        <f>IFERROR(IF(0=LEN(ReferenceData!$C$44),"",ReferenceData!$C$44),"")</f>
        <v>FC004</v>
      </c>
      <c r="D44" t="str">
        <f>IFERROR(IF(0=LEN(ReferenceData!$D$44),"",ReferenceData!$D$44),"")</f>
        <v>FDIC_FAM_RESIDENT_LOANS</v>
      </c>
      <c r="E44" t="str">
        <f>IFERROR(IF(0=LEN(ReferenceData!$E$44),"",ReferenceData!$E$44),"")</f>
        <v>Dynamic</v>
      </c>
      <c r="F44">
        <f ca="1">IFERROR(IF(0=LEN(ReferenceData!$F$44),"",ReferenceData!$F$44),"")</f>
        <v>252219</v>
      </c>
      <c r="G44">
        <f ca="1">IFERROR(IF(0=LEN(ReferenceData!$G$44),"",ReferenceData!$G$44),"")</f>
        <v>262339</v>
      </c>
      <c r="H44">
        <f ca="1">IFERROR(IF(0=LEN(ReferenceData!$H$44),"",ReferenceData!$H$44),"")</f>
        <v>273305</v>
      </c>
      <c r="I44">
        <f ca="1">IFERROR(IF(0=LEN(ReferenceData!$I$44),"",ReferenceData!$I$44),"")</f>
        <v>276320</v>
      </c>
      <c r="J44">
        <f ca="1">IFERROR(IF(0=LEN(ReferenceData!$J$44),"",ReferenceData!$J$44),"")</f>
        <v>323461</v>
      </c>
      <c r="K44">
        <f ca="1">IFERROR(IF(0=LEN(ReferenceData!$K$44),"",ReferenceData!$K$44),"")</f>
        <v>344353</v>
      </c>
      <c r="L44">
        <f ca="1">IFERROR(IF(0=LEN(ReferenceData!$L$44),"",ReferenceData!$L$44),"")</f>
        <v>336206</v>
      </c>
      <c r="M44">
        <f ca="1">IFERROR(IF(0=LEN(ReferenceData!$M$44),"",ReferenceData!$M$44),"")</f>
        <v>345462</v>
      </c>
      <c r="N44">
        <f ca="1">IFERROR(IF(0=LEN(ReferenceData!$N$44),"",ReferenceData!$N$44),"")</f>
        <v>350772</v>
      </c>
      <c r="O44">
        <f ca="1">IFERROR(IF(0=LEN(ReferenceData!$O$44),"",ReferenceData!$O$44),"")</f>
        <v>345726</v>
      </c>
      <c r="P44">
        <f ca="1">IFERROR(IF(0=LEN(ReferenceData!$P$44),"",ReferenceData!$P$44),"")</f>
        <v>345713</v>
      </c>
      <c r="Q44">
        <f ca="1">IFERROR(IF(0=LEN(ReferenceData!$Q$44),"",ReferenceData!$Q$44),"")</f>
        <v>341771</v>
      </c>
      <c r="R44">
        <f ca="1">IFERROR(IF(0=LEN(ReferenceData!$R$44),"",ReferenceData!$R$44),"")</f>
        <v>369429</v>
      </c>
      <c r="S44">
        <f ca="1">IFERROR(IF(0=LEN(ReferenceData!$S$44),"",ReferenceData!$S$44),"")</f>
        <v>361071</v>
      </c>
      <c r="T44">
        <f ca="1">IFERROR(IF(0=LEN(ReferenceData!$T$44),"",ReferenceData!$T$44),"")</f>
        <v>374671</v>
      </c>
      <c r="U44">
        <f ca="1">IFERROR(IF(0=LEN(ReferenceData!$U$44),"",ReferenceData!$U$44),"")</f>
        <v>370769</v>
      </c>
      <c r="V44">
        <f ca="1">IFERROR(IF(0=LEN(ReferenceData!$V$44),"",ReferenceData!$V$44),"")</f>
        <v>378459</v>
      </c>
      <c r="W44">
        <f ca="1">IFERROR(IF(0=LEN(ReferenceData!$W$44),"",ReferenceData!$W$44),"")</f>
        <v>173392</v>
      </c>
      <c r="X44">
        <f ca="1">IFERROR(IF(0=LEN(ReferenceData!$X$44),"",ReferenceData!$X$44),"")</f>
        <v>154759</v>
      </c>
      <c r="Y44">
        <f ca="1">IFERROR(IF(0=LEN(ReferenceData!$Y$44),"",ReferenceData!$Y$44),"")</f>
        <v>177209</v>
      </c>
      <c r="Z44">
        <f ca="1">IFERROR(IF(0=LEN(ReferenceData!$Z$44),"",ReferenceData!$Z$44),"")</f>
        <v>169205</v>
      </c>
      <c r="AA44">
        <f ca="1">IFERROR(IF(0=LEN(ReferenceData!$AA$44),"",ReferenceData!$AA$44),"")</f>
        <v>148772</v>
      </c>
      <c r="AB44">
        <f ca="1">IFERROR(IF(0=LEN(ReferenceData!$AB$44),"",ReferenceData!$AB$44),"")</f>
        <v>123361</v>
      </c>
      <c r="AC44">
        <f ca="1">IFERROR(IF(0=LEN(ReferenceData!$AC$44),"",ReferenceData!$AC$44),"")</f>
        <v>81525</v>
      </c>
      <c r="AD44">
        <f ca="1">IFERROR(IF(0=LEN(ReferenceData!$AD$44),"",ReferenceData!$AD$44),"")</f>
        <v>46173.819000000003</v>
      </c>
      <c r="AE44">
        <f ca="1">IFERROR(IF(0=LEN(ReferenceData!$AE$44),"",ReferenceData!$AE$44),"")</f>
        <v>33341.214</v>
      </c>
      <c r="AF44">
        <f ca="1">IFERROR(IF(0=LEN(ReferenceData!$AF$44),"",ReferenceData!$AF$44),"")</f>
        <v>36147.646999999997</v>
      </c>
      <c r="AG44">
        <f ca="1">IFERROR(IF(0=LEN(ReferenceData!$AG$44),"",ReferenceData!$AG$44),"")</f>
        <v>15047.531000000001</v>
      </c>
      <c r="AH44">
        <f ca="1">IFERROR(IF(0=LEN(ReferenceData!$AH$44),"",ReferenceData!$AH$44),"")</f>
        <v>12164.351000000001</v>
      </c>
      <c r="AI44">
        <f ca="1">IFERROR(IF(0=LEN(ReferenceData!$AI$44),"",ReferenceData!$AI$44),"")</f>
        <v>10443.56</v>
      </c>
      <c r="AJ44">
        <f ca="1">IFERROR(IF(0=LEN(ReferenceData!$AJ$44),"",ReferenceData!$AJ$44),"")</f>
        <v>8512.8439999999991</v>
      </c>
      <c r="AK44">
        <f ca="1">IFERROR(IF(0=LEN(ReferenceData!$AK$44),"",ReferenceData!$AK$44),"")</f>
        <v>10622.251</v>
      </c>
      <c r="AL44">
        <f ca="1">IFERROR(IF(0=LEN(ReferenceData!$AL$44),"",ReferenceData!$AL$44),"")</f>
        <v>8799.4979999999996</v>
      </c>
    </row>
    <row r="45" spans="1:38" x14ac:dyDescent="0.25">
      <c r="A45" t="str">
        <f>IFERROR(IF(0=LEN(ReferenceData!$A$45),"",ReferenceData!$A$45),"")</f>
        <v xml:space="preserve">            Western Alliance Bancorp</v>
      </c>
      <c r="B45" t="str">
        <f>IFERROR(IF(0=LEN(ReferenceData!$B$45),"",ReferenceData!$B$45),"")</f>
        <v>WAL US Equity</v>
      </c>
      <c r="C45" t="str">
        <f>IFERROR(IF(0=LEN(ReferenceData!$C$45),"",ReferenceData!$C$45),"")</f>
        <v>FC004</v>
      </c>
      <c r="D45" t="str">
        <f>IFERROR(IF(0=LEN(ReferenceData!$D$45),"",ReferenceData!$D$45),"")</f>
        <v>FDIC_FAM_RESIDENT_LOANS</v>
      </c>
      <c r="E45" t="str">
        <f>IFERROR(IF(0=LEN(ReferenceData!$E$45),"",ReferenceData!$E$45),"")</f>
        <v>Dynamic</v>
      </c>
      <c r="F45">
        <f ca="1">IFERROR(IF(0=LEN(ReferenceData!$F$45),"",ReferenceData!$F$45),"")</f>
        <v>17007.189999999999</v>
      </c>
      <c r="G45">
        <f ca="1">IFERROR(IF(0=LEN(ReferenceData!$G$45),"",ReferenceData!$G$45),"")</f>
        <v>16363.609</v>
      </c>
      <c r="H45">
        <f ca="1">IFERROR(IF(0=LEN(ReferenceData!$H$45),"",ReferenceData!$H$45),"")</f>
        <v>17636.233</v>
      </c>
      <c r="I45">
        <f ca="1">IFERROR(IF(0=LEN(ReferenceData!$I$45),"",ReferenceData!$I$45),"")</f>
        <v>14923.035</v>
      </c>
      <c r="J45">
        <f ca="1">IFERROR(IF(0=LEN(ReferenceData!$J$45),"",ReferenceData!$J$45),"")</f>
        <v>2434.596</v>
      </c>
      <c r="K45">
        <f ca="1">IFERROR(IF(0=LEN(ReferenceData!$K$45),"",ReferenceData!$K$45),"")</f>
        <v>2147.6640000000002</v>
      </c>
      <c r="L45">
        <f ca="1">IFERROR(IF(0=LEN(ReferenceData!$L$45),"",ReferenceData!$L$45),"")</f>
        <v>1204.355</v>
      </c>
      <c r="M45">
        <f ca="1">IFERROR(IF(0=LEN(ReferenceData!$M$45),"",ReferenceData!$M$45),"")</f>
        <v>425.94</v>
      </c>
      <c r="N45">
        <f ca="1">IFERROR(IF(0=LEN(ReferenceData!$N$45),"",ReferenceData!$N$45),"")</f>
        <v>259.43099999999998</v>
      </c>
      <c r="O45">
        <f ca="1">IFERROR(IF(0=LEN(ReferenceData!$O$45),"",ReferenceData!$O$45),"")</f>
        <v>322.93799999999999</v>
      </c>
      <c r="P45">
        <f ca="1">IFERROR(IF(0=LEN(ReferenceData!$P$45),"",ReferenceData!$P$45),"")</f>
        <v>299.40199999999999</v>
      </c>
      <c r="Q45">
        <f ca="1">IFERROR(IF(0=LEN(ReferenceData!$Q$45),"",ReferenceData!$Q$45),"")</f>
        <v>350.31299999999999</v>
      </c>
      <c r="R45">
        <f ca="1">IFERROR(IF(0=LEN(ReferenceData!$R$45),"",ReferenceData!$R$45),"")</f>
        <v>407.935</v>
      </c>
      <c r="S45">
        <f ca="1">IFERROR(IF(0=LEN(ReferenceData!$S$45),"",ReferenceData!$S$45),"")</f>
        <v>443.01900000000001</v>
      </c>
      <c r="T45">
        <f ca="1">IFERROR(IF(0=LEN(ReferenceData!$T$45),"",ReferenceData!$T$45),"")</f>
        <v>527.06700000000001</v>
      </c>
      <c r="U45">
        <f ca="1">IFERROR(IF(0=LEN(ReferenceData!$U$45),"",ReferenceData!$U$45),"")</f>
        <v>568.322</v>
      </c>
      <c r="V45">
        <f ca="1">IFERROR(IF(0=LEN(ReferenceData!$V$45),"",ReferenceData!$V$45),"")</f>
        <v>580.69600000000003</v>
      </c>
      <c r="W45">
        <f ca="1">IFERROR(IF(0=LEN(ReferenceData!$W$45),"",ReferenceData!$W$45),"")</f>
        <v>494.31400000000002</v>
      </c>
      <c r="X45">
        <f ca="1">IFERROR(IF(0=LEN(ReferenceData!$X$45),"",ReferenceData!$X$45),"")</f>
        <v>384.11</v>
      </c>
      <c r="Y45">
        <f ca="1">IFERROR(IF(0=LEN(ReferenceData!$Y$45),"",ReferenceData!$Y$45),"")</f>
        <v>272.86099999999999</v>
      </c>
      <c r="Z45">
        <f ca="1">IFERROR(IF(0=LEN(ReferenceData!$Z$45),"",ReferenceData!$Z$45),"")</f>
        <v>116.36</v>
      </c>
      <c r="AA45">
        <f ca="1">IFERROR(IF(0=LEN(ReferenceData!$AA$45),"",ReferenceData!$AA$45),"")</f>
        <v>42.771999999999998</v>
      </c>
      <c r="AB45">
        <f ca="1">IFERROR(IF(0=LEN(ReferenceData!$AB$45),"",ReferenceData!$AB$45),"")</f>
        <v>21.893000000000001</v>
      </c>
      <c r="AC45">
        <f ca="1">IFERROR(IF(0=LEN(ReferenceData!$AC$45),"",ReferenceData!$AC$45),"")</f>
        <v>15.724</v>
      </c>
      <c r="AD45" t="str">
        <f ca="1">IFERROR(IF(0=LEN(ReferenceData!$AD$45),"",ReferenceData!$AD$45),"")</f>
        <v/>
      </c>
      <c r="AE45" t="str">
        <f ca="1">IFERROR(IF(0=LEN(ReferenceData!$AE$45),"",ReferenceData!$AE$45),"")</f>
        <v/>
      </c>
      <c r="AF45" t="str">
        <f ca="1">IFERROR(IF(0=LEN(ReferenceData!$AF$45),"",ReferenceData!$AF$45),"")</f>
        <v/>
      </c>
      <c r="AG45" t="str">
        <f ca="1">IFERROR(IF(0=LEN(ReferenceData!$AG$45),"",ReferenceData!$AG$45),"")</f>
        <v/>
      </c>
      <c r="AH45" t="str">
        <f ca="1">IFERROR(IF(0=LEN(ReferenceData!$AH$45),"",ReferenceData!$AH$45),"")</f>
        <v/>
      </c>
      <c r="AI45" t="str">
        <f ca="1">IFERROR(IF(0=LEN(ReferenceData!$AI$45),"",ReferenceData!$AI$45),"")</f>
        <v/>
      </c>
      <c r="AJ45" t="str">
        <f ca="1">IFERROR(IF(0=LEN(ReferenceData!$AJ$45),"",ReferenceData!$AJ$45),"")</f>
        <v/>
      </c>
      <c r="AK45" t="str">
        <f ca="1">IFERROR(IF(0=LEN(ReferenceData!$AK$45),"",ReferenceData!$AK$45),"")</f>
        <v/>
      </c>
      <c r="AL45" t="str">
        <f ca="1">IFERROR(IF(0=LEN(ReferenceData!$AL$45),"",ReferenceData!$AL$45),"")</f>
        <v/>
      </c>
    </row>
    <row r="46" spans="1:38" x14ac:dyDescent="0.25">
      <c r="A46" t="str">
        <f>IFERROR(IF(0=LEN(ReferenceData!$A$46),"",ReferenceData!$A$46),"")</f>
        <v xml:space="preserve">            Zions Bancorp NA</v>
      </c>
      <c r="B46" t="str">
        <f>IFERROR(IF(0=LEN(ReferenceData!$B$46),"",ReferenceData!$B$46),"")</f>
        <v>ZION US Equity</v>
      </c>
      <c r="C46" t="str">
        <f>IFERROR(IF(0=LEN(ReferenceData!$C$46),"",ReferenceData!$C$46),"")</f>
        <v>FC004</v>
      </c>
      <c r="D46" t="str">
        <f>IFERROR(IF(0=LEN(ReferenceData!$D$46),"",ReferenceData!$D$46),"")</f>
        <v>FDIC_FAM_RESIDENT_LOANS</v>
      </c>
      <c r="E46" t="str">
        <f>IFERROR(IF(0=LEN(ReferenceData!$E$46),"",ReferenceData!$E$46),"")</f>
        <v>Dynamic</v>
      </c>
      <c r="F46" t="str">
        <f ca="1">IFERROR(IF(0=LEN(ReferenceData!$F$46),"",ReferenceData!$F$46),"")</f>
        <v/>
      </c>
      <c r="G46">
        <f ca="1">IFERROR(IF(0=LEN(ReferenceData!$G$46),"",ReferenceData!$G$46),"")</f>
        <v>12195.65</v>
      </c>
      <c r="H46">
        <f ca="1">IFERROR(IF(0=LEN(ReferenceData!$H$46),"",ReferenceData!$H$46),"")</f>
        <v>11092.897000000001</v>
      </c>
      <c r="I46">
        <f ca="1">IFERROR(IF(0=LEN(ReferenceData!$I$46),"",ReferenceData!$I$46),"")</f>
        <v>9487.3700000000008</v>
      </c>
      <c r="J46" t="str">
        <f ca="1">IFERROR(IF(0=LEN(ReferenceData!$J$46),"",ReferenceData!$J$46),"")</f>
        <v/>
      </c>
      <c r="K46" t="str">
        <f ca="1">IFERROR(IF(0=LEN(ReferenceData!$K$46),"",ReferenceData!$K$46),"")</f>
        <v/>
      </c>
      <c r="L46" t="str">
        <f ca="1">IFERROR(IF(0=LEN(ReferenceData!$L$46),"",ReferenceData!$L$46),"")</f>
        <v/>
      </c>
      <c r="M46" t="str">
        <f ca="1">IFERROR(IF(0=LEN(ReferenceData!$M$46),"",ReferenceData!$M$46),"")</f>
        <v/>
      </c>
      <c r="N46" t="str">
        <f ca="1">IFERROR(IF(0=LEN(ReferenceData!$N$46),"",ReferenceData!$N$46),"")</f>
        <v/>
      </c>
      <c r="O46" t="str">
        <f ca="1">IFERROR(IF(0=LEN(ReferenceData!$O$46),"",ReferenceData!$O$46),"")</f>
        <v/>
      </c>
      <c r="P46" t="str">
        <f ca="1">IFERROR(IF(0=LEN(ReferenceData!$P$46),"",ReferenceData!$P$46),"")</f>
        <v/>
      </c>
      <c r="Q46" t="str">
        <f ca="1">IFERROR(IF(0=LEN(ReferenceData!$Q$46),"",ReferenceData!$Q$46),"")</f>
        <v/>
      </c>
      <c r="R46" t="str">
        <f ca="1">IFERROR(IF(0=LEN(ReferenceData!$R$46),"",ReferenceData!$R$46),"")</f>
        <v/>
      </c>
      <c r="S46" t="str">
        <f ca="1">IFERROR(IF(0=LEN(ReferenceData!$S$46),"",ReferenceData!$S$46),"")</f>
        <v/>
      </c>
      <c r="T46" t="str">
        <f ca="1">IFERROR(IF(0=LEN(ReferenceData!$T$46),"",ReferenceData!$T$46),"")</f>
        <v/>
      </c>
      <c r="U46" t="str">
        <f ca="1">IFERROR(IF(0=LEN(ReferenceData!$U$46),"",ReferenceData!$U$46),"")</f>
        <v/>
      </c>
      <c r="V46" t="str">
        <f ca="1">IFERROR(IF(0=LEN(ReferenceData!$V$46),"",ReferenceData!$V$46),"")</f>
        <v/>
      </c>
      <c r="W46" t="str">
        <f ca="1">IFERROR(IF(0=LEN(ReferenceData!$W$46),"",ReferenceData!$W$46),"")</f>
        <v/>
      </c>
      <c r="X46" t="str">
        <f ca="1">IFERROR(IF(0=LEN(ReferenceData!$X$46),"",ReferenceData!$X$46),"")</f>
        <v/>
      </c>
      <c r="Y46" t="str">
        <f ca="1">IFERROR(IF(0=LEN(ReferenceData!$Y$46),"",ReferenceData!$Y$46),"")</f>
        <v/>
      </c>
      <c r="Z46" t="str">
        <f ca="1">IFERROR(IF(0=LEN(ReferenceData!$Z$46),"",ReferenceData!$Z$46),"")</f>
        <v/>
      </c>
      <c r="AA46" t="str">
        <f ca="1">IFERROR(IF(0=LEN(ReferenceData!$AA$46),"",ReferenceData!$AA$46),"")</f>
        <v/>
      </c>
      <c r="AB46" t="str">
        <f ca="1">IFERROR(IF(0=LEN(ReferenceData!$AB$46),"",ReferenceData!$AB$46),"")</f>
        <v/>
      </c>
      <c r="AC46" t="str">
        <f ca="1">IFERROR(IF(0=LEN(ReferenceData!$AC$46),"",ReferenceData!$AC$46),"")</f>
        <v/>
      </c>
      <c r="AD46" t="str">
        <f ca="1">IFERROR(IF(0=LEN(ReferenceData!$AD$46),"",ReferenceData!$AD$46),"")</f>
        <v/>
      </c>
      <c r="AE46" t="str">
        <f ca="1">IFERROR(IF(0=LEN(ReferenceData!$AE$46),"",ReferenceData!$AE$46),"")</f>
        <v/>
      </c>
      <c r="AF46" t="str">
        <f ca="1">IFERROR(IF(0=LEN(ReferenceData!$AF$46),"",ReferenceData!$AF$46),"")</f>
        <v/>
      </c>
      <c r="AG46" t="str">
        <f ca="1">IFERROR(IF(0=LEN(ReferenceData!$AG$46),"",ReferenceData!$AG$46),"")</f>
        <v/>
      </c>
      <c r="AH46" t="str">
        <f ca="1">IFERROR(IF(0=LEN(ReferenceData!$AH$46),"",ReferenceData!$AH$46),"")</f>
        <v/>
      </c>
      <c r="AI46" t="str">
        <f ca="1">IFERROR(IF(0=LEN(ReferenceData!$AI$46),"",ReferenceData!$AI$46),"")</f>
        <v/>
      </c>
      <c r="AJ46" t="str">
        <f ca="1">IFERROR(IF(0=LEN(ReferenceData!$AJ$46),"",ReferenceData!$AJ$46),"")</f>
        <v/>
      </c>
      <c r="AK46" t="str">
        <f ca="1">IFERROR(IF(0=LEN(ReferenceData!$AK$46),"",ReferenceData!$AK$46),"")</f>
        <v/>
      </c>
      <c r="AL46" t="str">
        <f ca="1">IFERROR(IF(0=LEN(ReferenceData!$AL$46),"",ReferenceData!$AL$46),"")</f>
        <v/>
      </c>
    </row>
    <row r="47" spans="1:38" x14ac:dyDescent="0.25">
      <c r="A47" t="str">
        <f>IFERROR(IF(0=LEN(ReferenceData!$A$47),"",ReferenceData!$A$47),"")</f>
        <v xml:space="preserve">    Commercial Real Estate</v>
      </c>
      <c r="B47" t="str">
        <f>IFERROR(IF(0=LEN(ReferenceData!$B$47),"",ReferenceData!$B$47),"")</f>
        <v/>
      </c>
      <c r="C47" t="str">
        <f>IFERROR(IF(0=LEN(ReferenceData!$C$47),"",ReferenceData!$C$47),"")</f>
        <v/>
      </c>
      <c r="D47" t="str">
        <f>IFERROR(IF(0=LEN(ReferenceData!$D$47),"",ReferenceData!$D$47),"")</f>
        <v/>
      </c>
      <c r="E47" t="str">
        <f>IFERROR(IF(0=LEN(ReferenceData!$E$47),"",ReferenceData!$E$47),"")</f>
        <v>Expression</v>
      </c>
      <c r="F47">
        <f ca="1">IFERROR(IF(0=LEN(ReferenceData!$F$47),"",ReferenceData!$F$47),"")</f>
        <v>740520.022</v>
      </c>
      <c r="G47">
        <f ca="1">IFERROR(IF(0=LEN(ReferenceData!$G$47),"",ReferenceData!$G$47),"")</f>
        <v>878558.95900000003</v>
      </c>
      <c r="H47">
        <f ca="1">IFERROR(IF(0=LEN(ReferenceData!$H$47),"",ReferenceData!$H$47),"")</f>
        <v>841451.18900000001</v>
      </c>
      <c r="I47">
        <f ca="1">IFERROR(IF(0=LEN(ReferenceData!$I$47),"",ReferenceData!$I$47),"")</f>
        <v>754803.72900000005</v>
      </c>
      <c r="J47">
        <f ca="1">IFERROR(IF(0=LEN(ReferenceData!$J$47),"",ReferenceData!$J$47),"")</f>
        <v>724429.66200000001</v>
      </c>
      <c r="K47">
        <f ca="1">IFERROR(IF(0=LEN(ReferenceData!$K$47),"",ReferenceData!$K$47),"")</f>
        <v>714251.59900000005</v>
      </c>
      <c r="L47">
        <f ca="1">IFERROR(IF(0=LEN(ReferenceData!$L$47),"",ReferenceData!$L$47),"")</f>
        <v>674032.72400000005</v>
      </c>
      <c r="M47">
        <f ca="1">IFERROR(IF(0=LEN(ReferenceData!$M$47),"",ReferenceData!$M$47),"")</f>
        <v>671177.14300000004</v>
      </c>
      <c r="N47">
        <f ca="1">IFERROR(IF(0=LEN(ReferenceData!$N$47),"",ReferenceData!$N$47),"")</f>
        <v>668798.93099999998</v>
      </c>
      <c r="O47">
        <f ca="1">IFERROR(IF(0=LEN(ReferenceData!$O$47),"",ReferenceData!$O$47),"")</f>
        <v>613191.27899999998</v>
      </c>
      <c r="P47">
        <f ca="1">IFERROR(IF(0=LEN(ReferenceData!$P$47),"",ReferenceData!$P$47),"")</f>
        <v>553661.27300000004</v>
      </c>
      <c r="Q47">
        <f ca="1">IFERROR(IF(0=LEN(ReferenceData!$Q$47),"",ReferenceData!$Q$47),"")</f>
        <v>538003.45499999996</v>
      </c>
      <c r="R47">
        <f ca="1">IFERROR(IF(0=LEN(ReferenceData!$R$47),"",ReferenceData!$R$47),"")</f>
        <v>524960.46499999997</v>
      </c>
      <c r="S47">
        <f ca="1">IFERROR(IF(0=LEN(ReferenceData!$S$47),"",ReferenceData!$S$47),"")</f>
        <v>525439.60100000002</v>
      </c>
      <c r="T47">
        <f ca="1">IFERROR(IF(0=LEN(ReferenceData!$T$47),"",ReferenceData!$T$47),"")</f>
        <v>554012.429</v>
      </c>
      <c r="U47">
        <f ca="1">IFERROR(IF(0=LEN(ReferenceData!$U$47),"",ReferenceData!$U$47),"")</f>
        <v>624666.77599999995</v>
      </c>
      <c r="V47">
        <f ca="1">IFERROR(IF(0=LEN(ReferenceData!$V$47),"",ReferenceData!$V$47),"")</f>
        <v>634556.15700000001</v>
      </c>
      <c r="W47">
        <f ca="1">IFERROR(IF(0=LEN(ReferenceData!$W$47),"",ReferenceData!$W$47),"")</f>
        <v>467501.00400000002</v>
      </c>
      <c r="X47">
        <f ca="1">IFERROR(IF(0=LEN(ReferenceData!$X$47),"",ReferenceData!$X$47),"")</f>
        <v>56861.843999999997</v>
      </c>
      <c r="Y47">
        <f ca="1">IFERROR(IF(0=LEN(ReferenceData!$Y$47),"",ReferenceData!$Y$47),"")</f>
        <v>47228.684000000001</v>
      </c>
      <c r="Z47">
        <f ca="1">IFERROR(IF(0=LEN(ReferenceData!$Z$47),"",ReferenceData!$Z$47),"")</f>
        <v>42432.822</v>
      </c>
      <c r="AA47">
        <f ca="1">IFERROR(IF(0=LEN(ReferenceData!$AA$47),"",ReferenceData!$AA$47),"")</f>
        <v>33176.94</v>
      </c>
      <c r="AB47">
        <f ca="1">IFERROR(IF(0=LEN(ReferenceData!$AB$47),"",ReferenceData!$AB$47),"")</f>
        <v>29786.624</v>
      </c>
      <c r="AC47">
        <f ca="1">IFERROR(IF(0=LEN(ReferenceData!$AC$47),"",ReferenceData!$AC$47),"")</f>
        <v>23103.47</v>
      </c>
      <c r="AD47">
        <f ca="1">IFERROR(IF(0=LEN(ReferenceData!$AD$47),"",ReferenceData!$AD$47),"")</f>
        <v>13564.111000000001</v>
      </c>
      <c r="AE47">
        <f ca="1">IFERROR(IF(0=LEN(ReferenceData!$AE$47),"",ReferenceData!$AE$47),"")</f>
        <v>12340.941999999999</v>
      </c>
      <c r="AF47">
        <f ca="1">IFERROR(IF(0=LEN(ReferenceData!$AF$47),"",ReferenceData!$AF$47),"")</f>
        <v>11169.294</v>
      </c>
      <c r="AG47">
        <f ca="1">IFERROR(IF(0=LEN(ReferenceData!$AG$47),"",ReferenceData!$AG$47),"")</f>
        <v>7491.9979999999996</v>
      </c>
      <c r="AH47">
        <f ca="1">IFERROR(IF(0=LEN(ReferenceData!$AH$47),"",ReferenceData!$AH$47),"")</f>
        <v>5814.1310000000003</v>
      </c>
      <c r="AI47">
        <f ca="1">IFERROR(IF(0=LEN(ReferenceData!$AI$47),"",ReferenceData!$AI$47),"")</f>
        <v>5121.0439999999999</v>
      </c>
      <c r="AJ47">
        <f ca="1">IFERROR(IF(0=LEN(ReferenceData!$AJ$47),"",ReferenceData!$AJ$47),"")</f>
        <v>3506.0360000000001</v>
      </c>
      <c r="AK47">
        <f ca="1">IFERROR(IF(0=LEN(ReferenceData!$AK$47),"",ReferenceData!$AK$47),"")</f>
        <v>2738.346</v>
      </c>
      <c r="AL47">
        <f ca="1">IFERROR(IF(0=LEN(ReferenceData!$AL$47),"",ReferenceData!$AL$47),"")</f>
        <v>1878.6179999999999</v>
      </c>
    </row>
    <row r="48" spans="1:38" x14ac:dyDescent="0.25">
      <c r="A48" t="str">
        <f>IFERROR(IF(0=LEN(ReferenceData!$A$48),"",ReferenceData!$A$48),"")</f>
        <v xml:space="preserve">        CRE by Company</v>
      </c>
      <c r="B48" t="str">
        <f>IFERROR(IF(0=LEN(ReferenceData!$B$48),"",ReferenceData!$B$48),"")</f>
        <v/>
      </c>
      <c r="C48" t="str">
        <f>IFERROR(IF(0=LEN(ReferenceData!$C$48),"",ReferenceData!$C$48),"")</f>
        <v/>
      </c>
      <c r="D48" t="str">
        <f>IFERROR(IF(0=LEN(ReferenceData!$D$48),"",ReferenceData!$D$48),"")</f>
        <v/>
      </c>
      <c r="E48" t="str">
        <f>IFERROR(IF(0=LEN(ReferenceData!$E$48),"",ReferenceData!$E$48),"")</f>
        <v>Sum</v>
      </c>
      <c r="F48">
        <f ca="1">IFERROR(IF(0=LEN(ReferenceData!$F$48),"",ReferenceData!$F$48),"")</f>
        <v>740520.02199999988</v>
      </c>
      <c r="G48">
        <f ca="1">IFERROR(IF(0=LEN(ReferenceData!$G$48),"",ReferenceData!$G$48),"")</f>
        <v>878558.95900000003</v>
      </c>
      <c r="H48">
        <f ca="1">IFERROR(IF(0=LEN(ReferenceData!$H$48),"",ReferenceData!$H$48),"")</f>
        <v>841451.18900000001</v>
      </c>
      <c r="I48">
        <f ca="1">IFERROR(IF(0=LEN(ReferenceData!$I$48),"",ReferenceData!$I$48),"")</f>
        <v>754803.72899999993</v>
      </c>
      <c r="J48">
        <f ca="1">IFERROR(IF(0=LEN(ReferenceData!$J$48),"",ReferenceData!$J$48),"")</f>
        <v>724429.66199999989</v>
      </c>
      <c r="K48">
        <f ca="1">IFERROR(IF(0=LEN(ReferenceData!$K$48),"",ReferenceData!$K$48),"")</f>
        <v>714251.59900000005</v>
      </c>
      <c r="L48">
        <f ca="1">IFERROR(IF(0=LEN(ReferenceData!$L$48),"",ReferenceData!$L$48),"")</f>
        <v>674032.72399999981</v>
      </c>
      <c r="M48">
        <f ca="1">IFERROR(IF(0=LEN(ReferenceData!$M$48),"",ReferenceData!$M$48),"")</f>
        <v>671177.14299999992</v>
      </c>
      <c r="N48">
        <f ca="1">IFERROR(IF(0=LEN(ReferenceData!$N$48),"",ReferenceData!$N$48),"")</f>
        <v>668798.9310000001</v>
      </c>
      <c r="O48">
        <f ca="1">IFERROR(IF(0=LEN(ReferenceData!$O$48),"",ReferenceData!$O$48),"")</f>
        <v>613191.27899999998</v>
      </c>
      <c r="P48">
        <f ca="1">IFERROR(IF(0=LEN(ReferenceData!$P$48),"",ReferenceData!$P$48),"")</f>
        <v>553661.27299999993</v>
      </c>
      <c r="Q48">
        <f ca="1">IFERROR(IF(0=LEN(ReferenceData!$Q$48),"",ReferenceData!$Q$48),"")</f>
        <v>538003.45499999996</v>
      </c>
      <c r="R48">
        <f ca="1">IFERROR(IF(0=LEN(ReferenceData!$R$48),"",ReferenceData!$R$48),"")</f>
        <v>524960.46499999997</v>
      </c>
      <c r="S48">
        <f ca="1">IFERROR(IF(0=LEN(ReferenceData!$S$48),"",ReferenceData!$S$48),"")</f>
        <v>525439.60100000002</v>
      </c>
      <c r="T48">
        <f ca="1">IFERROR(IF(0=LEN(ReferenceData!$T$48),"",ReferenceData!$T$48),"")</f>
        <v>554012.429</v>
      </c>
      <c r="U48">
        <f ca="1">IFERROR(IF(0=LEN(ReferenceData!$U$48),"",ReferenceData!$U$48),"")</f>
        <v>624666.77599999995</v>
      </c>
      <c r="V48">
        <f ca="1">IFERROR(IF(0=LEN(ReferenceData!$V$48),"",ReferenceData!$V$48),"")</f>
        <v>634556.15700000012</v>
      </c>
      <c r="W48">
        <f ca="1">IFERROR(IF(0=LEN(ReferenceData!$W$48),"",ReferenceData!$W$48),"")</f>
        <v>467501.00400000002</v>
      </c>
      <c r="X48">
        <f ca="1">IFERROR(IF(0=LEN(ReferenceData!$X$48),"",ReferenceData!$X$48),"")</f>
        <v>56861.84399999999</v>
      </c>
      <c r="Y48">
        <f ca="1">IFERROR(IF(0=LEN(ReferenceData!$Y$48),"",ReferenceData!$Y$48),"")</f>
        <v>47228.684000000008</v>
      </c>
      <c r="Z48">
        <f ca="1">IFERROR(IF(0=LEN(ReferenceData!$Z$48),"",ReferenceData!$Z$48),"")</f>
        <v>42432.822</v>
      </c>
      <c r="AA48">
        <f ca="1">IFERROR(IF(0=LEN(ReferenceData!$AA$48),"",ReferenceData!$AA$48),"")</f>
        <v>33176.939999999995</v>
      </c>
      <c r="AB48">
        <f ca="1">IFERROR(IF(0=LEN(ReferenceData!$AB$48),"",ReferenceData!$AB$48),"")</f>
        <v>29786.624000000003</v>
      </c>
      <c r="AC48">
        <f ca="1">IFERROR(IF(0=LEN(ReferenceData!$AC$48),"",ReferenceData!$AC$48),"")</f>
        <v>23103.469999999998</v>
      </c>
      <c r="AD48">
        <f ca="1">IFERROR(IF(0=LEN(ReferenceData!$AD$48),"",ReferenceData!$AD$48),"")</f>
        <v>13564.110999999999</v>
      </c>
      <c r="AE48">
        <f ca="1">IFERROR(IF(0=LEN(ReferenceData!$AE$48),"",ReferenceData!$AE$48),"")</f>
        <v>12340.941999999999</v>
      </c>
      <c r="AF48">
        <f ca="1">IFERROR(IF(0=LEN(ReferenceData!$AF$48),"",ReferenceData!$AF$48),"")</f>
        <v>11169.294</v>
      </c>
      <c r="AG48">
        <f ca="1">IFERROR(IF(0=LEN(ReferenceData!$AG$48),"",ReferenceData!$AG$48),"")</f>
        <v>7491.9979999999996</v>
      </c>
      <c r="AH48">
        <f ca="1">IFERROR(IF(0=LEN(ReferenceData!$AH$48),"",ReferenceData!$AH$48),"")</f>
        <v>5814.1310000000003</v>
      </c>
      <c r="AI48">
        <f ca="1">IFERROR(IF(0=LEN(ReferenceData!$AI$48),"",ReferenceData!$AI$48),"")</f>
        <v>5121.0439999999999</v>
      </c>
      <c r="AJ48">
        <f ca="1">IFERROR(IF(0=LEN(ReferenceData!$AJ$48),"",ReferenceData!$AJ$48),"")</f>
        <v>3506.0360000000005</v>
      </c>
      <c r="AK48">
        <f ca="1">IFERROR(IF(0=LEN(ReferenceData!$AK$48),"",ReferenceData!$AK$48),"")</f>
        <v>2738.3459999999995</v>
      </c>
      <c r="AL48">
        <f ca="1">IFERROR(IF(0=LEN(ReferenceData!$AL$48),"",ReferenceData!$AL$48),"")</f>
        <v>1878.6180000000002</v>
      </c>
    </row>
    <row r="49" spans="1:38" x14ac:dyDescent="0.25">
      <c r="A49" t="str">
        <f>IFERROR(IF(0=LEN(ReferenceData!$A$49),"",ReferenceData!$A$49),"")</f>
        <v xml:space="preserve">            Bank of America Corp</v>
      </c>
      <c r="B49" t="str">
        <f>IFERROR(IF(0=LEN(ReferenceData!$B$49),"",ReferenceData!$B$49),"")</f>
        <v>BAC US Equity</v>
      </c>
      <c r="C49" t="str">
        <f>IFERROR(IF(0=LEN(ReferenceData!$C$49),"",ReferenceData!$C$49),"")</f>
        <v>F0375</v>
      </c>
      <c r="D49" t="str">
        <f>IFERROR(IF(0=LEN(ReferenceData!$D$49),"",ReferenceData!$D$49),"")</f>
        <v>FED_CRE_LNS_INCL_APTS_&amp;_FRMLND</v>
      </c>
      <c r="E49" t="str">
        <f>IFERROR(IF(0=LEN(ReferenceData!$E$49),"",ReferenceData!$E$49),"")</f>
        <v>Dynamic</v>
      </c>
      <c r="F49">
        <f ca="1">IFERROR(IF(0=LEN(ReferenceData!$F$49),"",ReferenceData!$F$49),"")</f>
        <v>77108</v>
      </c>
      <c r="G49">
        <f ca="1">IFERROR(IF(0=LEN(ReferenceData!$G$49),"",ReferenceData!$G$49),"")</f>
        <v>80455</v>
      </c>
      <c r="H49">
        <f ca="1">IFERROR(IF(0=LEN(ReferenceData!$H$49),"",ReferenceData!$H$49),"")</f>
        <v>79083</v>
      </c>
      <c r="I49">
        <f ca="1">IFERROR(IF(0=LEN(ReferenceData!$I$49),"",ReferenceData!$I$49),"")</f>
        <v>77538</v>
      </c>
      <c r="J49">
        <f ca="1">IFERROR(IF(0=LEN(ReferenceData!$J$49),"",ReferenceData!$J$49),"")</f>
        <v>75585</v>
      </c>
      <c r="K49">
        <f ca="1">IFERROR(IF(0=LEN(ReferenceData!$K$49),"",ReferenceData!$K$49),"")</f>
        <v>78054</v>
      </c>
      <c r="L49">
        <f ca="1">IFERROR(IF(0=LEN(ReferenceData!$L$49),"",ReferenceData!$L$49),"")</f>
        <v>73778</v>
      </c>
      <c r="M49">
        <f ca="1">IFERROR(IF(0=LEN(ReferenceData!$M$49),"",ReferenceData!$M$49),"")</f>
        <v>74053</v>
      </c>
      <c r="N49">
        <f ca="1">IFERROR(IF(0=LEN(ReferenceData!$N$49),"",ReferenceData!$N$49),"")</f>
        <v>74200</v>
      </c>
      <c r="O49">
        <f ca="1">IFERROR(IF(0=LEN(ReferenceData!$O$49),"",ReferenceData!$O$49),"")</f>
        <v>75246</v>
      </c>
      <c r="P49">
        <f ca="1">IFERROR(IF(0=LEN(ReferenceData!$P$49),"",ReferenceData!$P$49),"")</f>
        <v>62267</v>
      </c>
      <c r="Q49">
        <f ca="1">IFERROR(IF(0=LEN(ReferenceData!$Q$49),"",ReferenceData!$Q$49),"")</f>
        <v>66391</v>
      </c>
      <c r="R49">
        <f ca="1">IFERROR(IF(0=LEN(ReferenceData!$R$49),"",ReferenceData!$R$49),"")</f>
        <v>61868.642999999996</v>
      </c>
      <c r="S49">
        <f ca="1">IFERROR(IF(0=LEN(ReferenceData!$S$49),"",ReferenceData!$S$49),"")</f>
        <v>63397.002999999997</v>
      </c>
      <c r="T49">
        <f ca="1">IFERROR(IF(0=LEN(ReferenceData!$T$49),"",ReferenceData!$T$49),"")</f>
        <v>78586.464999999997</v>
      </c>
      <c r="U49">
        <f ca="1">IFERROR(IF(0=LEN(ReferenceData!$U$49),"",ReferenceData!$U$49),"")</f>
        <v>98790.173999999999</v>
      </c>
      <c r="V49">
        <f ca="1">IFERROR(IF(0=LEN(ReferenceData!$V$49),"",ReferenceData!$V$49),"")</f>
        <v>105167.917</v>
      </c>
      <c r="W49">
        <f ca="1">IFERROR(IF(0=LEN(ReferenceData!$W$49),"",ReferenceData!$W$49),"")</f>
        <v>103562.928</v>
      </c>
      <c r="X49">
        <f ca="1">IFERROR(IF(0=LEN(ReferenceData!$X$49),"",ReferenceData!$X$49),"")</f>
        <v>7949.3919999999998</v>
      </c>
      <c r="Y49">
        <f ca="1">IFERROR(IF(0=LEN(ReferenceData!$Y$49),"",ReferenceData!$Y$49),"")</f>
        <v>6619.9139999999998</v>
      </c>
      <c r="Z49">
        <f ca="1">IFERROR(IF(0=LEN(ReferenceData!$Z$49),"",ReferenceData!$Z$49),"")</f>
        <v>4236.3770000000004</v>
      </c>
      <c r="AA49">
        <f ca="1">IFERROR(IF(0=LEN(ReferenceData!$AA$49),"",ReferenceData!$AA$49),"")</f>
        <v>3530.3150000000001</v>
      </c>
      <c r="AB49">
        <f ca="1">IFERROR(IF(0=LEN(ReferenceData!$AB$49),"",ReferenceData!$AB$49),"")</f>
        <v>3794</v>
      </c>
      <c r="AC49">
        <f ca="1">IFERROR(IF(0=LEN(ReferenceData!$AC$49),"",ReferenceData!$AC$49),"")</f>
        <v>3813</v>
      </c>
      <c r="AD49" t="str">
        <f ca="1">IFERROR(IF(0=LEN(ReferenceData!$AD$49),"",ReferenceData!$AD$49),"")</f>
        <v/>
      </c>
      <c r="AE49" t="str">
        <f ca="1">IFERROR(IF(0=LEN(ReferenceData!$AE$49),"",ReferenceData!$AE$49),"")</f>
        <v/>
      </c>
      <c r="AF49" t="str">
        <f ca="1">IFERROR(IF(0=LEN(ReferenceData!$AF$49),"",ReferenceData!$AF$49),"")</f>
        <v/>
      </c>
      <c r="AG49" t="str">
        <f ca="1">IFERROR(IF(0=LEN(ReferenceData!$AG$49),"",ReferenceData!$AG$49),"")</f>
        <v/>
      </c>
      <c r="AH49" t="str">
        <f ca="1">IFERROR(IF(0=LEN(ReferenceData!$AH$49),"",ReferenceData!$AH$49),"")</f>
        <v/>
      </c>
      <c r="AI49" t="str">
        <f ca="1">IFERROR(IF(0=LEN(ReferenceData!$AI$49),"",ReferenceData!$AI$49),"")</f>
        <v/>
      </c>
      <c r="AJ49" t="str">
        <f ca="1">IFERROR(IF(0=LEN(ReferenceData!$AJ$49),"",ReferenceData!$AJ$49),"")</f>
        <v/>
      </c>
      <c r="AK49" t="str">
        <f ca="1">IFERROR(IF(0=LEN(ReferenceData!$AK$49),"",ReferenceData!$AK$49),"")</f>
        <v/>
      </c>
      <c r="AL49" t="str">
        <f ca="1">IFERROR(IF(0=LEN(ReferenceData!$AL$49),"",ReferenceData!$AL$49),"")</f>
        <v/>
      </c>
    </row>
    <row r="50" spans="1:38" x14ac:dyDescent="0.25">
      <c r="A50" t="str">
        <f>IFERROR(IF(0=LEN(ReferenceData!$A$50),"",ReferenceData!$A$50),"")</f>
        <v xml:space="preserve">            Citigroup Inc</v>
      </c>
      <c r="B50" t="str">
        <f>IFERROR(IF(0=LEN(ReferenceData!$B$50),"",ReferenceData!$B$50),"")</f>
        <v>C US Equity</v>
      </c>
      <c r="C50" t="str">
        <f>IFERROR(IF(0=LEN(ReferenceData!$C$50),"",ReferenceData!$C$50),"")</f>
        <v>F0375</v>
      </c>
      <c r="D50" t="str">
        <f>IFERROR(IF(0=LEN(ReferenceData!$D$50),"",ReferenceData!$D$50),"")</f>
        <v>FED_CRE_LNS_INCL_APTS_&amp;_FRMLND</v>
      </c>
      <c r="E50" t="str">
        <f>IFERROR(IF(0=LEN(ReferenceData!$E$50),"",ReferenceData!$E$50),"")</f>
        <v>Dynamic</v>
      </c>
      <c r="F50">
        <f ca="1">IFERROR(IF(0=LEN(ReferenceData!$F$50),"",ReferenceData!$F$50),"")</f>
        <v>26022</v>
      </c>
      <c r="G50">
        <f ca="1">IFERROR(IF(0=LEN(ReferenceData!$G$50),"",ReferenceData!$G$50),"")</f>
        <v>26641</v>
      </c>
      <c r="H50">
        <f ca="1">IFERROR(IF(0=LEN(ReferenceData!$H$50),"",ReferenceData!$H$50),"")</f>
        <v>27148</v>
      </c>
      <c r="I50">
        <f ca="1">IFERROR(IF(0=LEN(ReferenceData!$I$50),"",ReferenceData!$I$50),"")</f>
        <v>27498</v>
      </c>
      <c r="J50">
        <f ca="1">IFERROR(IF(0=LEN(ReferenceData!$J$50),"",ReferenceData!$J$50),"")</f>
        <v>25899</v>
      </c>
      <c r="K50">
        <f ca="1">IFERROR(IF(0=LEN(ReferenceData!$K$50),"",ReferenceData!$K$50),"")</f>
        <v>25137</v>
      </c>
      <c r="L50">
        <f ca="1">IFERROR(IF(0=LEN(ReferenceData!$L$50),"",ReferenceData!$L$50),"")</f>
        <v>25049</v>
      </c>
      <c r="M50">
        <f ca="1">IFERROR(IF(0=LEN(ReferenceData!$M$50),"",ReferenceData!$M$50),"")</f>
        <v>19712</v>
      </c>
      <c r="N50">
        <f ca="1">IFERROR(IF(0=LEN(ReferenceData!$N$50),"",ReferenceData!$N$50),"")</f>
        <v>15561</v>
      </c>
      <c r="O50">
        <f ca="1">IFERROR(IF(0=LEN(ReferenceData!$O$50),"",ReferenceData!$O$50),"")</f>
        <v>12173</v>
      </c>
      <c r="P50">
        <f ca="1">IFERROR(IF(0=LEN(ReferenceData!$P$50),"",ReferenceData!$P$50),"")</f>
        <v>10681</v>
      </c>
      <c r="Q50">
        <f ca="1">IFERROR(IF(0=LEN(ReferenceData!$Q$50),"",ReferenceData!$Q$50),"")</f>
        <v>10018</v>
      </c>
      <c r="R50">
        <f ca="1">IFERROR(IF(0=LEN(ReferenceData!$R$50),"",ReferenceData!$R$50),"")</f>
        <v>8940</v>
      </c>
      <c r="S50">
        <f ca="1">IFERROR(IF(0=LEN(ReferenceData!$S$50),"",ReferenceData!$S$50),"")</f>
        <v>8607</v>
      </c>
      <c r="T50">
        <f ca="1">IFERROR(IF(0=LEN(ReferenceData!$T$50),"",ReferenceData!$T$50),"")</f>
        <v>11518</v>
      </c>
      <c r="U50">
        <f ca="1">IFERROR(IF(0=LEN(ReferenceData!$U$50),"",ReferenceData!$U$50),"")</f>
        <v>22535</v>
      </c>
      <c r="V50">
        <f ca="1">IFERROR(IF(0=LEN(ReferenceData!$V$50),"",ReferenceData!$V$50),"")</f>
        <v>23516</v>
      </c>
      <c r="W50">
        <f ca="1">IFERROR(IF(0=LEN(ReferenceData!$W$50),"",ReferenceData!$W$50),"")</f>
        <v>21906</v>
      </c>
      <c r="X50">
        <f ca="1">IFERROR(IF(0=LEN(ReferenceData!$X$50),"",ReferenceData!$X$50),"")</f>
        <v>10099</v>
      </c>
      <c r="Y50">
        <f ca="1">IFERROR(IF(0=LEN(ReferenceData!$Y$50),"",ReferenceData!$Y$50),"")</f>
        <v>9367</v>
      </c>
      <c r="Z50">
        <f ca="1">IFERROR(IF(0=LEN(ReferenceData!$Z$50),"",ReferenceData!$Z$50),"")</f>
        <v>9674</v>
      </c>
      <c r="AA50">
        <f ca="1">IFERROR(IF(0=LEN(ReferenceData!$AA$50),"",ReferenceData!$AA$50),"")</f>
        <v>8907</v>
      </c>
      <c r="AB50">
        <f ca="1">IFERROR(IF(0=LEN(ReferenceData!$AB$50),"",ReferenceData!$AB$50),"")</f>
        <v>8598</v>
      </c>
      <c r="AC50">
        <f ca="1">IFERROR(IF(0=LEN(ReferenceData!$AC$50),"",ReferenceData!$AC$50),"")</f>
        <v>3507</v>
      </c>
      <c r="AD50">
        <f ca="1">IFERROR(IF(0=LEN(ReferenceData!$AD$50),"",ReferenceData!$AD$50),"")</f>
        <v>1789.53</v>
      </c>
      <c r="AE50">
        <f ca="1">IFERROR(IF(0=LEN(ReferenceData!$AE$50),"",ReferenceData!$AE$50),"")</f>
        <v>1720.414</v>
      </c>
      <c r="AF50">
        <f ca="1">IFERROR(IF(0=LEN(ReferenceData!$AF$50),"",ReferenceData!$AF$50),"")</f>
        <v>1757.6210000000001</v>
      </c>
      <c r="AG50" t="str">
        <f ca="1">IFERROR(IF(0=LEN(ReferenceData!$AG$50),"",ReferenceData!$AG$50),"")</f>
        <v/>
      </c>
      <c r="AH50" t="str">
        <f ca="1">IFERROR(IF(0=LEN(ReferenceData!$AH$50),"",ReferenceData!$AH$50),"")</f>
        <v/>
      </c>
      <c r="AI50" t="str">
        <f ca="1">IFERROR(IF(0=LEN(ReferenceData!$AI$50),"",ReferenceData!$AI$50),"")</f>
        <v/>
      </c>
      <c r="AJ50" t="str">
        <f ca="1">IFERROR(IF(0=LEN(ReferenceData!$AJ$50),"",ReferenceData!$AJ$50),"")</f>
        <v/>
      </c>
      <c r="AK50" t="str">
        <f ca="1">IFERROR(IF(0=LEN(ReferenceData!$AK$50),"",ReferenceData!$AK$50),"")</f>
        <v/>
      </c>
      <c r="AL50" t="str">
        <f ca="1">IFERROR(IF(0=LEN(ReferenceData!$AL$50),"",ReferenceData!$AL$50),"")</f>
        <v/>
      </c>
    </row>
    <row r="51" spans="1:38" x14ac:dyDescent="0.25">
      <c r="A51" t="str">
        <f>IFERROR(IF(0=LEN(ReferenceData!$A$51),"",ReferenceData!$A$51),"")</f>
        <v xml:space="preserve">            Citizens Financial Group Inc</v>
      </c>
      <c r="B51" t="str">
        <f>IFERROR(IF(0=LEN(ReferenceData!$B$51),"",ReferenceData!$B$51),"")</f>
        <v>CFG US Equity</v>
      </c>
      <c r="C51" t="str">
        <f>IFERROR(IF(0=LEN(ReferenceData!$C$51),"",ReferenceData!$C$51),"")</f>
        <v>F0375</v>
      </c>
      <c r="D51" t="str">
        <f>IFERROR(IF(0=LEN(ReferenceData!$D$51),"",ReferenceData!$D$51),"")</f>
        <v>FED_CRE_LNS_INCL_APTS_&amp;_FRMLND</v>
      </c>
      <c r="E51" t="str">
        <f>IFERROR(IF(0=LEN(ReferenceData!$E$51),"",ReferenceData!$E$51),"")</f>
        <v>Dynamic</v>
      </c>
      <c r="F51">
        <f ca="1">IFERROR(IF(0=LEN(ReferenceData!$F$51),"",ReferenceData!$F$51),"")</f>
        <v>30216.67</v>
      </c>
      <c r="G51">
        <f ca="1">IFERROR(IF(0=LEN(ReferenceData!$G$51),"",ReferenceData!$G$51),"")</f>
        <v>32470.03</v>
      </c>
      <c r="H51">
        <f ca="1">IFERROR(IF(0=LEN(ReferenceData!$H$51),"",ReferenceData!$H$51),"")</f>
        <v>32776.512999999999</v>
      </c>
      <c r="I51">
        <f ca="1">IFERROR(IF(0=LEN(ReferenceData!$I$51),"",ReferenceData!$I$51),"")</f>
        <v>17114.733</v>
      </c>
      <c r="J51">
        <f ca="1">IFERROR(IF(0=LEN(ReferenceData!$J$51),"",ReferenceData!$J$51),"")</f>
        <v>17881.262999999999</v>
      </c>
      <c r="K51">
        <f ca="1">IFERROR(IF(0=LEN(ReferenceData!$K$51),"",ReferenceData!$K$51),"")</f>
        <v>17129.416000000001</v>
      </c>
      <c r="L51">
        <f ca="1">IFERROR(IF(0=LEN(ReferenceData!$L$51),"",ReferenceData!$L$51),"")</f>
        <v>16632.873</v>
      </c>
      <c r="M51">
        <f ca="1">IFERROR(IF(0=LEN(ReferenceData!$M$51),"",ReferenceData!$M$51),"")</f>
        <v>15312.878000000001</v>
      </c>
      <c r="N51">
        <f ca="1">IFERROR(IF(0=LEN(ReferenceData!$N$51),"",ReferenceData!$N$51),"")</f>
        <v>13638.348</v>
      </c>
      <c r="O51">
        <f ca="1">IFERROR(IF(0=LEN(ReferenceData!$O$51),"",ReferenceData!$O$51),"")</f>
        <v>11997.605</v>
      </c>
      <c r="P51">
        <f ca="1">IFERROR(IF(0=LEN(ReferenceData!$P$51),"",ReferenceData!$P$51),"")</f>
        <v>10353.701999999999</v>
      </c>
      <c r="Q51">
        <f ca="1">IFERROR(IF(0=LEN(ReferenceData!$Q$51),"",ReferenceData!$Q$51),"")</f>
        <v>10565.642</v>
      </c>
      <c r="R51">
        <f ca="1">IFERROR(IF(0=LEN(ReferenceData!$R$51),"",ReferenceData!$R$51),"")</f>
        <v>11488.772999999999</v>
      </c>
      <c r="S51">
        <f ca="1">IFERROR(IF(0=LEN(ReferenceData!$S$51),"",ReferenceData!$S$51),"")</f>
        <v>12890.806</v>
      </c>
      <c r="T51">
        <f ca="1">IFERROR(IF(0=LEN(ReferenceData!$T$51),"",ReferenceData!$T$51),"")</f>
        <v>13868.047</v>
      </c>
      <c r="U51">
        <f ca="1">IFERROR(IF(0=LEN(ReferenceData!$U$51),"",ReferenceData!$U$51),"")</f>
        <v>15030.448</v>
      </c>
      <c r="V51">
        <f ca="1">IFERROR(IF(0=LEN(ReferenceData!$V$51),"",ReferenceData!$V$51),"")</f>
        <v>15253.687</v>
      </c>
      <c r="W51">
        <f ca="1">IFERROR(IF(0=LEN(ReferenceData!$W$51),"",ReferenceData!$W$51),"")</f>
        <v>11676.735000000001</v>
      </c>
      <c r="X51">
        <f ca="1">IFERROR(IF(0=LEN(ReferenceData!$X$51),"",ReferenceData!$X$51),"")</f>
        <v>1041.67</v>
      </c>
      <c r="Y51">
        <f ca="1">IFERROR(IF(0=LEN(ReferenceData!$Y$51),"",ReferenceData!$Y$51),"")</f>
        <v>1236.299</v>
      </c>
      <c r="Z51">
        <f ca="1">IFERROR(IF(0=LEN(ReferenceData!$Z$51),"",ReferenceData!$Z$51),"")</f>
        <v>1268.3710000000001</v>
      </c>
      <c r="AA51">
        <f ca="1">IFERROR(IF(0=LEN(ReferenceData!$AA$51),"",ReferenceData!$AA$51),"")</f>
        <v>280.846</v>
      </c>
      <c r="AB51">
        <f ca="1">IFERROR(IF(0=LEN(ReferenceData!$AB$51),"",ReferenceData!$AB$51),"")</f>
        <v>210.35499999999999</v>
      </c>
      <c r="AC51">
        <f ca="1">IFERROR(IF(0=LEN(ReferenceData!$AC$51),"",ReferenceData!$AC$51),"")</f>
        <v>241.959</v>
      </c>
      <c r="AD51" t="str">
        <f ca="1">IFERROR(IF(0=LEN(ReferenceData!$AD$51),"",ReferenceData!$AD$51),"")</f>
        <v/>
      </c>
      <c r="AE51" t="str">
        <f ca="1">IFERROR(IF(0=LEN(ReferenceData!$AE$51),"",ReferenceData!$AE$51),"")</f>
        <v/>
      </c>
      <c r="AF51" t="str">
        <f ca="1">IFERROR(IF(0=LEN(ReferenceData!$AF$51),"",ReferenceData!$AF$51),"")</f>
        <v/>
      </c>
      <c r="AG51" t="str">
        <f ca="1">IFERROR(IF(0=LEN(ReferenceData!$AG$51),"",ReferenceData!$AG$51),"")</f>
        <v/>
      </c>
      <c r="AH51" t="str">
        <f ca="1">IFERROR(IF(0=LEN(ReferenceData!$AH$51),"",ReferenceData!$AH$51),"")</f>
        <v/>
      </c>
      <c r="AI51" t="str">
        <f ca="1">IFERROR(IF(0=LEN(ReferenceData!$AI$51),"",ReferenceData!$AI$51),"")</f>
        <v/>
      </c>
      <c r="AJ51" t="str">
        <f ca="1">IFERROR(IF(0=LEN(ReferenceData!$AJ$51),"",ReferenceData!$AJ$51),"")</f>
        <v/>
      </c>
      <c r="AK51" t="str">
        <f ca="1">IFERROR(IF(0=LEN(ReferenceData!$AK$51),"",ReferenceData!$AK$51),"")</f>
        <v/>
      </c>
      <c r="AL51" t="str">
        <f ca="1">IFERROR(IF(0=LEN(ReferenceData!$AL$51),"",ReferenceData!$AL$51),"")</f>
        <v/>
      </c>
    </row>
    <row r="52" spans="1:38" x14ac:dyDescent="0.25">
      <c r="A52" t="str">
        <f>IFERROR(IF(0=LEN(ReferenceData!$A$52),"",ReferenceData!$A$52),"")</f>
        <v xml:space="preserve">            Capital One Financial Corp</v>
      </c>
      <c r="B52" t="str">
        <f>IFERROR(IF(0=LEN(ReferenceData!$B$52),"",ReferenceData!$B$52),"")</f>
        <v>COF US Equity</v>
      </c>
      <c r="C52" t="str">
        <f>IFERROR(IF(0=LEN(ReferenceData!$C$52),"",ReferenceData!$C$52),"")</f>
        <v>F0375</v>
      </c>
      <c r="D52" t="str">
        <f>IFERROR(IF(0=LEN(ReferenceData!$D$52),"",ReferenceData!$D$52),"")</f>
        <v>FED_CRE_LNS_INCL_APTS_&amp;_FRMLND</v>
      </c>
      <c r="E52" t="str">
        <f>IFERROR(IF(0=LEN(ReferenceData!$E$52),"",ReferenceData!$E$52),"")</f>
        <v>Dynamic</v>
      </c>
      <c r="F52">
        <f ca="1">IFERROR(IF(0=LEN(ReferenceData!$F$52),"",ReferenceData!$F$52),"")</f>
        <v>26205.478999999999</v>
      </c>
      <c r="G52">
        <f ca="1">IFERROR(IF(0=LEN(ReferenceData!$G$52),"",ReferenceData!$G$52),"")</f>
        <v>28950.134999999998</v>
      </c>
      <c r="H52">
        <f ca="1">IFERROR(IF(0=LEN(ReferenceData!$H$52),"",ReferenceData!$H$52),"")</f>
        <v>30340.308000000001</v>
      </c>
      <c r="I52">
        <f ca="1">IFERROR(IF(0=LEN(ReferenceData!$I$52),"",ReferenceData!$I$52),"")</f>
        <v>32035.034</v>
      </c>
      <c r="J52">
        <f ca="1">IFERROR(IF(0=LEN(ReferenceData!$J$52),"",ReferenceData!$J$52),"")</f>
        <v>32071.86</v>
      </c>
      <c r="K52">
        <f ca="1">IFERROR(IF(0=LEN(ReferenceData!$K$52),"",ReferenceData!$K$52),"")</f>
        <v>31071.784</v>
      </c>
      <c r="L52">
        <f ca="1">IFERROR(IF(0=LEN(ReferenceData!$L$52),"",ReferenceData!$L$52),"")</f>
        <v>30797.63</v>
      </c>
      <c r="M52">
        <f ca="1">IFERROR(IF(0=LEN(ReferenceData!$M$52),"",ReferenceData!$M$52),"")</f>
        <v>29416.893</v>
      </c>
      <c r="N52">
        <f ca="1">IFERROR(IF(0=LEN(ReferenceData!$N$52),"",ReferenceData!$N$52),"")</f>
        <v>30214.210999999999</v>
      </c>
      <c r="O52">
        <f ca="1">IFERROR(IF(0=LEN(ReferenceData!$O$52),"",ReferenceData!$O$52),"")</f>
        <v>28262.728999999999</v>
      </c>
      <c r="P52">
        <f ca="1">IFERROR(IF(0=LEN(ReferenceData!$P$52),"",ReferenceData!$P$52),"")</f>
        <v>23354.244999999999</v>
      </c>
      <c r="Q52">
        <f ca="1">IFERROR(IF(0=LEN(ReferenceData!$Q$52),"",ReferenceData!$Q$52),"")</f>
        <v>21703.063999999998</v>
      </c>
      <c r="R52">
        <f ca="1">IFERROR(IF(0=LEN(ReferenceData!$R$52),"",ReferenceData!$R$52),"")</f>
        <v>19551.599999999999</v>
      </c>
      <c r="S52">
        <f ca="1">IFERROR(IF(0=LEN(ReferenceData!$S$52),"",ReferenceData!$S$52),"")</f>
        <v>18913.895</v>
      </c>
      <c r="T52">
        <f ca="1">IFERROR(IF(0=LEN(ReferenceData!$T$52),"",ReferenceData!$T$52),"")</f>
        <v>17764.815999999999</v>
      </c>
      <c r="U52">
        <f ca="1">IFERROR(IF(0=LEN(ReferenceData!$U$52),"",ReferenceData!$U$52),"")</f>
        <v>19107.246999999999</v>
      </c>
      <c r="V52">
        <f ca="1">IFERROR(IF(0=LEN(ReferenceData!$V$52),"",ReferenceData!$V$52),"")</f>
        <v>18901.184000000001</v>
      </c>
      <c r="W52">
        <f ca="1">IFERROR(IF(0=LEN(ReferenceData!$W$52),"",ReferenceData!$W$52),"")</f>
        <v>18322.043000000001</v>
      </c>
      <c r="X52">
        <f ca="1">IFERROR(IF(0=LEN(ReferenceData!$X$52),"",ReferenceData!$X$52),"")</f>
        <v>5335.9880000000003</v>
      </c>
      <c r="Y52">
        <f ca="1">IFERROR(IF(0=LEN(ReferenceData!$Y$52),"",ReferenceData!$Y$52),"")</f>
        <v>189.494</v>
      </c>
      <c r="Z52">
        <f ca="1">IFERROR(IF(0=LEN(ReferenceData!$Z$52),"",ReferenceData!$Z$52),"")</f>
        <v>0</v>
      </c>
      <c r="AA52" t="str">
        <f ca="1">IFERROR(IF(0=LEN(ReferenceData!$AA$52),"",ReferenceData!$AA$52),"")</f>
        <v/>
      </c>
      <c r="AB52" t="str">
        <f ca="1">IFERROR(IF(0=LEN(ReferenceData!$AB$52),"",ReferenceData!$AB$52),"")</f>
        <v/>
      </c>
      <c r="AC52" t="str">
        <f ca="1">IFERROR(IF(0=LEN(ReferenceData!$AC$52),"",ReferenceData!$AC$52),"")</f>
        <v/>
      </c>
      <c r="AD52" t="str">
        <f ca="1">IFERROR(IF(0=LEN(ReferenceData!$AD$52),"",ReferenceData!$AD$52),"")</f>
        <v/>
      </c>
      <c r="AE52" t="str">
        <f ca="1">IFERROR(IF(0=LEN(ReferenceData!$AE$52),"",ReferenceData!$AE$52),"")</f>
        <v/>
      </c>
      <c r="AF52" t="str">
        <f ca="1">IFERROR(IF(0=LEN(ReferenceData!$AF$52),"",ReferenceData!$AF$52),"")</f>
        <v/>
      </c>
      <c r="AG52" t="str">
        <f ca="1">IFERROR(IF(0=LEN(ReferenceData!$AG$52),"",ReferenceData!$AG$52),"")</f>
        <v/>
      </c>
      <c r="AH52" t="str">
        <f ca="1">IFERROR(IF(0=LEN(ReferenceData!$AH$52),"",ReferenceData!$AH$52),"")</f>
        <v/>
      </c>
      <c r="AI52" t="str">
        <f ca="1">IFERROR(IF(0=LEN(ReferenceData!$AI$52),"",ReferenceData!$AI$52),"")</f>
        <v/>
      </c>
      <c r="AJ52" t="str">
        <f ca="1">IFERROR(IF(0=LEN(ReferenceData!$AJ$52),"",ReferenceData!$AJ$52),"")</f>
        <v/>
      </c>
      <c r="AK52" t="str">
        <f ca="1">IFERROR(IF(0=LEN(ReferenceData!$AK$52),"",ReferenceData!$AK$52),"")</f>
        <v/>
      </c>
      <c r="AL52" t="str">
        <f ca="1">IFERROR(IF(0=LEN(ReferenceData!$AL$52),"",ReferenceData!$AL$52),"")</f>
        <v/>
      </c>
    </row>
    <row r="53" spans="1:38" x14ac:dyDescent="0.25">
      <c r="A53" t="str">
        <f>IFERROR(IF(0=LEN(ReferenceData!$A$53),"",ReferenceData!$A$53),"")</f>
        <v xml:space="preserve">            Comerica Inc</v>
      </c>
      <c r="B53" t="str">
        <f>IFERROR(IF(0=LEN(ReferenceData!$B$53),"",ReferenceData!$B$53),"")</f>
        <v>CMA US Equity</v>
      </c>
      <c r="C53" t="str">
        <f>IFERROR(IF(0=LEN(ReferenceData!$C$53),"",ReferenceData!$C$53),"")</f>
        <v>F0375</v>
      </c>
      <c r="D53" t="str">
        <f>IFERROR(IF(0=LEN(ReferenceData!$D$53),"",ReferenceData!$D$53),"")</f>
        <v>FED_CRE_LNS_INCL_APTS_&amp;_FRMLND</v>
      </c>
      <c r="E53" t="str">
        <f>IFERROR(IF(0=LEN(ReferenceData!$E$53),"",ReferenceData!$E$53),"")</f>
        <v>Dynamic</v>
      </c>
      <c r="F53" t="str">
        <f ca="1">IFERROR(IF(0=LEN(ReferenceData!$F$53),"",ReferenceData!$F$53),"")</f>
        <v/>
      </c>
      <c r="G53">
        <f ca="1">IFERROR(IF(0=LEN(ReferenceData!$G$53),"",ReferenceData!$G$53),"")</f>
        <v>18373</v>
      </c>
      <c r="H53">
        <f ca="1">IFERROR(IF(0=LEN(ReferenceData!$H$53),"",ReferenceData!$H$53),"")</f>
        <v>15892</v>
      </c>
      <c r="I53">
        <f ca="1">IFERROR(IF(0=LEN(ReferenceData!$I$53),"",ReferenceData!$I$53),"")</f>
        <v>13669</v>
      </c>
      <c r="J53">
        <f ca="1">IFERROR(IF(0=LEN(ReferenceData!$J$53),"",ReferenceData!$J$53),"")</f>
        <v>13459</v>
      </c>
      <c r="K53">
        <f ca="1">IFERROR(IF(0=LEN(ReferenceData!$K$53),"",ReferenceData!$K$53),"")</f>
        <v>12532</v>
      </c>
      <c r="L53">
        <f ca="1">IFERROR(IF(0=LEN(ReferenceData!$L$53),"",ReferenceData!$L$53),"")</f>
        <v>11734.048000000001</v>
      </c>
      <c r="M53">
        <f ca="1">IFERROR(IF(0=LEN(ReferenceData!$M$53),"",ReferenceData!$M$53),"")</f>
        <v>11757.696</v>
      </c>
      <c r="N53">
        <f ca="1">IFERROR(IF(0=LEN(ReferenceData!$N$53),"",ReferenceData!$N$53),"")</f>
        <v>11603.868</v>
      </c>
      <c r="O53">
        <f ca="1">IFERROR(IF(0=LEN(ReferenceData!$O$53),"",ReferenceData!$O$53),"")</f>
        <v>10852.83</v>
      </c>
      <c r="P53">
        <f ca="1">IFERROR(IF(0=LEN(ReferenceData!$P$53),"",ReferenceData!$P$53),"")</f>
        <v>10376.252</v>
      </c>
      <c r="Q53">
        <f ca="1">IFERROR(IF(0=LEN(ReferenceData!$Q$53),"",ReferenceData!$Q$53),"")</f>
        <v>10273.226000000001</v>
      </c>
      <c r="R53">
        <f ca="1">IFERROR(IF(0=LEN(ReferenceData!$R$53),"",ReferenceData!$R$53),"")</f>
        <v>10359.722</v>
      </c>
      <c r="S53">
        <f ca="1">IFERROR(IF(0=LEN(ReferenceData!$S$53),"",ReferenceData!$S$53),"")</f>
        <v>11193.147000000001</v>
      </c>
      <c r="T53">
        <f ca="1">IFERROR(IF(0=LEN(ReferenceData!$T$53),"",ReferenceData!$T$53),"")</f>
        <v>11712.348</v>
      </c>
      <c r="U53">
        <f ca="1">IFERROR(IF(0=LEN(ReferenceData!$U$53),"",ReferenceData!$U$53),"")</f>
        <v>14142.164000000001</v>
      </c>
      <c r="V53">
        <f ca="1">IFERROR(IF(0=LEN(ReferenceData!$V$53),"",ReferenceData!$V$53),"")</f>
        <v>17646.64</v>
      </c>
      <c r="W53">
        <f ca="1">IFERROR(IF(0=LEN(ReferenceData!$W$53),"",ReferenceData!$W$53),"")</f>
        <v>18038.677</v>
      </c>
      <c r="X53">
        <f ca="1">IFERROR(IF(0=LEN(ReferenceData!$X$53),"",ReferenceData!$X$53),"")</f>
        <v>18.38</v>
      </c>
      <c r="Y53">
        <f ca="1">IFERROR(IF(0=LEN(ReferenceData!$Y$53),"",ReferenceData!$Y$53),"")</f>
        <v>12.122999999999999</v>
      </c>
      <c r="Z53">
        <f ca="1">IFERROR(IF(0=LEN(ReferenceData!$Z$53),"",ReferenceData!$Z$53),"")</f>
        <v>12.46</v>
      </c>
      <c r="AA53">
        <f ca="1">IFERROR(IF(0=LEN(ReferenceData!$AA$53),"",ReferenceData!$AA$53),"")</f>
        <v>24.815999999999999</v>
      </c>
      <c r="AB53">
        <f ca="1">IFERROR(IF(0=LEN(ReferenceData!$AB$53),"",ReferenceData!$AB$53),"")</f>
        <v>44.429000000000002</v>
      </c>
      <c r="AC53">
        <f ca="1">IFERROR(IF(0=LEN(ReferenceData!$AC$53),"",ReferenceData!$AC$53),"")</f>
        <v>69.724999999999994</v>
      </c>
      <c r="AD53">
        <f ca="1">IFERROR(IF(0=LEN(ReferenceData!$AD$53),"",ReferenceData!$AD$53),"")</f>
        <v>62.838000000000001</v>
      </c>
      <c r="AE53">
        <f ca="1">IFERROR(IF(0=LEN(ReferenceData!$AE$53),"",ReferenceData!$AE$53),"")</f>
        <v>69.790000000000006</v>
      </c>
      <c r="AF53">
        <f ca="1">IFERROR(IF(0=LEN(ReferenceData!$AF$53),"",ReferenceData!$AF$53),"")</f>
        <v>88.873999999999995</v>
      </c>
      <c r="AG53">
        <f ca="1">IFERROR(IF(0=LEN(ReferenceData!$AG$53),"",ReferenceData!$AG$53),"")</f>
        <v>79.638999999999996</v>
      </c>
      <c r="AH53">
        <f ca="1">IFERROR(IF(0=LEN(ReferenceData!$AH$53),"",ReferenceData!$AH$53),"")</f>
        <v>95.144999999999996</v>
      </c>
      <c r="AI53">
        <f ca="1">IFERROR(IF(0=LEN(ReferenceData!$AI$53),"",ReferenceData!$AI$53),"")</f>
        <v>64.888999999999996</v>
      </c>
      <c r="AJ53">
        <f ca="1">IFERROR(IF(0=LEN(ReferenceData!$AJ$53),"",ReferenceData!$AJ$53),"")</f>
        <v>124.377</v>
      </c>
      <c r="AK53">
        <f ca="1">IFERROR(IF(0=LEN(ReferenceData!$AK$53),"",ReferenceData!$AK$53),"")</f>
        <v>95.661000000000001</v>
      </c>
      <c r="AL53">
        <f ca="1">IFERROR(IF(0=LEN(ReferenceData!$AL$53),"",ReferenceData!$AL$53),"")</f>
        <v>132.63399999999999</v>
      </c>
    </row>
    <row r="54" spans="1:38" x14ac:dyDescent="0.25">
      <c r="A54" t="str">
        <f>IFERROR(IF(0=LEN(ReferenceData!$A$54),"",ReferenceData!$A$54),"")</f>
        <v xml:space="preserve">            East West Bancorp Inc</v>
      </c>
      <c r="B54" t="str">
        <f>IFERROR(IF(0=LEN(ReferenceData!$B$54),"",ReferenceData!$B$54),"")</f>
        <v>EWBC US Equity</v>
      </c>
      <c r="C54" t="str">
        <f>IFERROR(IF(0=LEN(ReferenceData!$C$54),"",ReferenceData!$C$54),"")</f>
        <v>F0375</v>
      </c>
      <c r="D54" t="str">
        <f>IFERROR(IF(0=LEN(ReferenceData!$D$54),"",ReferenceData!$D$54),"")</f>
        <v>FED_CRE_LNS_INCL_APTS_&amp;_FRMLND</v>
      </c>
      <c r="E54" t="str">
        <f>IFERROR(IF(0=LEN(ReferenceData!$E$54),"",ReferenceData!$E$54),"")</f>
        <v>Dynamic</v>
      </c>
      <c r="F54" t="str">
        <f ca="1">IFERROR(IF(0=LEN(ReferenceData!$F$54),"",ReferenceData!$F$54),"")</f>
        <v/>
      </c>
      <c r="G54">
        <f ca="1">IFERROR(IF(0=LEN(ReferenceData!$G$54),"",ReferenceData!$G$54),"")</f>
        <v>20451.072</v>
      </c>
      <c r="H54">
        <f ca="1">IFERROR(IF(0=LEN(ReferenceData!$H$54),"",ReferenceData!$H$54),"")</f>
        <v>19045.53</v>
      </c>
      <c r="I54">
        <f ca="1">IFERROR(IF(0=LEN(ReferenceData!$I$54),"",ReferenceData!$I$54),"")</f>
        <v>16288.388999999999</v>
      </c>
      <c r="J54">
        <f ca="1">IFERROR(IF(0=LEN(ReferenceData!$J$54),"",ReferenceData!$J$54),"")</f>
        <v>14902.964</v>
      </c>
      <c r="K54">
        <f ca="1">IFERROR(IF(0=LEN(ReferenceData!$K$54),"",ReferenceData!$K$54),"")</f>
        <v>13998.132</v>
      </c>
      <c r="L54">
        <f ca="1">IFERROR(IF(0=LEN(ReferenceData!$L$54),"",ReferenceData!$L$54),"")</f>
        <v>12537.011</v>
      </c>
      <c r="M54">
        <f ca="1">IFERROR(IF(0=LEN(ReferenceData!$M$54),"",ReferenceData!$M$54),"")</f>
        <v>11816.342000000001</v>
      </c>
      <c r="N54">
        <f ca="1">IFERROR(IF(0=LEN(ReferenceData!$N$54),"",ReferenceData!$N$54),"")</f>
        <v>10518.798000000001</v>
      </c>
      <c r="O54">
        <f ca="1">IFERROR(IF(0=LEN(ReferenceData!$O$54),"",ReferenceData!$O$54),"")</f>
        <v>9974.4120000000003</v>
      </c>
      <c r="P54">
        <f ca="1">IFERROR(IF(0=LEN(ReferenceData!$P$54),"",ReferenceData!$P$54),"")</f>
        <v>8362.6659999999993</v>
      </c>
      <c r="Q54">
        <f ca="1">IFERROR(IF(0=LEN(ReferenceData!$Q$54),"",ReferenceData!$Q$54),"")</f>
        <v>6989.1710000000003</v>
      </c>
      <c r="R54">
        <f ca="1">IFERROR(IF(0=LEN(ReferenceData!$R$54),"",ReferenceData!$R$54),"")</f>
        <v>6749.741</v>
      </c>
      <c r="S54">
        <f ca="1">IFERROR(IF(0=LEN(ReferenceData!$S$54),"",ReferenceData!$S$54),"")</f>
        <v>7436.4309999999996</v>
      </c>
      <c r="T54">
        <f ca="1">IFERROR(IF(0=LEN(ReferenceData!$T$54),"",ReferenceData!$T$54),"")</f>
        <v>8116.0219999999999</v>
      </c>
      <c r="U54">
        <f ca="1">IFERROR(IF(0=LEN(ReferenceData!$U$54),"",ReferenceData!$U$54),"")</f>
        <v>9150.1509999999998</v>
      </c>
      <c r="V54">
        <f ca="1">IFERROR(IF(0=LEN(ReferenceData!$V$54),"",ReferenceData!$V$54),"")</f>
        <v>5981.5060000000003</v>
      </c>
      <c r="W54">
        <f ca="1">IFERROR(IF(0=LEN(ReferenceData!$W$54),"",ReferenceData!$W$54),"")</f>
        <v>6417.848</v>
      </c>
      <c r="X54">
        <f ca="1">IFERROR(IF(0=LEN(ReferenceData!$X$54),"",ReferenceData!$X$54),"")</f>
        <v>1583.5730000000001</v>
      </c>
      <c r="Y54">
        <f ca="1">IFERROR(IF(0=LEN(ReferenceData!$Y$54),"",ReferenceData!$Y$54),"")</f>
        <v>1241.0440000000001</v>
      </c>
      <c r="Z54">
        <f ca="1">IFERROR(IF(0=LEN(ReferenceData!$Z$54),"",ReferenceData!$Z$54),"")</f>
        <v>1123.0609999999999</v>
      </c>
      <c r="AA54">
        <f ca="1">IFERROR(IF(0=LEN(ReferenceData!$AA$54),"",ReferenceData!$AA$54),"")</f>
        <v>812.22500000000002</v>
      </c>
      <c r="AB54">
        <f ca="1">IFERROR(IF(0=LEN(ReferenceData!$AB$54),"",ReferenceData!$AB$54),"")</f>
        <v>631.70299999999997</v>
      </c>
      <c r="AC54">
        <f ca="1">IFERROR(IF(0=LEN(ReferenceData!$AC$54),"",ReferenceData!$AC$54),"")</f>
        <v>379.827</v>
      </c>
      <c r="AD54">
        <f ca="1">IFERROR(IF(0=LEN(ReferenceData!$AD$54),"",ReferenceData!$AD$54),"")</f>
        <v>325.173</v>
      </c>
      <c r="AE54">
        <f ca="1">IFERROR(IF(0=LEN(ReferenceData!$AE$54),"",ReferenceData!$AE$54),"")</f>
        <v>312.70400000000001</v>
      </c>
      <c r="AF54">
        <f ca="1">IFERROR(IF(0=LEN(ReferenceData!$AF$54),"",ReferenceData!$AF$54),"")</f>
        <v>167.322</v>
      </c>
      <c r="AG54" t="str">
        <f ca="1">IFERROR(IF(0=LEN(ReferenceData!$AG$54),"",ReferenceData!$AG$54),"")</f>
        <v/>
      </c>
      <c r="AH54" t="str">
        <f ca="1">IFERROR(IF(0=LEN(ReferenceData!$AH$54),"",ReferenceData!$AH$54),"")</f>
        <v/>
      </c>
      <c r="AI54" t="str">
        <f ca="1">IFERROR(IF(0=LEN(ReferenceData!$AI$54),"",ReferenceData!$AI$54),"")</f>
        <v/>
      </c>
      <c r="AJ54" t="str">
        <f ca="1">IFERROR(IF(0=LEN(ReferenceData!$AJ$54),"",ReferenceData!$AJ$54),"")</f>
        <v/>
      </c>
      <c r="AK54" t="str">
        <f ca="1">IFERROR(IF(0=LEN(ReferenceData!$AK$54),"",ReferenceData!$AK$54),"")</f>
        <v/>
      </c>
      <c r="AL54" t="str">
        <f ca="1">IFERROR(IF(0=LEN(ReferenceData!$AL$54),"",ReferenceData!$AL$54),"")</f>
        <v/>
      </c>
    </row>
    <row r="55" spans="1:38" x14ac:dyDescent="0.25">
      <c r="A55" t="str">
        <f>IFERROR(IF(0=LEN(ReferenceData!$A$55),"",ReferenceData!$A$55),"")</f>
        <v xml:space="preserve">            Fifth Third Bancorp</v>
      </c>
      <c r="B55" t="str">
        <f>IFERROR(IF(0=LEN(ReferenceData!$B$55),"",ReferenceData!$B$55),"")</f>
        <v>FITB US Equity</v>
      </c>
      <c r="C55" t="str">
        <f>IFERROR(IF(0=LEN(ReferenceData!$C$55),"",ReferenceData!$C$55),"")</f>
        <v>F0375</v>
      </c>
      <c r="D55" t="str">
        <f>IFERROR(IF(0=LEN(ReferenceData!$D$55),"",ReferenceData!$D$55),"")</f>
        <v>FED_CRE_LNS_INCL_APTS_&amp;_FRMLND</v>
      </c>
      <c r="E55" t="str">
        <f>IFERROR(IF(0=LEN(ReferenceData!$E$55),"",ReferenceData!$E$55),"")</f>
        <v>Dynamic</v>
      </c>
      <c r="F55">
        <f ca="1">IFERROR(IF(0=LEN(ReferenceData!$F$55),"",ReferenceData!$F$55),"")</f>
        <v>16771</v>
      </c>
      <c r="G55">
        <f ca="1">IFERROR(IF(0=LEN(ReferenceData!$G$55),"",ReferenceData!$G$55),"")</f>
        <v>16109</v>
      </c>
      <c r="H55">
        <f ca="1">IFERROR(IF(0=LEN(ReferenceData!$H$55),"",ReferenceData!$H$55),"")</f>
        <v>15331.22</v>
      </c>
      <c r="I55">
        <f ca="1">IFERROR(IF(0=LEN(ReferenceData!$I$55),"",ReferenceData!$I$55),"")</f>
        <v>14407.945</v>
      </c>
      <c r="J55">
        <f ca="1">IFERROR(IF(0=LEN(ReferenceData!$J$55),"",ReferenceData!$J$55),"")</f>
        <v>15539.885</v>
      </c>
      <c r="K55">
        <f ca="1">IFERROR(IF(0=LEN(ReferenceData!$K$55),"",ReferenceData!$K$55),"")</f>
        <v>15388.257</v>
      </c>
      <c r="L55">
        <f ca="1">IFERROR(IF(0=LEN(ReferenceData!$L$55),"",ReferenceData!$L$55),"")</f>
        <v>11221.126</v>
      </c>
      <c r="M55">
        <f ca="1">IFERROR(IF(0=LEN(ReferenceData!$M$55),"",ReferenceData!$M$55),"")</f>
        <v>10863.759</v>
      </c>
      <c r="N55">
        <f ca="1">IFERROR(IF(0=LEN(ReferenceData!$N$55),"",ReferenceData!$N$55),"")</f>
        <v>11207.855</v>
      </c>
      <c r="O55">
        <f ca="1">IFERROR(IF(0=LEN(ReferenceData!$O$55),"",ReferenceData!$O$55),"")</f>
        <v>10456.695</v>
      </c>
      <c r="P55">
        <f ca="1">IFERROR(IF(0=LEN(ReferenceData!$P$55),"",ReferenceData!$P$55),"")</f>
        <v>9803.9359999999997</v>
      </c>
      <c r="Q55">
        <f ca="1">IFERROR(IF(0=LEN(ReferenceData!$Q$55),"",ReferenceData!$Q$55),"")</f>
        <v>9658.5149999999994</v>
      </c>
      <c r="R55">
        <f ca="1">IFERROR(IF(0=LEN(ReferenceData!$R$55),"",ReferenceData!$R$55),"")</f>
        <v>10660.053</v>
      </c>
      <c r="S55">
        <f ca="1">IFERROR(IF(0=LEN(ReferenceData!$S$55),"",ReferenceData!$S$55),"")</f>
        <v>12760.798000000001</v>
      </c>
      <c r="T55">
        <f ca="1">IFERROR(IF(0=LEN(ReferenceData!$T$55),"",ReferenceData!$T$55),"")</f>
        <v>15094.589</v>
      </c>
      <c r="U55">
        <f ca="1">IFERROR(IF(0=LEN(ReferenceData!$U$55),"",ReferenceData!$U$55),"")</f>
        <v>18061.043000000001</v>
      </c>
      <c r="V55">
        <f ca="1">IFERROR(IF(0=LEN(ReferenceData!$V$55),"",ReferenceData!$V$55),"")</f>
        <v>21061.866000000002</v>
      </c>
      <c r="W55">
        <f ca="1">IFERROR(IF(0=LEN(ReferenceData!$W$55),"",ReferenceData!$W$55),"")</f>
        <v>21244.798999999999</v>
      </c>
      <c r="X55">
        <f ca="1">IFERROR(IF(0=LEN(ReferenceData!$X$55),"",ReferenceData!$X$55),"")</f>
        <v>1154.8309999999999</v>
      </c>
      <c r="Y55">
        <f ca="1">IFERROR(IF(0=LEN(ReferenceData!$Y$55),"",ReferenceData!$Y$55),"")</f>
        <v>880.09199999999998</v>
      </c>
      <c r="Z55">
        <f ca="1">IFERROR(IF(0=LEN(ReferenceData!$Z$55),"",ReferenceData!$Z$55),"")</f>
        <v>822.19200000000001</v>
      </c>
      <c r="AA55">
        <f ca="1">IFERROR(IF(0=LEN(ReferenceData!$AA$55),"",ReferenceData!$AA$55),"")</f>
        <v>781.49599999999998</v>
      </c>
      <c r="AB55">
        <f ca="1">IFERROR(IF(0=LEN(ReferenceData!$AB$55),"",ReferenceData!$AB$55),"")</f>
        <v>741.47299999999996</v>
      </c>
      <c r="AC55">
        <f ca="1">IFERROR(IF(0=LEN(ReferenceData!$AC$55),"",ReferenceData!$AC$55),"")</f>
        <v>721.07799999999997</v>
      </c>
      <c r="AD55">
        <f ca="1">IFERROR(IF(0=LEN(ReferenceData!$AD$55),"",ReferenceData!$AD$55),"")</f>
        <v>385.35</v>
      </c>
      <c r="AE55">
        <f ca="1">IFERROR(IF(0=LEN(ReferenceData!$AE$55),"",ReferenceData!$AE$55),"")</f>
        <v>346.75400000000002</v>
      </c>
      <c r="AF55">
        <f ca="1">IFERROR(IF(0=LEN(ReferenceData!$AF$55),"",ReferenceData!$AF$55),"")</f>
        <v>144.17699999999999</v>
      </c>
      <c r="AG55">
        <f ca="1">IFERROR(IF(0=LEN(ReferenceData!$AG$55),"",ReferenceData!$AG$55),"")</f>
        <v>112.465</v>
      </c>
      <c r="AH55">
        <f ca="1">IFERROR(IF(0=LEN(ReferenceData!$AH$55),"",ReferenceData!$AH$55),"")</f>
        <v>85.257999999999996</v>
      </c>
      <c r="AI55">
        <f ca="1">IFERROR(IF(0=LEN(ReferenceData!$AI$55),"",ReferenceData!$AI$55),"")</f>
        <v>94.424000000000007</v>
      </c>
      <c r="AJ55">
        <f ca="1">IFERROR(IF(0=LEN(ReferenceData!$AJ$55),"",ReferenceData!$AJ$55),"")</f>
        <v>116.324</v>
      </c>
      <c r="AK55">
        <f ca="1">IFERROR(IF(0=LEN(ReferenceData!$AK$55),"",ReferenceData!$AK$55),"")</f>
        <v>83.843999999999994</v>
      </c>
      <c r="AL55">
        <f ca="1">IFERROR(IF(0=LEN(ReferenceData!$AL$55),"",ReferenceData!$AL$55),"")</f>
        <v>63.302999999999997</v>
      </c>
    </row>
    <row r="56" spans="1:38" x14ac:dyDescent="0.25">
      <c r="A56" t="str">
        <f>IFERROR(IF(0=LEN(ReferenceData!$A$56),"",ReferenceData!$A$56),"")</f>
        <v xml:space="preserve">            First Citizens BancShares Inc/</v>
      </c>
      <c r="B56" t="str">
        <f>IFERROR(IF(0=LEN(ReferenceData!$B$56),"",ReferenceData!$B$56),"")</f>
        <v>FCNCA US Equity</v>
      </c>
      <c r="C56" t="str">
        <f>IFERROR(IF(0=LEN(ReferenceData!$C$56),"",ReferenceData!$C$56),"")</f>
        <v>F0375</v>
      </c>
      <c r="D56" t="str">
        <f>IFERROR(IF(0=LEN(ReferenceData!$D$56),"",ReferenceData!$D$56),"")</f>
        <v>FED_CRE_LNS_INCL_APTS_&amp;_FRMLND</v>
      </c>
      <c r="E56" t="str">
        <f>IFERROR(IF(0=LEN(ReferenceData!$E$56),"",ReferenceData!$E$56),"")</f>
        <v>Dynamic</v>
      </c>
      <c r="F56">
        <f ca="1">IFERROR(IF(0=LEN(ReferenceData!$F$56),"",ReferenceData!$F$56),"")</f>
        <v>38533</v>
      </c>
      <c r="G56">
        <f ca="1">IFERROR(IF(0=LEN(ReferenceData!$G$56),"",ReferenceData!$G$56),"")</f>
        <v>34830.968000000001</v>
      </c>
      <c r="H56">
        <f ca="1">IFERROR(IF(0=LEN(ReferenceData!$H$56),"",ReferenceData!$H$56),"")</f>
        <v>27568.206999999999</v>
      </c>
      <c r="I56">
        <f ca="1">IFERROR(IF(0=LEN(ReferenceData!$I$56),"",ReferenceData!$I$56),"")</f>
        <v>16658.418000000001</v>
      </c>
      <c r="J56">
        <f ca="1">IFERROR(IF(0=LEN(ReferenceData!$J$56),"",ReferenceData!$J$56),"")</f>
        <v>15727.582</v>
      </c>
      <c r="K56">
        <f ca="1">IFERROR(IF(0=LEN(ReferenceData!$K$56),"",ReferenceData!$K$56),"")</f>
        <v>14475.444</v>
      </c>
      <c r="L56">
        <f ca="1">IFERROR(IF(0=LEN(ReferenceData!$L$56),"",ReferenceData!$L$56),"")</f>
        <v>12453.044</v>
      </c>
      <c r="M56">
        <f ca="1">IFERROR(IF(0=LEN(ReferenceData!$M$56),"",ReferenceData!$M$56),"")</f>
        <v>11510.823</v>
      </c>
      <c r="N56">
        <f ca="1">IFERROR(IF(0=LEN(ReferenceData!$N$56),"",ReferenceData!$N$56),"")</f>
        <v>10744.682000000001</v>
      </c>
      <c r="O56">
        <f ca="1">IFERROR(IF(0=LEN(ReferenceData!$O$56),"",ReferenceData!$O$56),"")</f>
        <v>10013.619000000001</v>
      </c>
      <c r="P56">
        <f ca="1">IFERROR(IF(0=LEN(ReferenceData!$P$56),"",ReferenceData!$P$56),"")</f>
        <v>9166.2459999999992</v>
      </c>
      <c r="Q56">
        <f ca="1">IFERROR(IF(0=LEN(ReferenceData!$Q$56),"",ReferenceData!$Q$56),"")</f>
        <v>7751.3119999999999</v>
      </c>
      <c r="R56">
        <f ca="1">IFERROR(IF(0=LEN(ReferenceData!$R$56),"",ReferenceData!$R$56),"")</f>
        <v>7326.9589999999998</v>
      </c>
      <c r="S56">
        <f ca="1">IFERROR(IF(0=LEN(ReferenceData!$S$56),"",ReferenceData!$S$56),"")</f>
        <v>7633.4359999999997</v>
      </c>
      <c r="T56">
        <f ca="1">IFERROR(IF(0=LEN(ReferenceData!$T$56),"",ReferenceData!$T$56),"")</f>
        <v>7194.36</v>
      </c>
      <c r="U56">
        <f ca="1">IFERROR(IF(0=LEN(ReferenceData!$U$56),"",ReferenceData!$U$56),"")</f>
        <v>6270.3379999999997</v>
      </c>
      <c r="V56">
        <f ca="1">IFERROR(IF(0=LEN(ReferenceData!$V$56),"",ReferenceData!$V$56),"")</f>
        <v>5274.1750000000002</v>
      </c>
      <c r="W56">
        <f ca="1">IFERROR(IF(0=LEN(ReferenceData!$W$56),"",ReferenceData!$W$56),"")</f>
        <v>4941.0069999999996</v>
      </c>
      <c r="X56">
        <f ca="1">IFERROR(IF(0=LEN(ReferenceData!$X$56),"",ReferenceData!$X$56),"")</f>
        <v>167.02500000000001</v>
      </c>
      <c r="Y56">
        <f ca="1">IFERROR(IF(0=LEN(ReferenceData!$Y$56),"",ReferenceData!$Y$56),"")</f>
        <v>175.607</v>
      </c>
      <c r="Z56">
        <f ca="1">IFERROR(IF(0=LEN(ReferenceData!$Z$56),"",ReferenceData!$Z$56),"")</f>
        <v>175.02099999999999</v>
      </c>
      <c r="AA56">
        <f ca="1">IFERROR(IF(0=LEN(ReferenceData!$AA$56),"",ReferenceData!$AA$56),"")</f>
        <v>164.596</v>
      </c>
      <c r="AB56">
        <f ca="1">IFERROR(IF(0=LEN(ReferenceData!$AB$56),"",ReferenceData!$AB$56),"")</f>
        <v>153.678</v>
      </c>
      <c r="AC56">
        <f ca="1">IFERROR(IF(0=LEN(ReferenceData!$AC$56),"",ReferenceData!$AC$56),"")</f>
        <v>153.131</v>
      </c>
      <c r="AD56">
        <f ca="1">IFERROR(IF(0=LEN(ReferenceData!$AD$56),"",ReferenceData!$AD$56),"")</f>
        <v>186.77699999999999</v>
      </c>
      <c r="AE56">
        <f ca="1">IFERROR(IF(0=LEN(ReferenceData!$AE$56),"",ReferenceData!$AE$56),"")</f>
        <v>161.35599999999999</v>
      </c>
      <c r="AF56">
        <f ca="1">IFERROR(IF(0=LEN(ReferenceData!$AF$56),"",ReferenceData!$AF$56),"")</f>
        <v>160.82599999999999</v>
      </c>
      <c r="AG56">
        <f ca="1">IFERROR(IF(0=LEN(ReferenceData!$AG$56),"",ReferenceData!$AG$56),"")</f>
        <v>148.77099999999999</v>
      </c>
      <c r="AH56">
        <f ca="1">IFERROR(IF(0=LEN(ReferenceData!$AH$56),"",ReferenceData!$AH$56),"")</f>
        <v>134.012</v>
      </c>
      <c r="AI56">
        <f ca="1">IFERROR(IF(0=LEN(ReferenceData!$AI$56),"",ReferenceData!$AI$56),"")</f>
        <v>130.328</v>
      </c>
      <c r="AJ56">
        <f ca="1">IFERROR(IF(0=LEN(ReferenceData!$AJ$56),"",ReferenceData!$AJ$56),"")</f>
        <v>109.955</v>
      </c>
      <c r="AK56">
        <f ca="1">IFERROR(IF(0=LEN(ReferenceData!$AK$56),"",ReferenceData!$AK$56),"")</f>
        <v>56.14</v>
      </c>
      <c r="AL56">
        <f ca="1">IFERROR(IF(0=LEN(ReferenceData!$AL$56),"",ReferenceData!$AL$56),"")</f>
        <v>47.883000000000003</v>
      </c>
    </row>
    <row r="57" spans="1:38" x14ac:dyDescent="0.25">
      <c r="A57" t="str">
        <f>IFERROR(IF(0=LEN(ReferenceData!$A$57),"",ReferenceData!$A$57),"")</f>
        <v xml:space="preserve">            Flagstar Financial Inc</v>
      </c>
      <c r="B57" t="str">
        <f>IFERROR(IF(0=LEN(ReferenceData!$B$57),"",ReferenceData!$B$57),"")</f>
        <v>FLG US Equity</v>
      </c>
      <c r="C57" t="str">
        <f>IFERROR(IF(0=LEN(ReferenceData!$C$57),"",ReferenceData!$C$57),"")</f>
        <v>F0375</v>
      </c>
      <c r="D57" t="str">
        <f>IFERROR(IF(0=LEN(ReferenceData!$D$57),"",ReferenceData!$D$57),"")</f>
        <v>FED_CRE_LNS_INCL_APTS_&amp;_FRMLND</v>
      </c>
      <c r="E57" t="str">
        <f>IFERROR(IF(0=LEN(ReferenceData!$E$57),"",ReferenceData!$E$57),"")</f>
        <v>Dynamic</v>
      </c>
      <c r="F57">
        <f ca="1">IFERROR(IF(0=LEN(ReferenceData!$F$57),"",ReferenceData!$F$57),"")</f>
        <v>46353.345999999998</v>
      </c>
      <c r="G57">
        <f ca="1">IFERROR(IF(0=LEN(ReferenceData!$G$57),"",ReferenceData!$G$57),"")</f>
        <v>50887.241999999998</v>
      </c>
      <c r="H57">
        <f ca="1">IFERROR(IF(0=LEN(ReferenceData!$H$57),"",ReferenceData!$H$57),"")</f>
        <v>48767.777000000002</v>
      </c>
      <c r="I57">
        <f ca="1">IFERROR(IF(0=LEN(ReferenceData!$I$57),"",ReferenceData!$I$57),"")</f>
        <v>41537.502999999997</v>
      </c>
      <c r="J57">
        <f ca="1">IFERROR(IF(0=LEN(ReferenceData!$J$57),"",ReferenceData!$J$57),"")</f>
        <v>39189.919000000002</v>
      </c>
      <c r="K57">
        <f ca="1">IFERROR(IF(0=LEN(ReferenceData!$K$57),"",ReferenceData!$K$57),"")</f>
        <v>38467.042000000001</v>
      </c>
      <c r="L57">
        <f ca="1">IFERROR(IF(0=LEN(ReferenceData!$L$57),"",ReferenceData!$L$57),"")</f>
        <v>37312.927000000003</v>
      </c>
      <c r="M57">
        <f ca="1">IFERROR(IF(0=LEN(ReferenceData!$M$57),"",ReferenceData!$M$57),"")</f>
        <v>35852.652999999998</v>
      </c>
      <c r="N57">
        <f ca="1">IFERROR(IF(0=LEN(ReferenceData!$N$57),"",ReferenceData!$N$57),"")</f>
        <v>35073.783000000003</v>
      </c>
      <c r="O57">
        <f ca="1">IFERROR(IF(0=LEN(ReferenceData!$O$57),"",ReferenceData!$O$57),"")</f>
        <v>34167.83</v>
      </c>
      <c r="P57">
        <f ca="1">IFERROR(IF(0=LEN(ReferenceData!$P$57),"",ReferenceData!$P$57),"")</f>
        <v>31763.453000000001</v>
      </c>
      <c r="Q57">
        <f ca="1">IFERROR(IF(0=LEN(ReferenceData!$Q$57),"",ReferenceData!$Q$57),"")</f>
        <v>28451.682000000001</v>
      </c>
      <c r="R57">
        <f ca="1">IFERROR(IF(0=LEN(ReferenceData!$R$57),"",ReferenceData!$R$57),"")</f>
        <v>26472.289000000001</v>
      </c>
      <c r="S57">
        <f ca="1">IFERROR(IF(0=LEN(ReferenceData!$S$57),"",ReferenceData!$S$57),"")</f>
        <v>24783.41</v>
      </c>
      <c r="T57">
        <f ca="1">IFERROR(IF(0=LEN(ReferenceData!$T$57),"",ReferenceData!$T$57),"")</f>
        <v>22872.547999999999</v>
      </c>
      <c r="U57">
        <f ca="1">IFERROR(IF(0=LEN(ReferenceData!$U$57),"",ReferenceData!$U$57),"")</f>
        <v>22382.437000000002</v>
      </c>
      <c r="V57">
        <f ca="1">IFERROR(IF(0=LEN(ReferenceData!$V$57),"",ReferenceData!$V$57),"")</f>
        <v>21051.75</v>
      </c>
      <c r="W57">
        <f ca="1">IFERROR(IF(0=LEN(ReferenceData!$W$57),"",ReferenceData!$W$57),"")</f>
        <v>19024.379000000001</v>
      </c>
      <c r="X57">
        <f ca="1">IFERROR(IF(0=LEN(ReferenceData!$X$57),"",ReferenceData!$X$57),"")</f>
        <v>14530.638999999999</v>
      </c>
      <c r="Y57">
        <f ca="1">IFERROR(IF(0=LEN(ReferenceData!$Y$57),"",ReferenceData!$Y$57),"")</f>
        <v>12858.008</v>
      </c>
      <c r="Z57">
        <f ca="1">IFERROR(IF(0=LEN(ReferenceData!$Z$57),"",ReferenceData!$Z$57),"")</f>
        <v>9840.6550000000007</v>
      </c>
      <c r="AA57">
        <f ca="1">IFERROR(IF(0=LEN(ReferenceData!$AA$57),"",ReferenceData!$AA$57),"")</f>
        <v>7369.1790000000001</v>
      </c>
      <c r="AB57">
        <f ca="1">IFERROR(IF(0=LEN(ReferenceData!$AB$57),"",ReferenceData!$AB$57),"")</f>
        <v>4494.3320000000003</v>
      </c>
      <c r="AC57">
        <f ca="1">IFERROR(IF(0=LEN(ReferenceData!$AC$57),"",ReferenceData!$AC$57),"")</f>
        <v>3255.1669999999999</v>
      </c>
      <c r="AD57">
        <f ca="1">IFERROR(IF(0=LEN(ReferenceData!$AD$57),"",ReferenceData!$AD$57),"")</f>
        <v>1449.587</v>
      </c>
      <c r="AE57">
        <f ca="1">IFERROR(IF(0=LEN(ReferenceData!$AE$57),"",ReferenceData!$AE$57),"")</f>
        <v>1348.3520000000001</v>
      </c>
      <c r="AF57">
        <f ca="1">IFERROR(IF(0=LEN(ReferenceData!$AF$57),"",ReferenceData!$AF$57),"")</f>
        <v>1239.0940000000001</v>
      </c>
      <c r="AG57">
        <f ca="1">IFERROR(IF(0=LEN(ReferenceData!$AG$57),"",ReferenceData!$AG$57),"")</f>
        <v>1107.374</v>
      </c>
      <c r="AH57">
        <f ca="1">IFERROR(IF(0=LEN(ReferenceData!$AH$57),"",ReferenceData!$AH$57),"")</f>
        <v>822.36400000000003</v>
      </c>
      <c r="AI57">
        <f ca="1">IFERROR(IF(0=LEN(ReferenceData!$AI$57),"",ReferenceData!$AI$57),"")</f>
        <v>641.56399999999996</v>
      </c>
      <c r="AJ57">
        <f ca="1">IFERROR(IF(0=LEN(ReferenceData!$AJ$57),"",ReferenceData!$AJ$57),"")</f>
        <v>561.59</v>
      </c>
      <c r="AK57">
        <f ca="1">IFERROR(IF(0=LEN(ReferenceData!$AK$57),"",ReferenceData!$AK$57),"")</f>
        <v>428.846</v>
      </c>
      <c r="AL57" t="str">
        <f ca="1">IFERROR(IF(0=LEN(ReferenceData!$AL$57),"",ReferenceData!$AL$57),"")</f>
        <v/>
      </c>
    </row>
    <row r="58" spans="1:38" x14ac:dyDescent="0.25">
      <c r="A58" t="str">
        <f>IFERROR(IF(0=LEN(ReferenceData!$A$58),"",ReferenceData!$A$58),"")</f>
        <v xml:space="preserve">            Huntington Bancshares Inc/OH</v>
      </c>
      <c r="B58" t="str">
        <f>IFERROR(IF(0=LEN(ReferenceData!$B$58),"",ReferenceData!$B$58),"")</f>
        <v>HBAN US Equity</v>
      </c>
      <c r="C58" t="str">
        <f>IFERROR(IF(0=LEN(ReferenceData!$C$58),"",ReferenceData!$C$58),"")</f>
        <v>F0375</v>
      </c>
      <c r="D58" t="str">
        <f>IFERROR(IF(0=LEN(ReferenceData!$D$58),"",ReferenceData!$D$58),"")</f>
        <v>FED_CRE_LNS_INCL_APTS_&amp;_FRMLND</v>
      </c>
      <c r="E58" t="str">
        <f>IFERROR(IF(0=LEN(ReferenceData!$E$58),"",ReferenceData!$E$58),"")</f>
        <v>Dynamic</v>
      </c>
      <c r="F58">
        <f ca="1">IFERROR(IF(0=LEN(ReferenceData!$F$58),"",ReferenceData!$F$58),"")</f>
        <v>18774.509999999998</v>
      </c>
      <c r="G58">
        <f ca="1">IFERROR(IF(0=LEN(ReferenceData!$G$58),"",ReferenceData!$G$58),"")</f>
        <v>19385.839</v>
      </c>
      <c r="H58">
        <f ca="1">IFERROR(IF(0=LEN(ReferenceData!$H$58),"",ReferenceData!$H$58),"")</f>
        <v>20364.303</v>
      </c>
      <c r="I58">
        <f ca="1">IFERROR(IF(0=LEN(ReferenceData!$I$58),"",ReferenceData!$I$58),"")</f>
        <v>19960.984</v>
      </c>
      <c r="J58">
        <f ca="1">IFERROR(IF(0=LEN(ReferenceData!$J$58),"",ReferenceData!$J$58),"")</f>
        <v>10444.623</v>
      </c>
      <c r="K58">
        <f ca="1">IFERROR(IF(0=LEN(ReferenceData!$K$58),"",ReferenceData!$K$58),"")</f>
        <v>9877.7430000000004</v>
      </c>
      <c r="L58">
        <f ca="1">IFERROR(IF(0=LEN(ReferenceData!$L$58),"",ReferenceData!$L$58),"")</f>
        <v>10177.215</v>
      </c>
      <c r="M58">
        <f ca="1">IFERROR(IF(0=LEN(ReferenceData!$M$58),"",ReferenceData!$M$58),"")</f>
        <v>10866.85</v>
      </c>
      <c r="N58">
        <f ca="1">IFERROR(IF(0=LEN(ReferenceData!$N$58),"",ReferenceData!$N$58),"")</f>
        <v>11651.493</v>
      </c>
      <c r="O58">
        <f ca="1">IFERROR(IF(0=LEN(ReferenceData!$O$58),"",ReferenceData!$O$58),"")</f>
        <v>7767.1059999999998</v>
      </c>
      <c r="P58">
        <f ca="1">IFERROR(IF(0=LEN(ReferenceData!$P$58),"",ReferenceData!$P$58),"")</f>
        <v>8335.2430000000004</v>
      </c>
      <c r="Q58">
        <f ca="1">IFERROR(IF(0=LEN(ReferenceData!$Q$58),"",ReferenceData!$Q$58),"")</f>
        <v>7978.7849999999999</v>
      </c>
      <c r="R58">
        <f ca="1">IFERROR(IF(0=LEN(ReferenceData!$R$58),"",ReferenceData!$R$58),"")</f>
        <v>8226.6319999999996</v>
      </c>
      <c r="S58">
        <f ca="1">IFERROR(IF(0=LEN(ReferenceData!$S$58),"",ReferenceData!$S$58),"")</f>
        <v>8776.3050000000003</v>
      </c>
      <c r="T58">
        <f ca="1">IFERROR(IF(0=LEN(ReferenceData!$T$58),"",ReferenceData!$T$58),"")</f>
        <v>9521.3080000000009</v>
      </c>
      <c r="U58">
        <f ca="1">IFERROR(IF(0=LEN(ReferenceData!$U$58),"",ReferenceData!$U$58),"")</f>
        <v>11030.936</v>
      </c>
      <c r="V58">
        <f ca="1">IFERROR(IF(0=LEN(ReferenceData!$V$58),"",ReferenceData!$V$58),"")</f>
        <v>13017.208000000001</v>
      </c>
      <c r="W58">
        <f ca="1">IFERROR(IF(0=LEN(ReferenceData!$W$58),"",ReferenceData!$W$58),"")</f>
        <v>11901.017</v>
      </c>
      <c r="X58">
        <f ca="1">IFERROR(IF(0=LEN(ReferenceData!$X$58),"",ReferenceData!$X$58),"")</f>
        <v>290.54899999999998</v>
      </c>
      <c r="Y58">
        <f ca="1">IFERROR(IF(0=LEN(ReferenceData!$Y$58),"",ReferenceData!$Y$58),"")</f>
        <v>259.32600000000002</v>
      </c>
      <c r="Z58">
        <f ca="1">IFERROR(IF(0=LEN(ReferenceData!$Z$58),"",ReferenceData!$Z$58),"")</f>
        <v>275.221</v>
      </c>
      <c r="AA58">
        <f ca="1">IFERROR(IF(0=LEN(ReferenceData!$AA$58),"",ReferenceData!$AA$58),"")</f>
        <v>246.71</v>
      </c>
      <c r="AB58">
        <f ca="1">IFERROR(IF(0=LEN(ReferenceData!$AB$58),"",ReferenceData!$AB$58),"")</f>
        <v>247.32599999999999</v>
      </c>
      <c r="AC58">
        <f ca="1">IFERROR(IF(0=LEN(ReferenceData!$AC$58),"",ReferenceData!$AC$58),"")</f>
        <v>303.40899999999999</v>
      </c>
      <c r="AD58">
        <f ca="1">IFERROR(IF(0=LEN(ReferenceData!$AD$58),"",ReferenceData!$AD$58),"")</f>
        <v>270.82600000000002</v>
      </c>
      <c r="AE58">
        <f ca="1">IFERROR(IF(0=LEN(ReferenceData!$AE$58),"",ReferenceData!$AE$58),"")</f>
        <v>235.29400000000001</v>
      </c>
      <c r="AF58">
        <f ca="1">IFERROR(IF(0=LEN(ReferenceData!$AF$58),"",ReferenceData!$AF$58),"")</f>
        <v>243.18</v>
      </c>
      <c r="AG58">
        <f ca="1">IFERROR(IF(0=LEN(ReferenceData!$AG$58),"",ReferenceData!$AG$58),"")</f>
        <v>176.678</v>
      </c>
      <c r="AH58">
        <f ca="1">IFERROR(IF(0=LEN(ReferenceData!$AH$58),"",ReferenceData!$AH$58),"")</f>
        <v>152.488</v>
      </c>
      <c r="AI58">
        <f ca="1">IFERROR(IF(0=LEN(ReferenceData!$AI$58),"",ReferenceData!$AI$58),"")</f>
        <v>173.459</v>
      </c>
      <c r="AJ58">
        <f ca="1">IFERROR(IF(0=LEN(ReferenceData!$AJ$58),"",ReferenceData!$AJ$58),"")</f>
        <v>164.351</v>
      </c>
      <c r="AK58">
        <f ca="1">IFERROR(IF(0=LEN(ReferenceData!$AK$58),"",ReferenceData!$AK$58),"")</f>
        <v>215.626</v>
      </c>
      <c r="AL58">
        <f ca="1">IFERROR(IF(0=LEN(ReferenceData!$AL$58),"",ReferenceData!$AL$58),"")</f>
        <v>71.093999999999994</v>
      </c>
    </row>
    <row r="59" spans="1:38" x14ac:dyDescent="0.25">
      <c r="A59" t="str">
        <f>IFERROR(IF(0=LEN(ReferenceData!$A$59),"",ReferenceData!$A$59),"")</f>
        <v xml:space="preserve">            JPMorgan Chase &amp; Co</v>
      </c>
      <c r="B59" t="str">
        <f>IFERROR(IF(0=LEN(ReferenceData!$B$59),"",ReferenceData!$B$59),"")</f>
        <v>JPM US Equity</v>
      </c>
      <c r="C59" t="str">
        <f>IFERROR(IF(0=LEN(ReferenceData!$C$59),"",ReferenceData!$C$59),"")</f>
        <v>F0375</v>
      </c>
      <c r="D59" t="str">
        <f>IFERROR(IF(0=LEN(ReferenceData!$D$59),"",ReferenceData!$D$59),"")</f>
        <v>FED_CRE_LNS_INCL_APTS_&amp;_FRMLND</v>
      </c>
      <c r="E59" t="str">
        <f>IFERROR(IF(0=LEN(ReferenceData!$E$59),"",ReferenceData!$E$59),"")</f>
        <v>Dynamic</v>
      </c>
      <c r="F59">
        <f ca="1">IFERROR(IF(0=LEN(ReferenceData!$F$59),"",ReferenceData!$F$59),"")</f>
        <v>168719</v>
      </c>
      <c r="G59">
        <f ca="1">IFERROR(IF(0=LEN(ReferenceData!$G$59),"",ReferenceData!$G$59),"")</f>
        <v>168856</v>
      </c>
      <c r="H59">
        <f ca="1">IFERROR(IF(0=LEN(ReferenceData!$H$59),"",ReferenceData!$H$59),"")</f>
        <v>132146</v>
      </c>
      <c r="I59">
        <f ca="1">IFERROR(IF(0=LEN(ReferenceData!$I$59),"",ReferenceData!$I$59),"")</f>
        <v>125401</v>
      </c>
      <c r="J59">
        <f ca="1">IFERROR(IF(0=LEN(ReferenceData!$J$59),"",ReferenceData!$J$59),"")</f>
        <v>125406</v>
      </c>
      <c r="K59">
        <f ca="1">IFERROR(IF(0=LEN(ReferenceData!$K$59),"",ReferenceData!$K$59),"")</f>
        <v>123660</v>
      </c>
      <c r="L59">
        <f ca="1">IFERROR(IF(0=LEN(ReferenceData!$L$59),"",ReferenceData!$L$59),"")</f>
        <v>119257</v>
      </c>
      <c r="M59">
        <f ca="1">IFERROR(IF(0=LEN(ReferenceData!$M$59),"",ReferenceData!$M$59),"")</f>
        <v>116556</v>
      </c>
      <c r="N59">
        <f ca="1">IFERROR(IF(0=LEN(ReferenceData!$N$59),"",ReferenceData!$N$59),"")</f>
        <v>109802</v>
      </c>
      <c r="O59">
        <f ca="1">IFERROR(IF(0=LEN(ReferenceData!$O$59),"",ReferenceData!$O$59),"")</f>
        <v>94599</v>
      </c>
      <c r="P59">
        <f ca="1">IFERROR(IF(0=LEN(ReferenceData!$P$59),"",ReferenceData!$P$59),"")</f>
        <v>82706</v>
      </c>
      <c r="Q59">
        <f ca="1">IFERROR(IF(0=LEN(ReferenceData!$Q$59),"",ReferenceData!$Q$59),"")</f>
        <v>76243</v>
      </c>
      <c r="R59">
        <f ca="1">IFERROR(IF(0=LEN(ReferenceData!$R$59),"",ReferenceData!$R$59),"")</f>
        <v>70044</v>
      </c>
      <c r="S59">
        <f ca="1">IFERROR(IF(0=LEN(ReferenceData!$S$59),"",ReferenceData!$S$59),"")</f>
        <v>62788</v>
      </c>
      <c r="T59">
        <f ca="1">IFERROR(IF(0=LEN(ReferenceData!$T$59),"",ReferenceData!$T$59),"")</f>
        <v>60099</v>
      </c>
      <c r="U59">
        <f ca="1">IFERROR(IF(0=LEN(ReferenceData!$U$59),"",ReferenceData!$U$59),"")</f>
        <v>63593</v>
      </c>
      <c r="V59">
        <f ca="1">IFERROR(IF(0=LEN(ReferenceData!$V$59),"",ReferenceData!$V$59),"")</f>
        <v>66974</v>
      </c>
      <c r="W59">
        <f ca="1">IFERROR(IF(0=LEN(ReferenceData!$W$59),"",ReferenceData!$W$59),"")</f>
        <v>25519</v>
      </c>
      <c r="X59">
        <f ca="1">IFERROR(IF(0=LEN(ReferenceData!$X$59),"",ReferenceData!$X$59),"")</f>
        <v>850</v>
      </c>
      <c r="Y59">
        <f ca="1">IFERROR(IF(0=LEN(ReferenceData!$Y$59),"",ReferenceData!$Y$59),"")</f>
        <v>841</v>
      </c>
      <c r="Z59">
        <f ca="1">IFERROR(IF(0=LEN(ReferenceData!$Z$59),"",ReferenceData!$Z$59),"")</f>
        <v>1122</v>
      </c>
      <c r="AA59">
        <f ca="1">IFERROR(IF(0=LEN(ReferenceData!$AA$59),"",ReferenceData!$AA$59),"")</f>
        <v>95</v>
      </c>
      <c r="AB59">
        <f ca="1">IFERROR(IF(0=LEN(ReferenceData!$AB$59),"",ReferenceData!$AB$59),"")</f>
        <v>135</v>
      </c>
      <c r="AC59">
        <f ca="1">IFERROR(IF(0=LEN(ReferenceData!$AC$59),"",ReferenceData!$AC$59),"")</f>
        <v>431</v>
      </c>
      <c r="AD59">
        <f ca="1">IFERROR(IF(0=LEN(ReferenceData!$AD$59),"",ReferenceData!$AD$59),"")</f>
        <v>465</v>
      </c>
      <c r="AE59">
        <f ca="1">IFERROR(IF(0=LEN(ReferenceData!$AE$59),"",ReferenceData!$AE$59),"")</f>
        <v>439.02600000000001</v>
      </c>
      <c r="AF59">
        <f ca="1">IFERROR(IF(0=LEN(ReferenceData!$AF$59),"",ReferenceData!$AF$59),"")</f>
        <v>193.67500000000001</v>
      </c>
      <c r="AG59">
        <f ca="1">IFERROR(IF(0=LEN(ReferenceData!$AG$59),"",ReferenceData!$AG$59),"")</f>
        <v>305.31099999999998</v>
      </c>
      <c r="AH59" t="str">
        <f ca="1">IFERROR(IF(0=LEN(ReferenceData!$AH$59),"",ReferenceData!$AH$59),"")</f>
        <v/>
      </c>
      <c r="AI59" t="str">
        <f ca="1">IFERROR(IF(0=LEN(ReferenceData!$AI$59),"",ReferenceData!$AI$59),"")</f>
        <v/>
      </c>
      <c r="AJ59" t="str">
        <f ca="1">IFERROR(IF(0=LEN(ReferenceData!$AJ$59),"",ReferenceData!$AJ$59),"")</f>
        <v/>
      </c>
      <c r="AK59" t="str">
        <f ca="1">IFERROR(IF(0=LEN(ReferenceData!$AK$59),"",ReferenceData!$AK$59),"")</f>
        <v/>
      </c>
      <c r="AL59" t="str">
        <f ca="1">IFERROR(IF(0=LEN(ReferenceData!$AL$59),"",ReferenceData!$AL$59),"")</f>
        <v/>
      </c>
    </row>
    <row r="60" spans="1:38" x14ac:dyDescent="0.25">
      <c r="A60" t="str">
        <f>IFERROR(IF(0=LEN(ReferenceData!$A$60),"",ReferenceData!$A$60),"")</f>
        <v xml:space="preserve">            KeyCorp</v>
      </c>
      <c r="B60" t="str">
        <f>IFERROR(IF(0=LEN(ReferenceData!$B$60),"",ReferenceData!$B$60),"")</f>
        <v>KEY US Equity</v>
      </c>
      <c r="C60" t="str">
        <f>IFERROR(IF(0=LEN(ReferenceData!$C$60),"",ReferenceData!$C$60),"")</f>
        <v>F0375</v>
      </c>
      <c r="D60" t="str">
        <f>IFERROR(IF(0=LEN(ReferenceData!$D$60),"",ReferenceData!$D$60),"")</f>
        <v>FED_CRE_LNS_INCL_APTS_&amp;_FRMLND</v>
      </c>
      <c r="E60" t="str">
        <f>IFERROR(IF(0=LEN(ReferenceData!$E$60),"",ReferenceData!$E$60),"")</f>
        <v>Dynamic</v>
      </c>
      <c r="F60">
        <f ca="1">IFERROR(IF(0=LEN(ReferenceData!$F$60),"",ReferenceData!$F$60),"")</f>
        <v>16868.038</v>
      </c>
      <c r="G60">
        <f ca="1">IFERROR(IF(0=LEN(ReferenceData!$G$60),"",ReferenceData!$G$60),"")</f>
        <v>18635.827000000001</v>
      </c>
      <c r="H60">
        <f ca="1">IFERROR(IF(0=LEN(ReferenceData!$H$60),"",ReferenceData!$H$60),"")</f>
        <v>19308.707999999999</v>
      </c>
      <c r="I60">
        <f ca="1">IFERROR(IF(0=LEN(ReferenceData!$I$60),"",ReferenceData!$I$60),"")</f>
        <v>17250.733</v>
      </c>
      <c r="J60">
        <f ca="1">IFERROR(IF(0=LEN(ReferenceData!$J$60),"",ReferenceData!$J$60),"")</f>
        <v>15687.643</v>
      </c>
      <c r="K60">
        <f ca="1">IFERROR(IF(0=LEN(ReferenceData!$K$60),"",ReferenceData!$K$60),"")</f>
        <v>15822.851000000001</v>
      </c>
      <c r="L60">
        <f ca="1">IFERROR(IF(0=LEN(ReferenceData!$L$60),"",ReferenceData!$L$60),"")</f>
        <v>16844.61</v>
      </c>
      <c r="M60">
        <f ca="1">IFERROR(IF(0=LEN(ReferenceData!$M$60),"",ReferenceData!$M$60),"")</f>
        <v>16945.518</v>
      </c>
      <c r="N60">
        <f ca="1">IFERROR(IF(0=LEN(ReferenceData!$N$60),"",ReferenceData!$N$60),"")</f>
        <v>18480.881000000001</v>
      </c>
      <c r="O60">
        <f ca="1">IFERROR(IF(0=LEN(ReferenceData!$O$60),"",ReferenceData!$O$60),"")</f>
        <v>9544.5650000000005</v>
      </c>
      <c r="P60">
        <f ca="1">IFERROR(IF(0=LEN(ReferenceData!$P$60),"",ReferenceData!$P$60),"")</f>
        <v>9786.3349999999991</v>
      </c>
      <c r="Q60">
        <f ca="1">IFERROR(IF(0=LEN(ReferenceData!$Q$60),"",ReferenceData!$Q$60),"")</f>
        <v>9120.2260000000006</v>
      </c>
      <c r="R60">
        <f ca="1">IFERROR(IF(0=LEN(ReferenceData!$R$60),"",ReferenceData!$R$60),"")</f>
        <v>9201.9189999999999</v>
      </c>
      <c r="S60">
        <f ca="1">IFERROR(IF(0=LEN(ReferenceData!$S$60),"",ReferenceData!$S$60),"")</f>
        <v>9957.3709999999992</v>
      </c>
      <c r="T60">
        <f ca="1">IFERROR(IF(0=LEN(ReferenceData!$T$60),"",ReferenceData!$T$60),"")</f>
        <v>11766.29</v>
      </c>
      <c r="U60">
        <f ca="1">IFERROR(IF(0=LEN(ReferenceData!$U$60),"",ReferenceData!$U$60),"")</f>
        <v>15468.002</v>
      </c>
      <c r="V60">
        <f ca="1">IFERROR(IF(0=LEN(ReferenceData!$V$60),"",ReferenceData!$V$60),"")</f>
        <v>18977.990000000002</v>
      </c>
      <c r="W60">
        <f ca="1">IFERROR(IF(0=LEN(ReferenceData!$W$60),"",ReferenceData!$W$60),"")</f>
        <v>18987.848999999998</v>
      </c>
      <c r="X60">
        <f ca="1">IFERROR(IF(0=LEN(ReferenceData!$X$60),"",ReferenceData!$X$60),"")</f>
        <v>852.41700000000003</v>
      </c>
      <c r="Y60">
        <f ca="1">IFERROR(IF(0=LEN(ReferenceData!$Y$60),"",ReferenceData!$Y$60),"")</f>
        <v>776.26800000000003</v>
      </c>
      <c r="Z60">
        <f ca="1">IFERROR(IF(0=LEN(ReferenceData!$Z$60),"",ReferenceData!$Z$60),"")</f>
        <v>687.15700000000004</v>
      </c>
      <c r="AA60">
        <f ca="1">IFERROR(IF(0=LEN(ReferenceData!$AA$60),"",ReferenceData!$AA$60),"")</f>
        <v>549.01900000000001</v>
      </c>
      <c r="AB60">
        <f ca="1">IFERROR(IF(0=LEN(ReferenceData!$AB$60),"",ReferenceData!$AB$60),"")</f>
        <v>652.255</v>
      </c>
      <c r="AC60">
        <f ca="1">IFERROR(IF(0=LEN(ReferenceData!$AC$60),"",ReferenceData!$AC$60),"")</f>
        <v>502.726</v>
      </c>
      <c r="AD60">
        <f ca="1">IFERROR(IF(0=LEN(ReferenceData!$AD$60),"",ReferenceData!$AD$60),"")</f>
        <v>396.858</v>
      </c>
      <c r="AE60">
        <f ca="1">IFERROR(IF(0=LEN(ReferenceData!$AE$60),"",ReferenceData!$AE$60),"")</f>
        <v>535.87300000000005</v>
      </c>
      <c r="AF60">
        <f ca="1">IFERROR(IF(0=LEN(ReferenceData!$AF$60),"",ReferenceData!$AF$60),"")</f>
        <v>456.815</v>
      </c>
      <c r="AG60">
        <f ca="1">IFERROR(IF(0=LEN(ReferenceData!$AG$60),"",ReferenceData!$AG$60),"")</f>
        <v>748.81200000000001</v>
      </c>
      <c r="AH60">
        <f ca="1">IFERROR(IF(0=LEN(ReferenceData!$AH$60),"",ReferenceData!$AH$60),"")</f>
        <v>662.74099999999999</v>
      </c>
      <c r="AI60">
        <f ca="1">IFERROR(IF(0=LEN(ReferenceData!$AI$60),"",ReferenceData!$AI$60),"")</f>
        <v>597.52300000000002</v>
      </c>
      <c r="AJ60">
        <f ca="1">IFERROR(IF(0=LEN(ReferenceData!$AJ$60),"",ReferenceData!$AJ$60),"")</f>
        <v>487.91399999999999</v>
      </c>
      <c r="AK60">
        <f ca="1">IFERROR(IF(0=LEN(ReferenceData!$AK$60),"",ReferenceData!$AK$60),"")</f>
        <v>212.40700000000001</v>
      </c>
      <c r="AL60">
        <f ca="1">IFERROR(IF(0=LEN(ReferenceData!$AL$60),"",ReferenceData!$AL$60),"")</f>
        <v>291.93299999999999</v>
      </c>
    </row>
    <row r="61" spans="1:38" x14ac:dyDescent="0.25">
      <c r="A61" t="str">
        <f>IFERROR(IF(0=LEN(ReferenceData!$A$61),"",ReferenceData!$A$61),"")</f>
        <v xml:space="preserve">            M&amp;T Bank Corp</v>
      </c>
      <c r="B61" t="str">
        <f>IFERROR(IF(0=LEN(ReferenceData!$B$61),"",ReferenceData!$B$61),"")</f>
        <v>MTB US Equity</v>
      </c>
      <c r="C61" t="str">
        <f>IFERROR(IF(0=LEN(ReferenceData!$C$61),"",ReferenceData!$C$61),"")</f>
        <v>F0375</v>
      </c>
      <c r="D61" t="str">
        <f>IFERROR(IF(0=LEN(ReferenceData!$D$61),"",ReferenceData!$D$61),"")</f>
        <v>FED_CRE_LNS_INCL_APTS_&amp;_FRMLND</v>
      </c>
      <c r="E61" t="str">
        <f>IFERROR(IF(0=LEN(ReferenceData!$E$61),"",ReferenceData!$E$61),"")</f>
        <v>Dynamic</v>
      </c>
      <c r="F61">
        <f ca="1">IFERROR(IF(0=LEN(ReferenceData!$F$61),"",ReferenceData!$F$61),"")</f>
        <v>36455.898000000001</v>
      </c>
      <c r="G61">
        <f ca="1">IFERROR(IF(0=LEN(ReferenceData!$G$61),"",ReferenceData!$G$61),"")</f>
        <v>41547.082999999999</v>
      </c>
      <c r="H61">
        <f ca="1">IFERROR(IF(0=LEN(ReferenceData!$H$61),"",ReferenceData!$H$61),"")</f>
        <v>44453.165999999997</v>
      </c>
      <c r="I61">
        <f ca="1">IFERROR(IF(0=LEN(ReferenceData!$I$61),"",ReferenceData!$I$61),"")</f>
        <v>34929.207999999999</v>
      </c>
      <c r="J61">
        <f ca="1">IFERROR(IF(0=LEN(ReferenceData!$J$61),"",ReferenceData!$J$61),"")</f>
        <v>37630.673999999999</v>
      </c>
      <c r="K61">
        <f ca="1">IFERROR(IF(0=LEN(ReferenceData!$K$61),"",ReferenceData!$K$61),"")</f>
        <v>35584.686999999998</v>
      </c>
      <c r="L61">
        <f ca="1">IFERROR(IF(0=LEN(ReferenceData!$L$61),"",ReferenceData!$L$61),"")</f>
        <v>34372.127</v>
      </c>
      <c r="M61">
        <f ca="1">IFERROR(IF(0=LEN(ReferenceData!$M$61),"",ReferenceData!$M$61),"")</f>
        <v>33327.798000000003</v>
      </c>
      <c r="N61">
        <f ca="1">IFERROR(IF(0=LEN(ReferenceData!$N$61),"",ReferenceData!$N$61),"")</f>
        <v>33437.82</v>
      </c>
      <c r="O61">
        <f ca="1">IFERROR(IF(0=LEN(ReferenceData!$O$61),"",ReferenceData!$O$61),"")</f>
        <v>29151.564999999999</v>
      </c>
      <c r="P61">
        <f ca="1">IFERROR(IF(0=LEN(ReferenceData!$P$61),"",ReferenceData!$P$61),"")</f>
        <v>27431.887999999999</v>
      </c>
      <c r="Q61">
        <f ca="1">IFERROR(IF(0=LEN(ReferenceData!$Q$61),"",ReferenceData!$Q$61),"")</f>
        <v>26149.42</v>
      </c>
      <c r="R61">
        <f ca="1">IFERROR(IF(0=LEN(ReferenceData!$R$61),"",ReferenceData!$R$61),"")</f>
        <v>25968.675999999999</v>
      </c>
      <c r="S61">
        <f ca="1">IFERROR(IF(0=LEN(ReferenceData!$S$61),"",ReferenceData!$S$61),"")</f>
        <v>24398.914000000001</v>
      </c>
      <c r="T61">
        <f ca="1">IFERROR(IF(0=LEN(ReferenceData!$T$61),"",ReferenceData!$T$61),"")</f>
        <v>21166.437000000002</v>
      </c>
      <c r="U61">
        <f ca="1">IFERROR(IF(0=LEN(ReferenceData!$U$61),"",ReferenceData!$U$61),"")</f>
        <v>20791.111000000001</v>
      </c>
      <c r="V61">
        <f ca="1">IFERROR(IF(0=LEN(ReferenceData!$V$61),"",ReferenceData!$V$61),"")</f>
        <v>18793.843000000001</v>
      </c>
      <c r="W61">
        <f ca="1">IFERROR(IF(0=LEN(ReferenceData!$W$61),"",ReferenceData!$W$61),"")</f>
        <v>17822.552</v>
      </c>
      <c r="X61">
        <f ca="1">IFERROR(IF(0=LEN(ReferenceData!$X$61),"",ReferenceData!$X$61),"")</f>
        <v>1939.204</v>
      </c>
      <c r="Y61">
        <f ca="1">IFERROR(IF(0=LEN(ReferenceData!$Y$61),"",ReferenceData!$Y$61),"")</f>
        <v>2068.9319999999998</v>
      </c>
      <c r="Z61">
        <f ca="1">IFERROR(IF(0=LEN(ReferenceData!$Z$61),"",ReferenceData!$Z$61),"")</f>
        <v>2272.3820000000001</v>
      </c>
      <c r="AA61">
        <f ca="1">IFERROR(IF(0=LEN(ReferenceData!$AA$61),"",ReferenceData!$AA$61),"")</f>
        <v>2122.0439999999999</v>
      </c>
      <c r="AB61">
        <f ca="1">IFERROR(IF(0=LEN(ReferenceData!$AB$61),"",ReferenceData!$AB$61),"")</f>
        <v>2169.2240000000002</v>
      </c>
      <c r="AC61">
        <f ca="1">IFERROR(IF(0=LEN(ReferenceData!$AC$61),"",ReferenceData!$AC$61),"")</f>
        <v>2271.1239999999998</v>
      </c>
      <c r="AD61">
        <f ca="1">IFERROR(IF(0=LEN(ReferenceData!$AD$61),"",ReferenceData!$AD$61),"")</f>
        <v>2385.0509999999999</v>
      </c>
      <c r="AE61">
        <f ca="1">IFERROR(IF(0=LEN(ReferenceData!$AE$61),"",ReferenceData!$AE$61),"")</f>
        <v>2079.1770000000001</v>
      </c>
      <c r="AF61">
        <f ca="1">IFERROR(IF(0=LEN(ReferenceData!$AF$61),"",ReferenceData!$AF$61),"")</f>
        <v>1711.1790000000001</v>
      </c>
      <c r="AG61">
        <f ca="1">IFERROR(IF(0=LEN(ReferenceData!$AG$61),"",ReferenceData!$AG$61),"")</f>
        <v>1714.0170000000001</v>
      </c>
      <c r="AH61">
        <f ca="1">IFERROR(IF(0=LEN(ReferenceData!$AH$61),"",ReferenceData!$AH$61),"")</f>
        <v>1626.4380000000001</v>
      </c>
      <c r="AI61">
        <f ca="1">IFERROR(IF(0=LEN(ReferenceData!$AI$61),"",ReferenceData!$AI$61),"")</f>
        <v>1520.971</v>
      </c>
      <c r="AJ61">
        <f ca="1">IFERROR(IF(0=LEN(ReferenceData!$AJ$61),"",ReferenceData!$AJ$61),"")</f>
        <v>1422.1890000000001</v>
      </c>
      <c r="AK61">
        <f ca="1">IFERROR(IF(0=LEN(ReferenceData!$AK$61),"",ReferenceData!$AK$61),"")</f>
        <v>1267.4459999999999</v>
      </c>
      <c r="AL61">
        <f ca="1">IFERROR(IF(0=LEN(ReferenceData!$AL$61),"",ReferenceData!$AL$61),"")</f>
        <v>1066.1210000000001</v>
      </c>
    </row>
    <row r="62" spans="1:38" x14ac:dyDescent="0.25">
      <c r="A62" t="str">
        <f>IFERROR(IF(0=LEN(ReferenceData!$A$62),"",ReferenceData!$A$62),"")</f>
        <v xml:space="preserve">            PNC Financial Services Group I</v>
      </c>
      <c r="B62" t="str">
        <f>IFERROR(IF(0=LEN(ReferenceData!$B$62),"",ReferenceData!$B$62),"")</f>
        <v>PNC US Equity</v>
      </c>
      <c r="C62" t="str">
        <f>IFERROR(IF(0=LEN(ReferenceData!$C$62),"",ReferenceData!$C$62),"")</f>
        <v>F0375</v>
      </c>
      <c r="D62" t="str">
        <f>IFERROR(IF(0=LEN(ReferenceData!$D$62),"",ReferenceData!$D$62),"")</f>
        <v>FED_CRE_LNS_INCL_APTS_&amp;_FRMLND</v>
      </c>
      <c r="E62" t="str">
        <f>IFERROR(IF(0=LEN(ReferenceData!$E$62),"",ReferenceData!$E$62),"")</f>
        <v>Dynamic</v>
      </c>
      <c r="F62" t="str">
        <f ca="1">IFERROR(IF(0=LEN(ReferenceData!$F$62),"",ReferenceData!$F$62),"")</f>
        <v/>
      </c>
      <c r="G62">
        <f ca="1">IFERROR(IF(0=LEN(ReferenceData!$G$62),"",ReferenceData!$G$62),"")</f>
        <v>45186.357000000004</v>
      </c>
      <c r="H62">
        <f ca="1">IFERROR(IF(0=LEN(ReferenceData!$H$62),"",ReferenceData!$H$62),"")</f>
        <v>47064.612000000001</v>
      </c>
      <c r="I62">
        <f ca="1">IFERROR(IF(0=LEN(ReferenceData!$I$62),"",ReferenceData!$I$62),"")</f>
        <v>46377.953999999998</v>
      </c>
      <c r="J62">
        <f ca="1">IFERROR(IF(0=LEN(ReferenceData!$J$62),"",ReferenceData!$J$62),"")</f>
        <v>36285.338000000003</v>
      </c>
      <c r="K62">
        <f ca="1">IFERROR(IF(0=LEN(ReferenceData!$K$62),"",ReferenceData!$K$62),"")</f>
        <v>35486.482000000004</v>
      </c>
      <c r="L62">
        <f ca="1">IFERROR(IF(0=LEN(ReferenceData!$L$62),"",ReferenceData!$L$62),"")</f>
        <v>34826.436999999998</v>
      </c>
      <c r="M62">
        <f ca="1">IFERROR(IF(0=LEN(ReferenceData!$M$62),"",ReferenceData!$M$62),"")</f>
        <v>36602.247000000003</v>
      </c>
      <c r="N62">
        <f ca="1">IFERROR(IF(0=LEN(ReferenceData!$N$62),"",ReferenceData!$N$62),"")</f>
        <v>37113.677000000003</v>
      </c>
      <c r="O62">
        <f ca="1">IFERROR(IF(0=LEN(ReferenceData!$O$62),"",ReferenceData!$O$62),"")</f>
        <v>35628.311999999998</v>
      </c>
      <c r="P62">
        <f ca="1">IFERROR(IF(0=LEN(ReferenceData!$P$62),"",ReferenceData!$P$62),"")</f>
        <v>33698.699999999997</v>
      </c>
      <c r="Q62">
        <f ca="1">IFERROR(IF(0=LEN(ReferenceData!$Q$62),"",ReferenceData!$Q$62),"")</f>
        <v>32668.51</v>
      </c>
      <c r="R62">
        <f ca="1">IFERROR(IF(0=LEN(ReferenceData!$R$62),"",ReferenceData!$R$62),"")</f>
        <v>31317.608</v>
      </c>
      <c r="S62">
        <f ca="1">IFERROR(IF(0=LEN(ReferenceData!$S$62),"",ReferenceData!$S$62),"")</f>
        <v>26980.107</v>
      </c>
      <c r="T62">
        <f ca="1">IFERROR(IF(0=LEN(ReferenceData!$T$62),"",ReferenceData!$T$62),"")</f>
        <v>28246.83</v>
      </c>
      <c r="U62">
        <f ca="1">IFERROR(IF(0=LEN(ReferenceData!$U$62),"",ReferenceData!$U$62),"")</f>
        <v>33979.686000000002</v>
      </c>
      <c r="V62">
        <f ca="1">IFERROR(IF(0=LEN(ReferenceData!$V$62),"",ReferenceData!$V$62),"")</f>
        <v>38478.286999999997</v>
      </c>
      <c r="W62">
        <f ca="1">IFERROR(IF(0=LEN(ReferenceData!$W$62),"",ReferenceData!$W$62),"")</f>
        <v>15389.293</v>
      </c>
      <c r="X62">
        <f ca="1">IFERROR(IF(0=LEN(ReferenceData!$X$62),"",ReferenceData!$X$62),"")</f>
        <v>461.63</v>
      </c>
      <c r="Y62">
        <f ca="1">IFERROR(IF(0=LEN(ReferenceData!$Y$62),"",ReferenceData!$Y$62),"")</f>
        <v>544.10699999999997</v>
      </c>
      <c r="Z62">
        <f ca="1">IFERROR(IF(0=LEN(ReferenceData!$Z$62),"",ReferenceData!$Z$62),"")</f>
        <v>396.81599999999997</v>
      </c>
      <c r="AA62">
        <f ca="1">IFERROR(IF(0=LEN(ReferenceData!$AA$62),"",ReferenceData!$AA$62),"")</f>
        <v>302.714</v>
      </c>
      <c r="AB62">
        <f ca="1">IFERROR(IF(0=LEN(ReferenceData!$AB$62),"",ReferenceData!$AB$62),"")</f>
        <v>321.322</v>
      </c>
      <c r="AC62">
        <f ca="1">IFERROR(IF(0=LEN(ReferenceData!$AC$62),"",ReferenceData!$AC$62),"")</f>
        <v>495.80200000000002</v>
      </c>
      <c r="AD62">
        <f ca="1">IFERROR(IF(0=LEN(ReferenceData!$AD$62),"",ReferenceData!$AD$62),"")</f>
        <v>426.26299999999998</v>
      </c>
      <c r="AE62">
        <f ca="1">IFERROR(IF(0=LEN(ReferenceData!$AE$62),"",ReferenceData!$AE$62),"")</f>
        <v>646.75800000000004</v>
      </c>
      <c r="AF62">
        <f ca="1">IFERROR(IF(0=LEN(ReferenceData!$AF$62),"",ReferenceData!$AF$62),"")</f>
        <v>735.51800000000003</v>
      </c>
      <c r="AG62">
        <f ca="1">IFERROR(IF(0=LEN(ReferenceData!$AG$62),"",ReferenceData!$AG$62),"")</f>
        <v>408.15899999999999</v>
      </c>
      <c r="AH62">
        <f ca="1">IFERROR(IF(0=LEN(ReferenceData!$AH$62),"",ReferenceData!$AH$62),"")</f>
        <v>328.12700000000001</v>
      </c>
      <c r="AI62">
        <f ca="1">IFERROR(IF(0=LEN(ReferenceData!$AI$62),"",ReferenceData!$AI$62),"")</f>
        <v>296.73899999999998</v>
      </c>
      <c r="AJ62">
        <f ca="1">IFERROR(IF(0=LEN(ReferenceData!$AJ$62),"",ReferenceData!$AJ$62),"")</f>
        <v>360.68099999999998</v>
      </c>
      <c r="AK62">
        <f ca="1">IFERROR(IF(0=LEN(ReferenceData!$AK$62),"",ReferenceData!$AK$62),"")</f>
        <v>248.39699999999999</v>
      </c>
      <c r="AL62">
        <f ca="1">IFERROR(IF(0=LEN(ReferenceData!$AL$62),"",ReferenceData!$AL$62),"")</f>
        <v>130.32599999999999</v>
      </c>
    </row>
    <row r="63" spans="1:38" x14ac:dyDescent="0.25">
      <c r="A63" t="str">
        <f>IFERROR(IF(0=LEN(ReferenceData!$A$63),"",ReferenceData!$A$63),"")</f>
        <v xml:space="preserve">            Regions Financial Corp</v>
      </c>
      <c r="B63" t="str">
        <f>IFERROR(IF(0=LEN(ReferenceData!$B$63),"",ReferenceData!$B$63),"")</f>
        <v>RF US Equity</v>
      </c>
      <c r="C63" t="str">
        <f>IFERROR(IF(0=LEN(ReferenceData!$C$63),"",ReferenceData!$C$63),"")</f>
        <v>F0375</v>
      </c>
      <c r="D63" t="str">
        <f>IFERROR(IF(0=LEN(ReferenceData!$D$63),"",ReferenceData!$D$63),"")</f>
        <v>FED_CRE_LNS_INCL_APTS_&amp;_FRMLND</v>
      </c>
      <c r="E63" t="str">
        <f>IFERROR(IF(0=LEN(ReferenceData!$E$63),"",ReferenceData!$E$63),"")</f>
        <v>Dynamic</v>
      </c>
      <c r="F63" t="str">
        <f ca="1">IFERROR(IF(0=LEN(ReferenceData!$F$63),"",ReferenceData!$F$63),"")</f>
        <v/>
      </c>
      <c r="G63">
        <f ca="1">IFERROR(IF(0=LEN(ReferenceData!$G$63),"",ReferenceData!$G$63),"")</f>
        <v>15337</v>
      </c>
      <c r="H63">
        <f ca="1">IFERROR(IF(0=LEN(ReferenceData!$H$63),"",ReferenceData!$H$63),"")</f>
        <v>15277</v>
      </c>
      <c r="I63">
        <f ca="1">IFERROR(IF(0=LEN(ReferenceData!$I$63),"",ReferenceData!$I$63),"")</f>
        <v>14103</v>
      </c>
      <c r="J63">
        <f ca="1">IFERROR(IF(0=LEN(ReferenceData!$J$63),"",ReferenceData!$J$63),"")</f>
        <v>14345</v>
      </c>
      <c r="K63">
        <f ca="1">IFERROR(IF(0=LEN(ReferenceData!$K$63),"",ReferenceData!$K$63),"")</f>
        <v>13759</v>
      </c>
      <c r="L63">
        <f ca="1">IFERROR(IF(0=LEN(ReferenceData!$L$63),"",ReferenceData!$L$63),"")</f>
        <v>13438.606</v>
      </c>
      <c r="M63">
        <f ca="1">IFERROR(IF(0=LEN(ReferenceData!$M$63),"",ReferenceData!$M$63),"")</f>
        <v>13188.591</v>
      </c>
      <c r="N63">
        <f ca="1">IFERROR(IF(0=LEN(ReferenceData!$N$63),"",ReferenceData!$N$63),"")</f>
        <v>14668.526</v>
      </c>
      <c r="O63">
        <f ca="1">IFERROR(IF(0=LEN(ReferenceData!$O$63),"",ReferenceData!$O$63),"")</f>
        <v>15643.03</v>
      </c>
      <c r="P63">
        <f ca="1">IFERROR(IF(0=LEN(ReferenceData!$P$63),"",ReferenceData!$P$63),"")</f>
        <v>15868.339</v>
      </c>
      <c r="Q63">
        <f ca="1">IFERROR(IF(0=LEN(ReferenceData!$Q$63),"",ReferenceData!$Q$63),"")</f>
        <v>16845.057000000001</v>
      </c>
      <c r="R63">
        <f ca="1">IFERROR(IF(0=LEN(ReferenceData!$R$63),"",ReferenceData!$R$63),"")</f>
        <v>18531.451000000001</v>
      </c>
      <c r="S63">
        <f ca="1">IFERROR(IF(0=LEN(ReferenceData!$S$63),"",ReferenceData!$S$63),"")</f>
        <v>22927.569</v>
      </c>
      <c r="T63">
        <f ca="1">IFERROR(IF(0=LEN(ReferenceData!$T$63),"",ReferenceData!$T$63),"")</f>
        <v>28953.944</v>
      </c>
      <c r="U63">
        <f ca="1">IFERROR(IF(0=LEN(ReferenceData!$U$63),"",ReferenceData!$U$63),"")</f>
        <v>34043.442999999999</v>
      </c>
      <c r="V63">
        <f ca="1">IFERROR(IF(0=LEN(ReferenceData!$V$63),"",ReferenceData!$V$63),"")</f>
        <v>35179.639000000003</v>
      </c>
      <c r="W63">
        <f ca="1">IFERROR(IF(0=LEN(ReferenceData!$W$63),"",ReferenceData!$W$63),"")</f>
        <v>33246.807999999997</v>
      </c>
      <c r="X63">
        <f ca="1">IFERROR(IF(0=LEN(ReferenceData!$X$63),"",ReferenceData!$X$63),"")</f>
        <v>2171.6170000000002</v>
      </c>
      <c r="Y63">
        <f ca="1">IFERROR(IF(0=LEN(ReferenceData!$Y$63),"",ReferenceData!$Y$63),"")</f>
        <v>1640.4760000000001</v>
      </c>
      <c r="Z63">
        <f ca="1">IFERROR(IF(0=LEN(ReferenceData!$Z$63),"",ReferenceData!$Z$63),"")</f>
        <v>2028.5170000000001</v>
      </c>
      <c r="AA63" t="str">
        <f ca="1">IFERROR(IF(0=LEN(ReferenceData!$AA$63),"",ReferenceData!$AA$63),"")</f>
        <v/>
      </c>
      <c r="AB63" t="str">
        <f ca="1">IFERROR(IF(0=LEN(ReferenceData!$AB$63),"",ReferenceData!$AB$63),"")</f>
        <v/>
      </c>
      <c r="AC63" t="str">
        <f ca="1">IFERROR(IF(0=LEN(ReferenceData!$AC$63),"",ReferenceData!$AC$63),"")</f>
        <v/>
      </c>
      <c r="AD63" t="str">
        <f ca="1">IFERROR(IF(0=LEN(ReferenceData!$AD$63),"",ReferenceData!$AD$63),"")</f>
        <v/>
      </c>
      <c r="AE63" t="str">
        <f ca="1">IFERROR(IF(0=LEN(ReferenceData!$AE$63),"",ReferenceData!$AE$63),"")</f>
        <v/>
      </c>
      <c r="AF63" t="str">
        <f ca="1">IFERROR(IF(0=LEN(ReferenceData!$AF$63),"",ReferenceData!$AF$63),"")</f>
        <v/>
      </c>
      <c r="AG63" t="str">
        <f ca="1">IFERROR(IF(0=LEN(ReferenceData!$AG$63),"",ReferenceData!$AG$63),"")</f>
        <v/>
      </c>
      <c r="AH63" t="str">
        <f ca="1">IFERROR(IF(0=LEN(ReferenceData!$AH$63),"",ReferenceData!$AH$63),"")</f>
        <v/>
      </c>
      <c r="AI63" t="str">
        <f ca="1">IFERROR(IF(0=LEN(ReferenceData!$AI$63),"",ReferenceData!$AI$63),"")</f>
        <v/>
      </c>
      <c r="AJ63" t="str">
        <f ca="1">IFERROR(IF(0=LEN(ReferenceData!$AJ$63),"",ReferenceData!$AJ$63),"")</f>
        <v/>
      </c>
      <c r="AK63" t="str">
        <f ca="1">IFERROR(IF(0=LEN(ReferenceData!$AK$63),"",ReferenceData!$AK$63),"")</f>
        <v/>
      </c>
      <c r="AL63" t="str">
        <f ca="1">IFERROR(IF(0=LEN(ReferenceData!$AL$63),"",ReferenceData!$AL$63),"")</f>
        <v/>
      </c>
    </row>
    <row r="64" spans="1:38" x14ac:dyDescent="0.25">
      <c r="A64" t="str">
        <f>IFERROR(IF(0=LEN(ReferenceData!$A$64),"",ReferenceData!$A$64),"")</f>
        <v xml:space="preserve">            Truist Financial Corp</v>
      </c>
      <c r="B64" t="str">
        <f>IFERROR(IF(0=LEN(ReferenceData!$B$64),"",ReferenceData!$B$64),"")</f>
        <v>TFC US Equity</v>
      </c>
      <c r="C64" t="str">
        <f>IFERROR(IF(0=LEN(ReferenceData!$C$64),"",ReferenceData!$C$64),"")</f>
        <v>F0375</v>
      </c>
      <c r="D64" t="str">
        <f>IFERROR(IF(0=LEN(ReferenceData!$D$64),"",ReferenceData!$D$64),"")</f>
        <v>FED_CRE_LNS_INCL_APTS_&amp;_FRMLND</v>
      </c>
      <c r="E64" t="str">
        <f>IFERROR(IF(0=LEN(ReferenceData!$E$64),"",ReferenceData!$E$64),"")</f>
        <v>Dynamic</v>
      </c>
      <c r="F64">
        <f ca="1">IFERROR(IF(0=LEN(ReferenceData!$F$64),"",ReferenceData!$F$64),"")</f>
        <v>50149</v>
      </c>
      <c r="G64">
        <f ca="1">IFERROR(IF(0=LEN(ReferenceData!$G$64),"",ReferenceData!$G$64),"")</f>
        <v>52497</v>
      </c>
      <c r="H64">
        <f ca="1">IFERROR(IF(0=LEN(ReferenceData!$H$64),"",ReferenceData!$H$64),"")</f>
        <v>54008</v>
      </c>
      <c r="I64">
        <f ca="1">IFERROR(IF(0=LEN(ReferenceData!$I$64),"",ReferenceData!$I$64),"")</f>
        <v>54620</v>
      </c>
      <c r="J64">
        <f ca="1">IFERROR(IF(0=LEN(ReferenceData!$J$64),"",ReferenceData!$J$64),"")</f>
        <v>58507</v>
      </c>
      <c r="K64">
        <f ca="1">IFERROR(IF(0=LEN(ReferenceData!$K$64),"",ReferenceData!$K$64),"")</f>
        <v>58056</v>
      </c>
      <c r="L64">
        <f ca="1">IFERROR(IF(0=LEN(ReferenceData!$L$64),"",ReferenceData!$L$64),"")</f>
        <v>36497</v>
      </c>
      <c r="M64">
        <f ca="1">IFERROR(IF(0=LEN(ReferenceData!$M$64),"",ReferenceData!$M$64),"")</f>
        <v>37388</v>
      </c>
      <c r="N64">
        <f ca="1">IFERROR(IF(0=LEN(ReferenceData!$N$64),"",ReferenceData!$N$64),"")</f>
        <v>37373.552000000003</v>
      </c>
      <c r="O64">
        <f ca="1">IFERROR(IF(0=LEN(ReferenceData!$O$64),"",ReferenceData!$O$64),"")</f>
        <v>35706.161</v>
      </c>
      <c r="P64">
        <f ca="1">IFERROR(IF(0=LEN(ReferenceData!$P$64),"",ReferenceData!$P$64),"")</f>
        <v>29947.671999999999</v>
      </c>
      <c r="Q64">
        <f ca="1">IFERROR(IF(0=LEN(ReferenceData!$Q$64),"",ReferenceData!$Q$64),"")</f>
        <v>29978.486000000001</v>
      </c>
      <c r="R64">
        <f ca="1">IFERROR(IF(0=LEN(ReferenceData!$R$64),"",ReferenceData!$R$64),"")</f>
        <v>31367.681</v>
      </c>
      <c r="S64">
        <f ca="1">IFERROR(IF(0=LEN(ReferenceData!$S$64),"",ReferenceData!$S$64),"")</f>
        <v>32861.379000000001</v>
      </c>
      <c r="T64">
        <f ca="1">IFERROR(IF(0=LEN(ReferenceData!$T$64),"",ReferenceData!$T$64),"")</f>
        <v>36464.082999999999</v>
      </c>
      <c r="U64">
        <f ca="1">IFERROR(IF(0=LEN(ReferenceData!$U$64),"",ReferenceData!$U$64),"")</f>
        <v>40174.629999999997</v>
      </c>
      <c r="V64">
        <f ca="1">IFERROR(IF(0=LEN(ReferenceData!$V$64),"",ReferenceData!$V$64),"")</f>
        <v>36140.508000000002</v>
      </c>
      <c r="W64">
        <f ca="1">IFERROR(IF(0=LEN(ReferenceData!$W$64),"",ReferenceData!$W$64),"")</f>
        <v>33797.294999999998</v>
      </c>
      <c r="X64">
        <f ca="1">IFERROR(IF(0=LEN(ReferenceData!$X$64),"",ReferenceData!$X$64),"")</f>
        <v>1159.5709999999999</v>
      </c>
      <c r="Y64">
        <f ca="1">IFERROR(IF(0=LEN(ReferenceData!$Y$64),"",ReferenceData!$Y$64),"")</f>
        <v>1294.623</v>
      </c>
      <c r="Z64">
        <f ca="1">IFERROR(IF(0=LEN(ReferenceData!$Z$64),"",ReferenceData!$Z$64),"")</f>
        <v>1279.278</v>
      </c>
      <c r="AA64">
        <f ca="1">IFERROR(IF(0=LEN(ReferenceData!$AA$64),"",ReferenceData!$AA$64),"")</f>
        <v>1231.0309999999999</v>
      </c>
      <c r="AB64">
        <f ca="1">IFERROR(IF(0=LEN(ReferenceData!$AB$64),"",ReferenceData!$AB$64),"")</f>
        <v>1198.2929999999999</v>
      </c>
      <c r="AC64">
        <f ca="1">IFERROR(IF(0=LEN(ReferenceData!$AC$64),"",ReferenceData!$AC$64),"")</f>
        <v>1032.18</v>
      </c>
      <c r="AD64">
        <f ca="1">IFERROR(IF(0=LEN(ReferenceData!$AD$64),"",ReferenceData!$AD$64),"")</f>
        <v>877.62699999999995</v>
      </c>
      <c r="AE64">
        <f ca="1">IFERROR(IF(0=LEN(ReferenceData!$AE$64),"",ReferenceData!$AE$64),"")</f>
        <v>560.41999999999996</v>
      </c>
      <c r="AF64">
        <f ca="1">IFERROR(IF(0=LEN(ReferenceData!$AF$64),"",ReferenceData!$AF$64),"")</f>
        <v>532.226</v>
      </c>
      <c r="AG64">
        <f ca="1">IFERROR(IF(0=LEN(ReferenceData!$AG$64),"",ReferenceData!$AG$64),"")</f>
        <v>527.93899999999996</v>
      </c>
      <c r="AH64">
        <f ca="1">IFERROR(IF(0=LEN(ReferenceData!$AH$64),"",ReferenceData!$AH$64),"")</f>
        <v>376.5</v>
      </c>
      <c r="AI64">
        <f ca="1">IFERROR(IF(0=LEN(ReferenceData!$AI$64),"",ReferenceData!$AI$64),"")</f>
        <v>348.34199999999998</v>
      </c>
      <c r="AJ64">
        <f ca="1">IFERROR(IF(0=LEN(ReferenceData!$AJ$64),"",ReferenceData!$AJ$64),"")</f>
        <v>158.655</v>
      </c>
      <c r="AK64">
        <f ca="1">IFERROR(IF(0=LEN(ReferenceData!$AK$64),"",ReferenceData!$AK$64),"")</f>
        <v>129.97900000000001</v>
      </c>
      <c r="AL64">
        <f ca="1">IFERROR(IF(0=LEN(ReferenceData!$AL$64),"",ReferenceData!$AL$64),"")</f>
        <v>75.323999999999998</v>
      </c>
    </row>
    <row r="65" spans="1:38" x14ac:dyDescent="0.25">
      <c r="A65" t="str">
        <f>IFERROR(IF(0=LEN(ReferenceData!$A$65),"",ReferenceData!$A$65),"")</f>
        <v xml:space="preserve">            US Bancorp</v>
      </c>
      <c r="B65" t="str">
        <f>IFERROR(IF(0=LEN(ReferenceData!$B$65),"",ReferenceData!$B$65),"")</f>
        <v>USB US Equity</v>
      </c>
      <c r="C65" t="str">
        <f>IFERROR(IF(0=LEN(ReferenceData!$C$65),"",ReferenceData!$C$65),"")</f>
        <v>F0375</v>
      </c>
      <c r="D65" t="str">
        <f>IFERROR(IF(0=LEN(ReferenceData!$D$65),"",ReferenceData!$D$65),"")</f>
        <v>FED_CRE_LNS_INCL_APTS_&amp;_FRMLND</v>
      </c>
      <c r="E65" t="str">
        <f>IFERROR(IF(0=LEN(ReferenceData!$E$65),"",ReferenceData!$E$65),"")</f>
        <v>Dynamic</v>
      </c>
      <c r="F65">
        <f ca="1">IFERROR(IF(0=LEN(ReferenceData!$F$65),"",ReferenceData!$F$65),"")</f>
        <v>47297</v>
      </c>
      <c r="G65">
        <f ca="1">IFERROR(IF(0=LEN(ReferenceData!$G$65),"",ReferenceData!$G$65),"")</f>
        <v>51640</v>
      </c>
      <c r="H65">
        <f ca="1">IFERROR(IF(0=LEN(ReferenceData!$H$65),"",ReferenceData!$H$65),"")</f>
        <v>54011</v>
      </c>
      <c r="I65">
        <f ca="1">IFERROR(IF(0=LEN(ReferenceData!$I$65),"",ReferenceData!$I$65),"")</f>
        <v>37468</v>
      </c>
      <c r="J65">
        <f ca="1">IFERROR(IF(0=LEN(ReferenceData!$J$65),"",ReferenceData!$J$65),"")</f>
        <v>37767</v>
      </c>
      <c r="K65">
        <f ca="1">IFERROR(IF(0=LEN(ReferenceData!$K$65),"",ReferenceData!$K$65),"")</f>
        <v>37909</v>
      </c>
      <c r="L65">
        <f ca="1">IFERROR(IF(0=LEN(ReferenceData!$L$65),"",ReferenceData!$L$65),"")</f>
        <v>37413</v>
      </c>
      <c r="M65">
        <f ca="1">IFERROR(IF(0=LEN(ReferenceData!$M$65),"",ReferenceData!$M$65),"")</f>
        <v>38267</v>
      </c>
      <c r="N65">
        <f ca="1">IFERROR(IF(0=LEN(ReferenceData!$N$65),"",ReferenceData!$N$65),"")</f>
        <v>40646</v>
      </c>
      <c r="O65">
        <f ca="1">IFERROR(IF(0=LEN(ReferenceData!$O$65),"",ReferenceData!$O$65),"")</f>
        <v>39566</v>
      </c>
      <c r="P65">
        <f ca="1">IFERROR(IF(0=LEN(ReferenceData!$P$65),"",ReferenceData!$P$65),"")</f>
        <v>40073</v>
      </c>
      <c r="Q65">
        <f ca="1">IFERROR(IF(0=LEN(ReferenceData!$Q$65),"",ReferenceData!$Q$65),"")</f>
        <v>39272</v>
      </c>
      <c r="R65">
        <f ca="1">IFERROR(IF(0=LEN(ReferenceData!$R$65),"",ReferenceData!$R$65),"")</f>
        <v>38194</v>
      </c>
      <c r="S65">
        <f ca="1">IFERROR(IF(0=LEN(ReferenceData!$S$65),"",ReferenceData!$S$65),"")</f>
        <v>39292</v>
      </c>
      <c r="T65">
        <f ca="1">IFERROR(IF(0=LEN(ReferenceData!$T$65),"",ReferenceData!$T$65),"")</f>
        <v>40480</v>
      </c>
      <c r="U65">
        <f ca="1">IFERROR(IF(0=LEN(ReferenceData!$U$65),"",ReferenceData!$U$65),"")</f>
        <v>41940</v>
      </c>
      <c r="V65">
        <f ca="1">IFERROR(IF(0=LEN(ReferenceData!$V$65),"",ReferenceData!$V$65),"")</f>
        <v>32394</v>
      </c>
      <c r="W65">
        <f ca="1">IFERROR(IF(0=LEN(ReferenceData!$W$65),"",ReferenceData!$W$65),"")</f>
        <v>27626</v>
      </c>
      <c r="X65">
        <f ca="1">IFERROR(IF(0=LEN(ReferenceData!$X$65),"",ReferenceData!$X$65),"")</f>
        <v>2583</v>
      </c>
      <c r="Y65">
        <f ca="1">IFERROR(IF(0=LEN(ReferenceData!$Y$65),"",ReferenceData!$Y$65),"")</f>
        <v>2881</v>
      </c>
      <c r="Z65">
        <f ca="1">IFERROR(IF(0=LEN(ReferenceData!$Z$65),"",ReferenceData!$Z$65),"")</f>
        <v>2911</v>
      </c>
      <c r="AA65">
        <f ca="1">IFERROR(IF(0=LEN(ReferenceData!$AA$65),"",ReferenceData!$AA$65),"")</f>
        <v>3119</v>
      </c>
      <c r="AB65">
        <f ca="1">IFERROR(IF(0=LEN(ReferenceData!$AB$65),"",ReferenceData!$AB$65),"")</f>
        <v>3214</v>
      </c>
      <c r="AC65">
        <f ca="1">IFERROR(IF(0=LEN(ReferenceData!$AC$65),"",ReferenceData!$AC$65),"")</f>
        <v>2768</v>
      </c>
      <c r="AD65">
        <f ca="1">IFERROR(IF(0=LEN(ReferenceData!$AD$65),"",ReferenceData!$AD$65),"")</f>
        <v>1256.761</v>
      </c>
      <c r="AE65">
        <f ca="1">IFERROR(IF(0=LEN(ReferenceData!$AE$65),"",ReferenceData!$AE$65),"")</f>
        <v>1024.2729999999999</v>
      </c>
      <c r="AF65">
        <f ca="1">IFERROR(IF(0=LEN(ReferenceData!$AF$65),"",ReferenceData!$AF$65),"")</f>
        <v>935.66</v>
      </c>
      <c r="AG65">
        <f ca="1">IFERROR(IF(0=LEN(ReferenceData!$AG$65),"",ReferenceData!$AG$65),"")</f>
        <v>1025.741</v>
      </c>
      <c r="AH65">
        <f ca="1">IFERROR(IF(0=LEN(ReferenceData!$AH$65),"",ReferenceData!$AH$65),"")</f>
        <v>438.09800000000001</v>
      </c>
      <c r="AI65">
        <f ca="1">IFERROR(IF(0=LEN(ReferenceData!$AI$65),"",ReferenceData!$AI$65),"")</f>
        <v>394.31099999999998</v>
      </c>
      <c r="AJ65" t="str">
        <f ca="1">IFERROR(IF(0=LEN(ReferenceData!$AJ$65),"",ReferenceData!$AJ$65),"")</f>
        <v/>
      </c>
      <c r="AK65" t="str">
        <f ca="1">IFERROR(IF(0=LEN(ReferenceData!$AK$65),"",ReferenceData!$AK$65),"")</f>
        <v/>
      </c>
      <c r="AL65" t="str">
        <f ca="1">IFERROR(IF(0=LEN(ReferenceData!$AL$65),"",ReferenceData!$AL$65),"")</f>
        <v/>
      </c>
    </row>
    <row r="66" spans="1:38" x14ac:dyDescent="0.25">
      <c r="A66" t="str">
        <f>IFERROR(IF(0=LEN(ReferenceData!$A$66),"",ReferenceData!$A$66),"")</f>
        <v xml:space="preserve">            Wells Fargo &amp; Co</v>
      </c>
      <c r="B66" t="str">
        <f>IFERROR(IF(0=LEN(ReferenceData!$B$66),"",ReferenceData!$B$66),"")</f>
        <v>WFC US Equity</v>
      </c>
      <c r="C66" t="str">
        <f>IFERROR(IF(0=LEN(ReferenceData!$C$66),"",ReferenceData!$C$66),"")</f>
        <v>F0375</v>
      </c>
      <c r="D66" t="str">
        <f>IFERROR(IF(0=LEN(ReferenceData!$D$66),"",ReferenceData!$D$66),"")</f>
        <v>FED_CRE_LNS_INCL_APTS_&amp;_FRMLND</v>
      </c>
      <c r="E66" t="str">
        <f>IFERROR(IF(0=LEN(ReferenceData!$E$66),"",ReferenceData!$E$66),"")</f>
        <v>Dynamic</v>
      </c>
      <c r="F66">
        <f ca="1">IFERROR(IF(0=LEN(ReferenceData!$F$66),"",ReferenceData!$F$66),"")</f>
        <v>125115</v>
      </c>
      <c r="G66">
        <f ca="1">IFERROR(IF(0=LEN(ReferenceData!$G$66),"",ReferenceData!$G$66),"")</f>
        <v>137221</v>
      </c>
      <c r="H66">
        <f ca="1">IFERROR(IF(0=LEN(ReferenceData!$H$66),"",ReferenceData!$H$66),"")</f>
        <v>141380</v>
      </c>
      <c r="I66">
        <f ca="1">IFERROR(IF(0=LEN(ReferenceData!$I$66),"",ReferenceData!$I$66),"")</f>
        <v>134530</v>
      </c>
      <c r="J66">
        <f ca="1">IFERROR(IF(0=LEN(ReferenceData!$J$66),"",ReferenceData!$J$66),"")</f>
        <v>128169</v>
      </c>
      <c r="K66">
        <f ca="1">IFERROR(IF(0=LEN(ReferenceData!$K$66),"",ReferenceData!$K$66),"")</f>
        <v>128655</v>
      </c>
      <c r="L66">
        <f ca="1">IFERROR(IF(0=LEN(ReferenceData!$L$66),"",ReferenceData!$L$66),"")</f>
        <v>131335</v>
      </c>
      <c r="M66">
        <f ca="1">IFERROR(IF(0=LEN(ReferenceData!$M$66),"",ReferenceData!$M$66),"")</f>
        <v>140290</v>
      </c>
      <c r="N66">
        <f ca="1">IFERROR(IF(0=LEN(ReferenceData!$N$66),"",ReferenceData!$N$66),"")</f>
        <v>146077</v>
      </c>
      <c r="O66">
        <f ca="1">IFERROR(IF(0=LEN(ReferenceData!$O$66),"",ReferenceData!$O$66),"")</f>
        <v>137172</v>
      </c>
      <c r="P66">
        <f ca="1">IFERROR(IF(0=LEN(ReferenceData!$P$66),"",ReferenceData!$P$66),"")</f>
        <v>125182</v>
      </c>
      <c r="Q66">
        <f ca="1">IFERROR(IF(0=LEN(ReferenceData!$Q$66),"",ReferenceData!$Q$66),"")</f>
        <v>124020</v>
      </c>
      <c r="R66">
        <f ca="1">IFERROR(IF(0=LEN(ReferenceData!$R$66),"",ReferenceData!$R$66),"")</f>
        <v>125394</v>
      </c>
      <c r="S66">
        <f ca="1">IFERROR(IF(0=LEN(ReferenceData!$S$66),"",ReferenceData!$S$66),"")</f>
        <v>126907</v>
      </c>
      <c r="T66">
        <f ca="1">IFERROR(IF(0=LEN(ReferenceData!$T$66),"",ReferenceData!$T$66),"")</f>
        <v>127874</v>
      </c>
      <c r="U66">
        <f ca="1">IFERROR(IF(0=LEN(ReferenceData!$U$66),"",ReferenceData!$U$66),"")</f>
        <v>135529</v>
      </c>
      <c r="V66">
        <f ca="1">IFERROR(IF(0=LEN(ReferenceData!$V$66),"",ReferenceData!$V$66),"")</f>
        <v>138152</v>
      </c>
      <c r="W66">
        <f ca="1">IFERROR(IF(0=LEN(ReferenceData!$W$66),"",ReferenceData!$W$66),"")</f>
        <v>55757</v>
      </c>
      <c r="X66">
        <f ca="1">IFERROR(IF(0=LEN(ReferenceData!$X$66),"",ReferenceData!$X$66),"")</f>
        <v>4640</v>
      </c>
      <c r="Y66">
        <f ca="1">IFERROR(IF(0=LEN(ReferenceData!$Y$66),"",ReferenceData!$Y$66),"")</f>
        <v>4318</v>
      </c>
      <c r="Z66">
        <f ca="1">IFERROR(IF(0=LEN(ReferenceData!$Z$66),"",ReferenceData!$Z$66),"")</f>
        <v>4291</v>
      </c>
      <c r="AA66">
        <f ca="1">IFERROR(IF(0=LEN(ReferenceData!$AA$66),"",ReferenceData!$AA$66),"")</f>
        <v>3627</v>
      </c>
      <c r="AB66">
        <f ca="1">IFERROR(IF(0=LEN(ReferenceData!$AB$66),"",ReferenceData!$AB$66),"")</f>
        <v>3177</v>
      </c>
      <c r="AC66">
        <f ca="1">IFERROR(IF(0=LEN(ReferenceData!$AC$66),"",ReferenceData!$AC$66),"")</f>
        <v>3156</v>
      </c>
      <c r="AD66">
        <f ca="1">IFERROR(IF(0=LEN(ReferenceData!$AD$66),"",ReferenceData!$AD$66),"")</f>
        <v>3286.47</v>
      </c>
      <c r="AE66">
        <f ca="1">IFERROR(IF(0=LEN(ReferenceData!$AE$66),"",ReferenceData!$AE$66),"")</f>
        <v>2860.7510000000002</v>
      </c>
      <c r="AF66">
        <f ca="1">IFERROR(IF(0=LEN(ReferenceData!$AF$66),"",ReferenceData!$AF$66),"")</f>
        <v>2803.127</v>
      </c>
      <c r="AG66">
        <f ca="1">IFERROR(IF(0=LEN(ReferenceData!$AG$66),"",ReferenceData!$AG$66),"")</f>
        <v>1137.0920000000001</v>
      </c>
      <c r="AH66">
        <f ca="1">IFERROR(IF(0=LEN(ReferenceData!$AH$66),"",ReferenceData!$AH$66),"")</f>
        <v>1092.96</v>
      </c>
      <c r="AI66">
        <f ca="1">IFERROR(IF(0=LEN(ReferenceData!$AI$66),"",ReferenceData!$AI$66),"")</f>
        <v>858.49400000000003</v>
      </c>
      <c r="AJ66" t="str">
        <f ca="1">IFERROR(IF(0=LEN(ReferenceData!$AJ$66),"",ReferenceData!$AJ$66),"")</f>
        <v/>
      </c>
      <c r="AK66" t="str">
        <f ca="1">IFERROR(IF(0=LEN(ReferenceData!$AK$66),"",ReferenceData!$AK$66),"")</f>
        <v/>
      </c>
      <c r="AL66" t="str">
        <f ca="1">IFERROR(IF(0=LEN(ReferenceData!$AL$66),"",ReferenceData!$AL$66),"")</f>
        <v/>
      </c>
    </row>
    <row r="67" spans="1:38" x14ac:dyDescent="0.25">
      <c r="A67" t="str">
        <f>IFERROR(IF(0=LEN(ReferenceData!$A$67),"",ReferenceData!$A$67),"")</f>
        <v xml:space="preserve">            Western Alliance Bancorp</v>
      </c>
      <c r="B67" t="str">
        <f>IFERROR(IF(0=LEN(ReferenceData!$B$67),"",ReferenceData!$B$67),"")</f>
        <v>WAL US Equity</v>
      </c>
      <c r="C67" t="str">
        <f>IFERROR(IF(0=LEN(ReferenceData!$C$67),"",ReferenceData!$C$67),"")</f>
        <v>F0375</v>
      </c>
      <c r="D67" t="str">
        <f>IFERROR(IF(0=LEN(ReferenceData!$D$67),"",ReferenceData!$D$67),"")</f>
        <v>FED_CRE_LNS_INCL_APTS_&amp;_FRMLND</v>
      </c>
      <c r="E67" t="str">
        <f>IFERROR(IF(0=LEN(ReferenceData!$E$67),"",ReferenceData!$E$67),"")</f>
        <v>Dynamic</v>
      </c>
      <c r="F67">
        <f ca="1">IFERROR(IF(0=LEN(ReferenceData!$F$67),"",ReferenceData!$F$67),"")</f>
        <v>15932.081</v>
      </c>
      <c r="G67">
        <f ca="1">IFERROR(IF(0=LEN(ReferenceData!$G$67),"",ReferenceData!$G$67),"")</f>
        <v>16094.609</v>
      </c>
      <c r="H67">
        <f ca="1">IFERROR(IF(0=LEN(ReferenceData!$H$67),"",ReferenceData!$H$67),"")</f>
        <v>14902.397999999999</v>
      </c>
      <c r="I67">
        <f ca="1">IFERROR(IF(0=LEN(ReferenceData!$I$67),"",ReferenceData!$I$67),"")</f>
        <v>11195.786</v>
      </c>
      <c r="J67">
        <f ca="1">IFERROR(IF(0=LEN(ReferenceData!$J$67),"",ReferenceData!$J$67),"")</f>
        <v>9930.9110000000001</v>
      </c>
      <c r="K67">
        <f ca="1">IFERROR(IF(0=LEN(ReferenceData!$K$67),"",ReferenceData!$K$67),"")</f>
        <v>9187.7610000000004</v>
      </c>
      <c r="L67">
        <f ca="1">IFERROR(IF(0=LEN(ReferenceData!$L$67),"",ReferenceData!$L$67),"")</f>
        <v>8356.07</v>
      </c>
      <c r="M67">
        <f ca="1">IFERROR(IF(0=LEN(ReferenceData!$M$67),"",ReferenceData!$M$67),"")</f>
        <v>7449.0950000000003</v>
      </c>
      <c r="N67">
        <f ca="1">IFERROR(IF(0=LEN(ReferenceData!$N$67),"",ReferenceData!$N$67),"")</f>
        <v>6785.4369999999999</v>
      </c>
      <c r="O67">
        <f ca="1">IFERROR(IF(0=LEN(ReferenceData!$O$67),"",ReferenceData!$O$67),"")</f>
        <v>5268.82</v>
      </c>
      <c r="P67">
        <f ca="1">IFERROR(IF(0=LEN(ReferenceData!$P$67),"",ReferenceData!$P$67),"")</f>
        <v>4503.5959999999995</v>
      </c>
      <c r="Q67">
        <f ca="1">IFERROR(IF(0=LEN(ReferenceData!$Q$67),"",ReferenceData!$Q$67),"")</f>
        <v>3926.3589999999999</v>
      </c>
      <c r="R67">
        <f ca="1">IFERROR(IF(0=LEN(ReferenceData!$R$67),"",ReferenceData!$R$67),"")</f>
        <v>3296.7179999999998</v>
      </c>
      <c r="S67">
        <f ca="1">IFERROR(IF(0=LEN(ReferenceData!$S$67),"",ReferenceData!$S$67),"")</f>
        <v>2935.03</v>
      </c>
      <c r="T67">
        <f ca="1">IFERROR(IF(0=LEN(ReferenceData!$T$67),"",ReferenceData!$T$67),"")</f>
        <v>2713.3420000000001</v>
      </c>
      <c r="U67">
        <f ca="1">IFERROR(IF(0=LEN(ReferenceData!$U$67),"",ReferenceData!$U$67),"")</f>
        <v>2647.9659999999999</v>
      </c>
      <c r="V67">
        <f ca="1">IFERROR(IF(0=LEN(ReferenceData!$V$67),"",ReferenceData!$V$67),"")</f>
        <v>2593.9569999999999</v>
      </c>
      <c r="W67">
        <f ca="1">IFERROR(IF(0=LEN(ReferenceData!$W$67),"",ReferenceData!$W$67),"")</f>
        <v>2319.7739999999999</v>
      </c>
      <c r="X67">
        <f ca="1">IFERROR(IF(0=LEN(ReferenceData!$X$67),"",ReferenceData!$X$67),"")</f>
        <v>33.357999999999997</v>
      </c>
      <c r="Y67">
        <f ca="1">IFERROR(IF(0=LEN(ReferenceData!$Y$67),"",ReferenceData!$Y$67),"")</f>
        <v>25.370999999999999</v>
      </c>
      <c r="Z67">
        <f ca="1">IFERROR(IF(0=LEN(ReferenceData!$Z$67),"",ReferenceData!$Z$67),"")</f>
        <v>17.314</v>
      </c>
      <c r="AA67">
        <f ca="1">IFERROR(IF(0=LEN(ReferenceData!$AA$67),"",ReferenceData!$AA$67),"")</f>
        <v>13.949</v>
      </c>
      <c r="AB67">
        <f ca="1">IFERROR(IF(0=LEN(ReferenceData!$AB$67),"",ReferenceData!$AB$67),"")</f>
        <v>4.234</v>
      </c>
      <c r="AC67">
        <f ca="1">IFERROR(IF(0=LEN(ReferenceData!$AC$67),"",ReferenceData!$AC$67),"")</f>
        <v>2.3420000000000001</v>
      </c>
      <c r="AD67" t="str">
        <f ca="1">IFERROR(IF(0=LEN(ReferenceData!$AD$67),"",ReferenceData!$AD$67),"")</f>
        <v/>
      </c>
      <c r="AE67" t="str">
        <f ca="1">IFERROR(IF(0=LEN(ReferenceData!$AE$67),"",ReferenceData!$AE$67),"")</f>
        <v/>
      </c>
      <c r="AF67" t="str">
        <f ca="1">IFERROR(IF(0=LEN(ReferenceData!$AF$67),"",ReferenceData!$AF$67),"")</f>
        <v/>
      </c>
      <c r="AG67" t="str">
        <f ca="1">IFERROR(IF(0=LEN(ReferenceData!$AG$67),"",ReferenceData!$AG$67),"")</f>
        <v/>
      </c>
      <c r="AH67" t="str">
        <f ca="1">IFERROR(IF(0=LEN(ReferenceData!$AH$67),"",ReferenceData!$AH$67),"")</f>
        <v/>
      </c>
      <c r="AI67" t="str">
        <f ca="1">IFERROR(IF(0=LEN(ReferenceData!$AI$67),"",ReferenceData!$AI$67),"")</f>
        <v/>
      </c>
      <c r="AJ67" t="str">
        <f ca="1">IFERROR(IF(0=LEN(ReferenceData!$AJ$67),"",ReferenceData!$AJ$67),"")</f>
        <v/>
      </c>
      <c r="AK67" t="str">
        <f ca="1">IFERROR(IF(0=LEN(ReferenceData!$AK$67),"",ReferenceData!$AK$67),"")</f>
        <v/>
      </c>
      <c r="AL67" t="str">
        <f ca="1">IFERROR(IF(0=LEN(ReferenceData!$AL$67),"",ReferenceData!$AL$67),"")</f>
        <v/>
      </c>
    </row>
    <row r="68" spans="1:38" x14ac:dyDescent="0.25">
      <c r="A68" t="str">
        <f>IFERROR(IF(0=LEN(ReferenceData!$A$68),"",ReferenceData!$A$68),"")</f>
        <v xml:space="preserve">            Zions Bancorp NA</v>
      </c>
      <c r="B68" t="str">
        <f>IFERROR(IF(0=LEN(ReferenceData!$B$68),"",ReferenceData!$B$68),"")</f>
        <v>ZION US Equity</v>
      </c>
      <c r="C68" t="str">
        <f>IFERROR(IF(0=LEN(ReferenceData!$C$68),"",ReferenceData!$C$68),"")</f>
        <v>F0375</v>
      </c>
      <c r="D68" t="str">
        <f>IFERROR(IF(0=LEN(ReferenceData!$D$68),"",ReferenceData!$D$68),"")</f>
        <v>FED_CRE_LNS_INCL_APTS_&amp;_FRMLND</v>
      </c>
      <c r="E68" t="str">
        <f>IFERROR(IF(0=LEN(ReferenceData!$E$68),"",ReferenceData!$E$68),"")</f>
        <v>Dynamic</v>
      </c>
      <c r="F68" t="str">
        <f ca="1">IFERROR(IF(0=LEN(ReferenceData!$F$68),"",ReferenceData!$F$68),"")</f>
        <v/>
      </c>
      <c r="G68">
        <f ca="1">IFERROR(IF(0=LEN(ReferenceData!$G$68),"",ReferenceData!$G$68),"")</f>
        <v>2990.797</v>
      </c>
      <c r="H68">
        <f ca="1">IFERROR(IF(0=LEN(ReferenceData!$H$68),"",ReferenceData!$H$68),"")</f>
        <v>2583.4470000000001</v>
      </c>
      <c r="I68">
        <f ca="1">IFERROR(IF(0=LEN(ReferenceData!$I$68),"",ReferenceData!$I$68),"")</f>
        <v>2220.0419999999999</v>
      </c>
      <c r="J68" t="str">
        <f ca="1">IFERROR(IF(0=LEN(ReferenceData!$J$68),"",ReferenceData!$J$68),"")</f>
        <v/>
      </c>
      <c r="K68" t="str">
        <f ca="1">IFERROR(IF(0=LEN(ReferenceData!$K$68),"",ReferenceData!$K$68),"")</f>
        <v/>
      </c>
      <c r="L68" t="str">
        <f ca="1">IFERROR(IF(0=LEN(ReferenceData!$L$68),"",ReferenceData!$L$68),"")</f>
        <v/>
      </c>
      <c r="M68" t="str">
        <f ca="1">IFERROR(IF(0=LEN(ReferenceData!$M$68),"",ReferenceData!$M$68),"")</f>
        <v/>
      </c>
      <c r="N68" t="str">
        <f ca="1">IFERROR(IF(0=LEN(ReferenceData!$N$68),"",ReferenceData!$N$68),"")</f>
        <v/>
      </c>
      <c r="O68" t="str">
        <f ca="1">IFERROR(IF(0=LEN(ReferenceData!$O$68),"",ReferenceData!$O$68),"")</f>
        <v/>
      </c>
      <c r="P68" t="str">
        <f ca="1">IFERROR(IF(0=LEN(ReferenceData!$P$68),"",ReferenceData!$P$68),"")</f>
        <v/>
      </c>
      <c r="Q68" t="str">
        <f ca="1">IFERROR(IF(0=LEN(ReferenceData!$Q$68),"",ReferenceData!$Q$68),"")</f>
        <v/>
      </c>
      <c r="R68" t="str">
        <f ca="1">IFERROR(IF(0=LEN(ReferenceData!$R$68),"",ReferenceData!$R$68),"")</f>
        <v/>
      </c>
      <c r="S68" t="str">
        <f ca="1">IFERROR(IF(0=LEN(ReferenceData!$S$68),"",ReferenceData!$S$68),"")</f>
        <v/>
      </c>
      <c r="T68" t="str">
        <f ca="1">IFERROR(IF(0=LEN(ReferenceData!$T$68),"",ReferenceData!$T$68),"")</f>
        <v/>
      </c>
      <c r="U68" t="str">
        <f ca="1">IFERROR(IF(0=LEN(ReferenceData!$U$68),"",ReferenceData!$U$68),"")</f>
        <v/>
      </c>
      <c r="V68" t="str">
        <f ca="1">IFERROR(IF(0=LEN(ReferenceData!$V$68),"",ReferenceData!$V$68),"")</f>
        <v/>
      </c>
      <c r="W68" t="str">
        <f ca="1">IFERROR(IF(0=LEN(ReferenceData!$W$68),"",ReferenceData!$W$68),"")</f>
        <v/>
      </c>
      <c r="X68" t="str">
        <f ca="1">IFERROR(IF(0=LEN(ReferenceData!$X$68),"",ReferenceData!$X$68),"")</f>
        <v/>
      </c>
      <c r="Y68" t="str">
        <f ca="1">IFERROR(IF(0=LEN(ReferenceData!$Y$68),"",ReferenceData!$Y$68),"")</f>
        <v/>
      </c>
      <c r="Z68" t="str">
        <f ca="1">IFERROR(IF(0=LEN(ReferenceData!$Z$68),"",ReferenceData!$Z$68),"")</f>
        <v/>
      </c>
      <c r="AA68" t="str">
        <f ca="1">IFERROR(IF(0=LEN(ReferenceData!$AA$68),"",ReferenceData!$AA$68),"")</f>
        <v/>
      </c>
      <c r="AB68" t="str">
        <f ca="1">IFERROR(IF(0=LEN(ReferenceData!$AB$68),"",ReferenceData!$AB$68),"")</f>
        <v/>
      </c>
      <c r="AC68" t="str">
        <f ca="1">IFERROR(IF(0=LEN(ReferenceData!$AC$68),"",ReferenceData!$AC$68),"")</f>
        <v/>
      </c>
      <c r="AD68" t="str">
        <f ca="1">IFERROR(IF(0=LEN(ReferenceData!$AD$68),"",ReferenceData!$AD$68),"")</f>
        <v/>
      </c>
      <c r="AE68" t="str">
        <f ca="1">IFERROR(IF(0=LEN(ReferenceData!$AE$68),"",ReferenceData!$AE$68),"")</f>
        <v/>
      </c>
      <c r="AF68" t="str">
        <f ca="1">IFERROR(IF(0=LEN(ReferenceData!$AF$68),"",ReferenceData!$AF$68),"")</f>
        <v/>
      </c>
      <c r="AG68" t="str">
        <f ca="1">IFERROR(IF(0=LEN(ReferenceData!$AG$68),"",ReferenceData!$AG$68),"")</f>
        <v/>
      </c>
      <c r="AH68" t="str">
        <f ca="1">IFERROR(IF(0=LEN(ReferenceData!$AH$68),"",ReferenceData!$AH$68),"")</f>
        <v/>
      </c>
      <c r="AI68" t="str">
        <f ca="1">IFERROR(IF(0=LEN(ReferenceData!$AI$68),"",ReferenceData!$AI$68),"")</f>
        <v/>
      </c>
      <c r="AJ68" t="str">
        <f ca="1">IFERROR(IF(0=LEN(ReferenceData!$AJ$68),"",ReferenceData!$AJ$68),"")</f>
        <v/>
      </c>
      <c r="AK68" t="str">
        <f ca="1">IFERROR(IF(0=LEN(ReferenceData!$AK$68),"",ReferenceData!$AK$68),"")</f>
        <v/>
      </c>
      <c r="AL68" t="str">
        <f ca="1">IFERROR(IF(0=LEN(ReferenceData!$AL$68),"",ReferenceData!$AL$68),"")</f>
        <v/>
      </c>
    </row>
    <row r="69" spans="1:38" x14ac:dyDescent="0.25">
      <c r="A69" t="str">
        <f>IFERROR(IF(0=LEN(ReferenceData!$A$69),"",ReferenceData!$A$69),"")</f>
        <v xml:space="preserve">    US Real Estate Loans by Company</v>
      </c>
      <c r="B69" t="str">
        <f>IFERROR(IF(0=LEN(ReferenceData!$B$69),"",ReferenceData!$B$69),"")</f>
        <v/>
      </c>
      <c r="C69" t="str">
        <f>IFERROR(IF(0=LEN(ReferenceData!$C$69),"",ReferenceData!$C$69),"")</f>
        <v/>
      </c>
      <c r="D69" t="str">
        <f>IFERROR(IF(0=LEN(ReferenceData!$D$69),"",ReferenceData!$D$69),"")</f>
        <v/>
      </c>
      <c r="E69" t="str">
        <f>IFERROR(IF(0=LEN(ReferenceData!$E$69),"",ReferenceData!$E$69),"")</f>
        <v>Sum</v>
      </c>
      <c r="F69">
        <f ca="1">IFERROR(IF(0=LEN(ReferenceData!$F$69),"",ReferenceData!$F$69),"")</f>
        <v>2100171.9139999999</v>
      </c>
      <c r="G69">
        <f ca="1">IFERROR(IF(0=LEN(ReferenceData!$G$69),"",ReferenceData!$G$69),"")</f>
        <v>2379961.4009999996</v>
      </c>
      <c r="H69">
        <f ca="1">IFERROR(IF(0=LEN(ReferenceData!$H$69),"",ReferenceData!$H$69),"")</f>
        <v>2242313.642</v>
      </c>
      <c r="I69">
        <f ca="1">IFERROR(IF(0=LEN(ReferenceData!$I$69),"",ReferenceData!$I$69),"")</f>
        <v>2056044.4749999999</v>
      </c>
      <c r="J69">
        <f ca="1">IFERROR(IF(0=LEN(ReferenceData!$J$69),"",ReferenceData!$J$69),"")</f>
        <v>2023865.5349999999</v>
      </c>
      <c r="K69">
        <f ca="1">IFERROR(IF(0=LEN(ReferenceData!$K$69),"",ReferenceData!$K$69),"")</f>
        <v>2052977.2290000003</v>
      </c>
      <c r="L69">
        <f ca="1">IFERROR(IF(0=LEN(ReferenceData!$L$69),"",ReferenceData!$L$69),"")</f>
        <v>1969914.825</v>
      </c>
      <c r="M69">
        <f ca="1">IFERROR(IF(0=LEN(ReferenceData!$M$69),"",ReferenceData!$M$69),"")</f>
        <v>1998009.0160000001</v>
      </c>
      <c r="N69">
        <f ca="1">IFERROR(IF(0=LEN(ReferenceData!$N$69),"",ReferenceData!$N$69),"")</f>
        <v>2002414.9799999997</v>
      </c>
      <c r="O69">
        <f ca="1">IFERROR(IF(0=LEN(ReferenceData!$O$69),"",ReferenceData!$O$69),"")</f>
        <v>1934986.9600000002</v>
      </c>
      <c r="P69">
        <f ca="1">IFERROR(IF(0=LEN(ReferenceData!$P$69),"",ReferenceData!$P$69),"")</f>
        <v>1868855.9639999999</v>
      </c>
      <c r="Q69">
        <f ca="1">IFERROR(IF(0=LEN(ReferenceData!$Q$69),"",ReferenceData!$Q$69),"")</f>
        <v>1905827.2789999999</v>
      </c>
      <c r="R69">
        <f ca="1">IFERROR(IF(0=LEN(ReferenceData!$R$69),"",ReferenceData!$R$69),"")</f>
        <v>1998711.2659999998</v>
      </c>
      <c r="S69">
        <f ca="1">IFERROR(IF(0=LEN(ReferenceData!$S$69),"",ReferenceData!$S$69),"")</f>
        <v>2005844.8019999999</v>
      </c>
      <c r="T69">
        <f ca="1">IFERROR(IF(0=LEN(ReferenceData!$T$69),"",ReferenceData!$T$69),"")</f>
        <v>2089854.0249999999</v>
      </c>
      <c r="U69">
        <f ca="1">IFERROR(IF(0=LEN(ReferenceData!$U$69),"",ReferenceData!$U$69),"")</f>
        <v>2208194.7069999999</v>
      </c>
      <c r="V69">
        <f ca="1">IFERROR(IF(0=LEN(ReferenceData!$V$69),"",ReferenceData!$V$69),"")</f>
        <v>2267005.1029999997</v>
      </c>
      <c r="W69">
        <f ca="1">IFERROR(IF(0=LEN(ReferenceData!$W$69),"",ReferenceData!$W$69),"")</f>
        <v>1715894.3840000003</v>
      </c>
      <c r="X69">
        <f ca="1">IFERROR(IF(0=LEN(ReferenceData!$X$69),"",ReferenceData!$X$69),"")</f>
        <v>1166896.8580000002</v>
      </c>
      <c r="Y69">
        <f ca="1">IFERROR(IF(0=LEN(ReferenceData!$Y$69),"",ReferenceData!$Y$69),"")</f>
        <v>1026981.2999999999</v>
      </c>
      <c r="Z69">
        <f ca="1">IFERROR(IF(0=LEN(ReferenceData!$Z$69),"",ReferenceData!$Z$69),"")</f>
        <v>928103.68999999983</v>
      </c>
      <c r="AA69">
        <f ca="1">IFERROR(IF(0=LEN(ReferenceData!$AA$69),"",ReferenceData!$AA$69),"")</f>
        <v>683495.26599999995</v>
      </c>
      <c r="AB69">
        <f ca="1">IFERROR(IF(0=LEN(ReferenceData!$AB$69),"",ReferenceData!$AB$69),"")</f>
        <v>593547.11499999987</v>
      </c>
      <c r="AC69">
        <f ca="1">IFERROR(IF(0=LEN(ReferenceData!$AC$69),"",ReferenceData!$AC$69),"")</f>
        <v>451187.17699999997</v>
      </c>
      <c r="AD69">
        <f ca="1">IFERROR(IF(0=LEN(ReferenceData!$AD$69),"",ReferenceData!$AD$69),"")</f>
        <v>205988.87099999998</v>
      </c>
      <c r="AE69">
        <f ca="1">IFERROR(IF(0=LEN(ReferenceData!$AE$69),"",ReferenceData!$AE$69),"")</f>
        <v>176337.60199999998</v>
      </c>
      <c r="AF69">
        <f ca="1">IFERROR(IF(0=LEN(ReferenceData!$AF$69),"",ReferenceData!$AF$69),"")</f>
        <v>172658.008</v>
      </c>
      <c r="AG69">
        <f ca="1">IFERROR(IF(0=LEN(ReferenceData!$AG$69),"",ReferenceData!$AG$69),"")</f>
        <v>125620.73300000001</v>
      </c>
      <c r="AH69">
        <f ca="1">IFERROR(IF(0=LEN(ReferenceData!$AH$69),"",ReferenceData!$AH$69),"")</f>
        <v>70376.448000000004</v>
      </c>
      <c r="AI69">
        <f ca="1">IFERROR(IF(0=LEN(ReferenceData!$AI$69),"",ReferenceData!$AI$69),"")</f>
        <v>69439.539999999994</v>
      </c>
      <c r="AJ69">
        <f ca="1">IFERROR(IF(0=LEN(ReferenceData!$AJ$69),"",ReferenceData!$AJ$69),"")</f>
        <v>45117.603000000003</v>
      </c>
      <c r="AK69">
        <f ca="1">IFERROR(IF(0=LEN(ReferenceData!$AK$69),"",ReferenceData!$AK$69),"")</f>
        <v>33147.787000000004</v>
      </c>
      <c r="AL69">
        <f ca="1">IFERROR(IF(0=LEN(ReferenceData!$AL$69),"",ReferenceData!$AL$69),"")</f>
        <v>22651.197</v>
      </c>
    </row>
    <row r="70" spans="1:38" x14ac:dyDescent="0.25">
      <c r="A70" t="str">
        <f>IFERROR(IF(0=LEN(ReferenceData!$A$70),"",ReferenceData!$A$70),"")</f>
        <v xml:space="preserve">        Bank of America Corp</v>
      </c>
      <c r="B70" t="str">
        <f>IFERROR(IF(0=LEN(ReferenceData!$B$70),"",ReferenceData!$B$70),"")</f>
        <v>BAC US Equity</v>
      </c>
      <c r="C70" t="str">
        <f>IFERROR(IF(0=LEN(ReferenceData!$C$70),"",ReferenceData!$C$70),"")</f>
        <v>F0093</v>
      </c>
      <c r="D70" t="str">
        <f>IFERROR(IF(0=LEN(ReferenceData!$D$70),"",ReferenceData!$D$70),"")</f>
        <v>FED_REAL_ESTATE_LOANS_DOMESTIC</v>
      </c>
      <c r="E70" t="str">
        <f>IFERROR(IF(0=LEN(ReferenceData!$E$70),"",ReferenceData!$E$70),"")</f>
        <v>Dynamic</v>
      </c>
      <c r="F70">
        <f ca="1">IFERROR(IF(0=LEN(ReferenceData!$F$70),"",ReferenceData!$F$70),"")</f>
        <v>331785</v>
      </c>
      <c r="G70">
        <f ca="1">IFERROR(IF(0=LEN(ReferenceData!$G$70),"",ReferenceData!$G$70),"")</f>
        <v>335755</v>
      </c>
      <c r="H70">
        <f ca="1">IFERROR(IF(0=LEN(ReferenceData!$H$70),"",ReferenceData!$H$70),"")</f>
        <v>335891</v>
      </c>
      <c r="I70">
        <f ca="1">IFERROR(IF(0=LEN(ReferenceData!$I$70),"",ReferenceData!$I$70),"")</f>
        <v>329906</v>
      </c>
      <c r="J70">
        <f ca="1">IFERROR(IF(0=LEN(ReferenceData!$J$70),"",ReferenceData!$J$70),"")</f>
        <v>334418</v>
      </c>
      <c r="K70">
        <f ca="1">IFERROR(IF(0=LEN(ReferenceData!$K$70),"",ReferenceData!$K$70),"")</f>
        <v>356416</v>
      </c>
      <c r="L70">
        <f ca="1">IFERROR(IF(0=LEN(ReferenceData!$L$70),"",ReferenceData!$L$70),"")</f>
        <v>331862</v>
      </c>
      <c r="M70">
        <f ca="1">IFERROR(IF(0=LEN(ReferenceData!$M$70),"",ReferenceData!$M$70),"")</f>
        <v>336900</v>
      </c>
      <c r="N70">
        <f ca="1">IFERROR(IF(0=LEN(ReferenceData!$N$70),"",ReferenceData!$N$70),"")</f>
        <v>335591</v>
      </c>
      <c r="O70">
        <f ca="1">IFERROR(IF(0=LEN(ReferenceData!$O$70),"",ReferenceData!$O$70),"")</f>
        <v>342799</v>
      </c>
      <c r="P70">
        <f ca="1">IFERROR(IF(0=LEN(ReferenceData!$P$70),"",ReferenceData!$P$70),"")</f>
        <v>368541</v>
      </c>
      <c r="Q70">
        <f ca="1">IFERROR(IF(0=LEN(ReferenceData!$Q$70),"",ReferenceData!$Q$70),"")</f>
        <v>415462</v>
      </c>
      <c r="R70">
        <f ca="1">IFERROR(IF(0=LEN(ReferenceData!$R$70),"",ReferenceData!$R$70),"")</f>
        <v>442394.18699999998</v>
      </c>
      <c r="S70">
        <f ca="1">IFERROR(IF(0=LEN(ReferenceData!$S$70),"",ReferenceData!$S$70),"")</f>
        <v>479145.065</v>
      </c>
      <c r="T70">
        <f ca="1">IFERROR(IF(0=LEN(ReferenceData!$T$70),"",ReferenceData!$T$70),"")</f>
        <v>511755.13199999998</v>
      </c>
      <c r="U70">
        <f ca="1">IFERROR(IF(0=LEN(ReferenceData!$U$70),"",ReferenceData!$U$70),"")</f>
        <v>541958.08299999998</v>
      </c>
      <c r="V70">
        <f ca="1">IFERROR(IF(0=LEN(ReferenceData!$V$70),"",ReferenceData!$V$70),"")</f>
        <v>533929.071</v>
      </c>
      <c r="W70">
        <f ca="1">IFERROR(IF(0=LEN(ReferenceData!$W$70),"",ReferenceData!$W$70),"")</f>
        <v>498377.34700000001</v>
      </c>
      <c r="X70">
        <f ca="1">IFERROR(IF(0=LEN(ReferenceData!$X$70),"",ReferenceData!$X$70),"")</f>
        <v>324670.72499999998</v>
      </c>
      <c r="Y70">
        <f ca="1">IFERROR(IF(0=LEN(ReferenceData!$Y$70),"",ReferenceData!$Y$70),"")</f>
        <v>257019.91699999999</v>
      </c>
      <c r="Z70">
        <f ca="1">IFERROR(IF(0=LEN(ReferenceData!$Z$70),"",ReferenceData!$Z$70),"")</f>
        <v>240031.94500000001</v>
      </c>
      <c r="AA70">
        <f ca="1">IFERROR(IF(0=LEN(ReferenceData!$AA$70),"",ReferenceData!$AA$70),"")</f>
        <v>174320.30499999999</v>
      </c>
      <c r="AB70">
        <f ca="1">IFERROR(IF(0=LEN(ReferenceData!$AB$70),"",ReferenceData!$AB$70),"")</f>
        <v>147805</v>
      </c>
      <c r="AC70">
        <f ca="1">IFERROR(IF(0=LEN(ReferenceData!$AC$70),"",ReferenceData!$AC$70),"")</f>
        <v>105731</v>
      </c>
      <c r="AD70" t="str">
        <f ca="1">IFERROR(IF(0=LEN(ReferenceData!$AD$70),"",ReferenceData!$AD$70),"")</f>
        <v/>
      </c>
      <c r="AE70" t="str">
        <f ca="1">IFERROR(IF(0=LEN(ReferenceData!$AE$70),"",ReferenceData!$AE$70),"")</f>
        <v/>
      </c>
      <c r="AF70" t="str">
        <f ca="1">IFERROR(IF(0=LEN(ReferenceData!$AF$70),"",ReferenceData!$AF$70),"")</f>
        <v/>
      </c>
      <c r="AG70" t="str">
        <f ca="1">IFERROR(IF(0=LEN(ReferenceData!$AG$70),"",ReferenceData!$AG$70),"")</f>
        <v/>
      </c>
      <c r="AH70" t="str">
        <f ca="1">IFERROR(IF(0=LEN(ReferenceData!$AH$70),"",ReferenceData!$AH$70),"")</f>
        <v/>
      </c>
      <c r="AI70" t="str">
        <f ca="1">IFERROR(IF(0=LEN(ReferenceData!$AI$70),"",ReferenceData!$AI$70),"")</f>
        <v/>
      </c>
      <c r="AJ70" t="str">
        <f ca="1">IFERROR(IF(0=LEN(ReferenceData!$AJ$70),"",ReferenceData!$AJ$70),"")</f>
        <v/>
      </c>
      <c r="AK70" t="str">
        <f ca="1">IFERROR(IF(0=LEN(ReferenceData!$AK$70),"",ReferenceData!$AK$70),"")</f>
        <v/>
      </c>
      <c r="AL70" t="str">
        <f ca="1">IFERROR(IF(0=LEN(ReferenceData!$AL$70),"",ReferenceData!$AL$70),"")</f>
        <v/>
      </c>
    </row>
    <row r="71" spans="1:38" x14ac:dyDescent="0.25">
      <c r="A71" t="str">
        <f>IFERROR(IF(0=LEN(ReferenceData!$A$71),"",ReferenceData!$A$71),"")</f>
        <v xml:space="preserve">        Citigroup Inc</v>
      </c>
      <c r="B71" t="str">
        <f>IFERROR(IF(0=LEN(ReferenceData!$B$71),"",ReferenceData!$B$71),"")</f>
        <v>C US Equity</v>
      </c>
      <c r="C71" t="str">
        <f>IFERROR(IF(0=LEN(ReferenceData!$C$71),"",ReferenceData!$C$71),"")</f>
        <v>F0093</v>
      </c>
      <c r="D71" t="str">
        <f>IFERROR(IF(0=LEN(ReferenceData!$D$71),"",ReferenceData!$D$71),"")</f>
        <v>FED_REAL_ESTATE_LOANS_DOMESTIC</v>
      </c>
      <c r="E71" t="str">
        <f>IFERROR(IF(0=LEN(ReferenceData!$E$71),"",ReferenceData!$E$71),"")</f>
        <v>Dynamic</v>
      </c>
      <c r="F71">
        <f ca="1">IFERROR(IF(0=LEN(ReferenceData!$F$71),"",ReferenceData!$F$71),"")</f>
        <v>144490</v>
      </c>
      <c r="G71">
        <f ca="1">IFERROR(IF(0=LEN(ReferenceData!$G$71),"",ReferenceData!$G$71),"")</f>
        <v>139627</v>
      </c>
      <c r="H71">
        <f ca="1">IFERROR(IF(0=LEN(ReferenceData!$H$71),"",ReferenceData!$H$71),"")</f>
        <v>128739</v>
      </c>
      <c r="I71">
        <f ca="1">IFERROR(IF(0=LEN(ReferenceData!$I$71),"",ReferenceData!$I$71),"")</f>
        <v>119991</v>
      </c>
      <c r="J71">
        <f ca="1">IFERROR(IF(0=LEN(ReferenceData!$J$71),"",ReferenceData!$J$71),"")</f>
        <v>119849</v>
      </c>
      <c r="K71">
        <f ca="1">IFERROR(IF(0=LEN(ReferenceData!$K$71),"",ReferenceData!$K$71),"")</f>
        <v>116021</v>
      </c>
      <c r="L71">
        <f ca="1">IFERROR(IF(0=LEN(ReferenceData!$L$71),"",ReferenceData!$L$71),"")</f>
        <v>113681</v>
      </c>
      <c r="M71">
        <f ca="1">IFERROR(IF(0=LEN(ReferenceData!$M$71),"",ReferenceData!$M$71),"")</f>
        <v>111757</v>
      </c>
      <c r="N71">
        <f ca="1">IFERROR(IF(0=LEN(ReferenceData!$N$71),"",ReferenceData!$N$71),"")</f>
        <v>115374</v>
      </c>
      <c r="O71">
        <f ca="1">IFERROR(IF(0=LEN(ReferenceData!$O$71),"",ReferenceData!$O$71),"")</f>
        <v>121033</v>
      </c>
      <c r="P71">
        <f ca="1">IFERROR(IF(0=LEN(ReferenceData!$P$71),"",ReferenceData!$P$71),"")</f>
        <v>128902</v>
      </c>
      <c r="Q71">
        <f ca="1">IFERROR(IF(0=LEN(ReferenceData!$Q$71),"",ReferenceData!$Q$71),"")</f>
        <v>137593</v>
      </c>
      <c r="R71">
        <f ca="1">IFERROR(IF(0=LEN(ReferenceData!$R$71),"",ReferenceData!$R$71),"")</f>
        <v>157111</v>
      </c>
      <c r="S71">
        <f ca="1">IFERROR(IF(0=LEN(ReferenceData!$S$71),"",ReferenceData!$S$71),"")</f>
        <v>167296</v>
      </c>
      <c r="T71">
        <f ca="1">IFERROR(IF(0=LEN(ReferenceData!$T$71),"",ReferenceData!$T$71),"")</f>
        <v>179800</v>
      </c>
      <c r="U71">
        <f ca="1">IFERROR(IF(0=LEN(ReferenceData!$U$71),"",ReferenceData!$U$71),"")</f>
        <v>212969</v>
      </c>
      <c r="V71">
        <f ca="1">IFERROR(IF(0=LEN(ReferenceData!$V$71),"",ReferenceData!$V$71),"")</f>
        <v>243391</v>
      </c>
      <c r="W71">
        <f ca="1">IFERROR(IF(0=LEN(ReferenceData!$W$71),"",ReferenceData!$W$71),"")</f>
        <v>264374</v>
      </c>
      <c r="X71">
        <f ca="1">IFERROR(IF(0=LEN(ReferenceData!$X$71),"",ReferenceData!$X$71),"")</f>
        <v>227981</v>
      </c>
      <c r="Y71">
        <f ca="1">IFERROR(IF(0=LEN(ReferenceData!$Y$71),"",ReferenceData!$Y$71),"")</f>
        <v>192064</v>
      </c>
      <c r="Z71">
        <f ca="1">IFERROR(IF(0=LEN(ReferenceData!$Z$71),"",ReferenceData!$Z$71),"")</f>
        <v>165437</v>
      </c>
      <c r="AA71">
        <f ca="1">IFERROR(IF(0=LEN(ReferenceData!$AA$71),"",ReferenceData!$AA$71),"")</f>
        <v>133606</v>
      </c>
      <c r="AB71">
        <f ca="1">IFERROR(IF(0=LEN(ReferenceData!$AB$71),"",ReferenceData!$AB$71),"")</f>
        <v>125904</v>
      </c>
      <c r="AC71">
        <f ca="1">IFERROR(IF(0=LEN(ReferenceData!$AC$71),"",ReferenceData!$AC$71),"")</f>
        <v>84500</v>
      </c>
      <c r="AD71">
        <f ca="1">IFERROR(IF(0=LEN(ReferenceData!$AD$71),"",ReferenceData!$AD$71),"")</f>
        <v>15103.737999999999</v>
      </c>
      <c r="AE71">
        <f ca="1">IFERROR(IF(0=LEN(ReferenceData!$AE$71),"",ReferenceData!$AE$71),"")</f>
        <v>12964.424999999999</v>
      </c>
      <c r="AF71">
        <f ca="1">IFERROR(IF(0=LEN(ReferenceData!$AF$71),"",ReferenceData!$AF$71),"")</f>
        <v>12484.91</v>
      </c>
      <c r="AG71" t="str">
        <f ca="1">IFERROR(IF(0=LEN(ReferenceData!$AG$71),"",ReferenceData!$AG$71),"")</f>
        <v/>
      </c>
      <c r="AH71" t="str">
        <f ca="1">IFERROR(IF(0=LEN(ReferenceData!$AH$71),"",ReferenceData!$AH$71),"")</f>
        <v/>
      </c>
      <c r="AI71" t="str">
        <f ca="1">IFERROR(IF(0=LEN(ReferenceData!$AI$71),"",ReferenceData!$AI$71),"")</f>
        <v/>
      </c>
      <c r="AJ71" t="str">
        <f ca="1">IFERROR(IF(0=LEN(ReferenceData!$AJ$71),"",ReferenceData!$AJ$71),"")</f>
        <v/>
      </c>
      <c r="AK71" t="str">
        <f ca="1">IFERROR(IF(0=LEN(ReferenceData!$AK$71),"",ReferenceData!$AK$71),"")</f>
        <v/>
      </c>
      <c r="AL71" t="str">
        <f ca="1">IFERROR(IF(0=LEN(ReferenceData!$AL$71),"",ReferenceData!$AL$71),"")</f>
        <v/>
      </c>
    </row>
    <row r="72" spans="1:38" x14ac:dyDescent="0.25">
      <c r="A72" t="str">
        <f>IFERROR(IF(0=LEN(ReferenceData!$A$72),"",ReferenceData!$A$72),"")</f>
        <v xml:space="preserve">        Citizens Financial Group Inc</v>
      </c>
      <c r="B72" t="str">
        <f>IFERROR(IF(0=LEN(ReferenceData!$B$72),"",ReferenceData!$B$72),"")</f>
        <v>CFG US Equity</v>
      </c>
      <c r="C72" t="str">
        <f>IFERROR(IF(0=LEN(ReferenceData!$C$72),"",ReferenceData!$C$72),"")</f>
        <v>F0093</v>
      </c>
      <c r="D72" t="str">
        <f>IFERROR(IF(0=LEN(ReferenceData!$D$72),"",ReferenceData!$D$72),"")</f>
        <v>FED_REAL_ESTATE_LOANS_DOMESTIC</v>
      </c>
      <c r="E72" t="str">
        <f>IFERROR(IF(0=LEN(ReferenceData!$E$72),"",ReferenceData!$E$72),"")</f>
        <v>Dynamic</v>
      </c>
      <c r="F72">
        <f ca="1">IFERROR(IF(0=LEN(ReferenceData!$F$72),"",ReferenceData!$F$72),"")</f>
        <v>80035.12</v>
      </c>
      <c r="G72">
        <f ca="1">IFERROR(IF(0=LEN(ReferenceData!$G$72),"",ReferenceData!$G$72),"")</f>
        <v>79103.039999999994</v>
      </c>
      <c r="H72">
        <f ca="1">IFERROR(IF(0=LEN(ReferenceData!$H$72),"",ReferenceData!$H$72),"")</f>
        <v>76711.756999999998</v>
      </c>
      <c r="I72">
        <f ca="1">IFERROR(IF(0=LEN(ReferenceData!$I$72),"",ReferenceData!$I$72),"")</f>
        <v>53965.29</v>
      </c>
      <c r="J72">
        <f ca="1">IFERROR(IF(0=LEN(ReferenceData!$J$72),"",ReferenceData!$J$72),"")</f>
        <v>53656.415999999997</v>
      </c>
      <c r="K72">
        <f ca="1">IFERROR(IF(0=LEN(ReferenceData!$K$72),"",ReferenceData!$K$72),"")</f>
        <v>51874.55</v>
      </c>
      <c r="L72">
        <f ca="1">IFERROR(IF(0=LEN(ReferenceData!$L$72),"",ReferenceData!$L$72),"")</f>
        <v>50423.188000000002</v>
      </c>
      <c r="M72">
        <f ca="1">IFERROR(IF(0=LEN(ReferenceData!$M$72),"",ReferenceData!$M$72),"")</f>
        <v>47707.296999999999</v>
      </c>
      <c r="N72">
        <f ca="1">IFERROR(IF(0=LEN(ReferenceData!$N$72),"",ReferenceData!$N$72),"")</f>
        <v>45605.286</v>
      </c>
      <c r="O72">
        <f ca="1">IFERROR(IF(0=LEN(ReferenceData!$O$72),"",ReferenceData!$O$72),"")</f>
        <v>43759.938000000002</v>
      </c>
      <c r="P72">
        <f ca="1">IFERROR(IF(0=LEN(ReferenceData!$P$72),"",ReferenceData!$P$72),"")</f>
        <v>42862.741999999998</v>
      </c>
      <c r="Q72">
        <f ca="1">IFERROR(IF(0=LEN(ReferenceData!$Q$72),"",ReferenceData!$Q$72),"")</f>
        <v>42980.124000000003</v>
      </c>
      <c r="R72">
        <f ca="1">IFERROR(IF(0=LEN(ReferenceData!$R$72),"",ReferenceData!$R$72),"")</f>
        <v>46160.658000000003</v>
      </c>
      <c r="S72">
        <f ca="1">IFERROR(IF(0=LEN(ReferenceData!$S$72),"",ReferenceData!$S$72),"")</f>
        <v>50277.273000000001</v>
      </c>
      <c r="T72">
        <f ca="1">IFERROR(IF(0=LEN(ReferenceData!$T$72),"",ReferenceData!$T$72),"")</f>
        <v>52829.067000000003</v>
      </c>
      <c r="U72">
        <f ca="1">IFERROR(IF(0=LEN(ReferenceData!$U$72),"",ReferenceData!$U$72),"")</f>
        <v>58106.777999999998</v>
      </c>
      <c r="V72">
        <f ca="1">IFERROR(IF(0=LEN(ReferenceData!$V$72),"",ReferenceData!$V$72),"")</f>
        <v>65618.994000000006</v>
      </c>
      <c r="W72">
        <f ca="1">IFERROR(IF(0=LEN(ReferenceData!$W$72),"",ReferenceData!$W$72),"")</f>
        <v>65996.471999999994</v>
      </c>
      <c r="X72">
        <f ca="1">IFERROR(IF(0=LEN(ReferenceData!$X$72),"",ReferenceData!$X$72),"")</f>
        <v>54214.249000000003</v>
      </c>
      <c r="Y72">
        <f ca="1">IFERROR(IF(0=LEN(ReferenceData!$Y$72),"",ReferenceData!$Y$72),"")</f>
        <v>51379.504999999997</v>
      </c>
      <c r="Z72">
        <f ca="1">IFERROR(IF(0=LEN(ReferenceData!$Z$72),"",ReferenceData!$Z$72),"")</f>
        <v>42020.777000000002</v>
      </c>
      <c r="AA72">
        <f ca="1">IFERROR(IF(0=LEN(ReferenceData!$AA$72),"",ReferenceData!$AA$72),"")</f>
        <v>17673.863000000001</v>
      </c>
      <c r="AB72">
        <f ca="1">IFERROR(IF(0=LEN(ReferenceData!$AB$72),"",ReferenceData!$AB$72),"")</f>
        <v>9403.4860000000008</v>
      </c>
      <c r="AC72">
        <f ca="1">IFERROR(IF(0=LEN(ReferenceData!$AC$72),"",ReferenceData!$AC$72),"")</f>
        <v>6042.107</v>
      </c>
      <c r="AD72" t="str">
        <f ca="1">IFERROR(IF(0=LEN(ReferenceData!$AD$72),"",ReferenceData!$AD$72),"")</f>
        <v/>
      </c>
      <c r="AE72" t="str">
        <f ca="1">IFERROR(IF(0=LEN(ReferenceData!$AE$72),"",ReferenceData!$AE$72),"")</f>
        <v/>
      </c>
      <c r="AF72" t="str">
        <f ca="1">IFERROR(IF(0=LEN(ReferenceData!$AF$72),"",ReferenceData!$AF$72),"")</f>
        <v/>
      </c>
      <c r="AG72" t="str">
        <f ca="1">IFERROR(IF(0=LEN(ReferenceData!$AG$72),"",ReferenceData!$AG$72),"")</f>
        <v/>
      </c>
      <c r="AH72" t="str">
        <f ca="1">IFERROR(IF(0=LEN(ReferenceData!$AH$72),"",ReferenceData!$AH$72),"")</f>
        <v/>
      </c>
      <c r="AI72" t="str">
        <f ca="1">IFERROR(IF(0=LEN(ReferenceData!$AI$72),"",ReferenceData!$AI$72),"")</f>
        <v/>
      </c>
      <c r="AJ72" t="str">
        <f ca="1">IFERROR(IF(0=LEN(ReferenceData!$AJ$72),"",ReferenceData!$AJ$72),"")</f>
        <v/>
      </c>
      <c r="AK72" t="str">
        <f ca="1">IFERROR(IF(0=LEN(ReferenceData!$AK$72),"",ReferenceData!$AK$72),"")</f>
        <v/>
      </c>
      <c r="AL72" t="str">
        <f ca="1">IFERROR(IF(0=LEN(ReferenceData!$AL$72),"",ReferenceData!$AL$72),"")</f>
        <v/>
      </c>
    </row>
    <row r="73" spans="1:38" x14ac:dyDescent="0.25">
      <c r="A73" t="str">
        <f>IFERROR(IF(0=LEN(ReferenceData!$A$73),"",ReferenceData!$A$73),"")</f>
        <v xml:space="preserve">        Capital One Financial Corp</v>
      </c>
      <c r="B73" t="str">
        <f>IFERROR(IF(0=LEN(ReferenceData!$B$73),"",ReferenceData!$B$73),"")</f>
        <v>COF US Equity</v>
      </c>
      <c r="C73" t="str">
        <f>IFERROR(IF(0=LEN(ReferenceData!$C$73),"",ReferenceData!$C$73),"")</f>
        <v>F0093</v>
      </c>
      <c r="D73" t="str">
        <f>IFERROR(IF(0=LEN(ReferenceData!$D$73),"",ReferenceData!$D$73),"")</f>
        <v>FED_REAL_ESTATE_LOANS_DOMESTIC</v>
      </c>
      <c r="E73" t="str">
        <f>IFERROR(IF(0=LEN(ReferenceData!$E$73),"",ReferenceData!$E$73),"")</f>
        <v>Dynamic</v>
      </c>
      <c r="F73">
        <f ca="1">IFERROR(IF(0=LEN(ReferenceData!$F$73),"",ReferenceData!$F$73),"")</f>
        <v>26501.798999999999</v>
      </c>
      <c r="G73">
        <f ca="1">IFERROR(IF(0=LEN(ReferenceData!$G$73),"",ReferenceData!$G$73),"")</f>
        <v>29079.4</v>
      </c>
      <c r="H73">
        <f ca="1">IFERROR(IF(0=LEN(ReferenceData!$H$73),"",ReferenceData!$H$73),"")</f>
        <v>30464.7</v>
      </c>
      <c r="I73">
        <f ca="1">IFERROR(IF(0=LEN(ReferenceData!$I$73),"",ReferenceData!$I$73),"")</f>
        <v>32189.448</v>
      </c>
      <c r="J73">
        <f ca="1">IFERROR(IF(0=LEN(ReferenceData!$J$73),"",ReferenceData!$J$73),"")</f>
        <v>32254.834999999999</v>
      </c>
      <c r="K73">
        <f ca="1">IFERROR(IF(0=LEN(ReferenceData!$K$73),"",ReferenceData!$K$73),"")</f>
        <v>31305.692999999999</v>
      </c>
      <c r="L73">
        <f ca="1">IFERROR(IF(0=LEN(ReferenceData!$L$73),"",ReferenceData!$L$73),"")</f>
        <v>31041.547999999999</v>
      </c>
      <c r="M73">
        <f ca="1">IFERROR(IF(0=LEN(ReferenceData!$M$73),"",ReferenceData!$M$73),"")</f>
        <v>48045.834000000003</v>
      </c>
      <c r="N73">
        <f ca="1">IFERROR(IF(0=LEN(ReferenceData!$N$73),"",ReferenceData!$N$73),"")</f>
        <v>52749.81</v>
      </c>
      <c r="O73">
        <f ca="1">IFERROR(IF(0=LEN(ReferenceData!$O$73),"",ReferenceData!$O$73),"")</f>
        <v>54394.455000000002</v>
      </c>
      <c r="P73">
        <f ca="1">IFERROR(IF(0=LEN(ReferenceData!$P$73),"",ReferenceData!$P$73),"")</f>
        <v>54212.781000000003</v>
      </c>
      <c r="Q73">
        <f ca="1">IFERROR(IF(0=LEN(ReferenceData!$Q$73),"",ReferenceData!$Q$73),"")</f>
        <v>58449.705999999998</v>
      </c>
      <c r="R73">
        <f ca="1">IFERROR(IF(0=LEN(ReferenceData!$R$73),"",ReferenceData!$R$73),"")</f>
        <v>65210.26</v>
      </c>
      <c r="S73">
        <f ca="1">IFERROR(IF(0=LEN(ReferenceData!$S$73),"",ReferenceData!$S$73),"")</f>
        <v>30985.473000000002</v>
      </c>
      <c r="T73">
        <f ca="1">IFERROR(IF(0=LEN(ReferenceData!$T$73),"",ReferenceData!$T$73),"")</f>
        <v>31522.41</v>
      </c>
      <c r="U73">
        <f ca="1">IFERROR(IF(0=LEN(ReferenceData!$U$73),"",ReferenceData!$U$73),"")</f>
        <v>35503.169000000002</v>
      </c>
      <c r="V73">
        <f ca="1">IFERROR(IF(0=LEN(ReferenceData!$V$73),"",ReferenceData!$V$73),"")</f>
        <v>30910.246999999999</v>
      </c>
      <c r="W73">
        <f ca="1">IFERROR(IF(0=LEN(ReferenceData!$W$73),"",ReferenceData!$W$73),"")</f>
        <v>32049.109</v>
      </c>
      <c r="X73">
        <f ca="1">IFERROR(IF(0=LEN(ReferenceData!$X$73),"",ReferenceData!$X$73),"")</f>
        <v>28923.062000000002</v>
      </c>
      <c r="Y73">
        <f ca="1">IFERROR(IF(0=LEN(ReferenceData!$Y$73),"",ReferenceData!$Y$73),"")</f>
        <v>6140.5320000000002</v>
      </c>
      <c r="Z73">
        <f ca="1">IFERROR(IF(0=LEN(ReferenceData!$Z$73),"",ReferenceData!$Z$73),"")</f>
        <v>40.158000000000001</v>
      </c>
      <c r="AA73" t="str">
        <f ca="1">IFERROR(IF(0=LEN(ReferenceData!$AA$73),"",ReferenceData!$AA$73),"")</f>
        <v/>
      </c>
      <c r="AB73" t="str">
        <f ca="1">IFERROR(IF(0=LEN(ReferenceData!$AB$73),"",ReferenceData!$AB$73),"")</f>
        <v/>
      </c>
      <c r="AC73" t="str">
        <f ca="1">IFERROR(IF(0=LEN(ReferenceData!$AC$73),"",ReferenceData!$AC$73),"")</f>
        <v/>
      </c>
      <c r="AD73" t="str">
        <f ca="1">IFERROR(IF(0=LEN(ReferenceData!$AD$73),"",ReferenceData!$AD$73),"")</f>
        <v/>
      </c>
      <c r="AE73" t="str">
        <f ca="1">IFERROR(IF(0=LEN(ReferenceData!$AE$73),"",ReferenceData!$AE$73),"")</f>
        <v/>
      </c>
      <c r="AF73" t="str">
        <f ca="1">IFERROR(IF(0=LEN(ReferenceData!$AF$73),"",ReferenceData!$AF$73),"")</f>
        <v/>
      </c>
      <c r="AG73" t="str">
        <f ca="1">IFERROR(IF(0=LEN(ReferenceData!$AG$73),"",ReferenceData!$AG$73),"")</f>
        <v/>
      </c>
      <c r="AH73" t="str">
        <f ca="1">IFERROR(IF(0=LEN(ReferenceData!$AH$73),"",ReferenceData!$AH$73),"")</f>
        <v/>
      </c>
      <c r="AI73" t="str">
        <f ca="1">IFERROR(IF(0=LEN(ReferenceData!$AI$73),"",ReferenceData!$AI$73),"")</f>
        <v/>
      </c>
      <c r="AJ73" t="str">
        <f ca="1">IFERROR(IF(0=LEN(ReferenceData!$AJ$73),"",ReferenceData!$AJ$73),"")</f>
        <v/>
      </c>
      <c r="AK73" t="str">
        <f ca="1">IFERROR(IF(0=LEN(ReferenceData!$AK$73),"",ReferenceData!$AK$73),"")</f>
        <v/>
      </c>
      <c r="AL73" t="str">
        <f ca="1">IFERROR(IF(0=LEN(ReferenceData!$AL$73),"",ReferenceData!$AL$73),"")</f>
        <v/>
      </c>
    </row>
    <row r="74" spans="1:38" x14ac:dyDescent="0.25">
      <c r="A74" t="str">
        <f>IFERROR(IF(0=LEN(ReferenceData!$A$74),"",ReferenceData!$A$74),"")</f>
        <v xml:space="preserve">        Comerica Inc</v>
      </c>
      <c r="B74" t="str">
        <f>IFERROR(IF(0=LEN(ReferenceData!$B$74),"",ReferenceData!$B$74),"")</f>
        <v>CMA US Equity</v>
      </c>
      <c r="C74" t="str">
        <f>IFERROR(IF(0=LEN(ReferenceData!$C$74),"",ReferenceData!$C$74),"")</f>
        <v>F0093</v>
      </c>
      <c r="D74" t="str">
        <f>IFERROR(IF(0=LEN(ReferenceData!$D$74),"",ReferenceData!$D$74),"")</f>
        <v>FED_REAL_ESTATE_LOANS_DOMESTIC</v>
      </c>
      <c r="E74" t="str">
        <f>IFERROR(IF(0=LEN(ReferenceData!$E$74),"",ReferenceData!$E$74),"")</f>
        <v>Dynamic</v>
      </c>
      <c r="F74" t="str">
        <f ca="1">IFERROR(IF(0=LEN(ReferenceData!$F$74),"",ReferenceData!$F$74),"")</f>
        <v/>
      </c>
      <c r="G74">
        <f ca="1">IFERROR(IF(0=LEN(ReferenceData!$G$74),"",ReferenceData!$G$74),"")</f>
        <v>22223</v>
      </c>
      <c r="H74">
        <f ca="1">IFERROR(IF(0=LEN(ReferenceData!$H$74),"",ReferenceData!$H$74),"")</f>
        <v>19676</v>
      </c>
      <c r="I74">
        <f ca="1">IFERROR(IF(0=LEN(ReferenceData!$I$74),"",ReferenceData!$I$74),"")</f>
        <v>17197</v>
      </c>
      <c r="J74">
        <f ca="1">IFERROR(IF(0=LEN(ReferenceData!$J$74),"",ReferenceData!$J$74),"")</f>
        <v>17134</v>
      </c>
      <c r="K74">
        <f ca="1">IFERROR(IF(0=LEN(ReferenceData!$K$74),"",ReferenceData!$K$74),"")</f>
        <v>16313</v>
      </c>
      <c r="L74">
        <f ca="1">IFERROR(IF(0=LEN(ReferenceData!$L$74),"",ReferenceData!$L$74),"")</f>
        <v>15722.134</v>
      </c>
      <c r="M74">
        <f ca="1">IFERROR(IF(0=LEN(ReferenceData!$M$74),"",ReferenceData!$M$74),"")</f>
        <v>15790.813</v>
      </c>
      <c r="N74">
        <f ca="1">IFERROR(IF(0=LEN(ReferenceData!$N$74),"",ReferenceData!$N$74),"")</f>
        <v>15520.5</v>
      </c>
      <c r="O74">
        <f ca="1">IFERROR(IF(0=LEN(ReferenceData!$O$74),"",ReferenceData!$O$74),"")</f>
        <v>14593</v>
      </c>
      <c r="P74">
        <f ca="1">IFERROR(IF(0=LEN(ReferenceData!$P$74),"",ReferenceData!$P$74),"")</f>
        <v>14007.195</v>
      </c>
      <c r="Q74">
        <f ca="1">IFERROR(IF(0=LEN(ReferenceData!$Q$74),"",ReferenceData!$Q$74),"")</f>
        <v>13657.528</v>
      </c>
      <c r="R74">
        <f ca="1">IFERROR(IF(0=LEN(ReferenceData!$R$74),"",ReferenceData!$R$74),"")</f>
        <v>13714.927</v>
      </c>
      <c r="S74">
        <f ca="1">IFERROR(IF(0=LEN(ReferenceData!$S$74),"",ReferenceData!$S$74),"")</f>
        <v>14778.312</v>
      </c>
      <c r="T74">
        <f ca="1">IFERROR(IF(0=LEN(ReferenceData!$T$74),"",ReferenceData!$T$74),"")</f>
        <v>15373.887000000001</v>
      </c>
      <c r="U74">
        <f ca="1">IFERROR(IF(0=LEN(ReferenceData!$U$74),"",ReferenceData!$U$74),"")</f>
        <v>17985.075000000001</v>
      </c>
      <c r="V74">
        <f ca="1">IFERROR(IF(0=LEN(ReferenceData!$V$74),"",ReferenceData!$V$74),"")</f>
        <v>21756.944</v>
      </c>
      <c r="W74">
        <f ca="1">IFERROR(IF(0=LEN(ReferenceData!$W$74),"",ReferenceData!$W$74),"")</f>
        <v>22065.496999999999</v>
      </c>
      <c r="X74">
        <f ca="1">IFERROR(IF(0=LEN(ReferenceData!$X$74),"",ReferenceData!$X$74),"")</f>
        <v>3467.2809999999999</v>
      </c>
      <c r="Y74">
        <f ca="1">IFERROR(IF(0=LEN(ReferenceData!$Y$74),"",ReferenceData!$Y$74),"")</f>
        <v>3446.01</v>
      </c>
      <c r="Z74">
        <f ca="1">IFERROR(IF(0=LEN(ReferenceData!$Z$74),"",ReferenceData!$Z$74),"")</f>
        <v>3205.393</v>
      </c>
      <c r="AA74">
        <f ca="1">IFERROR(IF(0=LEN(ReferenceData!$AA$74),"",ReferenceData!$AA$74),"")</f>
        <v>2987.223</v>
      </c>
      <c r="AB74">
        <f ca="1">IFERROR(IF(0=LEN(ReferenceData!$AB$74),"",ReferenceData!$AB$74),"")</f>
        <v>2822.9780000000001</v>
      </c>
      <c r="AC74">
        <f ca="1">IFERROR(IF(0=LEN(ReferenceData!$AC$74),"",ReferenceData!$AC$74),"")</f>
        <v>2570.8530000000001</v>
      </c>
      <c r="AD74">
        <f ca="1">IFERROR(IF(0=LEN(ReferenceData!$AD$74),"",ReferenceData!$AD$74),"")</f>
        <v>2474.9690000000001</v>
      </c>
      <c r="AE74">
        <f ca="1">IFERROR(IF(0=LEN(ReferenceData!$AE$74),"",ReferenceData!$AE$74),"")</f>
        <v>2419.7979999999998</v>
      </c>
      <c r="AF74">
        <f ca="1">IFERROR(IF(0=LEN(ReferenceData!$AF$74),"",ReferenceData!$AF$74),"")</f>
        <v>2513.7339999999999</v>
      </c>
      <c r="AG74">
        <f ca="1">IFERROR(IF(0=LEN(ReferenceData!$AG$74),"",ReferenceData!$AG$74),"")</f>
        <v>2828.2190000000001</v>
      </c>
      <c r="AH74">
        <f ca="1">IFERROR(IF(0=LEN(ReferenceData!$AH$74),"",ReferenceData!$AH$74),"")</f>
        <v>2979.5680000000002</v>
      </c>
      <c r="AI74">
        <f ca="1">IFERROR(IF(0=LEN(ReferenceData!$AI$74),"",ReferenceData!$AI$74),"")</f>
        <v>3526.404</v>
      </c>
      <c r="AJ74">
        <f ca="1">IFERROR(IF(0=LEN(ReferenceData!$AJ$74),"",ReferenceData!$AJ$74),"")</f>
        <v>3542.7020000000002</v>
      </c>
      <c r="AK74">
        <f ca="1">IFERROR(IF(0=LEN(ReferenceData!$AK$74),"",ReferenceData!$AK$74),"")</f>
        <v>3149.5230000000001</v>
      </c>
      <c r="AL74">
        <f ca="1">IFERROR(IF(0=LEN(ReferenceData!$AL$74),"",ReferenceData!$AL$74),"")</f>
        <v>3246.9560000000001</v>
      </c>
    </row>
    <row r="75" spans="1:38" x14ac:dyDescent="0.25">
      <c r="A75" t="str">
        <f>IFERROR(IF(0=LEN(ReferenceData!$A$75),"",ReferenceData!$A$75),"")</f>
        <v xml:space="preserve">        East West Bancorp Inc</v>
      </c>
      <c r="B75" t="str">
        <f>IFERROR(IF(0=LEN(ReferenceData!$B$75),"",ReferenceData!$B$75),"")</f>
        <v>EWBC US Equity</v>
      </c>
      <c r="C75" t="str">
        <f>IFERROR(IF(0=LEN(ReferenceData!$C$75),"",ReferenceData!$C$75),"")</f>
        <v>F0093</v>
      </c>
      <c r="D75" t="str">
        <f>IFERROR(IF(0=LEN(ReferenceData!$D$75),"",ReferenceData!$D$75),"")</f>
        <v>FED_REAL_ESTATE_LOANS_DOMESTIC</v>
      </c>
      <c r="E75" t="str">
        <f>IFERROR(IF(0=LEN(ReferenceData!$E$75),"",ReferenceData!$E$75),"")</f>
        <v>Dynamic</v>
      </c>
      <c r="F75" t="str">
        <f ca="1">IFERROR(IF(0=LEN(ReferenceData!$F$75),"",ReferenceData!$F$75),"")</f>
        <v/>
      </c>
      <c r="G75">
        <f ca="1">IFERROR(IF(0=LEN(ReferenceData!$G$75),"",ReferenceData!$G$75),"")</f>
        <v>36216.082999999999</v>
      </c>
      <c r="H75">
        <f ca="1">IFERROR(IF(0=LEN(ReferenceData!$H$75),"",ReferenceData!$H$75),"")</f>
        <v>33047.125999999997</v>
      </c>
      <c r="I75">
        <f ca="1">IFERROR(IF(0=LEN(ReferenceData!$I$75),"",ReferenceData!$I$75),"")</f>
        <v>28104.403999999999</v>
      </c>
      <c r="J75">
        <f ca="1">IFERROR(IF(0=LEN(ReferenceData!$J$75),"",ReferenceData!$J$75),"")</f>
        <v>25181.244999999999</v>
      </c>
      <c r="K75">
        <f ca="1">IFERROR(IF(0=LEN(ReferenceData!$K$75),"",ReferenceData!$K$75),"")</f>
        <v>22981.046999999999</v>
      </c>
      <c r="L75">
        <f ca="1">IFERROR(IF(0=LEN(ReferenceData!$L$75),"",ReferenceData!$L$75),"")</f>
        <v>20656.144</v>
      </c>
      <c r="M75">
        <f ca="1">IFERROR(IF(0=LEN(ReferenceData!$M$75),"",ReferenceData!$M$75),"")</f>
        <v>18658.221000000001</v>
      </c>
      <c r="N75">
        <f ca="1">IFERROR(IF(0=LEN(ReferenceData!$N$75),"",ReferenceData!$N$75),"")</f>
        <v>16090.254000000001</v>
      </c>
      <c r="O75">
        <f ca="1">IFERROR(IF(0=LEN(ReferenceData!$O$75),"",ReferenceData!$O$75),"")</f>
        <v>14917.67</v>
      </c>
      <c r="P75">
        <f ca="1">IFERROR(IF(0=LEN(ReferenceData!$P$75),"",ReferenceData!$P$75),"")</f>
        <v>13606.541999999999</v>
      </c>
      <c r="Q75">
        <f ca="1">IFERROR(IF(0=LEN(ReferenceData!$Q$75),"",ReferenceData!$Q$75),"")</f>
        <v>11206.550999999999</v>
      </c>
      <c r="R75">
        <f ca="1">IFERROR(IF(0=LEN(ReferenceData!$R$75),"",ReferenceData!$R$75),"")</f>
        <v>9608.1389999999992</v>
      </c>
      <c r="S75">
        <f ca="1">IFERROR(IF(0=LEN(ReferenceData!$S$75),"",ReferenceData!$S$75),"")</f>
        <v>9972.7330000000002</v>
      </c>
      <c r="T75">
        <f ca="1">IFERROR(IF(0=LEN(ReferenceData!$T$75),"",ReferenceData!$T$75),"")</f>
        <v>10045.353999999999</v>
      </c>
      <c r="U75">
        <f ca="1">IFERROR(IF(0=LEN(ReferenceData!$U$75),"",ReferenceData!$U$75),"")</f>
        <v>10936.829</v>
      </c>
      <c r="V75">
        <f ca="1">IFERROR(IF(0=LEN(ReferenceData!$V$75),"",ReferenceData!$V$75),"")</f>
        <v>6635.5029999999997</v>
      </c>
      <c r="W75">
        <f ca="1">IFERROR(IF(0=LEN(ReferenceData!$W$75),"",ReferenceData!$W$75),"")</f>
        <v>6971.94</v>
      </c>
      <c r="X75">
        <f ca="1">IFERROR(IF(0=LEN(ReferenceData!$X$75),"",ReferenceData!$X$75),"")</f>
        <v>2091.125</v>
      </c>
      <c r="Y75">
        <f ca="1">IFERROR(IF(0=LEN(ReferenceData!$Y$75),"",ReferenceData!$Y$75),"")</f>
        <v>1932.5840000000001</v>
      </c>
      <c r="Z75">
        <f ca="1">IFERROR(IF(0=LEN(ReferenceData!$Z$75),"",ReferenceData!$Z$75),"")</f>
        <v>1615.05</v>
      </c>
      <c r="AA75">
        <f ca="1">IFERROR(IF(0=LEN(ReferenceData!$AA$75),"",ReferenceData!$AA$75),"")</f>
        <v>1081.0809999999999</v>
      </c>
      <c r="AB75">
        <f ca="1">IFERROR(IF(0=LEN(ReferenceData!$AB$75),"",ReferenceData!$AB$75),"")</f>
        <v>826.67399999999998</v>
      </c>
      <c r="AC75">
        <f ca="1">IFERROR(IF(0=LEN(ReferenceData!$AC$75),"",ReferenceData!$AC$75),"")</f>
        <v>746.96100000000001</v>
      </c>
      <c r="AD75">
        <f ca="1">IFERROR(IF(0=LEN(ReferenceData!$AD$75),"",ReferenceData!$AD$75),"")</f>
        <v>692.95100000000002</v>
      </c>
      <c r="AE75">
        <f ca="1">IFERROR(IF(0=LEN(ReferenceData!$AE$75),"",ReferenceData!$AE$75),"")</f>
        <v>610.49800000000005</v>
      </c>
      <c r="AF75">
        <f ca="1">IFERROR(IF(0=LEN(ReferenceData!$AF$75),"",ReferenceData!$AF$75),"")</f>
        <v>449.47699999999998</v>
      </c>
      <c r="AG75" t="str">
        <f ca="1">IFERROR(IF(0=LEN(ReferenceData!$AG$75),"",ReferenceData!$AG$75),"")</f>
        <v/>
      </c>
      <c r="AH75" t="str">
        <f ca="1">IFERROR(IF(0=LEN(ReferenceData!$AH$75),"",ReferenceData!$AH$75),"")</f>
        <v/>
      </c>
      <c r="AI75" t="str">
        <f ca="1">IFERROR(IF(0=LEN(ReferenceData!$AI$75),"",ReferenceData!$AI$75),"")</f>
        <v/>
      </c>
      <c r="AJ75" t="str">
        <f ca="1">IFERROR(IF(0=LEN(ReferenceData!$AJ$75),"",ReferenceData!$AJ$75),"")</f>
        <v/>
      </c>
      <c r="AK75" t="str">
        <f ca="1">IFERROR(IF(0=LEN(ReferenceData!$AK$75),"",ReferenceData!$AK$75),"")</f>
        <v/>
      </c>
      <c r="AL75" t="str">
        <f ca="1">IFERROR(IF(0=LEN(ReferenceData!$AL$75),"",ReferenceData!$AL$75),"")</f>
        <v/>
      </c>
    </row>
    <row r="76" spans="1:38" x14ac:dyDescent="0.25">
      <c r="A76" t="str">
        <f>IFERROR(IF(0=LEN(ReferenceData!$A$76),"",ReferenceData!$A$76),"")</f>
        <v xml:space="preserve">        Fifth Third Bancorp</v>
      </c>
      <c r="B76" t="str">
        <f>IFERROR(IF(0=LEN(ReferenceData!$B$76),"",ReferenceData!$B$76),"")</f>
        <v>FITB US Equity</v>
      </c>
      <c r="C76" t="str">
        <f>IFERROR(IF(0=LEN(ReferenceData!$C$76),"",ReferenceData!$C$76),"")</f>
        <v>F0093</v>
      </c>
      <c r="D76" t="str">
        <f>IFERROR(IF(0=LEN(ReferenceData!$D$76),"",ReferenceData!$D$76),"")</f>
        <v>FED_REAL_ESTATE_LOANS_DOMESTIC</v>
      </c>
      <c r="E76" t="str">
        <f>IFERROR(IF(0=LEN(ReferenceData!$E$76),"",ReferenceData!$E$76),"")</f>
        <v>Dynamic</v>
      </c>
      <c r="F76">
        <f ca="1">IFERROR(IF(0=LEN(ReferenceData!$F$76),"",ReferenceData!$F$76),"")</f>
        <v>38653</v>
      </c>
      <c r="G76">
        <f ca="1">IFERROR(IF(0=LEN(ReferenceData!$G$76),"",ReferenceData!$G$76),"")</f>
        <v>36955</v>
      </c>
      <c r="H76">
        <f ca="1">IFERROR(IF(0=LEN(ReferenceData!$H$76),"",ReferenceData!$H$76),"")</f>
        <v>37535.139000000003</v>
      </c>
      <c r="I76">
        <f ca="1">IFERROR(IF(0=LEN(ReferenceData!$I$76),"",ReferenceData!$I$76),"")</f>
        <v>38940.813999999998</v>
      </c>
      <c r="J76">
        <f ca="1">IFERROR(IF(0=LEN(ReferenceData!$J$76),"",ReferenceData!$J$76),"")</f>
        <v>40718.885999999999</v>
      </c>
      <c r="K76">
        <f ca="1">IFERROR(IF(0=LEN(ReferenceData!$K$76),"",ReferenceData!$K$76),"")</f>
        <v>38949.11</v>
      </c>
      <c r="L76">
        <f ca="1">IFERROR(IF(0=LEN(ReferenceData!$L$76),"",ReferenceData!$L$76),"")</f>
        <v>33090.364999999998</v>
      </c>
      <c r="M76">
        <f ca="1">IFERROR(IF(0=LEN(ReferenceData!$M$76),"",ReferenceData!$M$76),"")</f>
        <v>33328.32</v>
      </c>
      <c r="N76">
        <f ca="1">IFERROR(IF(0=LEN(ReferenceData!$N$76),"",ReferenceData!$N$76),"")</f>
        <v>33903.972000000002</v>
      </c>
      <c r="O76">
        <f ca="1">IFERROR(IF(0=LEN(ReferenceData!$O$76),"",ReferenceData!$O$76),"")</f>
        <v>32483.626</v>
      </c>
      <c r="P76">
        <f ca="1">IFERROR(IF(0=LEN(ReferenceData!$P$76),"",ReferenceData!$P$76),"")</f>
        <v>31617.634999999998</v>
      </c>
      <c r="Q76">
        <f ca="1">IFERROR(IF(0=LEN(ReferenceData!$Q$76),"",ReferenceData!$Q$76),"")</f>
        <v>31928.345000000001</v>
      </c>
      <c r="R76">
        <f ca="1">IFERROR(IF(0=LEN(ReferenceData!$R$76),"",ReferenceData!$R$76),"")</f>
        <v>35115.256999999998</v>
      </c>
      <c r="S76">
        <f ca="1">IFERROR(IF(0=LEN(ReferenceData!$S$76),"",ReferenceData!$S$76),"")</f>
        <v>36614.874000000003</v>
      </c>
      <c r="T76">
        <f ca="1">IFERROR(IF(0=LEN(ReferenceData!$T$76),"",ReferenceData!$T$76),"")</f>
        <v>37165.281999999999</v>
      </c>
      <c r="U76">
        <f ca="1">IFERROR(IF(0=LEN(ReferenceData!$U$76),"",ReferenceData!$U$76),"")</f>
        <v>39870.339</v>
      </c>
      <c r="V76">
        <f ca="1">IFERROR(IF(0=LEN(ReferenceData!$V$76),"",ReferenceData!$V$76),"")</f>
        <v>43531.864999999998</v>
      </c>
      <c r="W76">
        <f ca="1">IFERROR(IF(0=LEN(ReferenceData!$W$76),"",ReferenceData!$W$76),"")</f>
        <v>43696.567000000003</v>
      </c>
      <c r="X76">
        <f ca="1">IFERROR(IF(0=LEN(ReferenceData!$X$76),"",ReferenceData!$X$76),"")</f>
        <v>22533.786</v>
      </c>
      <c r="Y76">
        <f ca="1">IFERROR(IF(0=LEN(ReferenceData!$Y$76),"",ReferenceData!$Y$76),"")</f>
        <v>21083.331999999999</v>
      </c>
      <c r="Z76">
        <f ca="1">IFERROR(IF(0=LEN(ReferenceData!$Z$76),"",ReferenceData!$Z$76),"")</f>
        <v>18989.095000000001</v>
      </c>
      <c r="AA76">
        <f ca="1">IFERROR(IF(0=LEN(ReferenceData!$AA$76),"",ReferenceData!$AA$76),"")</f>
        <v>15378.712</v>
      </c>
      <c r="AB76">
        <f ca="1">IFERROR(IF(0=LEN(ReferenceData!$AB$76),"",ReferenceData!$AB$76),"")</f>
        <v>16058.701999999999</v>
      </c>
      <c r="AC76">
        <f ca="1">IFERROR(IF(0=LEN(ReferenceData!$AC$76),"",ReferenceData!$AC$76),"")</f>
        <v>15030.694</v>
      </c>
      <c r="AD76">
        <f ca="1">IFERROR(IF(0=LEN(ReferenceData!$AD$76),"",ReferenceData!$AD$76),"")</f>
        <v>8242.5630000000001</v>
      </c>
      <c r="AE76">
        <f ca="1">IFERROR(IF(0=LEN(ReferenceData!$AE$76),"",ReferenceData!$AE$76),"")</f>
        <v>7405.6930000000002</v>
      </c>
      <c r="AF76">
        <f ca="1">IFERROR(IF(0=LEN(ReferenceData!$AF$76),"",ReferenceData!$AF$76),"")</f>
        <v>5997.2539999999999</v>
      </c>
      <c r="AG76">
        <f ca="1">IFERROR(IF(0=LEN(ReferenceData!$AG$76),"",ReferenceData!$AG$76),"")</f>
        <v>3366.9690000000001</v>
      </c>
      <c r="AH76">
        <f ca="1">IFERROR(IF(0=LEN(ReferenceData!$AH$76),"",ReferenceData!$AH$76),"")</f>
        <v>3032.6759999999999</v>
      </c>
      <c r="AI76">
        <f ca="1">IFERROR(IF(0=LEN(ReferenceData!$AI$76),"",ReferenceData!$AI$76),"")</f>
        <v>2670.3110000000001</v>
      </c>
      <c r="AJ76">
        <f ca="1">IFERROR(IF(0=LEN(ReferenceData!$AJ$76),"",ReferenceData!$AJ$76),"")</f>
        <v>2845.4209999999998</v>
      </c>
      <c r="AK76">
        <f ca="1">IFERROR(IF(0=LEN(ReferenceData!$AK$76),"",ReferenceData!$AK$76),"")</f>
        <v>2451.8649999999998</v>
      </c>
      <c r="AL76">
        <f ca="1">IFERROR(IF(0=LEN(ReferenceData!$AL$76),"",ReferenceData!$AL$76),"")</f>
        <v>2223.2220000000002</v>
      </c>
    </row>
    <row r="77" spans="1:38" x14ac:dyDescent="0.25">
      <c r="A77" t="str">
        <f>IFERROR(IF(0=LEN(ReferenceData!$A$77),"",ReferenceData!$A$77),"")</f>
        <v xml:space="preserve">        First Citizens BancShares Inc/</v>
      </c>
      <c r="B77" t="str">
        <f>IFERROR(IF(0=LEN(ReferenceData!$B$77),"",ReferenceData!$B$77),"")</f>
        <v>FCNCA US Equity</v>
      </c>
      <c r="C77" t="str">
        <f>IFERROR(IF(0=LEN(ReferenceData!$C$77),"",ReferenceData!$C$77),"")</f>
        <v>F0093</v>
      </c>
      <c r="D77" t="str">
        <f>IFERROR(IF(0=LEN(ReferenceData!$D$77),"",ReferenceData!$D$77),"")</f>
        <v>FED_REAL_ESTATE_LOANS_DOMESTIC</v>
      </c>
      <c r="E77" t="str">
        <f>IFERROR(IF(0=LEN(ReferenceData!$E$77),"",ReferenceData!$E$77),"")</f>
        <v>Dynamic</v>
      </c>
      <c r="F77">
        <f ca="1">IFERROR(IF(0=LEN(ReferenceData!$F$77),"",ReferenceData!$F$77),"")</f>
        <v>63920</v>
      </c>
      <c r="G77">
        <f ca="1">IFERROR(IF(0=LEN(ReferenceData!$G$77),"",ReferenceData!$G$77),"")</f>
        <v>59361.593999999997</v>
      </c>
      <c r="H77">
        <f ca="1">IFERROR(IF(0=LEN(ReferenceData!$H$77),"",ReferenceData!$H$77),"")</f>
        <v>42423.534</v>
      </c>
      <c r="I77">
        <f ca="1">IFERROR(IF(0=LEN(ReferenceData!$I$77),"",ReferenceData!$I$77),"")</f>
        <v>24383.14</v>
      </c>
      <c r="J77">
        <f ca="1">IFERROR(IF(0=LEN(ReferenceData!$J$77),"",ReferenceData!$J$77),"")</f>
        <v>23683.019</v>
      </c>
      <c r="K77">
        <f ca="1">IFERROR(IF(0=LEN(ReferenceData!$K$77),"",ReferenceData!$K$77),"")</f>
        <v>22445.261999999999</v>
      </c>
      <c r="L77">
        <f ca="1">IFERROR(IF(0=LEN(ReferenceData!$L$77),"",ReferenceData!$L$77),"")</f>
        <v>19612.580999999998</v>
      </c>
      <c r="M77">
        <f ca="1">IFERROR(IF(0=LEN(ReferenceData!$M$77),"",ReferenceData!$M$77),"")</f>
        <v>18149.2</v>
      </c>
      <c r="N77">
        <f ca="1">IFERROR(IF(0=LEN(ReferenceData!$N$77),"",ReferenceData!$N$77),"")</f>
        <v>16616.788</v>
      </c>
      <c r="O77">
        <f ca="1">IFERROR(IF(0=LEN(ReferenceData!$O$77),"",ReferenceData!$O$77),"")</f>
        <v>15645.904</v>
      </c>
      <c r="P77">
        <f ca="1">IFERROR(IF(0=LEN(ReferenceData!$P$77),"",ReferenceData!$P$77),"")</f>
        <v>14767.674999999999</v>
      </c>
      <c r="Q77">
        <f ca="1">IFERROR(IF(0=LEN(ReferenceData!$Q$77),"",ReferenceData!$Q$77),"")</f>
        <v>11137.316000000001</v>
      </c>
      <c r="R77">
        <f ca="1">IFERROR(IF(0=LEN(ReferenceData!$R$77),"",ReferenceData!$R$77),"")</f>
        <v>10787.587</v>
      </c>
      <c r="S77">
        <f ca="1">IFERROR(IF(0=LEN(ReferenceData!$S$77),"",ReferenceData!$S$77),"")</f>
        <v>11183.954</v>
      </c>
      <c r="T77">
        <f ca="1">IFERROR(IF(0=LEN(ReferenceData!$T$77),"",ReferenceData!$T$77),"")</f>
        <v>10487.344999999999</v>
      </c>
      <c r="U77">
        <f ca="1">IFERROR(IF(0=LEN(ReferenceData!$U$77),"",ReferenceData!$U$77),"")</f>
        <v>9498.5490000000009</v>
      </c>
      <c r="V77">
        <f ca="1">IFERROR(IF(0=LEN(ReferenceData!$V$77),"",ReferenceData!$V$77),"")</f>
        <v>8147.8190000000004</v>
      </c>
      <c r="W77">
        <f ca="1">IFERROR(IF(0=LEN(ReferenceData!$W$77),"",ReferenceData!$W$77),"")</f>
        <v>7462.3270000000002</v>
      </c>
      <c r="X77">
        <f ca="1">IFERROR(IF(0=LEN(ReferenceData!$X$77),"",ReferenceData!$X$77),"")</f>
        <v>2516.8609999999999</v>
      </c>
      <c r="Y77">
        <f ca="1">IFERROR(IF(0=LEN(ReferenceData!$Y$77),"",ReferenceData!$Y$77),"")</f>
        <v>2558.1390000000001</v>
      </c>
      <c r="Z77">
        <f ca="1">IFERROR(IF(0=LEN(ReferenceData!$Z$77),"",ReferenceData!$Z$77),"")</f>
        <v>2865.4009999999998</v>
      </c>
      <c r="AA77">
        <f ca="1">IFERROR(IF(0=LEN(ReferenceData!$AA$77),"",ReferenceData!$AA$77),"")</f>
        <v>2728.2779999999998</v>
      </c>
      <c r="AB77">
        <f ca="1">IFERROR(IF(0=LEN(ReferenceData!$AB$77),"",ReferenceData!$AB$77),"")</f>
        <v>2625.3690000000001</v>
      </c>
      <c r="AC77">
        <f ca="1">IFERROR(IF(0=LEN(ReferenceData!$AC$77),"",ReferenceData!$AC$77),"")</f>
        <v>2498.9</v>
      </c>
      <c r="AD77">
        <f ca="1">IFERROR(IF(0=LEN(ReferenceData!$AD$77),"",ReferenceData!$AD$77),"")</f>
        <v>2281.3939999999998</v>
      </c>
      <c r="AE77">
        <f ca="1">IFERROR(IF(0=LEN(ReferenceData!$AE$77),"",ReferenceData!$AE$77),"")</f>
        <v>1958.395</v>
      </c>
      <c r="AF77">
        <f ca="1">IFERROR(IF(0=LEN(ReferenceData!$AF$77),"",ReferenceData!$AF$77),"")</f>
        <v>1851.5419999999999</v>
      </c>
      <c r="AG77">
        <f ca="1">IFERROR(IF(0=LEN(ReferenceData!$AG$77),"",ReferenceData!$AG$77),"")</f>
        <v>2065.7249999999999</v>
      </c>
      <c r="AH77">
        <f ca="1">IFERROR(IF(0=LEN(ReferenceData!$AH$77),"",ReferenceData!$AH$77),"")</f>
        <v>2084.3159999999998</v>
      </c>
      <c r="AI77">
        <f ca="1">IFERROR(IF(0=LEN(ReferenceData!$AI$77),"",ReferenceData!$AI$77),"")</f>
        <v>1965.578</v>
      </c>
      <c r="AJ77">
        <f ca="1">IFERROR(IF(0=LEN(ReferenceData!$AJ$77),"",ReferenceData!$AJ$77),"")</f>
        <v>1753.1669999999999</v>
      </c>
      <c r="AK77">
        <f ca="1">IFERROR(IF(0=LEN(ReferenceData!$AK$77),"",ReferenceData!$AK$77),"")</f>
        <v>1487.4829999999999</v>
      </c>
      <c r="AL77">
        <f ca="1">IFERROR(IF(0=LEN(ReferenceData!$AL$77),"",ReferenceData!$AL$77),"")</f>
        <v>1364.4929999999999</v>
      </c>
    </row>
    <row r="78" spans="1:38" x14ac:dyDescent="0.25">
      <c r="A78" t="str">
        <f>IFERROR(IF(0=LEN(ReferenceData!$A$78),"",ReferenceData!$A$78),"")</f>
        <v xml:space="preserve">        Flagstar Financial Inc</v>
      </c>
      <c r="B78" t="str">
        <f>IFERROR(IF(0=LEN(ReferenceData!$B$78),"",ReferenceData!$B$78),"")</f>
        <v>FLG US Equity</v>
      </c>
      <c r="C78" t="str">
        <f>IFERROR(IF(0=LEN(ReferenceData!$C$78),"",ReferenceData!$C$78),"")</f>
        <v>F0093</v>
      </c>
      <c r="D78" t="str">
        <f>IFERROR(IF(0=LEN(ReferenceData!$D$78),"",ReferenceData!$D$78),"")</f>
        <v>FED_REAL_ESTATE_LOANS_DOMESTIC</v>
      </c>
      <c r="E78" t="str">
        <f>IFERROR(IF(0=LEN(ReferenceData!$E$78),"",ReferenceData!$E$78),"")</f>
        <v>Dynamic</v>
      </c>
      <c r="F78">
        <f ca="1">IFERROR(IF(0=LEN(ReferenceData!$F$78),"",ReferenceData!$F$78),"")</f>
        <v>53532.53</v>
      </c>
      <c r="G78">
        <f ca="1">IFERROR(IF(0=LEN(ReferenceData!$G$78),"",ReferenceData!$G$78),"")</f>
        <v>59102.834999999999</v>
      </c>
      <c r="H78">
        <f ca="1">IFERROR(IF(0=LEN(ReferenceData!$H$78),"",ReferenceData!$H$78),"")</f>
        <v>56479.502</v>
      </c>
      <c r="I78">
        <f ca="1">IFERROR(IF(0=LEN(ReferenceData!$I$78),"",ReferenceData!$I$78),"")</f>
        <v>41697.951999999997</v>
      </c>
      <c r="J78">
        <f ca="1">IFERROR(IF(0=LEN(ReferenceData!$J$78),"",ReferenceData!$J$78),"")</f>
        <v>39426.186000000002</v>
      </c>
      <c r="K78">
        <f ca="1">IFERROR(IF(0=LEN(ReferenceData!$K$78),"",ReferenceData!$K$78),"")</f>
        <v>38847.726000000002</v>
      </c>
      <c r="L78">
        <f ca="1">IFERROR(IF(0=LEN(ReferenceData!$L$78),"",ReferenceData!$L$78),"")</f>
        <v>37759.339999999997</v>
      </c>
      <c r="M78">
        <f ca="1">IFERROR(IF(0=LEN(ReferenceData!$M$78),"",ReferenceData!$M$78),"")</f>
        <v>36365.139000000003</v>
      </c>
      <c r="N78">
        <f ca="1">IFERROR(IF(0=LEN(ReferenceData!$N$78),"",ReferenceData!$N$78),"")</f>
        <v>37568.722999999998</v>
      </c>
      <c r="O78">
        <f ca="1">IFERROR(IF(0=LEN(ReferenceData!$O$78),"",ReferenceData!$O$78),"")</f>
        <v>36721.963000000003</v>
      </c>
      <c r="P78">
        <f ca="1">IFERROR(IF(0=LEN(ReferenceData!$P$78),"",ReferenceData!$P$78),"")</f>
        <v>34546.004999999997</v>
      </c>
      <c r="Q78">
        <f ca="1">IFERROR(IF(0=LEN(ReferenceData!$Q$78),"",ReferenceData!$Q$78),"")</f>
        <v>32091.013999999999</v>
      </c>
      <c r="R78">
        <f ca="1">IFERROR(IF(0=LEN(ReferenceData!$R$78),"",ReferenceData!$R$78),"")</f>
        <v>31138.721000000001</v>
      </c>
      <c r="S78">
        <f ca="1">IFERROR(IF(0=LEN(ReferenceData!$S$78),"",ReferenceData!$S$78),"")</f>
        <v>29646.51</v>
      </c>
      <c r="T78">
        <f ca="1">IFERROR(IF(0=LEN(ReferenceData!$T$78),"",ReferenceData!$T$78),"")</f>
        <v>28472.128000000001</v>
      </c>
      <c r="U78">
        <f ca="1">IFERROR(IF(0=LEN(ReferenceData!$U$78),"",ReferenceData!$U$78),"")</f>
        <v>27709.499</v>
      </c>
      <c r="V78">
        <f ca="1">IFERROR(IF(0=LEN(ReferenceData!$V$78),"",ReferenceData!$V$78),"")</f>
        <v>21448.824000000001</v>
      </c>
      <c r="W78">
        <f ca="1">IFERROR(IF(0=LEN(ReferenceData!$W$78),"",ReferenceData!$W$78),"")</f>
        <v>19575.513999999999</v>
      </c>
      <c r="X78">
        <f ca="1">IFERROR(IF(0=LEN(ReferenceData!$X$78),"",ReferenceData!$X$78),"")</f>
        <v>14777.341</v>
      </c>
      <c r="Y78">
        <f ca="1">IFERROR(IF(0=LEN(ReferenceData!$Y$78),"",ReferenceData!$Y$78),"")</f>
        <v>13128.787</v>
      </c>
      <c r="Z78">
        <f ca="1">IFERROR(IF(0=LEN(ReferenceData!$Z$78),"",ReferenceData!$Z$78),"")</f>
        <v>10354.621999999999</v>
      </c>
      <c r="AA78">
        <f ca="1">IFERROR(IF(0=LEN(ReferenceData!$AA$78),"",ReferenceData!$AA$78),"")</f>
        <v>8242.482</v>
      </c>
      <c r="AB78">
        <f ca="1">IFERROR(IF(0=LEN(ReferenceData!$AB$78),"",ReferenceData!$AB$78),"")</f>
        <v>4763.2690000000002</v>
      </c>
      <c r="AC78">
        <f ca="1">IFERROR(IF(0=LEN(ReferenceData!$AC$78),"",ReferenceData!$AC$78),"")</f>
        <v>4668.2740000000003</v>
      </c>
      <c r="AD78">
        <f ca="1">IFERROR(IF(0=LEN(ReferenceData!$AD$78),"",ReferenceData!$AD$78),"")</f>
        <v>1601.162</v>
      </c>
      <c r="AE78">
        <f ca="1">IFERROR(IF(0=LEN(ReferenceData!$AE$78),"",ReferenceData!$AE$78),"")</f>
        <v>1509.848</v>
      </c>
      <c r="AF78">
        <f ca="1">IFERROR(IF(0=LEN(ReferenceData!$AF$78),"",ReferenceData!$AF$78),"")</f>
        <v>1428.05</v>
      </c>
      <c r="AG78">
        <f ca="1">IFERROR(IF(0=LEN(ReferenceData!$AG$78),"",ReferenceData!$AG$78),"")</f>
        <v>1343.182</v>
      </c>
      <c r="AH78">
        <f ca="1">IFERROR(IF(0=LEN(ReferenceData!$AH$78),"",ReferenceData!$AH$78),"")</f>
        <v>1092.145</v>
      </c>
      <c r="AI78">
        <f ca="1">IFERROR(IF(0=LEN(ReferenceData!$AI$78),"",ReferenceData!$AI$78),"")</f>
        <v>944.26900000000001</v>
      </c>
      <c r="AJ78">
        <f ca="1">IFERROR(IF(0=LEN(ReferenceData!$AJ$78),"",ReferenceData!$AJ$78),"")</f>
        <v>881.32500000000005</v>
      </c>
      <c r="AK78">
        <f ca="1">IFERROR(IF(0=LEN(ReferenceData!$AK$78),"",ReferenceData!$AK$78),"")</f>
        <v>717.74300000000005</v>
      </c>
      <c r="AL78" t="str">
        <f ca="1">IFERROR(IF(0=LEN(ReferenceData!$AL$78),"",ReferenceData!$AL$78),"")</f>
        <v/>
      </c>
    </row>
    <row r="79" spans="1:38" x14ac:dyDescent="0.25">
      <c r="A79" t="str">
        <f>IFERROR(IF(0=LEN(ReferenceData!$A$79),"",ReferenceData!$A$79),"")</f>
        <v xml:space="preserve">        Huntington Bancshares Inc/OH</v>
      </c>
      <c r="B79" t="str">
        <f>IFERROR(IF(0=LEN(ReferenceData!$B$79),"",ReferenceData!$B$79),"")</f>
        <v>HBAN US Equity</v>
      </c>
      <c r="C79" t="str">
        <f>IFERROR(IF(0=LEN(ReferenceData!$C$79),"",ReferenceData!$C$79),"")</f>
        <v>F0093</v>
      </c>
      <c r="D79" t="str">
        <f>IFERROR(IF(0=LEN(ReferenceData!$D$79),"",ReferenceData!$D$79),"")</f>
        <v>FED_REAL_ESTATE_LOANS_DOMESTIC</v>
      </c>
      <c r="E79" t="str">
        <f>IFERROR(IF(0=LEN(ReferenceData!$E$79),"",ReferenceData!$E$79),"")</f>
        <v>Dynamic</v>
      </c>
      <c r="F79">
        <f ca="1">IFERROR(IF(0=LEN(ReferenceData!$F$79),"",ReferenceData!$F$79),"")</f>
        <v>53483.928</v>
      </c>
      <c r="G79">
        <f ca="1">IFERROR(IF(0=LEN(ReferenceData!$G$79),"",ReferenceData!$G$79),"")</f>
        <v>53402.294000000002</v>
      </c>
      <c r="H79">
        <f ca="1">IFERROR(IF(0=LEN(ReferenceData!$H$79),"",ReferenceData!$H$79),"")</f>
        <v>53149.311000000002</v>
      </c>
      <c r="I79">
        <f ca="1">IFERROR(IF(0=LEN(ReferenceData!$I$79),"",ReferenceData!$I$79),"")</f>
        <v>50796.968999999997</v>
      </c>
      <c r="J79">
        <f ca="1">IFERROR(IF(0=LEN(ReferenceData!$J$79),"",ReferenceData!$J$79),"")</f>
        <v>32425.785</v>
      </c>
      <c r="K79">
        <f ca="1">IFERROR(IF(0=LEN(ReferenceData!$K$79),"",ReferenceData!$K$79),"")</f>
        <v>30923.15</v>
      </c>
      <c r="L79">
        <f ca="1">IFERROR(IF(0=LEN(ReferenceData!$L$79),"",ReferenceData!$L$79),"")</f>
        <v>31072.44</v>
      </c>
      <c r="M79">
        <f ca="1">IFERROR(IF(0=LEN(ReferenceData!$M$79),"",ReferenceData!$M$79),"")</f>
        <v>30028.988000000001</v>
      </c>
      <c r="N79">
        <f ca="1">IFERROR(IF(0=LEN(ReferenceData!$N$79),"",ReferenceData!$N$79),"")</f>
        <v>29780.175999999999</v>
      </c>
      <c r="O79">
        <f ca="1">IFERROR(IF(0=LEN(ReferenceData!$O$79),"",ReferenceData!$O$79),"")</f>
        <v>22604.331999999999</v>
      </c>
      <c r="P79">
        <f ca="1">IFERROR(IF(0=LEN(ReferenceData!$P$79),"",ReferenceData!$P$79),"")</f>
        <v>22923.406999999999</v>
      </c>
      <c r="Q79">
        <f ca="1">IFERROR(IF(0=LEN(ReferenceData!$Q$79),"",ReferenceData!$Q$79),"")</f>
        <v>21964.952000000001</v>
      </c>
      <c r="R79">
        <f ca="1">IFERROR(IF(0=LEN(ReferenceData!$R$79),"",ReferenceData!$R$79),"")</f>
        <v>22042.948</v>
      </c>
      <c r="S79">
        <f ca="1">IFERROR(IF(0=LEN(ReferenceData!$S$79),"",ReferenceData!$S$79),"")</f>
        <v>22656.348999999998</v>
      </c>
      <c r="T79">
        <f ca="1">IFERROR(IF(0=LEN(ReferenceData!$T$79),"",ReferenceData!$T$79),"")</f>
        <v>22806.440999999999</v>
      </c>
      <c r="U79">
        <f ca="1">IFERROR(IF(0=LEN(ReferenceData!$U$79),"",ReferenceData!$U$79),"")</f>
        <v>24044.321</v>
      </c>
      <c r="V79">
        <f ca="1">IFERROR(IF(0=LEN(ReferenceData!$V$79),"",ReferenceData!$V$79),"")</f>
        <v>25953.167000000001</v>
      </c>
      <c r="W79">
        <f ca="1">IFERROR(IF(0=LEN(ReferenceData!$W$79),"",ReferenceData!$W$79),"")</f>
        <v>25817.452000000001</v>
      </c>
      <c r="X79">
        <f ca="1">IFERROR(IF(0=LEN(ReferenceData!$X$79),"",ReferenceData!$X$79),"")</f>
        <v>10205.789000000001</v>
      </c>
      <c r="Y79">
        <f ca="1">IFERROR(IF(0=LEN(ReferenceData!$Y$79),"",ReferenceData!$Y$79),"")</f>
        <v>9632.85</v>
      </c>
      <c r="Z79">
        <f ca="1">IFERROR(IF(0=LEN(ReferenceData!$Z$79),"",ReferenceData!$Z$79),"")</f>
        <v>9223.9940000000006</v>
      </c>
      <c r="AA79">
        <f ca="1">IFERROR(IF(0=LEN(ReferenceData!$AA$79),"",ReferenceData!$AA$79),"")</f>
        <v>6629.6859999999997</v>
      </c>
      <c r="AB79">
        <f ca="1">IFERROR(IF(0=LEN(ReferenceData!$AB$79),"",ReferenceData!$AB$79),"")</f>
        <v>5757.8419999999996</v>
      </c>
      <c r="AC79">
        <f ca="1">IFERROR(IF(0=LEN(ReferenceData!$AC$79),"",ReferenceData!$AC$79),"")</f>
        <v>5608.2709999999997</v>
      </c>
      <c r="AD79">
        <f ca="1">IFERROR(IF(0=LEN(ReferenceData!$AD$79),"",ReferenceData!$AD$79),"")</f>
        <v>4693.8379999999997</v>
      </c>
      <c r="AE79">
        <f ca="1">IFERROR(IF(0=LEN(ReferenceData!$AE$79),"",ReferenceData!$AE$79),"")</f>
        <v>4486.9430000000002</v>
      </c>
      <c r="AF79">
        <f ca="1">IFERROR(IF(0=LEN(ReferenceData!$AF$79),"",ReferenceData!$AF$79),"")</f>
        <v>4501.8289999999997</v>
      </c>
      <c r="AG79">
        <f ca="1">IFERROR(IF(0=LEN(ReferenceData!$AG$79),"",ReferenceData!$AG$79),"")</f>
        <v>3823.2040000000002</v>
      </c>
      <c r="AH79">
        <f ca="1">IFERROR(IF(0=LEN(ReferenceData!$AH$79),"",ReferenceData!$AH$79),"")</f>
        <v>2896.0309999999999</v>
      </c>
      <c r="AI79">
        <f ca="1">IFERROR(IF(0=LEN(ReferenceData!$AI$79),"",ReferenceData!$AI$79),"")</f>
        <v>2892.154</v>
      </c>
      <c r="AJ79">
        <f ca="1">IFERROR(IF(0=LEN(ReferenceData!$AJ$79),"",ReferenceData!$AJ$79),"")</f>
        <v>3028.0459999999998</v>
      </c>
      <c r="AK79">
        <f ca="1">IFERROR(IF(0=LEN(ReferenceData!$AK$79),"",ReferenceData!$AK$79),"")</f>
        <v>3572.8580000000002</v>
      </c>
      <c r="AL79">
        <f ca="1">IFERROR(IF(0=LEN(ReferenceData!$AL$79),"",ReferenceData!$AL$79),"")</f>
        <v>1977.751</v>
      </c>
    </row>
    <row r="80" spans="1:38" x14ac:dyDescent="0.25">
      <c r="A80" t="str">
        <f>IFERROR(IF(0=LEN(ReferenceData!$A$80),"",ReferenceData!$A$80),"")</f>
        <v xml:space="preserve">        JPMorgan Chase &amp; Co</v>
      </c>
      <c r="B80" t="str">
        <f>IFERROR(IF(0=LEN(ReferenceData!$B$80),"",ReferenceData!$B$80),"")</f>
        <v>JPM US Equity</v>
      </c>
      <c r="C80" t="str">
        <f>IFERROR(IF(0=LEN(ReferenceData!$C$80),"",ReferenceData!$C$80),"")</f>
        <v>F0093</v>
      </c>
      <c r="D80" t="str">
        <f>IFERROR(IF(0=LEN(ReferenceData!$D$80),"",ReferenceData!$D$80),"")</f>
        <v>FED_REAL_ESTATE_LOANS_DOMESTIC</v>
      </c>
      <c r="E80" t="str">
        <f>IFERROR(IF(0=LEN(ReferenceData!$E$80),"",ReferenceData!$E$80),"")</f>
        <v>Dynamic</v>
      </c>
      <c r="F80">
        <f ca="1">IFERROR(IF(0=LEN(ReferenceData!$F$80),"",ReferenceData!$F$80),"")</f>
        <v>491456</v>
      </c>
      <c r="G80">
        <f ca="1">IFERROR(IF(0=LEN(ReferenceData!$G$80),"",ReferenceData!$G$80),"")</f>
        <v>504300</v>
      </c>
      <c r="H80">
        <f ca="1">IFERROR(IF(0=LEN(ReferenceData!$H$80),"",ReferenceData!$H$80),"")</f>
        <v>379696</v>
      </c>
      <c r="I80">
        <f ca="1">IFERROR(IF(0=LEN(ReferenceData!$I$80),"",ReferenceData!$I$80),"")</f>
        <v>377412</v>
      </c>
      <c r="J80">
        <f ca="1">IFERROR(IF(0=LEN(ReferenceData!$J$80),"",ReferenceData!$J$80),"")</f>
        <v>367001</v>
      </c>
      <c r="K80">
        <f ca="1">IFERROR(IF(0=LEN(ReferenceData!$K$80),"",ReferenceData!$K$80),"")</f>
        <v>369894</v>
      </c>
      <c r="L80">
        <f ca="1">IFERROR(IF(0=LEN(ReferenceData!$L$80),"",ReferenceData!$L$80),"")</f>
        <v>402637</v>
      </c>
      <c r="M80">
        <f ca="1">IFERROR(IF(0=LEN(ReferenceData!$M$80),"",ReferenceData!$M$80),"")</f>
        <v>397029</v>
      </c>
      <c r="N80">
        <f ca="1">IFERROR(IF(0=LEN(ReferenceData!$N$80),"",ReferenceData!$N$80),"")</f>
        <v>376985</v>
      </c>
      <c r="O80">
        <f ca="1">IFERROR(IF(0=LEN(ReferenceData!$O$80),"",ReferenceData!$O$80),"")</f>
        <v>348323</v>
      </c>
      <c r="P80">
        <f ca="1">IFERROR(IF(0=LEN(ReferenceData!$P$80),"",ReferenceData!$P$80),"")</f>
        <v>292946</v>
      </c>
      <c r="Q80">
        <f ca="1">IFERROR(IF(0=LEN(ReferenceData!$Q$80),"",ReferenceData!$Q$80),"")</f>
        <v>284369</v>
      </c>
      <c r="R80">
        <f ca="1">IFERROR(IF(0=LEN(ReferenceData!$R$80),"",ReferenceData!$R$80),"")</f>
        <v>284335</v>
      </c>
      <c r="S80">
        <f ca="1">IFERROR(IF(0=LEN(ReferenceData!$S$80),"",ReferenceData!$S$80),"")</f>
        <v>294663</v>
      </c>
      <c r="T80">
        <f ca="1">IFERROR(IF(0=LEN(ReferenceData!$T$80),"",ReferenceData!$T$80),"")</f>
        <v>309853</v>
      </c>
      <c r="U80">
        <f ca="1">IFERROR(IF(0=LEN(ReferenceData!$U$80),"",ReferenceData!$U$80),"")</f>
        <v>333778</v>
      </c>
      <c r="V80">
        <f ca="1">IFERROR(IF(0=LEN(ReferenceData!$V$80),"",ReferenceData!$V$80),"")</f>
        <v>366455</v>
      </c>
      <c r="W80">
        <f ca="1">IFERROR(IF(0=LEN(ReferenceData!$W$80),"",ReferenceData!$W$80),"")</f>
        <v>197923</v>
      </c>
      <c r="X80">
        <f ca="1">IFERROR(IF(0=LEN(ReferenceData!$X$80),"",ReferenceData!$X$80),"")</f>
        <v>160867</v>
      </c>
      <c r="Y80">
        <f ca="1">IFERROR(IF(0=LEN(ReferenceData!$Y$80),"",ReferenceData!$Y$80),"")</f>
        <v>147995</v>
      </c>
      <c r="Z80">
        <f ca="1">IFERROR(IF(0=LEN(ReferenceData!$Z$80),"",ReferenceData!$Z$80),"")</f>
        <v>134306</v>
      </c>
      <c r="AA80">
        <f ca="1">IFERROR(IF(0=LEN(ReferenceData!$AA$80),"",ReferenceData!$AA$80),"")</f>
        <v>73240</v>
      </c>
      <c r="AB80">
        <f ca="1">IFERROR(IF(0=LEN(ReferenceData!$AB$80),"",ReferenceData!$AB$80),"")</f>
        <v>63545</v>
      </c>
      <c r="AC80">
        <f ca="1">IFERROR(IF(0=LEN(ReferenceData!$AC$80),"",ReferenceData!$AC$80),"")</f>
        <v>59370</v>
      </c>
      <c r="AD80">
        <f ca="1">IFERROR(IF(0=LEN(ReferenceData!$AD$80),"",ReferenceData!$AD$80),"")</f>
        <v>50358.603000000003</v>
      </c>
      <c r="AE80">
        <f ca="1">IFERROR(IF(0=LEN(ReferenceData!$AE$80),"",ReferenceData!$AE$80),"")</f>
        <v>44651.169000000002</v>
      </c>
      <c r="AF80">
        <f ca="1">IFERROR(IF(0=LEN(ReferenceData!$AF$80),"",ReferenceData!$AF$80),"")</f>
        <v>41975.542000000001</v>
      </c>
      <c r="AG80">
        <f ca="1">IFERROR(IF(0=LEN(ReferenceData!$AG$80),"",ReferenceData!$AG$80),"")</f>
        <v>38938.514000000003</v>
      </c>
      <c r="AH80" t="str">
        <f ca="1">IFERROR(IF(0=LEN(ReferenceData!$AH$80),"",ReferenceData!$AH$80),"")</f>
        <v/>
      </c>
      <c r="AI80" t="str">
        <f ca="1">IFERROR(IF(0=LEN(ReferenceData!$AI$80),"",ReferenceData!$AI$80),"")</f>
        <v/>
      </c>
      <c r="AJ80" t="str">
        <f ca="1">IFERROR(IF(0=LEN(ReferenceData!$AJ$80),"",ReferenceData!$AJ$80),"")</f>
        <v/>
      </c>
      <c r="AK80" t="str">
        <f ca="1">IFERROR(IF(0=LEN(ReferenceData!$AK$80),"",ReferenceData!$AK$80),"")</f>
        <v/>
      </c>
      <c r="AL80" t="str">
        <f ca="1">IFERROR(IF(0=LEN(ReferenceData!$AL$80),"",ReferenceData!$AL$80),"")</f>
        <v/>
      </c>
    </row>
    <row r="81" spans="1:38" x14ac:dyDescent="0.25">
      <c r="A81" t="str">
        <f>IFERROR(IF(0=LEN(ReferenceData!$A$81),"",ReferenceData!$A$81),"")</f>
        <v xml:space="preserve">        KeyCorp</v>
      </c>
      <c r="B81" t="str">
        <f>IFERROR(IF(0=LEN(ReferenceData!$B$81),"",ReferenceData!$B$81),"")</f>
        <v>KEY US Equity</v>
      </c>
      <c r="C81" t="str">
        <f>IFERROR(IF(0=LEN(ReferenceData!$C$81),"",ReferenceData!$C$81),"")</f>
        <v>F0093</v>
      </c>
      <c r="D81" t="str">
        <f>IFERROR(IF(0=LEN(ReferenceData!$D$81),"",ReferenceData!$D$81),"")</f>
        <v>FED_REAL_ESTATE_LOANS_DOMESTIC</v>
      </c>
      <c r="E81" t="str">
        <f>IFERROR(IF(0=LEN(ReferenceData!$E$81),"",ReferenceData!$E$81),"")</f>
        <v>Dynamic</v>
      </c>
      <c r="F81">
        <f ca="1">IFERROR(IF(0=LEN(ReferenceData!$F$81),"",ReferenceData!$F$81),"")</f>
        <v>43195.122000000003</v>
      </c>
      <c r="G81">
        <f ca="1">IFERROR(IF(0=LEN(ReferenceData!$G$81),"",ReferenceData!$G$81),"")</f>
        <v>46784.016000000003</v>
      </c>
      <c r="H81">
        <f ca="1">IFERROR(IF(0=LEN(ReferenceData!$H$81),"",ReferenceData!$H$81),"")</f>
        <v>48684.159</v>
      </c>
      <c r="I81">
        <f ca="1">IFERROR(IF(0=LEN(ReferenceData!$I$81),"",ReferenceData!$I$81),"")</f>
        <v>41754.89</v>
      </c>
      <c r="J81">
        <f ca="1">IFERROR(IF(0=LEN(ReferenceData!$J$81),"",ReferenceData!$J$81),"")</f>
        <v>34609.233</v>
      </c>
      <c r="K81">
        <f ca="1">IFERROR(IF(0=LEN(ReferenceData!$K$81),"",ReferenceData!$K$81),"")</f>
        <v>33258.222999999998</v>
      </c>
      <c r="L81">
        <f ca="1">IFERROR(IF(0=LEN(ReferenceData!$L$81),"",ReferenceData!$L$81),"")</f>
        <v>33564.197999999997</v>
      </c>
      <c r="M81">
        <f ca="1">IFERROR(IF(0=LEN(ReferenceData!$M$81),"",ReferenceData!$M$81),"")</f>
        <v>34527.839999999997</v>
      </c>
      <c r="N81">
        <f ca="1">IFERROR(IF(0=LEN(ReferenceData!$N$81),"",ReferenceData!$N$81),"")</f>
        <v>36763.455999999998</v>
      </c>
      <c r="O81">
        <f ca="1">IFERROR(IF(0=LEN(ReferenceData!$O$81),"",ReferenceData!$O$81),"")</f>
        <v>22138.687999999998</v>
      </c>
      <c r="P81">
        <f ca="1">IFERROR(IF(0=LEN(ReferenceData!$P$81),"",ReferenceData!$P$81),"")</f>
        <v>22661.379000000001</v>
      </c>
      <c r="Q81">
        <f ca="1">IFERROR(IF(0=LEN(ReferenceData!$Q$81),"",ReferenceData!$Q$81),"")</f>
        <v>21997.878000000001</v>
      </c>
      <c r="R81">
        <f ca="1">IFERROR(IF(0=LEN(ReferenceData!$R$81),"",ReferenceData!$R$81),"")</f>
        <v>21697.291000000001</v>
      </c>
      <c r="S81">
        <f ca="1">IFERROR(IF(0=LEN(ReferenceData!$S$81),"",ReferenceData!$S$81),"")</f>
        <v>21756.109</v>
      </c>
      <c r="T81">
        <f ca="1">IFERROR(IF(0=LEN(ReferenceData!$T$81),"",ReferenceData!$T$81),"")</f>
        <v>23895.46</v>
      </c>
      <c r="U81">
        <f ca="1">IFERROR(IF(0=LEN(ReferenceData!$U$81),"",ReferenceData!$U$81),"")</f>
        <v>28280.225999999999</v>
      </c>
      <c r="V81">
        <f ca="1">IFERROR(IF(0=LEN(ReferenceData!$V$81),"",ReferenceData!$V$81),"")</f>
        <v>32133.809000000001</v>
      </c>
      <c r="W81">
        <f ca="1">IFERROR(IF(0=LEN(ReferenceData!$W$81),"",ReferenceData!$W$81),"")</f>
        <v>31544.374</v>
      </c>
      <c r="X81">
        <f ca="1">IFERROR(IF(0=LEN(ReferenceData!$X$81),"",ReferenceData!$X$81),"")</f>
        <v>13314.376</v>
      </c>
      <c r="Y81">
        <f ca="1">IFERROR(IF(0=LEN(ReferenceData!$Y$81),"",ReferenceData!$Y$81),"")</f>
        <v>15722.591</v>
      </c>
      <c r="Z81">
        <f ca="1">IFERROR(IF(0=LEN(ReferenceData!$Z$81),"",ReferenceData!$Z$81),"")</f>
        <v>16276.064</v>
      </c>
      <c r="AA81">
        <f ca="1">IFERROR(IF(0=LEN(ReferenceData!$AA$81),"",ReferenceData!$AA$81),"")</f>
        <v>17211.903999999999</v>
      </c>
      <c r="AB81">
        <f ca="1">IFERROR(IF(0=LEN(ReferenceData!$AB$81),"",ReferenceData!$AB$81),"")</f>
        <v>16512.457999999999</v>
      </c>
      <c r="AC81">
        <f ca="1">IFERROR(IF(0=LEN(ReferenceData!$AC$81),"",ReferenceData!$AC$81),"")</f>
        <v>14102.22</v>
      </c>
      <c r="AD81">
        <f ca="1">IFERROR(IF(0=LEN(ReferenceData!$AD$81),"",ReferenceData!$AD$81),"")</f>
        <v>14543.914000000001</v>
      </c>
      <c r="AE81">
        <f ca="1">IFERROR(IF(0=LEN(ReferenceData!$AE$81),"",ReferenceData!$AE$81),"")</f>
        <v>12882.993</v>
      </c>
      <c r="AF81">
        <f ca="1">IFERROR(IF(0=LEN(ReferenceData!$AF$81),"",ReferenceData!$AF$81),"")</f>
        <v>12938.967000000001</v>
      </c>
      <c r="AG81">
        <f ca="1">IFERROR(IF(0=LEN(ReferenceData!$AG$81),"",ReferenceData!$AG$81),"")</f>
        <v>12716.216</v>
      </c>
      <c r="AH81">
        <f ca="1">IFERROR(IF(0=LEN(ReferenceData!$AH$81),"",ReferenceData!$AH$81),"")</f>
        <v>11725.495999999999</v>
      </c>
      <c r="AI81">
        <f ca="1">IFERROR(IF(0=LEN(ReferenceData!$AI$81),"",ReferenceData!$AI$81),"")</f>
        <v>12646.87</v>
      </c>
      <c r="AJ81">
        <f ca="1">IFERROR(IF(0=LEN(ReferenceData!$AJ$81),"",ReferenceData!$AJ$81),"")</f>
        <v>13614.911</v>
      </c>
      <c r="AK81">
        <f ca="1">IFERROR(IF(0=LEN(ReferenceData!$AK$81),"",ReferenceData!$AK$81),"")</f>
        <v>4348.21</v>
      </c>
      <c r="AL81">
        <f ca="1">IFERROR(IF(0=LEN(ReferenceData!$AL$81),"",ReferenceData!$AL$81),"")</f>
        <v>3661.7049999999999</v>
      </c>
    </row>
    <row r="82" spans="1:38" x14ac:dyDescent="0.25">
      <c r="A82" t="str">
        <f>IFERROR(IF(0=LEN(ReferenceData!$A$82),"",ReferenceData!$A$82),"")</f>
        <v xml:space="preserve">        M&amp;T Bank Corp</v>
      </c>
      <c r="B82" t="str">
        <f>IFERROR(IF(0=LEN(ReferenceData!$B$82),"",ReferenceData!$B$82),"")</f>
        <v>MTB US Equity</v>
      </c>
      <c r="C82" t="str">
        <f>IFERROR(IF(0=LEN(ReferenceData!$C$82),"",ReferenceData!$C$82),"")</f>
        <v>F0093</v>
      </c>
      <c r="D82" t="str">
        <f>IFERROR(IF(0=LEN(ReferenceData!$D$82),"",ReferenceData!$D$82),"")</f>
        <v>FED_REAL_ESTATE_LOANS_DOMESTIC</v>
      </c>
      <c r="E82" t="str">
        <f>IFERROR(IF(0=LEN(ReferenceData!$E$82),"",ReferenceData!$E$82),"")</f>
        <v>Dynamic</v>
      </c>
      <c r="F82">
        <f ca="1">IFERROR(IF(0=LEN(ReferenceData!$F$82),"",ReferenceData!$F$82),"")</f>
        <v>64247.144</v>
      </c>
      <c r="G82">
        <f ca="1">IFERROR(IF(0=LEN(ReferenceData!$G$82),"",ReferenceData!$G$82),"")</f>
        <v>69539.358999999997</v>
      </c>
      <c r="H82">
        <f ca="1">IFERROR(IF(0=LEN(ReferenceData!$H$82),"",ReferenceData!$H$82),"")</f>
        <v>73245.39</v>
      </c>
      <c r="I82">
        <f ca="1">IFERROR(IF(0=LEN(ReferenceData!$I$82),"",ReferenceData!$I$82),"")</f>
        <v>54455.887999999999</v>
      </c>
      <c r="J82">
        <f ca="1">IFERROR(IF(0=LEN(ReferenceData!$J$82),"",ReferenceData!$J$82),"")</f>
        <v>58299.021000000001</v>
      </c>
      <c r="K82">
        <f ca="1">IFERROR(IF(0=LEN(ReferenceData!$K$82),"",ReferenceData!$K$82),"")</f>
        <v>56141.053999999996</v>
      </c>
      <c r="L82">
        <f ca="1">IFERROR(IF(0=LEN(ReferenceData!$L$82),"",ReferenceData!$L$82),"")</f>
        <v>56355.78</v>
      </c>
      <c r="M82">
        <f ca="1">IFERROR(IF(0=LEN(ReferenceData!$M$82),"",ReferenceData!$M$82),"")</f>
        <v>58223.09</v>
      </c>
      <c r="N82">
        <f ca="1">IFERROR(IF(0=LEN(ReferenceData!$N$82),"",ReferenceData!$N$82),"")</f>
        <v>61669.374000000003</v>
      </c>
      <c r="O82">
        <f ca="1">IFERROR(IF(0=LEN(ReferenceData!$O$82),"",ReferenceData!$O$82),"")</f>
        <v>61379.512000000002</v>
      </c>
      <c r="P82">
        <f ca="1">IFERROR(IF(0=LEN(ReferenceData!$P$82),"",ReferenceData!$P$82),"")</f>
        <v>42110.892</v>
      </c>
      <c r="Q82">
        <f ca="1">IFERROR(IF(0=LEN(ReferenceData!$Q$82),"",ReferenceData!$Q$82),"")</f>
        <v>41175.339999999997</v>
      </c>
      <c r="R82">
        <f ca="1">IFERROR(IF(0=LEN(ReferenceData!$R$82),"",ReferenceData!$R$82),"")</f>
        <v>43501.32</v>
      </c>
      <c r="S82">
        <f ca="1">IFERROR(IF(0=LEN(ReferenceData!$S$82),"",ReferenceData!$S$82),"")</f>
        <v>38947.061999999998</v>
      </c>
      <c r="T82">
        <f ca="1">IFERROR(IF(0=LEN(ReferenceData!$T$82),"",ReferenceData!$T$82),"")</f>
        <v>33582.474999999999</v>
      </c>
      <c r="U82">
        <f ca="1">IFERROR(IF(0=LEN(ReferenceData!$U$82),"",ReferenceData!$U$82),"")</f>
        <v>33153.807000000001</v>
      </c>
      <c r="V82">
        <f ca="1">IFERROR(IF(0=LEN(ReferenceData!$V$82),"",ReferenceData!$V$82),"")</f>
        <v>29336.098000000002</v>
      </c>
      <c r="W82">
        <f ca="1">IFERROR(IF(0=LEN(ReferenceData!$W$82),"",ReferenceData!$W$82),"")</f>
        <v>29006.132000000001</v>
      </c>
      <c r="X82">
        <f ca="1">IFERROR(IF(0=LEN(ReferenceData!$X$82),"",ReferenceData!$X$82),"")</f>
        <v>12778.574000000001</v>
      </c>
      <c r="Y82">
        <f ca="1">IFERROR(IF(0=LEN(ReferenceData!$Y$82),"",ReferenceData!$Y$82),"")</f>
        <v>11385.898999999999</v>
      </c>
      <c r="Z82">
        <f ca="1">IFERROR(IF(0=LEN(ReferenceData!$Z$82),"",ReferenceData!$Z$82),"")</f>
        <v>10562.075000000001</v>
      </c>
      <c r="AA82">
        <f ca="1">IFERROR(IF(0=LEN(ReferenceData!$AA$82),"",ReferenceData!$AA$82),"")</f>
        <v>9850.1550000000007</v>
      </c>
      <c r="AB82">
        <f ca="1">IFERROR(IF(0=LEN(ReferenceData!$AB$82),"",ReferenceData!$AB$82),"")</f>
        <v>7611.8590000000004</v>
      </c>
      <c r="AC82">
        <f ca="1">IFERROR(IF(0=LEN(ReferenceData!$AC$82),"",ReferenceData!$AC$82),"")</f>
        <v>8662.4359999999997</v>
      </c>
      <c r="AD82">
        <f ca="1">IFERROR(IF(0=LEN(ReferenceData!$AD$82),"",ReferenceData!$AD$82),"")</f>
        <v>7928.4759999999997</v>
      </c>
      <c r="AE82">
        <f ca="1">IFERROR(IF(0=LEN(ReferenceData!$AE$82),"",ReferenceData!$AE$82),"")</f>
        <v>6971.6210000000001</v>
      </c>
      <c r="AF82">
        <f ca="1">IFERROR(IF(0=LEN(ReferenceData!$AF$82),"",ReferenceData!$AF$82),"")</f>
        <v>6595.7169999999996</v>
      </c>
      <c r="AG82">
        <f ca="1">IFERROR(IF(0=LEN(ReferenceData!$AG$82),"",ReferenceData!$AG$82),"")</f>
        <v>4741.9269999999997</v>
      </c>
      <c r="AH82">
        <f ca="1">IFERROR(IF(0=LEN(ReferenceData!$AH$82),"",ReferenceData!$AH$82),"")</f>
        <v>4411.0950000000003</v>
      </c>
      <c r="AI82">
        <f ca="1">IFERROR(IF(0=LEN(ReferenceData!$AI$82),"",ReferenceData!$AI$82),"")</f>
        <v>4103.92</v>
      </c>
      <c r="AJ82">
        <f ca="1">IFERROR(IF(0=LEN(ReferenceData!$AJ$82),"",ReferenceData!$AJ$82),"")</f>
        <v>3672.982</v>
      </c>
      <c r="AK82">
        <f ca="1">IFERROR(IF(0=LEN(ReferenceData!$AK$82),"",ReferenceData!$AK$82),"")</f>
        <v>3372.002</v>
      </c>
      <c r="AL82">
        <f ca="1">IFERROR(IF(0=LEN(ReferenceData!$AL$82),"",ReferenceData!$AL$82),"")</f>
        <v>3264.4650000000001</v>
      </c>
    </row>
    <row r="83" spans="1:38" x14ac:dyDescent="0.25">
      <c r="A83" t="str">
        <f>IFERROR(IF(0=LEN(ReferenceData!$A$83),"",ReferenceData!$A$83),"")</f>
        <v xml:space="preserve">        PNC Financial Services Group I</v>
      </c>
      <c r="B83" t="str">
        <f>IFERROR(IF(0=LEN(ReferenceData!$B$83),"",ReferenceData!$B$83),"")</f>
        <v>PNC US Equity</v>
      </c>
      <c r="C83" t="str">
        <f>IFERROR(IF(0=LEN(ReferenceData!$C$83),"",ReferenceData!$C$83),"")</f>
        <v>F0093</v>
      </c>
      <c r="D83" t="str">
        <f>IFERROR(IF(0=LEN(ReferenceData!$D$83),"",ReferenceData!$D$83),"")</f>
        <v>FED_REAL_ESTATE_LOANS_DOMESTIC</v>
      </c>
      <c r="E83" t="str">
        <f>IFERROR(IF(0=LEN(ReferenceData!$E$83),"",ReferenceData!$E$83),"")</f>
        <v>Dynamic</v>
      </c>
      <c r="F83" t="str">
        <f ca="1">IFERROR(IF(0=LEN(ReferenceData!$F$83),"",ReferenceData!$F$83),"")</f>
        <v/>
      </c>
      <c r="G83">
        <f ca="1">IFERROR(IF(0=LEN(ReferenceData!$G$83),"",ReferenceData!$G$83),"")</f>
        <v>119265.054</v>
      </c>
      <c r="H83">
        <f ca="1">IFERROR(IF(0=LEN(ReferenceData!$H$83),"",ReferenceData!$H$83),"")</f>
        <v>119192.599</v>
      </c>
      <c r="I83">
        <f ca="1">IFERROR(IF(0=LEN(ReferenceData!$I$83),"",ReferenceData!$I$83),"")</f>
        <v>110788.52099999999</v>
      </c>
      <c r="J83">
        <f ca="1">IFERROR(IF(0=LEN(ReferenceData!$J$83),"",ReferenceData!$J$83),"")</f>
        <v>83798.402000000002</v>
      </c>
      <c r="K83">
        <f ca="1">IFERROR(IF(0=LEN(ReferenceData!$K$83),"",ReferenceData!$K$83),"")</f>
        <v>83195.989000000001</v>
      </c>
      <c r="L83">
        <f ca="1">IFERROR(IF(0=LEN(ReferenceData!$L$83),"",ReferenceData!$L$83),"")</f>
        <v>80097.259000000005</v>
      </c>
      <c r="M83">
        <f ca="1">IFERROR(IF(0=LEN(ReferenceData!$M$83),"",ReferenceData!$M$83),"")</f>
        <v>83024.191000000006</v>
      </c>
      <c r="N83">
        <f ca="1">IFERROR(IF(0=LEN(ReferenceData!$N$83),"",ReferenceData!$N$83),"")</f>
        <v>83714.548999999999</v>
      </c>
      <c r="O83">
        <f ca="1">IFERROR(IF(0=LEN(ReferenceData!$O$83),"",ReferenceData!$O$83),"")</f>
        <v>83083.456000000006</v>
      </c>
      <c r="P83">
        <f ca="1">IFERROR(IF(0=LEN(ReferenceData!$P$83),"",ReferenceData!$P$83),"")</f>
        <v>83997.111999999994</v>
      </c>
      <c r="Q83">
        <f ca="1">IFERROR(IF(0=LEN(ReferenceData!$Q$83),"",ReferenceData!$Q$83),"")</f>
        <v>85555.926999999996</v>
      </c>
      <c r="R83">
        <f ca="1">IFERROR(IF(0=LEN(ReferenceData!$R$83),"",ReferenceData!$R$83),"")</f>
        <v>84756.592999999993</v>
      </c>
      <c r="S83">
        <f ca="1">IFERROR(IF(0=LEN(ReferenceData!$S$83),"",ReferenceData!$S$83),"")</f>
        <v>76276.744999999995</v>
      </c>
      <c r="T83">
        <f ca="1">IFERROR(IF(0=LEN(ReferenceData!$T$83),"",ReferenceData!$T$83),"")</f>
        <v>80529.710000000006</v>
      </c>
      <c r="U83">
        <f ca="1">IFERROR(IF(0=LEN(ReferenceData!$U$83),"",ReferenceData!$U$83),"")</f>
        <v>90381.811000000002</v>
      </c>
      <c r="V83">
        <f ca="1">IFERROR(IF(0=LEN(ReferenceData!$V$83),"",ReferenceData!$V$83),"")</f>
        <v>99656.517000000007</v>
      </c>
      <c r="W83">
        <f ca="1">IFERROR(IF(0=LEN(ReferenceData!$W$83),"",ReferenceData!$W$83),"")</f>
        <v>39903.447999999997</v>
      </c>
      <c r="X83">
        <f ca="1">IFERROR(IF(0=LEN(ReferenceData!$X$83),"",ReferenceData!$X$83),"")</f>
        <v>20877.456999999999</v>
      </c>
      <c r="Y83">
        <f ca="1">IFERROR(IF(0=LEN(ReferenceData!$Y$83),"",ReferenceData!$Y$83),"")</f>
        <v>21893.742999999999</v>
      </c>
      <c r="Z83">
        <f ca="1">IFERROR(IF(0=LEN(ReferenceData!$Z$83),"",ReferenceData!$Z$83),"")</f>
        <v>18093.47</v>
      </c>
      <c r="AA83">
        <f ca="1">IFERROR(IF(0=LEN(ReferenceData!$AA$83),"",ReferenceData!$AA$83),"")</f>
        <v>13122.532999999999</v>
      </c>
      <c r="AB83">
        <f ca="1">IFERROR(IF(0=LEN(ReferenceData!$AB$83),"",ReferenceData!$AB$83),"")</f>
        <v>12494.893</v>
      </c>
      <c r="AC83">
        <f ca="1">IFERROR(IF(0=LEN(ReferenceData!$AC$83),"",ReferenceData!$AC$83),"")</f>
        <v>14075.532999999999</v>
      </c>
      <c r="AD83">
        <f ca="1">IFERROR(IF(0=LEN(ReferenceData!$AD$83),"",ReferenceData!$AD$83),"")</f>
        <v>20417.026000000002</v>
      </c>
      <c r="AE83">
        <f ca="1">IFERROR(IF(0=LEN(ReferenceData!$AE$83),"",ReferenceData!$AE$83),"")</f>
        <v>21397.769</v>
      </c>
      <c r="AF83">
        <f ca="1">IFERROR(IF(0=LEN(ReferenceData!$AF$83),"",ReferenceData!$AF$83),"")</f>
        <v>21105.499</v>
      </c>
      <c r="AG83">
        <f ca="1">IFERROR(IF(0=LEN(ReferenceData!$AG$83),"",ReferenceData!$AG$83),"")</f>
        <v>20495.452000000001</v>
      </c>
      <c r="AH83">
        <f ca="1">IFERROR(IF(0=LEN(ReferenceData!$AH$83),"",ReferenceData!$AH$83),"")</f>
        <v>18845.596000000001</v>
      </c>
      <c r="AI83">
        <f ca="1">IFERROR(IF(0=LEN(ReferenceData!$AI$83),"",ReferenceData!$AI$83),"")</f>
        <v>17659.780999999999</v>
      </c>
      <c r="AJ83">
        <f ca="1">IFERROR(IF(0=LEN(ReferenceData!$AJ$83),"",ReferenceData!$AJ$83),"")</f>
        <v>13215.736000000001</v>
      </c>
      <c r="AK83">
        <f ca="1">IFERROR(IF(0=LEN(ReferenceData!$AK$83),"",ReferenceData!$AK$83),"")</f>
        <v>12638.64</v>
      </c>
      <c r="AL83">
        <f ca="1">IFERROR(IF(0=LEN(ReferenceData!$AL$83),"",ReferenceData!$AL$83),"")</f>
        <v>5920.3280000000004</v>
      </c>
    </row>
    <row r="84" spans="1:38" x14ac:dyDescent="0.25">
      <c r="A84" t="str">
        <f>IFERROR(IF(0=LEN(ReferenceData!$A$84),"",ReferenceData!$A$84),"")</f>
        <v xml:space="preserve">        Regions Financial Corp</v>
      </c>
      <c r="B84" t="str">
        <f>IFERROR(IF(0=LEN(ReferenceData!$B$84),"",ReferenceData!$B$84),"")</f>
        <v>RF US Equity</v>
      </c>
      <c r="C84" t="str">
        <f>IFERROR(IF(0=LEN(ReferenceData!$C$84),"",ReferenceData!$C$84),"")</f>
        <v>F0093</v>
      </c>
      <c r="D84" t="str">
        <f>IFERROR(IF(0=LEN(ReferenceData!$D$84),"",ReferenceData!$D$84),"")</f>
        <v>FED_REAL_ESTATE_LOANS_DOMESTIC</v>
      </c>
      <c r="E84" t="str">
        <f>IFERROR(IF(0=LEN(ReferenceData!$E$84),"",ReferenceData!$E$84),"")</f>
        <v>Dynamic</v>
      </c>
      <c r="F84" t="str">
        <f ca="1">IFERROR(IF(0=LEN(ReferenceData!$F$84),"",ReferenceData!$F$84),"")</f>
        <v/>
      </c>
      <c r="G84">
        <f ca="1">IFERROR(IF(0=LEN(ReferenceData!$G$84),"",ReferenceData!$G$84),"")</f>
        <v>40671</v>
      </c>
      <c r="H84">
        <f ca="1">IFERROR(IF(0=LEN(ReferenceData!$H$84),"",ReferenceData!$H$84),"")</f>
        <v>39268</v>
      </c>
      <c r="I84">
        <f ca="1">IFERROR(IF(0=LEN(ReferenceData!$I$84),"",ReferenceData!$I$84),"")</f>
        <v>37707</v>
      </c>
      <c r="J84">
        <f ca="1">IFERROR(IF(0=LEN(ReferenceData!$J$84),"",ReferenceData!$J$84),"")</f>
        <v>39142</v>
      </c>
      <c r="K84">
        <f ca="1">IFERROR(IF(0=LEN(ReferenceData!$K$84),"",ReferenceData!$K$84),"")</f>
        <v>36747</v>
      </c>
      <c r="L84">
        <f ca="1">IFERROR(IF(0=LEN(ReferenceData!$L$84),"",ReferenceData!$L$84),"")</f>
        <v>36881.423000000003</v>
      </c>
      <c r="M84">
        <f ca="1">IFERROR(IF(0=LEN(ReferenceData!$M$84),"",ReferenceData!$M$84),"")</f>
        <v>37489.048000000003</v>
      </c>
      <c r="N84">
        <f ca="1">IFERROR(IF(0=LEN(ReferenceData!$N$84),"",ReferenceData!$N$84),"")</f>
        <v>39104.290999999997</v>
      </c>
      <c r="O84">
        <f ca="1">IFERROR(IF(0=LEN(ReferenceData!$O$84),"",ReferenceData!$O$84),"")</f>
        <v>39601.752999999997</v>
      </c>
      <c r="P84">
        <f ca="1">IFERROR(IF(0=LEN(ReferenceData!$P$84),"",ReferenceData!$P$84),"")</f>
        <v>39401.288999999997</v>
      </c>
      <c r="Q84">
        <f ca="1">IFERROR(IF(0=LEN(ReferenceData!$Q$84),"",ReferenceData!$Q$84),"")</f>
        <v>41201.898999999998</v>
      </c>
      <c r="R84">
        <f ca="1">IFERROR(IF(0=LEN(ReferenceData!$R$84),"",ReferenceData!$R$84),"")</f>
        <v>44630.841</v>
      </c>
      <c r="S84">
        <f ca="1">IFERROR(IF(0=LEN(ReferenceData!$S$84),"",ReferenceData!$S$84),"")</f>
        <v>50769.66</v>
      </c>
      <c r="T84">
        <f ca="1">IFERROR(IF(0=LEN(ReferenceData!$T$84),"",ReferenceData!$T$84),"")</f>
        <v>59478.061999999998</v>
      </c>
      <c r="U84">
        <f ca="1">IFERROR(IF(0=LEN(ReferenceData!$U$84),"",ReferenceData!$U$84),"")</f>
        <v>61699.188999999998</v>
      </c>
      <c r="V84">
        <f ca="1">IFERROR(IF(0=LEN(ReferenceData!$V$84),"",ReferenceData!$V$84),"")</f>
        <v>64634.612999999998</v>
      </c>
      <c r="W84">
        <f ca="1">IFERROR(IF(0=LEN(ReferenceData!$W$84),"",ReferenceData!$W$84),"")</f>
        <v>64138.472999999998</v>
      </c>
      <c r="X84">
        <f ca="1">IFERROR(IF(0=LEN(ReferenceData!$X$84),"",ReferenceData!$X$84),"")</f>
        <v>36423.379999999997</v>
      </c>
      <c r="Y84">
        <f ca="1">IFERROR(IF(0=LEN(ReferenceData!$Y$84),"",ReferenceData!$Y$84),"")</f>
        <v>20990.516</v>
      </c>
      <c r="Z84">
        <f ca="1">IFERROR(IF(0=LEN(ReferenceData!$Z$84),"",ReferenceData!$Z$84),"")</f>
        <v>20878.945</v>
      </c>
      <c r="AA84" t="str">
        <f ca="1">IFERROR(IF(0=LEN(ReferenceData!$AA$84),"",ReferenceData!$AA$84),"")</f>
        <v/>
      </c>
      <c r="AB84" t="str">
        <f ca="1">IFERROR(IF(0=LEN(ReferenceData!$AB$84),"",ReferenceData!$AB$84),"")</f>
        <v/>
      </c>
      <c r="AC84" t="str">
        <f ca="1">IFERROR(IF(0=LEN(ReferenceData!$AC$84),"",ReferenceData!$AC$84),"")</f>
        <v/>
      </c>
      <c r="AD84" t="str">
        <f ca="1">IFERROR(IF(0=LEN(ReferenceData!$AD$84),"",ReferenceData!$AD$84),"")</f>
        <v/>
      </c>
      <c r="AE84" t="str">
        <f ca="1">IFERROR(IF(0=LEN(ReferenceData!$AE$84),"",ReferenceData!$AE$84),"")</f>
        <v/>
      </c>
      <c r="AF84" t="str">
        <f ca="1">IFERROR(IF(0=LEN(ReferenceData!$AF$84),"",ReferenceData!$AF$84),"")</f>
        <v/>
      </c>
      <c r="AG84" t="str">
        <f ca="1">IFERROR(IF(0=LEN(ReferenceData!$AG$84),"",ReferenceData!$AG$84),"")</f>
        <v/>
      </c>
      <c r="AH84" t="str">
        <f ca="1">IFERROR(IF(0=LEN(ReferenceData!$AH$84),"",ReferenceData!$AH$84),"")</f>
        <v/>
      </c>
      <c r="AI84" t="str">
        <f ca="1">IFERROR(IF(0=LEN(ReferenceData!$AI$84),"",ReferenceData!$AI$84),"")</f>
        <v/>
      </c>
      <c r="AJ84" t="str">
        <f ca="1">IFERROR(IF(0=LEN(ReferenceData!$AJ$84),"",ReferenceData!$AJ$84),"")</f>
        <v/>
      </c>
      <c r="AK84" t="str">
        <f ca="1">IFERROR(IF(0=LEN(ReferenceData!$AK$84),"",ReferenceData!$AK$84),"")</f>
        <v/>
      </c>
      <c r="AL84" t="str">
        <f ca="1">IFERROR(IF(0=LEN(ReferenceData!$AL$84),"",ReferenceData!$AL$84),"")</f>
        <v/>
      </c>
    </row>
    <row r="85" spans="1:38" x14ac:dyDescent="0.25">
      <c r="A85" t="str">
        <f>IFERROR(IF(0=LEN(ReferenceData!$A$85),"",ReferenceData!$A$85),"")</f>
        <v xml:space="preserve">        Truist Financial Corp</v>
      </c>
      <c r="B85" t="str">
        <f>IFERROR(IF(0=LEN(ReferenceData!$B$85),"",ReferenceData!$B$85),"")</f>
        <v>TFC US Equity</v>
      </c>
      <c r="C85" t="str">
        <f>IFERROR(IF(0=LEN(ReferenceData!$C$85),"",ReferenceData!$C$85),"")</f>
        <v>F0093</v>
      </c>
      <c r="D85" t="str">
        <f>IFERROR(IF(0=LEN(ReferenceData!$D$85),"",ReferenceData!$D$85),"")</f>
        <v>FED_REAL_ESTATE_LOANS_DOMESTIC</v>
      </c>
      <c r="E85" t="str">
        <f>IFERROR(IF(0=LEN(ReferenceData!$E$85),"",ReferenceData!$E$85),"")</f>
        <v>Dynamic</v>
      </c>
      <c r="F85">
        <f ca="1">IFERROR(IF(0=LEN(ReferenceData!$F$85),"",ReferenceData!$F$85),"")</f>
        <v>116725</v>
      </c>
      <c r="G85">
        <f ca="1">IFERROR(IF(0=LEN(ReferenceData!$G$85),"",ReferenceData!$G$85),"")</f>
        <v>119152</v>
      </c>
      <c r="H85">
        <f ca="1">IFERROR(IF(0=LEN(ReferenceData!$H$85),"",ReferenceData!$H$85),"")</f>
        <v>122649</v>
      </c>
      <c r="I85">
        <f ca="1">IFERROR(IF(0=LEN(ReferenceData!$I$85),"",ReferenceData!$I$85),"")</f>
        <v>117113</v>
      </c>
      <c r="J85">
        <f ca="1">IFERROR(IF(0=LEN(ReferenceData!$J$85),"",ReferenceData!$J$85),"")</f>
        <v>123433</v>
      </c>
      <c r="K85">
        <f ca="1">IFERROR(IF(0=LEN(ReferenceData!$K$85),"",ReferenceData!$K$85),"")</f>
        <v>134332</v>
      </c>
      <c r="L85">
        <f ca="1">IFERROR(IF(0=LEN(ReferenceData!$L$85),"",ReferenceData!$L$85),"")</f>
        <v>77824</v>
      </c>
      <c r="M85">
        <f ca="1">IFERROR(IF(0=LEN(ReferenceData!$M$85),"",ReferenceData!$M$85),"")</f>
        <v>76939</v>
      </c>
      <c r="N85">
        <f ca="1">IFERROR(IF(0=LEN(ReferenceData!$N$85),"",ReferenceData!$N$85),"")</f>
        <v>79401.933000000005</v>
      </c>
      <c r="O85">
        <f ca="1">IFERROR(IF(0=LEN(ReferenceData!$O$85),"",ReferenceData!$O$85),"")</f>
        <v>76978.904999999999</v>
      </c>
      <c r="P85">
        <f ca="1">IFERROR(IF(0=LEN(ReferenceData!$P$85),"",ReferenceData!$P$85),"")</f>
        <v>69622.312000000005</v>
      </c>
      <c r="Q85">
        <f ca="1">IFERROR(IF(0=LEN(ReferenceData!$Q$85),"",ReferenceData!$Q$85),"")</f>
        <v>71337.027000000002</v>
      </c>
      <c r="R85">
        <f ca="1">IFERROR(IF(0=LEN(ReferenceData!$R$85),"",ReferenceData!$R$85),"")</f>
        <v>75420.884000000005</v>
      </c>
      <c r="S85">
        <f ca="1">IFERROR(IF(0=LEN(ReferenceData!$S$85),"",ReferenceData!$S$85),"")</f>
        <v>72271.634000000005</v>
      </c>
      <c r="T85">
        <f ca="1">IFERROR(IF(0=LEN(ReferenceData!$T$85),"",ReferenceData!$T$85),"")</f>
        <v>72061.862999999998</v>
      </c>
      <c r="U85">
        <f ca="1">IFERROR(IF(0=LEN(ReferenceData!$U$85),"",ReferenceData!$U$85),"")</f>
        <v>73575.870999999999</v>
      </c>
      <c r="V85">
        <f ca="1">IFERROR(IF(0=LEN(ReferenceData!$V$85),"",ReferenceData!$V$85),"")</f>
        <v>68155.979000000007</v>
      </c>
      <c r="W85">
        <f ca="1">IFERROR(IF(0=LEN(ReferenceData!$W$85),"",ReferenceData!$W$85),"")</f>
        <v>64939.644</v>
      </c>
      <c r="X85">
        <f ca="1">IFERROR(IF(0=LEN(ReferenceData!$X$85),"",ReferenceData!$X$85),"")</f>
        <v>30319.383999999998</v>
      </c>
      <c r="Y85">
        <f ca="1">IFERROR(IF(0=LEN(ReferenceData!$Y$85),"",ReferenceData!$Y$85),"")</f>
        <v>28550.663</v>
      </c>
      <c r="Z85">
        <f ca="1">IFERROR(IF(0=LEN(ReferenceData!$Z$85),"",ReferenceData!$Z$85),"")</f>
        <v>26054.026999999998</v>
      </c>
      <c r="AA85">
        <f ca="1">IFERROR(IF(0=LEN(ReferenceData!$AA$85),"",ReferenceData!$AA$85),"")</f>
        <v>23801.323</v>
      </c>
      <c r="AB85">
        <f ca="1">IFERROR(IF(0=LEN(ReferenceData!$AB$85),"",ReferenceData!$AB$85),"")</f>
        <v>20234.457999999999</v>
      </c>
      <c r="AC85">
        <f ca="1">IFERROR(IF(0=LEN(ReferenceData!$AC$85),"",ReferenceData!$AC$85),"")</f>
        <v>17323.862000000001</v>
      </c>
      <c r="AD85">
        <f ca="1">IFERROR(IF(0=LEN(ReferenceData!$AD$85),"",ReferenceData!$AD$85),"")</f>
        <v>15088.682000000001</v>
      </c>
      <c r="AE85">
        <f ca="1">IFERROR(IF(0=LEN(ReferenceData!$AE$85),"",ReferenceData!$AE$85),"")</f>
        <v>10494.084999999999</v>
      </c>
      <c r="AF85">
        <f ca="1">IFERROR(IF(0=LEN(ReferenceData!$AF$85),"",ReferenceData!$AF$85),"")</f>
        <v>10279.924999999999</v>
      </c>
      <c r="AG85">
        <f ca="1">IFERROR(IF(0=LEN(ReferenceData!$AG$85),"",ReferenceData!$AG$85),"")</f>
        <v>7966.4809999999998</v>
      </c>
      <c r="AH85">
        <f ca="1">IFERROR(IF(0=LEN(ReferenceData!$AH$85),"",ReferenceData!$AH$85),"")</f>
        <v>6121.8819999999996</v>
      </c>
      <c r="AI85">
        <f ca="1">IFERROR(IF(0=LEN(ReferenceData!$AI$85),"",ReferenceData!$AI$85),"")</f>
        <v>6340.1329999999998</v>
      </c>
      <c r="AJ85">
        <f ca="1">IFERROR(IF(0=LEN(ReferenceData!$AJ$85),"",ReferenceData!$AJ$85),"")</f>
        <v>2563.3130000000001</v>
      </c>
      <c r="AK85">
        <f ca="1">IFERROR(IF(0=LEN(ReferenceData!$AK$85),"",ReferenceData!$AK$85),"")</f>
        <v>1409.463</v>
      </c>
      <c r="AL85">
        <f ca="1">IFERROR(IF(0=LEN(ReferenceData!$AL$85),"",ReferenceData!$AL$85),"")</f>
        <v>992.27700000000004</v>
      </c>
    </row>
    <row r="86" spans="1:38" x14ac:dyDescent="0.25">
      <c r="A86" t="str">
        <f>IFERROR(IF(0=LEN(ReferenceData!$A$86),"",ReferenceData!$A$86),"")</f>
        <v xml:space="preserve">        US Bancorp</v>
      </c>
      <c r="B86" t="str">
        <f>IFERROR(IF(0=LEN(ReferenceData!$B$86),"",ReferenceData!$B$86),"")</f>
        <v>USB US Equity</v>
      </c>
      <c r="C86" t="str">
        <f>IFERROR(IF(0=LEN(ReferenceData!$C$86),"",ReferenceData!$C$86),"")</f>
        <v>F0093</v>
      </c>
      <c r="D86" t="str">
        <f>IFERROR(IF(0=LEN(ReferenceData!$D$86),"",ReferenceData!$D$86),"")</f>
        <v>FED_REAL_ESTATE_LOANS_DOMESTIC</v>
      </c>
      <c r="E86" t="str">
        <f>IFERROR(IF(0=LEN(ReferenceData!$E$86),"",ReferenceData!$E$86),"")</f>
        <v>Dynamic</v>
      </c>
      <c r="F86">
        <f ca="1">IFERROR(IF(0=LEN(ReferenceData!$F$86),"",ReferenceData!$F$86),"")</f>
        <v>181875</v>
      </c>
      <c r="G86">
        <f ca="1">IFERROR(IF(0=LEN(ReferenceData!$G$86),"",ReferenceData!$G$86),"")</f>
        <v>182234</v>
      </c>
      <c r="H86">
        <f ca="1">IFERROR(IF(0=LEN(ReferenceData!$H$86),"",ReferenceData!$H$86),"")</f>
        <v>184586</v>
      </c>
      <c r="I86">
        <f ca="1">IFERROR(IF(0=LEN(ReferenceData!$I$86),"",ReferenceData!$I$86),"")</f>
        <v>131024</v>
      </c>
      <c r="J86">
        <f ca="1">IFERROR(IF(0=LEN(ReferenceData!$J$86),"",ReferenceData!$J$86),"")</f>
        <v>134911</v>
      </c>
      <c r="K86">
        <f ca="1">IFERROR(IF(0=LEN(ReferenceData!$K$86),"",ReferenceData!$K$86),"")</f>
        <v>129085</v>
      </c>
      <c r="L86">
        <f ca="1">IFERROR(IF(0=LEN(ReferenceData!$L$86),"",ReferenceData!$L$86),"")</f>
        <v>120599</v>
      </c>
      <c r="M86">
        <f ca="1">IFERROR(IF(0=LEN(ReferenceData!$M$86),"",ReferenceData!$M$86),"")</f>
        <v>120465</v>
      </c>
      <c r="N86">
        <f ca="1">IFERROR(IF(0=LEN(ReferenceData!$N$86),"",ReferenceData!$N$86),"")</f>
        <v>122126</v>
      </c>
      <c r="O86">
        <f ca="1">IFERROR(IF(0=LEN(ReferenceData!$O$86),"",ReferenceData!$O$86),"")</f>
        <v>116114</v>
      </c>
      <c r="P86">
        <f ca="1">IFERROR(IF(0=LEN(ReferenceData!$P$86),"",ReferenceData!$P$86),"")</f>
        <v>116486</v>
      </c>
      <c r="Q86">
        <f ca="1">IFERROR(IF(0=LEN(ReferenceData!$Q$86),"",ReferenceData!$Q$86),"")</f>
        <v>113719</v>
      </c>
      <c r="R86">
        <f ca="1">IFERROR(IF(0=LEN(ReferenceData!$R$86),"",ReferenceData!$R$86),"")</f>
        <v>112748</v>
      </c>
      <c r="S86">
        <f ca="1">IFERROR(IF(0=LEN(ReferenceData!$S$86),"",ReferenceData!$S$86),"")</f>
        <v>107472</v>
      </c>
      <c r="T86">
        <f ca="1">IFERROR(IF(0=LEN(ReferenceData!$T$86),"",ReferenceData!$T$86),"")</f>
        <v>104602</v>
      </c>
      <c r="U86">
        <f ca="1">IFERROR(IF(0=LEN(ReferenceData!$U$86),"",ReferenceData!$U$86),"")</f>
        <v>99388</v>
      </c>
      <c r="V86">
        <f ca="1">IFERROR(IF(0=LEN(ReferenceData!$V$86),"",ReferenceData!$V$86),"")</f>
        <v>85668</v>
      </c>
      <c r="W86">
        <f ca="1">IFERROR(IF(0=LEN(ReferenceData!$W$86),"",ReferenceData!$W$86),"")</f>
        <v>70122</v>
      </c>
      <c r="X86">
        <f ca="1">IFERROR(IF(0=LEN(ReferenceData!$X$86),"",ReferenceData!$X$86),"")</f>
        <v>41149</v>
      </c>
      <c r="Y86">
        <f ca="1">IFERROR(IF(0=LEN(ReferenceData!$Y$86),"",ReferenceData!$Y$86),"")</f>
        <v>40263</v>
      </c>
      <c r="Z86">
        <f ca="1">IFERROR(IF(0=LEN(ReferenceData!$Z$86),"",ReferenceData!$Z$86),"")</f>
        <v>34552</v>
      </c>
      <c r="AA86">
        <f ca="1">IFERROR(IF(0=LEN(ReferenceData!$AA$86),"",ReferenceData!$AA$86),"")</f>
        <v>31195</v>
      </c>
      <c r="AB86">
        <f ca="1">IFERROR(IF(0=LEN(ReferenceData!$AB$86),"",ReferenceData!$AB$86),"")</f>
        <v>30666</v>
      </c>
      <c r="AC86">
        <f ca="1">IFERROR(IF(0=LEN(ReferenceData!$AC$86),"",ReferenceData!$AC$86),"")</f>
        <v>25618</v>
      </c>
      <c r="AD86">
        <f ca="1">IFERROR(IF(0=LEN(ReferenceData!$AD$86),"",ReferenceData!$AD$86),"")</f>
        <v>13205.823</v>
      </c>
      <c r="AE86">
        <f ca="1">IFERROR(IF(0=LEN(ReferenceData!$AE$86),"",ReferenceData!$AE$86),"")</f>
        <v>12399.78</v>
      </c>
      <c r="AF86">
        <f ca="1">IFERROR(IF(0=LEN(ReferenceData!$AF$86),"",ReferenceData!$AF$86),"")</f>
        <v>11601.200999999999</v>
      </c>
      <c r="AG86">
        <f ca="1">IFERROR(IF(0=LEN(ReferenceData!$AG$86),"",ReferenceData!$AG$86),"")</f>
        <v>11152.512000000001</v>
      </c>
      <c r="AH86">
        <f ca="1">IFERROR(IF(0=LEN(ReferenceData!$AH$86),"",ReferenceData!$AH$86),"")</f>
        <v>5176.6350000000002</v>
      </c>
      <c r="AI86">
        <f ca="1">IFERROR(IF(0=LEN(ReferenceData!$AI$86),"",ReferenceData!$AI$86),"")</f>
        <v>5392.2290000000003</v>
      </c>
      <c r="AJ86" t="str">
        <f ca="1">IFERROR(IF(0=LEN(ReferenceData!$AJ$86),"",ReferenceData!$AJ$86),"")</f>
        <v/>
      </c>
      <c r="AK86" t="str">
        <f ca="1">IFERROR(IF(0=LEN(ReferenceData!$AK$86),"",ReferenceData!$AK$86),"")</f>
        <v/>
      </c>
      <c r="AL86" t="str">
        <f ca="1">IFERROR(IF(0=LEN(ReferenceData!$AL$86),"",ReferenceData!$AL$86),"")</f>
        <v/>
      </c>
    </row>
    <row r="87" spans="1:38" x14ac:dyDescent="0.25">
      <c r="A87" t="str">
        <f>IFERROR(IF(0=LEN(ReferenceData!$A$87),"",ReferenceData!$A$87),"")</f>
        <v xml:space="preserve">        Wells Fargo &amp; Co</v>
      </c>
      <c r="B87" t="str">
        <f>IFERROR(IF(0=LEN(ReferenceData!$B$87),"",ReferenceData!$B$87),"")</f>
        <v>WFC US Equity</v>
      </c>
      <c r="C87" t="str">
        <f>IFERROR(IF(0=LEN(ReferenceData!$C$87),"",ReferenceData!$C$87),"")</f>
        <v>F0093</v>
      </c>
      <c r="D87" t="str">
        <f>IFERROR(IF(0=LEN(ReferenceData!$D$87),"",ReferenceData!$D$87),"")</f>
        <v>FED_REAL_ESTATE_LOANS_DOMESTIC</v>
      </c>
      <c r="E87" t="str">
        <f>IFERROR(IF(0=LEN(ReferenceData!$E$87),"",ReferenceData!$E$87),"")</f>
        <v>Dynamic</v>
      </c>
      <c r="F87">
        <f ca="1">IFERROR(IF(0=LEN(ReferenceData!$F$87),"",ReferenceData!$F$87),"")</f>
        <v>377333</v>
      </c>
      <c r="G87">
        <f ca="1">IFERROR(IF(0=LEN(ReferenceData!$G$87),"",ReferenceData!$G$87),"")</f>
        <v>399548</v>
      </c>
      <c r="H87">
        <f ca="1">IFERROR(IF(0=LEN(ReferenceData!$H$87),"",ReferenceData!$H$87),"")</f>
        <v>414664</v>
      </c>
      <c r="I87">
        <f ca="1">IFERROR(IF(0=LEN(ReferenceData!$I$87),"",ReferenceData!$I$87),"")</f>
        <v>410796</v>
      </c>
      <c r="J87">
        <f ca="1">IFERROR(IF(0=LEN(ReferenceData!$J$87),"",ReferenceData!$J$87),"")</f>
        <v>451559</v>
      </c>
      <c r="K87">
        <f ca="1">IFERROR(IF(0=LEN(ReferenceData!$K$87),"",ReferenceData!$K$87),"")</f>
        <v>472912</v>
      </c>
      <c r="L87">
        <f ca="1">IFERROR(IF(0=LEN(ReferenceData!$L$87),"",ReferenceData!$L$87),"")</f>
        <v>467475</v>
      </c>
      <c r="M87">
        <f ca="1">IFERROR(IF(0=LEN(ReferenceData!$M$87),"",ReferenceData!$M$87),"")</f>
        <v>485706</v>
      </c>
      <c r="N87">
        <f ca="1">IFERROR(IF(0=LEN(ReferenceData!$N$87),"",ReferenceData!$N$87),"")</f>
        <v>496805</v>
      </c>
      <c r="O87">
        <f ca="1">IFERROR(IF(0=LEN(ReferenceData!$O$87),"",ReferenceData!$O$87),"")</f>
        <v>482823</v>
      </c>
      <c r="P87">
        <f ca="1">IFERROR(IF(0=LEN(ReferenceData!$P$87),"",ReferenceData!$P$87),"")</f>
        <v>470841</v>
      </c>
      <c r="Q87">
        <f ca="1">IFERROR(IF(0=LEN(ReferenceData!$Q$87),"",ReferenceData!$Q$87),"")</f>
        <v>465724</v>
      </c>
      <c r="R87">
        <f ca="1">IFERROR(IF(0=LEN(ReferenceData!$R$87),"",ReferenceData!$R$87),"")</f>
        <v>494633</v>
      </c>
      <c r="S87">
        <f ca="1">IFERROR(IF(0=LEN(ReferenceData!$S$87),"",ReferenceData!$S$87),"")</f>
        <v>487754</v>
      </c>
      <c r="T87">
        <f ca="1">IFERROR(IF(0=LEN(ReferenceData!$T$87),"",ReferenceData!$T$87),"")</f>
        <v>502354</v>
      </c>
      <c r="U87">
        <f ca="1">IFERROR(IF(0=LEN(ReferenceData!$U$87),"",ReferenceData!$U$87),"")</f>
        <v>506140</v>
      </c>
      <c r="V87">
        <f ca="1">IFERROR(IF(0=LEN(ReferenceData!$V$87),"",ReferenceData!$V$87),"")</f>
        <v>516467</v>
      </c>
      <c r="W87">
        <f ca="1">IFERROR(IF(0=LEN(ReferenceData!$W$87),"",ReferenceData!$W$87),"")</f>
        <v>229117</v>
      </c>
      <c r="X87">
        <f ca="1">IFERROR(IF(0=LEN(ReferenceData!$X$87),"",ReferenceData!$X$87),"")</f>
        <v>159369</v>
      </c>
      <c r="Y87">
        <f ca="1">IFERROR(IF(0=LEN(ReferenceData!$Y$87),"",ReferenceData!$Y$87),"")</f>
        <v>181496</v>
      </c>
      <c r="Z87">
        <f ca="1">IFERROR(IF(0=LEN(ReferenceData!$Z$87),"",ReferenceData!$Z$87),"")</f>
        <v>173464</v>
      </c>
      <c r="AA87">
        <f ca="1">IFERROR(IF(0=LEN(ReferenceData!$AA$87),"",ReferenceData!$AA$87),"")</f>
        <v>152370</v>
      </c>
      <c r="AB87">
        <f ca="1">IFERROR(IF(0=LEN(ReferenceData!$AB$87),"",ReferenceData!$AB$87),"")</f>
        <v>126489</v>
      </c>
      <c r="AC87">
        <f ca="1">IFERROR(IF(0=LEN(ReferenceData!$AC$87),"",ReferenceData!$AC$87),"")</f>
        <v>84620</v>
      </c>
      <c r="AD87">
        <f ca="1">IFERROR(IF(0=LEN(ReferenceData!$AD$87),"",ReferenceData!$AD$87),"")</f>
        <v>49355.732000000004</v>
      </c>
      <c r="AE87">
        <f ca="1">IFERROR(IF(0=LEN(ReferenceData!$AE$87),"",ReferenceData!$AE$87),"")</f>
        <v>36184.584999999999</v>
      </c>
      <c r="AF87">
        <f ca="1">IFERROR(IF(0=LEN(ReferenceData!$AF$87),"",ReferenceData!$AF$87),"")</f>
        <v>38934.360999999997</v>
      </c>
      <c r="AG87">
        <f ca="1">IFERROR(IF(0=LEN(ReferenceData!$AG$87),"",ReferenceData!$AG$87),"")</f>
        <v>16182.332</v>
      </c>
      <c r="AH87">
        <f ca="1">IFERROR(IF(0=LEN(ReferenceData!$AH$87),"",ReferenceData!$AH$87),"")</f>
        <v>12011.008</v>
      </c>
      <c r="AI87">
        <f ca="1">IFERROR(IF(0=LEN(ReferenceData!$AI$87),"",ReferenceData!$AI$87),"")</f>
        <v>11297.891</v>
      </c>
      <c r="AJ87" t="str">
        <f ca="1">IFERROR(IF(0=LEN(ReferenceData!$AJ$87),"",ReferenceData!$AJ$87),"")</f>
        <v/>
      </c>
      <c r="AK87" t="str">
        <f ca="1">IFERROR(IF(0=LEN(ReferenceData!$AK$87),"",ReferenceData!$AK$87),"")</f>
        <v/>
      </c>
      <c r="AL87" t="str">
        <f ca="1">IFERROR(IF(0=LEN(ReferenceData!$AL$87),"",ReferenceData!$AL$87),"")</f>
        <v/>
      </c>
    </row>
    <row r="88" spans="1:38" x14ac:dyDescent="0.25">
      <c r="A88" t="str">
        <f>IFERROR(IF(0=LEN(ReferenceData!$A$88),"",ReferenceData!$A$88),"")</f>
        <v xml:space="preserve">        Western Alliance Bancorp</v>
      </c>
      <c r="B88" t="str">
        <f>IFERROR(IF(0=LEN(ReferenceData!$B$88),"",ReferenceData!$B$88),"")</f>
        <v>WAL US Equity</v>
      </c>
      <c r="C88" t="str">
        <f>IFERROR(IF(0=LEN(ReferenceData!$C$88),"",ReferenceData!$C$88),"")</f>
        <v>F0093</v>
      </c>
      <c r="D88" t="str">
        <f>IFERROR(IF(0=LEN(ReferenceData!$D$88),"",ReferenceData!$D$88),"")</f>
        <v>FED_REAL_ESTATE_LOANS_DOMESTIC</v>
      </c>
      <c r="E88" t="str">
        <f>IFERROR(IF(0=LEN(ReferenceData!$E$88),"",ReferenceData!$E$88),"")</f>
        <v>Dynamic</v>
      </c>
      <c r="F88">
        <f ca="1">IFERROR(IF(0=LEN(ReferenceData!$F$88),"",ReferenceData!$F$88),"")</f>
        <v>32939.271000000001</v>
      </c>
      <c r="G88">
        <f ca="1">IFERROR(IF(0=LEN(ReferenceData!$G$88),"",ReferenceData!$G$88),"")</f>
        <v>32458.218000000001</v>
      </c>
      <c r="H88">
        <f ca="1">IFERROR(IF(0=LEN(ReferenceData!$H$88),"",ReferenceData!$H$88),"")</f>
        <v>32538.631000000001</v>
      </c>
      <c r="I88">
        <f ca="1">IFERROR(IF(0=LEN(ReferenceData!$I$88),"",ReferenceData!$I$88),"")</f>
        <v>26118.821</v>
      </c>
      <c r="J88">
        <f ca="1">IFERROR(IF(0=LEN(ReferenceData!$J$88),"",ReferenceData!$J$88),"")</f>
        <v>12365.507</v>
      </c>
      <c r="K88">
        <f ca="1">IFERROR(IF(0=LEN(ReferenceData!$K$88),"",ReferenceData!$K$88),"")</f>
        <v>11335.424999999999</v>
      </c>
      <c r="L88">
        <f ca="1">IFERROR(IF(0=LEN(ReferenceData!$L$88),"",ReferenceData!$L$88),"")</f>
        <v>9560.4249999999993</v>
      </c>
      <c r="M88">
        <f ca="1">IFERROR(IF(0=LEN(ReferenceData!$M$88),"",ReferenceData!$M$88),"")</f>
        <v>7875.0349999999999</v>
      </c>
      <c r="N88">
        <f ca="1">IFERROR(IF(0=LEN(ReferenceData!$N$88),"",ReferenceData!$N$88),"")</f>
        <v>7044.8680000000004</v>
      </c>
      <c r="O88">
        <f ca="1">IFERROR(IF(0=LEN(ReferenceData!$O$88),"",ReferenceData!$O$88),"")</f>
        <v>5591.7579999999998</v>
      </c>
      <c r="P88">
        <f ca="1">IFERROR(IF(0=LEN(ReferenceData!$P$88),"",ReferenceData!$P$88),"")</f>
        <v>4802.9979999999996</v>
      </c>
      <c r="Q88">
        <f ca="1">IFERROR(IF(0=LEN(ReferenceData!$Q$88),"",ReferenceData!$Q$88),"")</f>
        <v>4276.6719999999996</v>
      </c>
      <c r="R88">
        <f ca="1">IFERROR(IF(0=LEN(ReferenceData!$R$88),"",ReferenceData!$R$88),"")</f>
        <v>3704.6529999999998</v>
      </c>
      <c r="S88">
        <f ca="1">IFERROR(IF(0=LEN(ReferenceData!$S$88),"",ReferenceData!$S$88),"")</f>
        <v>3378.049</v>
      </c>
      <c r="T88">
        <f ca="1">IFERROR(IF(0=LEN(ReferenceData!$T$88),"",ReferenceData!$T$88),"")</f>
        <v>3240.4090000000001</v>
      </c>
      <c r="U88">
        <f ca="1">IFERROR(IF(0=LEN(ReferenceData!$U$88),"",ReferenceData!$U$88),"")</f>
        <v>3216.1610000000001</v>
      </c>
      <c r="V88">
        <f ca="1">IFERROR(IF(0=LEN(ReferenceData!$V$88),"",ReferenceData!$V$88),"")</f>
        <v>3174.6529999999998</v>
      </c>
      <c r="W88">
        <f ca="1">IFERROR(IF(0=LEN(ReferenceData!$W$88),"",ReferenceData!$W$88),"")</f>
        <v>2814.0880000000002</v>
      </c>
      <c r="X88">
        <f ca="1">IFERROR(IF(0=LEN(ReferenceData!$X$88),"",ReferenceData!$X$88),"")</f>
        <v>417.46800000000002</v>
      </c>
      <c r="Y88">
        <f ca="1">IFERROR(IF(0=LEN(ReferenceData!$Y$88),"",ReferenceData!$Y$88),"")</f>
        <v>298.23200000000003</v>
      </c>
      <c r="Z88">
        <f ca="1">IFERROR(IF(0=LEN(ReferenceData!$Z$88),"",ReferenceData!$Z$88),"")</f>
        <v>133.67400000000001</v>
      </c>
      <c r="AA88">
        <f ca="1">IFERROR(IF(0=LEN(ReferenceData!$AA$88),"",ReferenceData!$AA$88),"")</f>
        <v>56.720999999999997</v>
      </c>
      <c r="AB88">
        <f ca="1">IFERROR(IF(0=LEN(ReferenceData!$AB$88),"",ReferenceData!$AB$88),"")</f>
        <v>26.126999999999999</v>
      </c>
      <c r="AC88">
        <f ca="1">IFERROR(IF(0=LEN(ReferenceData!$AC$88),"",ReferenceData!$AC$88),"")</f>
        <v>18.065999999999999</v>
      </c>
      <c r="AD88" t="str">
        <f ca="1">IFERROR(IF(0=LEN(ReferenceData!$AD$88),"",ReferenceData!$AD$88),"")</f>
        <v/>
      </c>
      <c r="AE88" t="str">
        <f ca="1">IFERROR(IF(0=LEN(ReferenceData!$AE$88),"",ReferenceData!$AE$88),"")</f>
        <v/>
      </c>
      <c r="AF88" t="str">
        <f ca="1">IFERROR(IF(0=LEN(ReferenceData!$AF$88),"",ReferenceData!$AF$88),"")</f>
        <v/>
      </c>
      <c r="AG88" t="str">
        <f ca="1">IFERROR(IF(0=LEN(ReferenceData!$AG$88),"",ReferenceData!$AG$88),"")</f>
        <v/>
      </c>
      <c r="AH88" t="str">
        <f ca="1">IFERROR(IF(0=LEN(ReferenceData!$AH$88),"",ReferenceData!$AH$88),"")</f>
        <v/>
      </c>
      <c r="AI88" t="str">
        <f ca="1">IFERROR(IF(0=LEN(ReferenceData!$AI$88),"",ReferenceData!$AI$88),"")</f>
        <v/>
      </c>
      <c r="AJ88" t="str">
        <f ca="1">IFERROR(IF(0=LEN(ReferenceData!$AJ$88),"",ReferenceData!$AJ$88),"")</f>
        <v/>
      </c>
      <c r="AK88" t="str">
        <f ca="1">IFERROR(IF(0=LEN(ReferenceData!$AK$88),"",ReferenceData!$AK$88),"")</f>
        <v/>
      </c>
      <c r="AL88" t="str">
        <f ca="1">IFERROR(IF(0=LEN(ReferenceData!$AL$88),"",ReferenceData!$AL$88),"")</f>
        <v/>
      </c>
    </row>
    <row r="89" spans="1:38" x14ac:dyDescent="0.25">
      <c r="A89" t="str">
        <f>IFERROR(IF(0=LEN(ReferenceData!$A$89),"",ReferenceData!$A$89),"")</f>
        <v xml:space="preserve">        Zions Bancorp NA</v>
      </c>
      <c r="B89" t="str">
        <f>IFERROR(IF(0=LEN(ReferenceData!$B$89),"",ReferenceData!$B$89),"")</f>
        <v>ZION US Equity</v>
      </c>
      <c r="C89" t="str">
        <f>IFERROR(IF(0=LEN(ReferenceData!$C$89),"",ReferenceData!$C$89),"")</f>
        <v>F0093</v>
      </c>
      <c r="D89" t="str">
        <f>IFERROR(IF(0=LEN(ReferenceData!$D$89),"",ReferenceData!$D$89),"")</f>
        <v>FED_REAL_ESTATE_LOANS_DOMESTIC</v>
      </c>
      <c r="E89" t="str">
        <f>IFERROR(IF(0=LEN(ReferenceData!$E$89),"",ReferenceData!$E$89),"")</f>
        <v>Dynamic</v>
      </c>
      <c r="F89" t="str">
        <f ca="1">IFERROR(IF(0=LEN(ReferenceData!$F$89),"",ReferenceData!$F$89),"")</f>
        <v/>
      </c>
      <c r="G89">
        <f ca="1">IFERROR(IF(0=LEN(ReferenceData!$G$89),"",ReferenceData!$G$89),"")</f>
        <v>15184.508</v>
      </c>
      <c r="H89">
        <f ca="1">IFERROR(IF(0=LEN(ReferenceData!$H$89),"",ReferenceData!$H$89),"")</f>
        <v>13672.794</v>
      </c>
      <c r="I89">
        <f ca="1">IFERROR(IF(0=LEN(ReferenceData!$I$89),"",ReferenceData!$I$89),"")</f>
        <v>11702.338</v>
      </c>
      <c r="J89" t="str">
        <f ca="1">IFERROR(IF(0=LEN(ReferenceData!$J$89),"",ReferenceData!$J$89),"")</f>
        <v/>
      </c>
      <c r="K89" t="str">
        <f ca="1">IFERROR(IF(0=LEN(ReferenceData!$K$89),"",ReferenceData!$K$89),"")</f>
        <v/>
      </c>
      <c r="L89" t="str">
        <f ca="1">IFERROR(IF(0=LEN(ReferenceData!$L$89),"",ReferenceData!$L$89),"")</f>
        <v/>
      </c>
      <c r="M89" t="str">
        <f ca="1">IFERROR(IF(0=LEN(ReferenceData!$M$89),"",ReferenceData!$M$89),"")</f>
        <v/>
      </c>
      <c r="N89" t="str">
        <f ca="1">IFERROR(IF(0=LEN(ReferenceData!$N$89),"",ReferenceData!$N$89),"")</f>
        <v/>
      </c>
      <c r="O89" t="str">
        <f ca="1">IFERROR(IF(0=LEN(ReferenceData!$O$89),"",ReferenceData!$O$89),"")</f>
        <v/>
      </c>
      <c r="P89" t="str">
        <f ca="1">IFERROR(IF(0=LEN(ReferenceData!$P$89),"",ReferenceData!$P$89),"")</f>
        <v/>
      </c>
      <c r="Q89" t="str">
        <f ca="1">IFERROR(IF(0=LEN(ReferenceData!$Q$89),"",ReferenceData!$Q$89),"")</f>
        <v/>
      </c>
      <c r="R89" t="str">
        <f ca="1">IFERROR(IF(0=LEN(ReferenceData!$R$89),"",ReferenceData!$R$89),"")</f>
        <v/>
      </c>
      <c r="S89" t="str">
        <f ca="1">IFERROR(IF(0=LEN(ReferenceData!$S$89),"",ReferenceData!$S$89),"")</f>
        <v/>
      </c>
      <c r="T89" t="str">
        <f ca="1">IFERROR(IF(0=LEN(ReferenceData!$T$89),"",ReferenceData!$T$89),"")</f>
        <v/>
      </c>
      <c r="U89" t="str">
        <f ca="1">IFERROR(IF(0=LEN(ReferenceData!$U$89),"",ReferenceData!$U$89),"")</f>
        <v/>
      </c>
      <c r="V89" t="str">
        <f ca="1">IFERROR(IF(0=LEN(ReferenceData!$V$89),"",ReferenceData!$V$89),"")</f>
        <v/>
      </c>
      <c r="W89" t="str">
        <f ca="1">IFERROR(IF(0=LEN(ReferenceData!$W$89),"",ReferenceData!$W$89),"")</f>
        <v/>
      </c>
      <c r="X89" t="str">
        <f ca="1">IFERROR(IF(0=LEN(ReferenceData!$X$89),"",ReferenceData!$X$89),"")</f>
        <v/>
      </c>
      <c r="Y89" t="str">
        <f ca="1">IFERROR(IF(0=LEN(ReferenceData!$Y$89),"",ReferenceData!$Y$89),"")</f>
        <v/>
      </c>
      <c r="Z89" t="str">
        <f ca="1">IFERROR(IF(0=LEN(ReferenceData!$Z$89),"",ReferenceData!$Z$89),"")</f>
        <v/>
      </c>
      <c r="AA89" t="str">
        <f ca="1">IFERROR(IF(0=LEN(ReferenceData!$AA$89),"",ReferenceData!$AA$89),"")</f>
        <v/>
      </c>
      <c r="AB89" t="str">
        <f ca="1">IFERROR(IF(0=LEN(ReferenceData!$AB$89),"",ReferenceData!$AB$89),"")</f>
        <v/>
      </c>
      <c r="AC89" t="str">
        <f ca="1">IFERROR(IF(0=LEN(ReferenceData!$AC$89),"",ReferenceData!$AC$89),"")</f>
        <v/>
      </c>
      <c r="AD89" t="str">
        <f ca="1">IFERROR(IF(0=LEN(ReferenceData!$AD$89),"",ReferenceData!$AD$89),"")</f>
        <v/>
      </c>
      <c r="AE89" t="str">
        <f ca="1">IFERROR(IF(0=LEN(ReferenceData!$AE$89),"",ReferenceData!$AE$89),"")</f>
        <v/>
      </c>
      <c r="AF89" t="str">
        <f ca="1">IFERROR(IF(0=LEN(ReferenceData!$AF$89),"",ReferenceData!$AF$89),"")</f>
        <v/>
      </c>
      <c r="AG89" t="str">
        <f ca="1">IFERROR(IF(0=LEN(ReferenceData!$AG$89),"",ReferenceData!$AG$89),"")</f>
        <v/>
      </c>
      <c r="AH89" t="str">
        <f ca="1">IFERROR(IF(0=LEN(ReferenceData!$AH$89),"",ReferenceData!$AH$89),"")</f>
        <v/>
      </c>
      <c r="AI89" t="str">
        <f ca="1">IFERROR(IF(0=LEN(ReferenceData!$AI$89),"",ReferenceData!$AI$89),"")</f>
        <v/>
      </c>
      <c r="AJ89" t="str">
        <f ca="1">IFERROR(IF(0=LEN(ReferenceData!$AJ$89),"",ReferenceData!$AJ$89),"")</f>
        <v/>
      </c>
      <c r="AK89" t="str">
        <f ca="1">IFERROR(IF(0=LEN(ReferenceData!$AK$89),"",ReferenceData!$AK$89),"")</f>
        <v/>
      </c>
      <c r="AL89" t="str">
        <f ca="1">IFERROR(IF(0=LEN(ReferenceData!$AL$89),"",ReferenceData!$AL$89),"")</f>
        <v/>
      </c>
    </row>
    <row r="90" spans="1:38" x14ac:dyDescent="0.25">
      <c r="A90" t="str">
        <f>IFERROR(IF(0=LEN(ReferenceData!$A$90),"",ReferenceData!$A$90),"")</f>
        <v>C&amp;I loans</v>
      </c>
      <c r="B90" t="str">
        <f>IFERROR(IF(0=LEN(ReferenceData!$B$90),"",ReferenceData!$B$90),"")</f>
        <v/>
      </c>
      <c r="C90" t="str">
        <f>IFERROR(IF(0=LEN(ReferenceData!$C$90),"",ReferenceData!$C$90),"")</f>
        <v/>
      </c>
      <c r="D90" t="str">
        <f>IFERROR(IF(0=LEN(ReferenceData!$D$90),"",ReferenceData!$D$90),"")</f>
        <v/>
      </c>
      <c r="E90" t="str">
        <f>IFERROR(IF(0=LEN(ReferenceData!$E$90),"",ReferenceData!$E$90),"")</f>
        <v>Expression</v>
      </c>
      <c r="F90">
        <f ca="1">IFERROR(IF(0=LEN(ReferenceData!$F$90),"",ReferenceData!$F$90),"")</f>
        <v>1319202.9620000001</v>
      </c>
      <c r="G90">
        <f ca="1">IFERROR(IF(0=LEN(ReferenceData!$G$90),"",ReferenceData!$G$90),"")</f>
        <v>1552466.875</v>
      </c>
      <c r="H90">
        <f ca="1">IFERROR(IF(0=LEN(ReferenceData!$H$90),"",ReferenceData!$H$90),"")</f>
        <v>1565602.754</v>
      </c>
      <c r="I90">
        <f ca="1">IFERROR(IF(0=LEN(ReferenceData!$I$90),"",ReferenceData!$I$90),"")</f>
        <v>1360535.1540000001</v>
      </c>
      <c r="J90">
        <f ca="1">IFERROR(IF(0=LEN(ReferenceData!$J$90),"",ReferenceData!$J$90),"")</f>
        <v>1352373.561</v>
      </c>
      <c r="K90">
        <f ca="1">IFERROR(IF(0=LEN(ReferenceData!$K$90),"",ReferenceData!$K$90),"")</f>
        <v>1347599.638</v>
      </c>
      <c r="L90">
        <f ca="1">IFERROR(IF(0=LEN(ReferenceData!$L$90),"",ReferenceData!$L$90),"")</f>
        <v>1288551.925</v>
      </c>
      <c r="M90">
        <f ca="1">IFERROR(IF(0=LEN(ReferenceData!$M$90),"",ReferenceData!$M$90),"")</f>
        <v>1204755.6540000001</v>
      </c>
      <c r="N90">
        <f ca="1">IFERROR(IF(0=LEN(ReferenceData!$N$90),"",ReferenceData!$N$90),"")</f>
        <v>1147677.9550000001</v>
      </c>
      <c r="O90">
        <f ca="1">IFERROR(IF(0=LEN(ReferenceData!$O$90),"",ReferenceData!$O$90),"")</f>
        <v>1066677.2590000001</v>
      </c>
      <c r="P90">
        <f ca="1">IFERROR(IF(0=LEN(ReferenceData!$P$90),"",ReferenceData!$P$90),"")</f>
        <v>1001362.525</v>
      </c>
      <c r="Q90">
        <f ca="1">IFERROR(IF(0=LEN(ReferenceData!$Q$90),"",ReferenceData!$Q$90),"")</f>
        <v>972730.19499999995</v>
      </c>
      <c r="R90">
        <f ca="1">IFERROR(IF(0=LEN(ReferenceData!$R$90),"",ReferenceData!$R$90),"")</f>
        <v>934719.35100000002</v>
      </c>
      <c r="S90">
        <f ca="1">IFERROR(IF(0=LEN(ReferenceData!$S$90),"",ReferenceData!$S$90),"")</f>
        <v>835969.06099999999</v>
      </c>
      <c r="T90">
        <f ca="1">IFERROR(IF(0=LEN(ReferenceData!$T$90),"",ReferenceData!$T$90),"")</f>
        <v>713996.14500000002</v>
      </c>
      <c r="U90">
        <f ca="1">IFERROR(IF(0=LEN(ReferenceData!$U$90),"",ReferenceData!$U$90),"")</f>
        <v>744072.02399999998</v>
      </c>
      <c r="V90">
        <f ca="1">IFERROR(IF(0=LEN(ReferenceData!$V$90),"",ReferenceData!$V$90),"")</f>
        <v>932563.52300000004</v>
      </c>
      <c r="W90">
        <f ca="1">IFERROR(IF(0=LEN(ReferenceData!$W$90),"",ReferenceData!$W$90),"")</f>
        <v>814802.1</v>
      </c>
      <c r="X90">
        <f ca="1">IFERROR(IF(0=LEN(ReferenceData!$X$90),"",ReferenceData!$X$90),"")</f>
        <v>626892.70200000005</v>
      </c>
      <c r="Y90">
        <f ca="1">IFERROR(IF(0=LEN(ReferenceData!$Y$90),"",ReferenceData!$Y$90),"")</f>
        <v>547286.576</v>
      </c>
      <c r="Z90">
        <f ca="1">IFERROR(IF(0=LEN(ReferenceData!$Z$90),"",ReferenceData!$Z$90),"")</f>
        <v>472336.03</v>
      </c>
      <c r="AA90">
        <f ca="1">IFERROR(IF(0=LEN(ReferenceData!$AA$90),"",ReferenceData!$AA$90),"")</f>
        <v>374664.43300000002</v>
      </c>
      <c r="AB90">
        <f ca="1">IFERROR(IF(0=LEN(ReferenceData!$AB$90),"",ReferenceData!$AB$90),"")</f>
        <v>404380.20199999999</v>
      </c>
      <c r="AC90">
        <f ca="1">IFERROR(IF(0=LEN(ReferenceData!$AC$90),"",ReferenceData!$AC$90),"")</f>
        <v>448792.29300000001</v>
      </c>
      <c r="AD90" t="str">
        <f ca="1">IFERROR(IF(0=LEN(ReferenceData!$AD$90),"",ReferenceData!$AD$90),"")</f>
        <v/>
      </c>
      <c r="AE90" t="str">
        <f ca="1">IFERROR(IF(0=LEN(ReferenceData!$AE$90),"",ReferenceData!$AE$90),"")</f>
        <v/>
      </c>
      <c r="AF90" t="str">
        <f ca="1">IFERROR(IF(0=LEN(ReferenceData!$AF$90),"",ReferenceData!$AF$90),"")</f>
        <v/>
      </c>
      <c r="AG90" t="str">
        <f ca="1">IFERROR(IF(0=LEN(ReferenceData!$AG$90),"",ReferenceData!$AG$90),"")</f>
        <v/>
      </c>
      <c r="AH90" t="str">
        <f ca="1">IFERROR(IF(0=LEN(ReferenceData!$AH$90),"",ReferenceData!$AH$90),"")</f>
        <v/>
      </c>
      <c r="AI90" t="str">
        <f ca="1">IFERROR(IF(0=LEN(ReferenceData!$AI$90),"",ReferenceData!$AI$90),"")</f>
        <v/>
      </c>
      <c r="AJ90" t="str">
        <f ca="1">IFERROR(IF(0=LEN(ReferenceData!$AJ$90),"",ReferenceData!$AJ$90),"")</f>
        <v/>
      </c>
      <c r="AK90" t="str">
        <f ca="1">IFERROR(IF(0=LEN(ReferenceData!$AK$90),"",ReferenceData!$AK$90),"")</f>
        <v/>
      </c>
      <c r="AL90" t="str">
        <f ca="1">IFERROR(IF(0=LEN(ReferenceData!$AL$90),"",ReferenceData!$AL$90),"")</f>
        <v/>
      </c>
    </row>
    <row r="91" spans="1:38" x14ac:dyDescent="0.25">
      <c r="A91" t="str">
        <f>IFERROR(IF(0=LEN(ReferenceData!$A$91),"",ReferenceData!$A$91),"")</f>
        <v xml:space="preserve">    US</v>
      </c>
      <c r="B91" t="str">
        <f>IFERROR(IF(0=LEN(ReferenceData!$B$91),"",ReferenceData!$B$91),"")</f>
        <v/>
      </c>
      <c r="C91" t="str">
        <f>IFERROR(IF(0=LEN(ReferenceData!$C$91),"",ReferenceData!$C$91),"")</f>
        <v/>
      </c>
      <c r="D91" t="str">
        <f>IFERROR(IF(0=LEN(ReferenceData!$D$91),"",ReferenceData!$D$91),"")</f>
        <v/>
      </c>
      <c r="E91" t="str">
        <f>IFERROR(IF(0=LEN(ReferenceData!$E$91),"",ReferenceData!$E$91),"")</f>
        <v>Sum</v>
      </c>
      <c r="F91">
        <f ca="1">IFERROR(IF(0=LEN(ReferenceData!$F$91),"",ReferenceData!$F$91),"")</f>
        <v>1082046.2120000001</v>
      </c>
      <c r="G91">
        <f ca="1">IFERROR(IF(0=LEN(ReferenceData!$G$91),"",ReferenceData!$G$91),"")</f>
        <v>1287023.2050000001</v>
      </c>
      <c r="H91">
        <f ca="1">IFERROR(IF(0=LEN(ReferenceData!$H$91),"",ReferenceData!$H$91),"")</f>
        <v>1286590.875</v>
      </c>
      <c r="I91">
        <f ca="1">IFERROR(IF(0=LEN(ReferenceData!$I$91),"",ReferenceData!$I$91),"")</f>
        <v>1092523.6360000002</v>
      </c>
      <c r="J91">
        <f ca="1">IFERROR(IF(0=LEN(ReferenceData!$J$91),"",ReferenceData!$J$91),"")</f>
        <v>1101070.7119999998</v>
      </c>
      <c r="K91">
        <f ca="1">IFERROR(IF(0=LEN(ReferenceData!$K$91),"",ReferenceData!$K$91),"")</f>
        <v>1081399.821</v>
      </c>
      <c r="L91">
        <f ca="1">IFERROR(IF(0=LEN(ReferenceData!$L$91),"",ReferenceData!$L$91),"")</f>
        <v>1034464.9989999998</v>
      </c>
      <c r="M91">
        <f ca="1">IFERROR(IF(0=LEN(ReferenceData!$M$91),"",ReferenceData!$M$91),"")</f>
        <v>955438.16399999987</v>
      </c>
      <c r="N91">
        <f ca="1">IFERROR(IF(0=LEN(ReferenceData!$N$91),"",ReferenceData!$N$91),"")</f>
        <v>918799.37500000012</v>
      </c>
      <c r="O91">
        <f ca="1">IFERROR(IF(0=LEN(ReferenceData!$O$91),"",ReferenceData!$O$91),"")</f>
        <v>846127.12099999993</v>
      </c>
      <c r="P91">
        <f ca="1">IFERROR(IF(0=LEN(ReferenceData!$P$91),"",ReferenceData!$P$91),"")</f>
        <v>782065.79</v>
      </c>
      <c r="Q91">
        <f ca="1">IFERROR(IF(0=LEN(ReferenceData!$Q$91),"",ReferenceData!$Q$91),"")</f>
        <v>744460.98999999987</v>
      </c>
      <c r="R91">
        <f ca="1">IFERROR(IF(0=LEN(ReferenceData!$R$91),"",ReferenceData!$R$91),"")</f>
        <v>712698.04500000004</v>
      </c>
      <c r="S91">
        <f ca="1">IFERROR(IF(0=LEN(ReferenceData!$S$91),"",ReferenceData!$S$91),"")</f>
        <v>637408.91200000013</v>
      </c>
      <c r="T91">
        <f ca="1">IFERROR(IF(0=LEN(ReferenceData!$T$91),"",ReferenceData!$T$91),"")</f>
        <v>561484.62899999996</v>
      </c>
      <c r="U91">
        <f ca="1">IFERROR(IF(0=LEN(ReferenceData!$U$91),"",ReferenceData!$U$91),"")</f>
        <v>589627.8060000001</v>
      </c>
      <c r="V91">
        <f ca="1">IFERROR(IF(0=LEN(ReferenceData!$V$91),"",ReferenceData!$V$91),"")</f>
        <v>737411.86399999994</v>
      </c>
      <c r="W91">
        <f ca="1">IFERROR(IF(0=LEN(ReferenceData!$W$91),"",ReferenceData!$W$91),"")</f>
        <v>603348.92700000003</v>
      </c>
      <c r="X91">
        <f ca="1">IFERROR(IF(0=LEN(ReferenceData!$X$91),"",ReferenceData!$X$91),"")</f>
        <v>462835.08199999994</v>
      </c>
      <c r="Y91">
        <f ca="1">IFERROR(IF(0=LEN(ReferenceData!$Y$91),"",ReferenceData!$Y$91),"")</f>
        <v>417109.98200000008</v>
      </c>
      <c r="Z91">
        <f ca="1">IFERROR(IF(0=LEN(ReferenceData!$Z$91),"",ReferenceData!$Z$91),"")</f>
        <v>354610.39900000009</v>
      </c>
      <c r="AA91">
        <f ca="1">IFERROR(IF(0=LEN(ReferenceData!$AA$91),"",ReferenceData!$AA$91),"")</f>
        <v>278077.63900000008</v>
      </c>
      <c r="AB91">
        <f ca="1">IFERROR(IF(0=LEN(ReferenceData!$AB$91),"",ReferenceData!$AB$91),"")</f>
        <v>297261.78600000002</v>
      </c>
      <c r="AC91">
        <f ca="1">IFERROR(IF(0=LEN(ReferenceData!$AC$91),"",ReferenceData!$AC$91),"")</f>
        <v>328963.10800000001</v>
      </c>
      <c r="AD91" t="str">
        <f ca="1">IFERROR(IF(0=LEN(ReferenceData!$AD$91),"",ReferenceData!$AD$91),"")</f>
        <v/>
      </c>
      <c r="AE91" t="str">
        <f ca="1">IFERROR(IF(0=LEN(ReferenceData!$AE$91),"",ReferenceData!$AE$91),"")</f>
        <v/>
      </c>
      <c r="AF91" t="str">
        <f ca="1">IFERROR(IF(0=LEN(ReferenceData!$AF$91),"",ReferenceData!$AF$91),"")</f>
        <v/>
      </c>
      <c r="AG91" t="str">
        <f ca="1">IFERROR(IF(0=LEN(ReferenceData!$AG$91),"",ReferenceData!$AG$91),"")</f>
        <v/>
      </c>
      <c r="AH91" t="str">
        <f ca="1">IFERROR(IF(0=LEN(ReferenceData!$AH$91),"",ReferenceData!$AH$91),"")</f>
        <v/>
      </c>
      <c r="AI91" t="str">
        <f ca="1">IFERROR(IF(0=LEN(ReferenceData!$AI$91),"",ReferenceData!$AI$91),"")</f>
        <v/>
      </c>
      <c r="AJ91" t="str">
        <f ca="1">IFERROR(IF(0=LEN(ReferenceData!$AJ$91),"",ReferenceData!$AJ$91),"")</f>
        <v/>
      </c>
      <c r="AK91" t="str">
        <f ca="1">IFERROR(IF(0=LEN(ReferenceData!$AK$91),"",ReferenceData!$AK$91),"")</f>
        <v/>
      </c>
      <c r="AL91" t="str">
        <f ca="1">IFERROR(IF(0=LEN(ReferenceData!$AL$91),"",ReferenceData!$AL$91),"")</f>
        <v/>
      </c>
    </row>
    <row r="92" spans="1:38" x14ac:dyDescent="0.25">
      <c r="A92" t="str">
        <f>IFERROR(IF(0=LEN(ReferenceData!$A$92),"",ReferenceData!$A$92),"")</f>
        <v xml:space="preserve">        Bank of America Corp</v>
      </c>
      <c r="B92" t="str">
        <f>IFERROR(IF(0=LEN(ReferenceData!$B$92),"",ReferenceData!$B$92),"")</f>
        <v>BAC US Equity</v>
      </c>
      <c r="C92" t="str">
        <f>IFERROR(IF(0=LEN(ReferenceData!$C$92),"",ReferenceData!$C$92),"")</f>
        <v>FR011</v>
      </c>
      <c r="D92" t="str">
        <f>IFERROR(IF(0=LEN(ReferenceData!$D$92),"",ReferenceData!$D$92),"")</f>
        <v>FED_C&amp;I_LOANS_US_ADDRESS</v>
      </c>
      <c r="E92" t="str">
        <f>IFERROR(IF(0=LEN(ReferenceData!$E$92),"",ReferenceData!$E$92),"")</f>
        <v>Dynamic</v>
      </c>
      <c r="F92">
        <f ca="1">IFERROR(IF(0=LEN(ReferenceData!$F$92),"",ReferenceData!$F$92),"")</f>
        <v>259807</v>
      </c>
      <c r="G92">
        <f ca="1">IFERROR(IF(0=LEN(ReferenceData!$G$92),"",ReferenceData!$G$92),"")</f>
        <v>246357</v>
      </c>
      <c r="H92">
        <f ca="1">IFERROR(IF(0=LEN(ReferenceData!$H$92),"",ReferenceData!$H$92),"")</f>
        <v>251353</v>
      </c>
      <c r="I92">
        <f ca="1">IFERROR(IF(0=LEN(ReferenceData!$I$92),"",ReferenceData!$I$92),"")</f>
        <v>226334</v>
      </c>
      <c r="J92">
        <f ca="1">IFERROR(IF(0=LEN(ReferenceData!$J$92),"",ReferenceData!$J$92),"")</f>
        <v>227080</v>
      </c>
      <c r="K92">
        <f ca="1">IFERROR(IF(0=LEN(ReferenceData!$K$92),"",ReferenceData!$K$92),"")</f>
        <v>222079</v>
      </c>
      <c r="L92">
        <f ca="1">IFERROR(IF(0=LEN(ReferenceData!$L$92),"",ReferenceData!$L$92),"")</f>
        <v>212365</v>
      </c>
      <c r="M92">
        <f ca="1">IFERROR(IF(0=LEN(ReferenceData!$M$92),"",ReferenceData!$M$92),"")</f>
        <v>204807</v>
      </c>
      <c r="N92">
        <f ca="1">IFERROR(IF(0=LEN(ReferenceData!$N$92),"",ReferenceData!$N$92),"")</f>
        <v>192902</v>
      </c>
      <c r="O92">
        <f ca="1">IFERROR(IF(0=LEN(ReferenceData!$O$92),"",ReferenceData!$O$92),"")</f>
        <v>175679</v>
      </c>
      <c r="P92">
        <f ca="1">IFERROR(IF(0=LEN(ReferenceData!$P$92),"",ReferenceData!$P$92),"")</f>
        <v>158461</v>
      </c>
      <c r="Q92">
        <f ca="1">IFERROR(IF(0=LEN(ReferenceData!$Q$92),"",ReferenceData!$Q$92),"")</f>
        <v>163750</v>
      </c>
      <c r="R92">
        <f ca="1">IFERROR(IF(0=LEN(ReferenceData!$R$92),"",ReferenceData!$R$92),"")</f>
        <v>150764.85999999999</v>
      </c>
      <c r="S92">
        <f ca="1">IFERROR(IF(0=LEN(ReferenceData!$S$92),"",ReferenceData!$S$92),"")</f>
        <v>131761.60699999999</v>
      </c>
      <c r="T92">
        <f ca="1">IFERROR(IF(0=LEN(ReferenceData!$T$92),"",ReferenceData!$T$92),"")</f>
        <v>122807.376</v>
      </c>
      <c r="U92">
        <f ca="1">IFERROR(IF(0=LEN(ReferenceData!$U$92),"",ReferenceData!$U$92),"")</f>
        <v>131723.85</v>
      </c>
      <c r="V92">
        <f ca="1">IFERROR(IF(0=LEN(ReferenceData!$V$92),"",ReferenceData!$V$92),"")</f>
        <v>158991.44899999999</v>
      </c>
      <c r="W92">
        <f ca="1">IFERROR(IF(0=LEN(ReferenceData!$W$92),"",ReferenceData!$W$92),"")</f>
        <v>151697.174</v>
      </c>
      <c r="X92">
        <f ca="1">IFERROR(IF(0=LEN(ReferenceData!$X$92),"",ReferenceData!$X$92),"")</f>
        <v>105414.92</v>
      </c>
      <c r="Y92">
        <f ca="1">IFERROR(IF(0=LEN(ReferenceData!$Y$92),"",ReferenceData!$Y$92),"")</f>
        <v>93077.101999999999</v>
      </c>
      <c r="Z92">
        <f ca="1">IFERROR(IF(0=LEN(ReferenceData!$Z$92),"",ReferenceData!$Z$92),"")</f>
        <v>77996.86</v>
      </c>
      <c r="AA92">
        <f ca="1">IFERROR(IF(0=LEN(ReferenceData!$AA$92),"",ReferenceData!$AA$92),"")</f>
        <v>60868.847999999998</v>
      </c>
      <c r="AB92">
        <f ca="1">IFERROR(IF(0=LEN(ReferenceData!$AB$92),"",ReferenceData!$AB$92),"")</f>
        <v>71701</v>
      </c>
      <c r="AC92">
        <f ca="1">IFERROR(IF(0=LEN(ReferenceData!$AC$92),"",ReferenceData!$AC$92),"")</f>
        <v>88263</v>
      </c>
      <c r="AD92" t="str">
        <f ca="1">IFERROR(IF(0=LEN(ReferenceData!$AD$92),"",ReferenceData!$AD$92),"")</f>
        <v/>
      </c>
      <c r="AE92" t="str">
        <f ca="1">IFERROR(IF(0=LEN(ReferenceData!$AE$92),"",ReferenceData!$AE$92),"")</f>
        <v/>
      </c>
      <c r="AF92" t="str">
        <f ca="1">IFERROR(IF(0=LEN(ReferenceData!$AF$92),"",ReferenceData!$AF$92),"")</f>
        <v/>
      </c>
      <c r="AG92" t="str">
        <f ca="1">IFERROR(IF(0=LEN(ReferenceData!$AG$92),"",ReferenceData!$AG$92),"")</f>
        <v/>
      </c>
      <c r="AH92" t="str">
        <f ca="1">IFERROR(IF(0=LEN(ReferenceData!$AH$92),"",ReferenceData!$AH$92),"")</f>
        <v/>
      </c>
      <c r="AI92" t="str">
        <f ca="1">IFERROR(IF(0=LEN(ReferenceData!$AI$92),"",ReferenceData!$AI$92),"")</f>
        <v/>
      </c>
      <c r="AJ92" t="str">
        <f ca="1">IFERROR(IF(0=LEN(ReferenceData!$AJ$92),"",ReferenceData!$AJ$92),"")</f>
        <v/>
      </c>
      <c r="AK92" t="str">
        <f ca="1">IFERROR(IF(0=LEN(ReferenceData!$AK$92),"",ReferenceData!$AK$92),"")</f>
        <v/>
      </c>
      <c r="AL92" t="str">
        <f ca="1">IFERROR(IF(0=LEN(ReferenceData!$AL$92),"",ReferenceData!$AL$92),"")</f>
        <v/>
      </c>
    </row>
    <row r="93" spans="1:38" x14ac:dyDescent="0.25">
      <c r="A93" t="str">
        <f>IFERROR(IF(0=LEN(ReferenceData!$A$93),"",ReferenceData!$A$93),"")</f>
        <v xml:space="preserve">        Citigroup Inc</v>
      </c>
      <c r="B93" t="str">
        <f>IFERROR(IF(0=LEN(ReferenceData!$B$93),"",ReferenceData!$B$93),"")</f>
        <v>C US Equity</v>
      </c>
      <c r="C93" t="str">
        <f>IFERROR(IF(0=LEN(ReferenceData!$C$93),"",ReferenceData!$C$93),"")</f>
        <v>FR011</v>
      </c>
      <c r="D93" t="str">
        <f>IFERROR(IF(0=LEN(ReferenceData!$D$93),"",ReferenceData!$D$93),"")</f>
        <v>FED_C&amp;I_LOANS_US_ADDRESS</v>
      </c>
      <c r="E93" t="str">
        <f>IFERROR(IF(0=LEN(ReferenceData!$E$93),"",ReferenceData!$E$93),"")</f>
        <v>Dynamic</v>
      </c>
      <c r="F93">
        <f ca="1">IFERROR(IF(0=LEN(ReferenceData!$F$93),"",ReferenceData!$F$93),"")</f>
        <v>57909</v>
      </c>
      <c r="G93">
        <f ca="1">IFERROR(IF(0=LEN(ReferenceData!$G$93),"",ReferenceData!$G$93),"")</f>
        <v>60846</v>
      </c>
      <c r="H93">
        <f ca="1">IFERROR(IF(0=LEN(ReferenceData!$H$93),"",ReferenceData!$H$93),"")</f>
        <v>54453</v>
      </c>
      <c r="I93">
        <f ca="1">IFERROR(IF(0=LEN(ReferenceData!$I$93),"",ReferenceData!$I$93),"")</f>
        <v>49374</v>
      </c>
      <c r="J93">
        <f ca="1">IFERROR(IF(0=LEN(ReferenceData!$J$93),"",ReferenceData!$J$93),"")</f>
        <v>58000</v>
      </c>
      <c r="K93">
        <f ca="1">IFERROR(IF(0=LEN(ReferenceData!$K$93),"",ReferenceData!$K$93),"")</f>
        <v>57443</v>
      </c>
      <c r="L93">
        <f ca="1">IFERROR(IF(0=LEN(ReferenceData!$L$93),"",ReferenceData!$L$93),"")</f>
        <v>58254</v>
      </c>
      <c r="M93">
        <f ca="1">IFERROR(IF(0=LEN(ReferenceData!$M$93),"",ReferenceData!$M$93),"")</f>
        <v>54594</v>
      </c>
      <c r="N93">
        <f ca="1">IFERROR(IF(0=LEN(ReferenceData!$N$93),"",ReferenceData!$N$93),"")</f>
        <v>49443</v>
      </c>
      <c r="O93">
        <f ca="1">IFERROR(IF(0=LEN(ReferenceData!$O$93),"",ReferenceData!$O$93),"")</f>
        <v>47278</v>
      </c>
      <c r="P93">
        <f ca="1">IFERROR(IF(0=LEN(ReferenceData!$P$93),"",ReferenceData!$P$93),"")</f>
        <v>41542</v>
      </c>
      <c r="Q93">
        <f ca="1">IFERROR(IF(0=LEN(ReferenceData!$Q$93),"",ReferenceData!$Q$93),"")</f>
        <v>38658</v>
      </c>
      <c r="R93">
        <f ca="1">IFERROR(IF(0=LEN(ReferenceData!$R$93),"",ReferenceData!$R$93),"")</f>
        <v>32778</v>
      </c>
      <c r="S93">
        <f ca="1">IFERROR(IF(0=LEN(ReferenceData!$S$93),"",ReferenceData!$S$93),"")</f>
        <v>29197</v>
      </c>
      <c r="T93">
        <f ca="1">IFERROR(IF(0=LEN(ReferenceData!$T$93),"",ReferenceData!$T$93),"")</f>
        <v>25662</v>
      </c>
      <c r="U93">
        <f ca="1">IFERROR(IF(0=LEN(ReferenceData!$U$93),"",ReferenceData!$U$93),"")</f>
        <v>32371</v>
      </c>
      <c r="V93">
        <f ca="1">IFERROR(IF(0=LEN(ReferenceData!$V$93),"",ReferenceData!$V$93),"")</f>
        <v>45317</v>
      </c>
      <c r="W93">
        <f ca="1">IFERROR(IF(0=LEN(ReferenceData!$W$93),"",ReferenceData!$W$93),"")</f>
        <v>66445</v>
      </c>
      <c r="X93">
        <f ca="1">IFERROR(IF(0=LEN(ReferenceData!$X$93),"",ReferenceData!$X$93),"")</f>
        <v>46448</v>
      </c>
      <c r="Y93">
        <f ca="1">IFERROR(IF(0=LEN(ReferenceData!$Y$93),"",ReferenceData!$Y$93),"")</f>
        <v>40425</v>
      </c>
      <c r="Z93">
        <f ca="1">IFERROR(IF(0=LEN(ReferenceData!$Z$93),"",ReferenceData!$Z$93),"")</f>
        <v>31987</v>
      </c>
      <c r="AA93">
        <f ca="1">IFERROR(IF(0=LEN(ReferenceData!$AA$93),"",ReferenceData!$AA$93),"")</f>
        <v>29346</v>
      </c>
      <c r="AB93">
        <f ca="1">IFERROR(IF(0=LEN(ReferenceData!$AB$93),"",ReferenceData!$AB$93),"")</f>
        <v>35980</v>
      </c>
      <c r="AC93">
        <f ca="1">IFERROR(IF(0=LEN(ReferenceData!$AC$93),"",ReferenceData!$AC$93),"")</f>
        <v>40230</v>
      </c>
      <c r="AD93" t="str">
        <f ca="1">IFERROR(IF(0=LEN(ReferenceData!$AD$93),"",ReferenceData!$AD$93),"")</f>
        <v/>
      </c>
      <c r="AE93" t="str">
        <f ca="1">IFERROR(IF(0=LEN(ReferenceData!$AE$93),"",ReferenceData!$AE$93),"")</f>
        <v/>
      </c>
      <c r="AF93" t="str">
        <f ca="1">IFERROR(IF(0=LEN(ReferenceData!$AF$93),"",ReferenceData!$AF$93),"")</f>
        <v/>
      </c>
      <c r="AG93" t="str">
        <f ca="1">IFERROR(IF(0=LEN(ReferenceData!$AG$93),"",ReferenceData!$AG$93),"")</f>
        <v/>
      </c>
      <c r="AH93" t="str">
        <f ca="1">IFERROR(IF(0=LEN(ReferenceData!$AH$93),"",ReferenceData!$AH$93),"")</f>
        <v/>
      </c>
      <c r="AI93" t="str">
        <f ca="1">IFERROR(IF(0=LEN(ReferenceData!$AI$93),"",ReferenceData!$AI$93),"")</f>
        <v/>
      </c>
      <c r="AJ93" t="str">
        <f ca="1">IFERROR(IF(0=LEN(ReferenceData!$AJ$93),"",ReferenceData!$AJ$93),"")</f>
        <v/>
      </c>
      <c r="AK93" t="str">
        <f ca="1">IFERROR(IF(0=LEN(ReferenceData!$AK$93),"",ReferenceData!$AK$93),"")</f>
        <v/>
      </c>
      <c r="AL93" t="str">
        <f ca="1">IFERROR(IF(0=LEN(ReferenceData!$AL$93),"",ReferenceData!$AL$93),"")</f>
        <v/>
      </c>
    </row>
    <row r="94" spans="1:38" x14ac:dyDescent="0.25">
      <c r="A94" t="str">
        <f>IFERROR(IF(0=LEN(ReferenceData!$A$94),"",ReferenceData!$A$94),"")</f>
        <v xml:space="preserve">        Citizens Financial Group Inc</v>
      </c>
      <c r="B94" t="str">
        <f>IFERROR(IF(0=LEN(ReferenceData!$B$94),"",ReferenceData!$B$94),"")</f>
        <v>CFG US Equity</v>
      </c>
      <c r="C94" t="str">
        <f>IFERROR(IF(0=LEN(ReferenceData!$C$94),"",ReferenceData!$C$94),"")</f>
        <v>FR011</v>
      </c>
      <c r="D94" t="str">
        <f>IFERROR(IF(0=LEN(ReferenceData!$D$94),"",ReferenceData!$D$94),"")</f>
        <v>FED_C&amp;I_LOANS_US_ADDRESS</v>
      </c>
      <c r="E94" t="str">
        <f>IFERROR(IF(0=LEN(ReferenceData!$E$94),"",ReferenceData!$E$94),"")</f>
        <v>Dynamic</v>
      </c>
      <c r="F94">
        <f ca="1">IFERROR(IF(0=LEN(ReferenceData!$F$94),"",ReferenceData!$F$94),"")</f>
        <v>24760.656999999999</v>
      </c>
      <c r="G94">
        <f ca="1">IFERROR(IF(0=LEN(ReferenceData!$G$94),"",ReferenceData!$G$94),"")</f>
        <v>36720.19</v>
      </c>
      <c r="H94">
        <f ca="1">IFERROR(IF(0=LEN(ReferenceData!$H$94),"",ReferenceData!$H$94),"")</f>
        <v>44042.211000000003</v>
      </c>
      <c r="I94">
        <f ca="1">IFERROR(IF(0=LEN(ReferenceData!$I$94),"",ReferenceData!$I$94),"")</f>
        <v>39862.752999999997</v>
      </c>
      <c r="J94">
        <f ca="1">IFERROR(IF(0=LEN(ReferenceData!$J$94),"",ReferenceData!$J$94),"")</f>
        <v>38862.6</v>
      </c>
      <c r="K94">
        <f ca="1">IFERROR(IF(0=LEN(ReferenceData!$K$94),"",ReferenceData!$K$94),"")</f>
        <v>35583.330999999998</v>
      </c>
      <c r="L94">
        <f ca="1">IFERROR(IF(0=LEN(ReferenceData!$L$94),"",ReferenceData!$L$94),"")</f>
        <v>34946.69</v>
      </c>
      <c r="M94">
        <f ca="1">IFERROR(IF(0=LEN(ReferenceData!$M$94),"",ReferenceData!$M$94),"")</f>
        <v>31192.701000000001</v>
      </c>
      <c r="N94">
        <f ca="1">IFERROR(IF(0=LEN(ReferenceData!$N$94),"",ReferenceData!$N$94),"")</f>
        <v>30775.691999999999</v>
      </c>
      <c r="O94">
        <f ca="1">IFERROR(IF(0=LEN(ReferenceData!$O$94),"",ReferenceData!$O$94),"")</f>
        <v>26887.003000000001</v>
      </c>
      <c r="P94">
        <f ca="1">IFERROR(IF(0=LEN(ReferenceData!$P$94),"",ReferenceData!$P$94),"")</f>
        <v>24814.531999999999</v>
      </c>
      <c r="Q94">
        <f ca="1">IFERROR(IF(0=LEN(ReferenceData!$Q$94),"",ReferenceData!$Q$94),"")</f>
        <v>22642.248</v>
      </c>
      <c r="R94">
        <f ca="1">IFERROR(IF(0=LEN(ReferenceData!$R$94),"",ReferenceData!$R$94),"")</f>
        <v>21471.280999999999</v>
      </c>
      <c r="S94">
        <f ca="1">IFERROR(IF(0=LEN(ReferenceData!$S$94),"",ReferenceData!$S$94),"")</f>
        <v>18801.773000000001</v>
      </c>
      <c r="T94">
        <f ca="1">IFERROR(IF(0=LEN(ReferenceData!$T$94),"",ReferenceData!$T$94),"")</f>
        <v>15511.886</v>
      </c>
      <c r="U94">
        <f ca="1">IFERROR(IF(0=LEN(ReferenceData!$U$94),"",ReferenceData!$U$94),"")</f>
        <v>15103.662</v>
      </c>
      <c r="V94">
        <f ca="1">IFERROR(IF(0=LEN(ReferenceData!$V$94),"",ReferenceData!$V$94),"")</f>
        <v>19407.844000000001</v>
      </c>
      <c r="W94">
        <f ca="1">IFERROR(IF(0=LEN(ReferenceData!$W$94),"",ReferenceData!$W$94),"")</f>
        <v>20420.476999999999</v>
      </c>
      <c r="X94">
        <f ca="1">IFERROR(IF(0=LEN(ReferenceData!$X$94),"",ReferenceData!$X$94),"")</f>
        <v>16186.24</v>
      </c>
      <c r="Y94">
        <f ca="1">IFERROR(IF(0=LEN(ReferenceData!$Y$94),"",ReferenceData!$Y$94),"")</f>
        <v>11974.531000000001</v>
      </c>
      <c r="Z94">
        <f ca="1">IFERROR(IF(0=LEN(ReferenceData!$Z$94),"",ReferenceData!$Z$94),"")</f>
        <v>10496.62</v>
      </c>
      <c r="AA94">
        <f ca="1">IFERROR(IF(0=LEN(ReferenceData!$AA$94),"",ReferenceData!$AA$94),"")</f>
        <v>8740.0810000000001</v>
      </c>
      <c r="AB94">
        <f ca="1">IFERROR(IF(0=LEN(ReferenceData!$AB$94),"",ReferenceData!$AB$94),"")</f>
        <v>8229.5949999999993</v>
      </c>
      <c r="AC94">
        <f ca="1">IFERROR(IF(0=LEN(ReferenceData!$AC$94),"",ReferenceData!$AC$94),"")</f>
        <v>8657.6260000000002</v>
      </c>
      <c r="AD94" t="str">
        <f ca="1">IFERROR(IF(0=LEN(ReferenceData!$AD$94),"",ReferenceData!$AD$94),"")</f>
        <v/>
      </c>
      <c r="AE94" t="str">
        <f ca="1">IFERROR(IF(0=LEN(ReferenceData!$AE$94),"",ReferenceData!$AE$94),"")</f>
        <v/>
      </c>
      <c r="AF94" t="str">
        <f ca="1">IFERROR(IF(0=LEN(ReferenceData!$AF$94),"",ReferenceData!$AF$94),"")</f>
        <v/>
      </c>
      <c r="AG94" t="str">
        <f ca="1">IFERROR(IF(0=LEN(ReferenceData!$AG$94),"",ReferenceData!$AG$94),"")</f>
        <v/>
      </c>
      <c r="AH94" t="str">
        <f ca="1">IFERROR(IF(0=LEN(ReferenceData!$AH$94),"",ReferenceData!$AH$94),"")</f>
        <v/>
      </c>
      <c r="AI94" t="str">
        <f ca="1">IFERROR(IF(0=LEN(ReferenceData!$AI$94),"",ReferenceData!$AI$94),"")</f>
        <v/>
      </c>
      <c r="AJ94" t="str">
        <f ca="1">IFERROR(IF(0=LEN(ReferenceData!$AJ$94),"",ReferenceData!$AJ$94),"")</f>
        <v/>
      </c>
      <c r="AK94" t="str">
        <f ca="1">IFERROR(IF(0=LEN(ReferenceData!$AK$94),"",ReferenceData!$AK$94),"")</f>
        <v/>
      </c>
      <c r="AL94" t="str">
        <f ca="1">IFERROR(IF(0=LEN(ReferenceData!$AL$94),"",ReferenceData!$AL$94),"")</f>
        <v/>
      </c>
    </row>
    <row r="95" spans="1:38" x14ac:dyDescent="0.25">
      <c r="A95" t="str">
        <f>IFERROR(IF(0=LEN(ReferenceData!$A$95),"",ReferenceData!$A$95),"")</f>
        <v xml:space="preserve">        Capital One Financial Corp</v>
      </c>
      <c r="B95" t="str">
        <f>IFERROR(IF(0=LEN(ReferenceData!$B$95),"",ReferenceData!$B$95),"")</f>
        <v>COF US Equity</v>
      </c>
      <c r="C95" t="str">
        <f>IFERROR(IF(0=LEN(ReferenceData!$C$95),"",ReferenceData!$C$95),"")</f>
        <v>FR011</v>
      </c>
      <c r="D95" t="str">
        <f>IFERROR(IF(0=LEN(ReferenceData!$D$95),"",ReferenceData!$D$95),"")</f>
        <v>FED_C&amp;I_LOANS_US_ADDRESS</v>
      </c>
      <c r="E95" t="str">
        <f>IFERROR(IF(0=LEN(ReferenceData!$E$95),"",ReferenceData!$E$95),"")</f>
        <v>Dynamic</v>
      </c>
      <c r="F95">
        <f ca="1">IFERROR(IF(0=LEN(ReferenceData!$F$95),"",ReferenceData!$F$95),"")</f>
        <v>44382.421000000002</v>
      </c>
      <c r="G95">
        <f ca="1">IFERROR(IF(0=LEN(ReferenceData!$G$95),"",ReferenceData!$G$95),"")</f>
        <v>45606.461000000003</v>
      </c>
      <c r="H95">
        <f ca="1">IFERROR(IF(0=LEN(ReferenceData!$H$95),"",ReferenceData!$H$95),"")</f>
        <v>46765.928999999996</v>
      </c>
      <c r="I95">
        <f ca="1">IFERROR(IF(0=LEN(ReferenceData!$I$95),"",ReferenceData!$I$95),"")</f>
        <v>39631.216999999997</v>
      </c>
      <c r="J95">
        <f ca="1">IFERROR(IF(0=LEN(ReferenceData!$J$95),"",ReferenceData!$J$95),"")</f>
        <v>34550.311000000002</v>
      </c>
      <c r="K95">
        <f ca="1">IFERROR(IF(0=LEN(ReferenceData!$K$95),"",ReferenceData!$K$95),"")</f>
        <v>36833.805999999997</v>
      </c>
      <c r="L95">
        <f ca="1">IFERROR(IF(0=LEN(ReferenceData!$L$95),"",ReferenceData!$L$95),"")</f>
        <v>33425.294999999998</v>
      </c>
      <c r="M95">
        <f ca="1">IFERROR(IF(0=LEN(ReferenceData!$M$95),"",ReferenceData!$M$95),"")</f>
        <v>28971.728999999999</v>
      </c>
      <c r="N95">
        <f ca="1">IFERROR(IF(0=LEN(ReferenceData!$N$95),"",ReferenceData!$N$95),"")</f>
        <v>29320.767</v>
      </c>
      <c r="O95">
        <f ca="1">IFERROR(IF(0=LEN(ReferenceData!$O$95),"",ReferenceData!$O$95),"")</f>
        <v>26806.574000000001</v>
      </c>
      <c r="P95">
        <f ca="1">IFERROR(IF(0=LEN(ReferenceData!$P$95),"",ReferenceData!$P$95),"")</f>
        <v>22170.227999999999</v>
      </c>
      <c r="Q95">
        <f ca="1">IFERROR(IF(0=LEN(ReferenceData!$Q$95),"",ReferenceData!$Q$95),"")</f>
        <v>19171.498</v>
      </c>
      <c r="R95">
        <f ca="1">IFERROR(IF(0=LEN(ReferenceData!$R$95),"",ReferenceData!$R$95),"")</f>
        <v>17976.173999999999</v>
      </c>
      <c r="S95">
        <f ca="1">IFERROR(IF(0=LEN(ReferenceData!$S$95),"",ReferenceData!$S$95),"")</f>
        <v>17269.212</v>
      </c>
      <c r="T95">
        <f ca="1">IFERROR(IF(0=LEN(ReferenceData!$T$95),"",ReferenceData!$T$95),"")</f>
        <v>16030.956</v>
      </c>
      <c r="U95">
        <f ca="1">IFERROR(IF(0=LEN(ReferenceData!$U$95),"",ReferenceData!$U$95),"")</f>
        <v>12551.272999999999</v>
      </c>
      <c r="V95">
        <f ca="1">IFERROR(IF(0=LEN(ReferenceData!$V$95),"",ReferenceData!$V$95),"")</f>
        <v>15633.806</v>
      </c>
      <c r="W95">
        <f ca="1">IFERROR(IF(0=LEN(ReferenceData!$W$95),"",ReferenceData!$W$95),"")</f>
        <v>16430.423999999999</v>
      </c>
      <c r="X95">
        <f ca="1">IFERROR(IF(0=LEN(ReferenceData!$X$95),"",ReferenceData!$X$95),"")</f>
        <v>11447.718999999999</v>
      </c>
      <c r="Y95">
        <f ca="1">IFERROR(IF(0=LEN(ReferenceData!$Y$95),"",ReferenceData!$Y$95),"")</f>
        <v>5636.4110000000001</v>
      </c>
      <c r="Z95">
        <f ca="1">IFERROR(IF(0=LEN(ReferenceData!$Z$95),"",ReferenceData!$Z$95),"")</f>
        <v>2692.8270000000002</v>
      </c>
      <c r="AA95" t="str">
        <f ca="1">IFERROR(IF(0=LEN(ReferenceData!$AA$95),"",ReferenceData!$AA$95),"")</f>
        <v/>
      </c>
      <c r="AB95" t="str">
        <f ca="1">IFERROR(IF(0=LEN(ReferenceData!$AB$95),"",ReferenceData!$AB$95),"")</f>
        <v/>
      </c>
      <c r="AC95" t="str">
        <f ca="1">IFERROR(IF(0=LEN(ReferenceData!$AC$95),"",ReferenceData!$AC$95),"")</f>
        <v/>
      </c>
      <c r="AD95" t="str">
        <f ca="1">IFERROR(IF(0=LEN(ReferenceData!$AD$95),"",ReferenceData!$AD$95),"")</f>
        <v/>
      </c>
      <c r="AE95" t="str">
        <f ca="1">IFERROR(IF(0=LEN(ReferenceData!$AE$95),"",ReferenceData!$AE$95),"")</f>
        <v/>
      </c>
      <c r="AF95" t="str">
        <f ca="1">IFERROR(IF(0=LEN(ReferenceData!$AF$95),"",ReferenceData!$AF$95),"")</f>
        <v/>
      </c>
      <c r="AG95" t="str">
        <f ca="1">IFERROR(IF(0=LEN(ReferenceData!$AG$95),"",ReferenceData!$AG$95),"")</f>
        <v/>
      </c>
      <c r="AH95" t="str">
        <f ca="1">IFERROR(IF(0=LEN(ReferenceData!$AH$95),"",ReferenceData!$AH$95),"")</f>
        <v/>
      </c>
      <c r="AI95" t="str">
        <f ca="1">IFERROR(IF(0=LEN(ReferenceData!$AI$95),"",ReferenceData!$AI$95),"")</f>
        <v/>
      </c>
      <c r="AJ95" t="str">
        <f ca="1">IFERROR(IF(0=LEN(ReferenceData!$AJ$95),"",ReferenceData!$AJ$95),"")</f>
        <v/>
      </c>
      <c r="AK95" t="str">
        <f ca="1">IFERROR(IF(0=LEN(ReferenceData!$AK$95),"",ReferenceData!$AK$95),"")</f>
        <v/>
      </c>
      <c r="AL95" t="str">
        <f ca="1">IFERROR(IF(0=LEN(ReferenceData!$AL$95),"",ReferenceData!$AL$95),"")</f>
        <v/>
      </c>
    </row>
    <row r="96" spans="1:38" x14ac:dyDescent="0.25">
      <c r="A96" t="str">
        <f>IFERROR(IF(0=LEN(ReferenceData!$A$96),"",ReferenceData!$A$96),"")</f>
        <v xml:space="preserve">        Comerica Inc</v>
      </c>
      <c r="B96" t="str">
        <f>IFERROR(IF(0=LEN(ReferenceData!$B$96),"",ReferenceData!$B$96),"")</f>
        <v>CMA US Equity</v>
      </c>
      <c r="C96" t="str">
        <f>IFERROR(IF(0=LEN(ReferenceData!$C$96),"",ReferenceData!$C$96),"")</f>
        <v>FR011</v>
      </c>
      <c r="D96" t="str">
        <f>IFERROR(IF(0=LEN(ReferenceData!$D$96),"",ReferenceData!$D$96),"")</f>
        <v>FED_C&amp;I_LOANS_US_ADDRESS</v>
      </c>
      <c r="E96" t="str">
        <f>IFERROR(IF(0=LEN(ReferenceData!$E$96),"",ReferenceData!$E$96),"")</f>
        <v>Dynamic</v>
      </c>
      <c r="F96" t="str">
        <f ca="1">IFERROR(IF(0=LEN(ReferenceData!$F$96),"",ReferenceData!$F$96),"")</f>
        <v/>
      </c>
      <c r="G96">
        <f ca="1">IFERROR(IF(0=LEN(ReferenceData!$G$96),"",ReferenceData!$G$96),"")</f>
        <v>23695</v>
      </c>
      <c r="H96">
        <f ca="1">IFERROR(IF(0=LEN(ReferenceData!$H$96),"",ReferenceData!$H$96),"")</f>
        <v>24471</v>
      </c>
      <c r="I96">
        <f ca="1">IFERROR(IF(0=LEN(ReferenceData!$I$96),"",ReferenceData!$I$96),"")</f>
        <v>21785</v>
      </c>
      <c r="J96">
        <f ca="1">IFERROR(IF(0=LEN(ReferenceData!$J$96),"",ReferenceData!$J$96),"")</f>
        <v>24402</v>
      </c>
      <c r="K96">
        <f ca="1">IFERROR(IF(0=LEN(ReferenceData!$K$96),"",ReferenceData!$K$96),"")</f>
        <v>24893</v>
      </c>
      <c r="L96">
        <f ca="1">IFERROR(IF(0=LEN(ReferenceData!$L$96),"",ReferenceData!$L$96),"")</f>
        <v>25984.683000000001</v>
      </c>
      <c r="M96">
        <f ca="1">IFERROR(IF(0=LEN(ReferenceData!$M$96),"",ReferenceData!$M$96),"")</f>
        <v>25904.143</v>
      </c>
      <c r="N96">
        <f ca="1">IFERROR(IF(0=LEN(ReferenceData!$N$96),"",ReferenceData!$N$96),"")</f>
        <v>25315.249</v>
      </c>
      <c r="O96">
        <f ca="1">IFERROR(IF(0=LEN(ReferenceData!$O$96),"",ReferenceData!$O$96),"")</f>
        <v>26003.333999999999</v>
      </c>
      <c r="P96">
        <f ca="1">IFERROR(IF(0=LEN(ReferenceData!$P$96),"",ReferenceData!$P$96),"")</f>
        <v>27096.754000000001</v>
      </c>
      <c r="Q96">
        <f ca="1">IFERROR(IF(0=LEN(ReferenceData!$Q$96),"",ReferenceData!$Q$96),"")</f>
        <v>25171.499</v>
      </c>
      <c r="R96">
        <f ca="1">IFERROR(IF(0=LEN(ReferenceData!$R$96),"",ReferenceData!$R$96),"")</f>
        <v>24717.940999999999</v>
      </c>
      <c r="S96">
        <f ca="1">IFERROR(IF(0=LEN(ReferenceData!$S$96),"",ReferenceData!$S$96),"")</f>
        <v>22244.768</v>
      </c>
      <c r="T96">
        <f ca="1">IFERROR(IF(0=LEN(ReferenceData!$T$96),"",ReferenceData!$T$96),"")</f>
        <v>20174.775000000001</v>
      </c>
      <c r="U96">
        <f ca="1">IFERROR(IF(0=LEN(ReferenceData!$U$96),"",ReferenceData!$U$96),"")</f>
        <v>19454.466</v>
      </c>
      <c r="V96">
        <f ca="1">IFERROR(IF(0=LEN(ReferenceData!$V$96),"",ReferenceData!$V$96),"")</f>
        <v>22954.455000000002</v>
      </c>
      <c r="W96">
        <f ca="1">IFERROR(IF(0=LEN(ReferenceData!$W$96),"",ReferenceData!$W$96),"")</f>
        <v>23241.85</v>
      </c>
      <c r="X96">
        <f ca="1">IFERROR(IF(0=LEN(ReferenceData!$X$96),"",ReferenceData!$X$96),"")</f>
        <v>21783.366000000002</v>
      </c>
      <c r="Y96">
        <f ca="1">IFERROR(IF(0=LEN(ReferenceData!$Y$96),"",ReferenceData!$Y$96),"")</f>
        <v>19205.512999999999</v>
      </c>
      <c r="Z96">
        <f ca="1">IFERROR(IF(0=LEN(ReferenceData!$Z$96),"",ReferenceData!$Z$96),"")</f>
        <v>19992.382000000001</v>
      </c>
      <c r="AA96">
        <f ca="1">IFERROR(IF(0=LEN(ReferenceData!$AA$96),"",ReferenceData!$AA$96),"")</f>
        <v>20261.708999999999</v>
      </c>
      <c r="AB96">
        <f ca="1">IFERROR(IF(0=LEN(ReferenceData!$AB$96),"",ReferenceData!$AB$96),"")</f>
        <v>21938.214</v>
      </c>
      <c r="AC96">
        <f ca="1">IFERROR(IF(0=LEN(ReferenceData!$AC$96),"",ReferenceData!$AC$96),"")</f>
        <v>22098.384999999998</v>
      </c>
      <c r="AD96" t="str">
        <f ca="1">IFERROR(IF(0=LEN(ReferenceData!$AD$96),"",ReferenceData!$AD$96),"")</f>
        <v/>
      </c>
      <c r="AE96" t="str">
        <f ca="1">IFERROR(IF(0=LEN(ReferenceData!$AE$96),"",ReferenceData!$AE$96),"")</f>
        <v/>
      </c>
      <c r="AF96" t="str">
        <f ca="1">IFERROR(IF(0=LEN(ReferenceData!$AF$96),"",ReferenceData!$AF$96),"")</f>
        <v/>
      </c>
      <c r="AG96" t="str">
        <f ca="1">IFERROR(IF(0=LEN(ReferenceData!$AG$96),"",ReferenceData!$AG$96),"")</f>
        <v/>
      </c>
      <c r="AH96" t="str">
        <f ca="1">IFERROR(IF(0=LEN(ReferenceData!$AH$96),"",ReferenceData!$AH$96),"")</f>
        <v/>
      </c>
      <c r="AI96" t="str">
        <f ca="1">IFERROR(IF(0=LEN(ReferenceData!$AI$96),"",ReferenceData!$AI$96),"")</f>
        <v/>
      </c>
      <c r="AJ96" t="str">
        <f ca="1">IFERROR(IF(0=LEN(ReferenceData!$AJ$96),"",ReferenceData!$AJ$96),"")</f>
        <v/>
      </c>
      <c r="AK96" t="str">
        <f ca="1">IFERROR(IF(0=LEN(ReferenceData!$AK$96),"",ReferenceData!$AK$96),"")</f>
        <v/>
      </c>
      <c r="AL96" t="str">
        <f ca="1">IFERROR(IF(0=LEN(ReferenceData!$AL$96),"",ReferenceData!$AL$96),"")</f>
        <v/>
      </c>
    </row>
    <row r="97" spans="1:38" x14ac:dyDescent="0.25">
      <c r="A97" t="str">
        <f>IFERROR(IF(0=LEN(ReferenceData!$A$97),"",ReferenceData!$A$97),"")</f>
        <v xml:space="preserve">        East West Bancorp Inc</v>
      </c>
      <c r="B97" t="str">
        <f>IFERROR(IF(0=LEN(ReferenceData!$B$97),"",ReferenceData!$B$97),"")</f>
        <v>EWBC US Equity</v>
      </c>
      <c r="C97" t="str">
        <f>IFERROR(IF(0=LEN(ReferenceData!$C$97),"",ReferenceData!$C$97),"")</f>
        <v>FR011</v>
      </c>
      <c r="D97" t="str">
        <f>IFERROR(IF(0=LEN(ReferenceData!$D$97),"",ReferenceData!$D$97),"")</f>
        <v>FED_C&amp;I_LOANS_US_ADDRESS</v>
      </c>
      <c r="E97" t="str">
        <f>IFERROR(IF(0=LEN(ReferenceData!$E$97),"",ReferenceData!$E$97),"")</f>
        <v>Dynamic</v>
      </c>
      <c r="F97" t="str">
        <f ca="1">IFERROR(IF(0=LEN(ReferenceData!$F$97),"",ReferenceData!$F$97),"")</f>
        <v/>
      </c>
      <c r="G97">
        <f ca="1">IFERROR(IF(0=LEN(ReferenceData!$G$97),"",ReferenceData!$G$97),"")</f>
        <v>8127.6509999999998</v>
      </c>
      <c r="H97">
        <f ca="1">IFERROR(IF(0=LEN(ReferenceData!$H$97),"",ReferenceData!$H$97),"")</f>
        <v>8008.2560000000003</v>
      </c>
      <c r="I97">
        <f ca="1">IFERROR(IF(0=LEN(ReferenceData!$I$97),"",ReferenceData!$I$97),"")</f>
        <v>7764.509</v>
      </c>
      <c r="J97">
        <f ca="1">IFERROR(IF(0=LEN(ReferenceData!$J$97),"",ReferenceData!$J$97),"")</f>
        <v>8717.0249999999996</v>
      </c>
      <c r="K97">
        <f ca="1">IFERROR(IF(0=LEN(ReferenceData!$K$97),"",ReferenceData!$K$97),"")</f>
        <v>8337.7880000000005</v>
      </c>
      <c r="L97">
        <f ca="1">IFERROR(IF(0=LEN(ReferenceData!$L$97),"",ReferenceData!$L$97),"")</f>
        <v>8170.8370000000004</v>
      </c>
      <c r="M97">
        <f ca="1">IFERROR(IF(0=LEN(ReferenceData!$M$97),"",ReferenceData!$M$97),"")</f>
        <v>7611.0829999999996</v>
      </c>
      <c r="N97">
        <f ca="1">IFERROR(IF(0=LEN(ReferenceData!$N$97),"",ReferenceData!$N$97),"")</f>
        <v>6710.85</v>
      </c>
      <c r="O97">
        <f ca="1">IFERROR(IF(0=LEN(ReferenceData!$O$97),"",ReferenceData!$O$97),"")</f>
        <v>6467.4769999999999</v>
      </c>
      <c r="P97">
        <f ca="1">IFERROR(IF(0=LEN(ReferenceData!$P$97),"",ReferenceData!$P$97),"")</f>
        <v>6431.9530000000004</v>
      </c>
      <c r="Q97">
        <f ca="1">IFERROR(IF(0=LEN(ReferenceData!$Q$97),"",ReferenceData!$Q$97),"")</f>
        <v>5128.5519999999997</v>
      </c>
      <c r="R97">
        <f ca="1">IFERROR(IF(0=LEN(ReferenceData!$R$97),"",ReferenceData!$R$97),"")</f>
        <v>4438.8370000000004</v>
      </c>
      <c r="S97">
        <f ca="1">IFERROR(IF(0=LEN(ReferenceData!$S$97),"",ReferenceData!$S$97),"")</f>
        <v>3326.7579999999998</v>
      </c>
      <c r="T97">
        <f ca="1">IFERROR(IF(0=LEN(ReferenceData!$T$97),"",ReferenceData!$T$97),"")</f>
        <v>2597.9380000000001</v>
      </c>
      <c r="U97">
        <f ca="1">IFERROR(IF(0=LEN(ReferenceData!$U$97),"",ReferenceData!$U$97),"")</f>
        <v>2103.2280000000001</v>
      </c>
      <c r="V97">
        <f ca="1">IFERROR(IF(0=LEN(ReferenceData!$V$97),"",ReferenceData!$V$97),"")</f>
        <v>1490.895</v>
      </c>
      <c r="W97">
        <f ca="1">IFERROR(IF(0=LEN(ReferenceData!$W$97),"",ReferenceData!$W$97),"")</f>
        <v>1751.7940000000001</v>
      </c>
      <c r="X97">
        <f ca="1">IFERROR(IF(0=LEN(ReferenceData!$X$97),"",ReferenceData!$X$97),"")</f>
        <v>1232.1969999999999</v>
      </c>
      <c r="Y97">
        <f ca="1">IFERROR(IF(0=LEN(ReferenceData!$Y$97),"",ReferenceData!$Y$97),"")</f>
        <v>869.10400000000004</v>
      </c>
      <c r="Z97">
        <f ca="1">IFERROR(IF(0=LEN(ReferenceData!$Z$97),"",ReferenceData!$Z$97),"")</f>
        <v>588.38599999999997</v>
      </c>
      <c r="AA97">
        <f ca="1">IFERROR(IF(0=LEN(ReferenceData!$AA$97),"",ReferenceData!$AA$97),"")</f>
        <v>424.46499999999997</v>
      </c>
      <c r="AB97">
        <f ca="1">IFERROR(IF(0=LEN(ReferenceData!$AB$97),"",ReferenceData!$AB$97),"")</f>
        <v>328.209</v>
      </c>
      <c r="AC97">
        <f ca="1">IFERROR(IF(0=LEN(ReferenceData!$AC$97),"",ReferenceData!$AC$97),"")</f>
        <v>355.08699999999999</v>
      </c>
      <c r="AD97" t="str">
        <f ca="1">IFERROR(IF(0=LEN(ReferenceData!$AD$97),"",ReferenceData!$AD$97),"")</f>
        <v/>
      </c>
      <c r="AE97" t="str">
        <f ca="1">IFERROR(IF(0=LEN(ReferenceData!$AE$97),"",ReferenceData!$AE$97),"")</f>
        <v/>
      </c>
      <c r="AF97" t="str">
        <f ca="1">IFERROR(IF(0=LEN(ReferenceData!$AF$97),"",ReferenceData!$AF$97),"")</f>
        <v/>
      </c>
      <c r="AG97" t="str">
        <f ca="1">IFERROR(IF(0=LEN(ReferenceData!$AG$97),"",ReferenceData!$AG$97),"")</f>
        <v/>
      </c>
      <c r="AH97" t="str">
        <f ca="1">IFERROR(IF(0=LEN(ReferenceData!$AH$97),"",ReferenceData!$AH$97),"")</f>
        <v/>
      </c>
      <c r="AI97" t="str">
        <f ca="1">IFERROR(IF(0=LEN(ReferenceData!$AI$97),"",ReferenceData!$AI$97),"")</f>
        <v/>
      </c>
      <c r="AJ97" t="str">
        <f ca="1">IFERROR(IF(0=LEN(ReferenceData!$AJ$97),"",ReferenceData!$AJ$97),"")</f>
        <v/>
      </c>
      <c r="AK97" t="str">
        <f ca="1">IFERROR(IF(0=LEN(ReferenceData!$AK$97),"",ReferenceData!$AK$97),"")</f>
        <v/>
      </c>
      <c r="AL97" t="str">
        <f ca="1">IFERROR(IF(0=LEN(ReferenceData!$AL$97),"",ReferenceData!$AL$97),"")</f>
        <v/>
      </c>
    </row>
    <row r="98" spans="1:38" x14ac:dyDescent="0.25">
      <c r="A98" t="str">
        <f>IFERROR(IF(0=LEN(ReferenceData!$A$98),"",ReferenceData!$A$98),"")</f>
        <v xml:space="preserve">        Fifth Third Bancorp</v>
      </c>
      <c r="B98" t="str">
        <f>IFERROR(IF(0=LEN(ReferenceData!$B$98),"",ReferenceData!$B$98),"")</f>
        <v>FITB US Equity</v>
      </c>
      <c r="C98" t="str">
        <f>IFERROR(IF(0=LEN(ReferenceData!$C$98),"",ReferenceData!$C$98),"")</f>
        <v>FR011</v>
      </c>
      <c r="D98" t="str">
        <f>IFERROR(IF(0=LEN(ReferenceData!$D$98),"",ReferenceData!$D$98),"")</f>
        <v>FED_C&amp;I_LOANS_US_ADDRESS</v>
      </c>
      <c r="E98" t="str">
        <f>IFERROR(IF(0=LEN(ReferenceData!$E$98),"",ReferenceData!$E$98),"")</f>
        <v>Dynamic</v>
      </c>
      <c r="F98">
        <f ca="1">IFERROR(IF(0=LEN(ReferenceData!$F$98),"",ReferenceData!$F$98),"")</f>
        <v>41172</v>
      </c>
      <c r="G98">
        <f ca="1">IFERROR(IF(0=LEN(ReferenceData!$G$98),"",ReferenceData!$G$98),"")</f>
        <v>41876</v>
      </c>
      <c r="H98">
        <f ca="1">IFERROR(IF(0=LEN(ReferenceData!$H$98),"",ReferenceData!$H$98),"")</f>
        <v>46011.267</v>
      </c>
      <c r="I98">
        <f ca="1">IFERROR(IF(0=LEN(ReferenceData!$I$98),"",ReferenceData!$I$98),"")</f>
        <v>40762.673000000003</v>
      </c>
      <c r="J98">
        <f ca="1">IFERROR(IF(0=LEN(ReferenceData!$J$98),"",ReferenceData!$J$98),"")</f>
        <v>42222.947999999997</v>
      </c>
      <c r="K98">
        <f ca="1">IFERROR(IF(0=LEN(ReferenceData!$K$98),"",ReferenceData!$K$98),"")</f>
        <v>42969.771000000001</v>
      </c>
      <c r="L98">
        <f ca="1">IFERROR(IF(0=LEN(ReferenceData!$L$98),"",ReferenceData!$L$98),"")</f>
        <v>36195.118000000002</v>
      </c>
      <c r="M98">
        <f ca="1">IFERROR(IF(0=LEN(ReferenceData!$M$98),"",ReferenceData!$M$98),"")</f>
        <v>34053.671999999999</v>
      </c>
      <c r="N98">
        <f ca="1">IFERROR(IF(0=LEN(ReferenceData!$N$98),"",ReferenceData!$N$98),"")</f>
        <v>34275.152999999998</v>
      </c>
      <c r="O98">
        <f ca="1">IFERROR(IF(0=LEN(ReferenceData!$O$98),"",ReferenceData!$O$98),"")</f>
        <v>34329.864999999998</v>
      </c>
      <c r="P98">
        <f ca="1">IFERROR(IF(0=LEN(ReferenceData!$P$98),"",ReferenceData!$P$98),"")</f>
        <v>32622.453000000001</v>
      </c>
      <c r="Q98">
        <f ca="1">IFERROR(IF(0=LEN(ReferenceData!$Q$98),"",ReferenceData!$Q$98),"")</f>
        <v>32129.559000000001</v>
      </c>
      <c r="R98">
        <f ca="1">IFERROR(IF(0=LEN(ReferenceData!$R$98),"",ReferenceData!$R$98),"")</f>
        <v>30177.59</v>
      </c>
      <c r="S98">
        <f ca="1">IFERROR(IF(0=LEN(ReferenceData!$S$98),"",ReferenceData!$S$98),"")</f>
        <v>24878.082999999999</v>
      </c>
      <c r="T98">
        <f ca="1">IFERROR(IF(0=LEN(ReferenceData!$T$98),"",ReferenceData!$T$98),"")</f>
        <v>21742.472000000002</v>
      </c>
      <c r="U98">
        <f ca="1">IFERROR(IF(0=LEN(ReferenceData!$U$98),"",ReferenceData!$U$98),"")</f>
        <v>21562.482</v>
      </c>
      <c r="V98">
        <f ca="1">IFERROR(IF(0=LEN(ReferenceData!$V$98),"",ReferenceData!$V$98),"")</f>
        <v>24547.674999999999</v>
      </c>
      <c r="W98">
        <f ca="1">IFERROR(IF(0=LEN(ReferenceData!$W$98),"",ReferenceData!$W$98),"")</f>
        <v>21432.001</v>
      </c>
      <c r="X98">
        <f ca="1">IFERROR(IF(0=LEN(ReferenceData!$X$98),"",ReferenceData!$X$98),"")</f>
        <v>16020.589</v>
      </c>
      <c r="Y98">
        <f ca="1">IFERROR(IF(0=LEN(ReferenceData!$Y$98),"",ReferenceData!$Y$98),"")</f>
        <v>20776.422999999999</v>
      </c>
      <c r="Z98">
        <f ca="1">IFERROR(IF(0=LEN(ReferenceData!$Z$98),"",ReferenceData!$Z$98),"")</f>
        <v>16644.635999999999</v>
      </c>
      <c r="AA98">
        <f ca="1">IFERROR(IF(0=LEN(ReferenceData!$AA$98),"",ReferenceData!$AA$98),"")</f>
        <v>13324.904</v>
      </c>
      <c r="AB98">
        <f ca="1">IFERROR(IF(0=LEN(ReferenceData!$AB$98),"",ReferenceData!$AB$98),"")</f>
        <v>11277.380999999999</v>
      </c>
      <c r="AC98">
        <f ca="1">IFERROR(IF(0=LEN(ReferenceData!$AC$98),"",ReferenceData!$AC$98),"")</f>
        <v>9294.0020000000004</v>
      </c>
      <c r="AD98" t="str">
        <f ca="1">IFERROR(IF(0=LEN(ReferenceData!$AD$98),"",ReferenceData!$AD$98),"")</f>
        <v/>
      </c>
      <c r="AE98" t="str">
        <f ca="1">IFERROR(IF(0=LEN(ReferenceData!$AE$98),"",ReferenceData!$AE$98),"")</f>
        <v/>
      </c>
      <c r="AF98" t="str">
        <f ca="1">IFERROR(IF(0=LEN(ReferenceData!$AF$98),"",ReferenceData!$AF$98),"")</f>
        <v/>
      </c>
      <c r="AG98" t="str">
        <f ca="1">IFERROR(IF(0=LEN(ReferenceData!$AG$98),"",ReferenceData!$AG$98),"")</f>
        <v/>
      </c>
      <c r="AH98" t="str">
        <f ca="1">IFERROR(IF(0=LEN(ReferenceData!$AH$98),"",ReferenceData!$AH$98),"")</f>
        <v/>
      </c>
      <c r="AI98" t="str">
        <f ca="1">IFERROR(IF(0=LEN(ReferenceData!$AI$98),"",ReferenceData!$AI$98),"")</f>
        <v/>
      </c>
      <c r="AJ98" t="str">
        <f ca="1">IFERROR(IF(0=LEN(ReferenceData!$AJ$98),"",ReferenceData!$AJ$98),"")</f>
        <v/>
      </c>
      <c r="AK98" t="str">
        <f ca="1">IFERROR(IF(0=LEN(ReferenceData!$AK$98),"",ReferenceData!$AK$98),"")</f>
        <v/>
      </c>
      <c r="AL98" t="str">
        <f ca="1">IFERROR(IF(0=LEN(ReferenceData!$AL$98),"",ReferenceData!$AL$98),"")</f>
        <v/>
      </c>
    </row>
    <row r="99" spans="1:38" x14ac:dyDescent="0.25">
      <c r="A99" t="str">
        <f>IFERROR(IF(0=LEN(ReferenceData!$A$99),"",ReferenceData!$A$99),"")</f>
        <v xml:space="preserve">        First Citizens BancShares Inc/</v>
      </c>
      <c r="B99" t="str">
        <f>IFERROR(IF(0=LEN(ReferenceData!$B$99),"",ReferenceData!$B$99),"")</f>
        <v>FCNCA US Equity</v>
      </c>
      <c r="C99" t="str">
        <f>IFERROR(IF(0=LEN(ReferenceData!$C$99),"",ReferenceData!$C$99),"")</f>
        <v>FR011</v>
      </c>
      <c r="D99" t="str">
        <f>IFERROR(IF(0=LEN(ReferenceData!$D$99),"",ReferenceData!$D$99),"")</f>
        <v>FED_C&amp;I_LOANS_US_ADDRESS</v>
      </c>
      <c r="E99" t="str">
        <f>IFERROR(IF(0=LEN(ReferenceData!$E$99),"",ReferenceData!$E$99),"")</f>
        <v>Dynamic</v>
      </c>
      <c r="F99">
        <f ca="1">IFERROR(IF(0=LEN(ReferenceData!$F$99),"",ReferenceData!$F$99),"")</f>
        <v>35564</v>
      </c>
      <c r="G99">
        <f ca="1">IFERROR(IF(0=LEN(ReferenceData!$G$99),"",ReferenceData!$G$99),"")</f>
        <v>36102.396000000001</v>
      </c>
      <c r="H99">
        <f ca="1">IFERROR(IF(0=LEN(ReferenceData!$H$99),"",ReferenceData!$H$99),"")</f>
        <v>19378.618999999999</v>
      </c>
      <c r="I99">
        <f ca="1">IFERROR(IF(0=LEN(ReferenceData!$I$99),"",ReferenceData!$I$99),"")</f>
        <v>4960.9650000000001</v>
      </c>
      <c r="J99">
        <f ca="1">IFERROR(IF(0=LEN(ReferenceData!$J$99),"",ReferenceData!$J$99),"")</f>
        <v>6164.8919999999998</v>
      </c>
      <c r="K99">
        <f ca="1">IFERROR(IF(0=LEN(ReferenceData!$K$99),"",ReferenceData!$K$99),"")</f>
        <v>3461.8989999999999</v>
      </c>
      <c r="L99">
        <f ca="1">IFERROR(IF(0=LEN(ReferenceData!$L$99),"",ReferenceData!$L$99),"")</f>
        <v>2867.4810000000002</v>
      </c>
      <c r="M99">
        <f ca="1">IFERROR(IF(0=LEN(ReferenceData!$M$99),"",ReferenceData!$M$99),"")</f>
        <v>2303.0500000000002</v>
      </c>
      <c r="N99">
        <f ca="1">IFERROR(IF(0=LEN(ReferenceData!$N$99),"",ReferenceData!$N$99),"")</f>
        <v>2168.393</v>
      </c>
      <c r="O99">
        <f ca="1">IFERROR(IF(0=LEN(ReferenceData!$O$99),"",ReferenceData!$O$99),"")</f>
        <v>1973.0930000000001</v>
      </c>
      <c r="P99">
        <f ca="1">IFERROR(IF(0=LEN(ReferenceData!$P$99),"",ReferenceData!$P$99),"")</f>
        <v>1650.8320000000001</v>
      </c>
      <c r="Q99">
        <f ca="1">IFERROR(IF(0=LEN(ReferenceData!$Q$99),"",ReferenceData!$Q$99),"")</f>
        <v>966.49099999999999</v>
      </c>
      <c r="R99">
        <f ca="1">IFERROR(IF(0=LEN(ReferenceData!$R$99),"",ReferenceData!$R$99),"")</f>
        <v>1701.5419999999999</v>
      </c>
      <c r="S99">
        <f ca="1">IFERROR(IF(0=LEN(ReferenceData!$S$99),"",ReferenceData!$S$99),"")</f>
        <v>1758.124</v>
      </c>
      <c r="T99">
        <f ca="1">IFERROR(IF(0=LEN(ReferenceData!$T$99),"",ReferenceData!$T$99),"")</f>
        <v>1800.2249999999999</v>
      </c>
      <c r="U99">
        <f ca="1">IFERROR(IF(0=LEN(ReferenceData!$U$99),"",ReferenceData!$U$99),"")</f>
        <v>1730.212</v>
      </c>
      <c r="V99">
        <f ca="1">IFERROR(IF(0=LEN(ReferenceData!$V$99),"",ReferenceData!$V$99),"")</f>
        <v>1695.9739999999999</v>
      </c>
      <c r="W99">
        <f ca="1">IFERROR(IF(0=LEN(ReferenceData!$W$99),"",ReferenceData!$W$99),"")</f>
        <v>1490.4960000000001</v>
      </c>
      <c r="X99">
        <f ca="1">IFERROR(IF(0=LEN(ReferenceData!$X$99),"",ReferenceData!$X$99),"")</f>
        <v>1275.7550000000001</v>
      </c>
      <c r="Y99">
        <f ca="1">IFERROR(IF(0=LEN(ReferenceData!$Y$99),"",ReferenceData!$Y$99),"")</f>
        <v>1047.2950000000001</v>
      </c>
      <c r="Z99">
        <f ca="1">IFERROR(IF(0=LEN(ReferenceData!$Z$99),"",ReferenceData!$Z$99),"")</f>
        <v>900.58299999999997</v>
      </c>
      <c r="AA99">
        <f ca="1">IFERROR(IF(0=LEN(ReferenceData!$AA$99),"",ReferenceData!$AA$99),"")</f>
        <v>862.37</v>
      </c>
      <c r="AB99">
        <f ca="1">IFERROR(IF(0=LEN(ReferenceData!$AB$99),"",ReferenceData!$AB$99),"")</f>
        <v>857.26499999999999</v>
      </c>
      <c r="AC99">
        <f ca="1">IFERROR(IF(0=LEN(ReferenceData!$AC$99),"",ReferenceData!$AC$99),"")</f>
        <v>854.32600000000002</v>
      </c>
      <c r="AD99" t="str">
        <f ca="1">IFERROR(IF(0=LEN(ReferenceData!$AD$99),"",ReferenceData!$AD$99),"")</f>
        <v/>
      </c>
      <c r="AE99" t="str">
        <f ca="1">IFERROR(IF(0=LEN(ReferenceData!$AE$99),"",ReferenceData!$AE$99),"")</f>
        <v/>
      </c>
      <c r="AF99" t="str">
        <f ca="1">IFERROR(IF(0=LEN(ReferenceData!$AF$99),"",ReferenceData!$AF$99),"")</f>
        <v/>
      </c>
      <c r="AG99" t="str">
        <f ca="1">IFERROR(IF(0=LEN(ReferenceData!$AG$99),"",ReferenceData!$AG$99),"")</f>
        <v/>
      </c>
      <c r="AH99" t="str">
        <f ca="1">IFERROR(IF(0=LEN(ReferenceData!$AH$99),"",ReferenceData!$AH$99),"")</f>
        <v/>
      </c>
      <c r="AI99" t="str">
        <f ca="1">IFERROR(IF(0=LEN(ReferenceData!$AI$99),"",ReferenceData!$AI$99),"")</f>
        <v/>
      </c>
      <c r="AJ99" t="str">
        <f ca="1">IFERROR(IF(0=LEN(ReferenceData!$AJ$99),"",ReferenceData!$AJ$99),"")</f>
        <v/>
      </c>
      <c r="AK99" t="str">
        <f ca="1">IFERROR(IF(0=LEN(ReferenceData!$AK$99),"",ReferenceData!$AK$99),"")</f>
        <v/>
      </c>
      <c r="AL99" t="str">
        <f ca="1">IFERROR(IF(0=LEN(ReferenceData!$AL$99),"",ReferenceData!$AL$99),"")</f>
        <v/>
      </c>
    </row>
    <row r="100" spans="1:38" x14ac:dyDescent="0.25">
      <c r="A100" t="str">
        <f>IFERROR(IF(0=LEN(ReferenceData!$A$100),"",ReferenceData!$A$100),"")</f>
        <v xml:space="preserve">        Flagstar Financial Inc</v>
      </c>
      <c r="B100" t="str">
        <f>IFERROR(IF(0=LEN(ReferenceData!$B$100),"",ReferenceData!$B$100),"")</f>
        <v>FLG US Equity</v>
      </c>
      <c r="C100" t="str">
        <f>IFERROR(IF(0=LEN(ReferenceData!$C$100),"",ReferenceData!$C$100),"")</f>
        <v>FR011</v>
      </c>
      <c r="D100" t="str">
        <f>IFERROR(IF(0=LEN(ReferenceData!$D$100),"",ReferenceData!$D$100),"")</f>
        <v>FED_C&amp;I_LOANS_US_ADDRESS</v>
      </c>
      <c r="E100" t="str">
        <f>IFERROR(IF(0=LEN(ReferenceData!$E$100),"",ReferenceData!$E$100),"")</f>
        <v>Dynamic</v>
      </c>
      <c r="F100">
        <f ca="1">IFERROR(IF(0=LEN(ReferenceData!$F$100),"",ReferenceData!$F$100),"")</f>
        <v>9367.3770000000004</v>
      </c>
      <c r="G100">
        <f ca="1">IFERROR(IF(0=LEN(ReferenceData!$G$100),"",ReferenceData!$G$100),"")</f>
        <v>12136.962</v>
      </c>
      <c r="H100">
        <f ca="1">IFERROR(IF(0=LEN(ReferenceData!$H$100),"",ReferenceData!$H$100),"")</f>
        <v>5114.6809999999996</v>
      </c>
      <c r="I100">
        <f ca="1">IFERROR(IF(0=LEN(ReferenceData!$I$100),"",ReferenceData!$I$100),"")</f>
        <v>2042.838</v>
      </c>
      <c r="J100">
        <f ca="1">IFERROR(IF(0=LEN(ReferenceData!$J$100),"",ReferenceData!$J$100),"")</f>
        <v>1801.171</v>
      </c>
      <c r="K100">
        <f ca="1">IFERROR(IF(0=LEN(ReferenceData!$K$100),"",ReferenceData!$K$100),"")</f>
        <v>1744.7380000000001</v>
      </c>
      <c r="L100">
        <f ca="1">IFERROR(IF(0=LEN(ReferenceData!$L$100),"",ReferenceData!$L$100),"")</f>
        <v>1705.713</v>
      </c>
      <c r="M100">
        <f ca="1">IFERROR(IF(0=LEN(ReferenceData!$M$100),"",ReferenceData!$M$100),"")</f>
        <v>1376.492</v>
      </c>
      <c r="N100">
        <f ca="1">IFERROR(IF(0=LEN(ReferenceData!$N$100),"",ReferenceData!$N$100),"")</f>
        <v>1340.1389999999999</v>
      </c>
      <c r="O100">
        <f ca="1">IFERROR(IF(0=LEN(ReferenceData!$O$100),"",ReferenceData!$O$100),"")</f>
        <v>1084.0119999999999</v>
      </c>
      <c r="P100">
        <f ca="1">IFERROR(IF(0=LEN(ReferenceData!$P$100),"",ReferenceData!$P$100),"")</f>
        <v>1065.683</v>
      </c>
      <c r="Q100">
        <f ca="1">IFERROR(IF(0=LEN(ReferenceData!$Q$100),"",ReferenceData!$Q$100),"")</f>
        <v>728.32299999999998</v>
      </c>
      <c r="R100">
        <f ca="1">IFERROR(IF(0=LEN(ReferenceData!$R$100),"",ReferenceData!$R$100),"")</f>
        <v>619.80499999999995</v>
      </c>
      <c r="S100">
        <f ca="1">IFERROR(IF(0=LEN(ReferenceData!$S$100),"",ReferenceData!$S$100),"")</f>
        <v>657.20100000000002</v>
      </c>
      <c r="T100">
        <f ca="1">IFERROR(IF(0=LEN(ReferenceData!$T$100),"",ReferenceData!$T$100),"")</f>
        <v>712.38499999999999</v>
      </c>
      <c r="U100">
        <f ca="1">IFERROR(IF(0=LEN(ReferenceData!$U$100),"",ReferenceData!$U$100),"")</f>
        <v>653.65099999999995</v>
      </c>
      <c r="V100">
        <f ca="1">IFERROR(IF(0=LEN(ReferenceData!$V$100),"",ReferenceData!$V$100),"")</f>
        <v>713.53099999999995</v>
      </c>
      <c r="W100">
        <f ca="1">IFERROR(IF(0=LEN(ReferenceData!$W$100),"",ReferenceData!$W$100),"")</f>
        <v>706.56200000000001</v>
      </c>
      <c r="X100">
        <f ca="1">IFERROR(IF(0=LEN(ReferenceData!$X$100),"",ReferenceData!$X$100),"")</f>
        <v>643.14700000000005</v>
      </c>
      <c r="Y100">
        <f ca="1">IFERROR(IF(0=LEN(ReferenceData!$Y$100),"",ReferenceData!$Y$100),"")</f>
        <v>163.548</v>
      </c>
      <c r="Z100">
        <f ca="1">IFERROR(IF(0=LEN(ReferenceData!$Z$100),"",ReferenceData!$Z$100),"")</f>
        <v>89.19</v>
      </c>
      <c r="AA100">
        <f ca="1">IFERROR(IF(0=LEN(ReferenceData!$AA$100),"",ReferenceData!$AA$100),"")</f>
        <v>65.518000000000001</v>
      </c>
      <c r="AB100">
        <f ca="1">IFERROR(IF(0=LEN(ReferenceData!$AB$100),"",ReferenceData!$AB$100),"")</f>
        <v>60.158999999999999</v>
      </c>
      <c r="AC100">
        <f ca="1">IFERROR(IF(0=LEN(ReferenceData!$AC$100),"",ReferenceData!$AC$100),"")</f>
        <v>1.1160000000000001</v>
      </c>
      <c r="AD100" t="str">
        <f ca="1">IFERROR(IF(0=LEN(ReferenceData!$AD$100),"",ReferenceData!$AD$100),"")</f>
        <v/>
      </c>
      <c r="AE100" t="str">
        <f ca="1">IFERROR(IF(0=LEN(ReferenceData!$AE$100),"",ReferenceData!$AE$100),"")</f>
        <v/>
      </c>
      <c r="AF100" t="str">
        <f ca="1">IFERROR(IF(0=LEN(ReferenceData!$AF$100),"",ReferenceData!$AF$100),"")</f>
        <v/>
      </c>
      <c r="AG100" t="str">
        <f ca="1">IFERROR(IF(0=LEN(ReferenceData!$AG$100),"",ReferenceData!$AG$100),"")</f>
        <v/>
      </c>
      <c r="AH100" t="str">
        <f ca="1">IFERROR(IF(0=LEN(ReferenceData!$AH$100),"",ReferenceData!$AH$100),"")</f>
        <v/>
      </c>
      <c r="AI100" t="str">
        <f ca="1">IFERROR(IF(0=LEN(ReferenceData!$AI$100),"",ReferenceData!$AI$100),"")</f>
        <v/>
      </c>
      <c r="AJ100" t="str">
        <f ca="1">IFERROR(IF(0=LEN(ReferenceData!$AJ$100),"",ReferenceData!$AJ$100),"")</f>
        <v/>
      </c>
      <c r="AK100" t="str">
        <f ca="1">IFERROR(IF(0=LEN(ReferenceData!$AK$100),"",ReferenceData!$AK$100),"")</f>
        <v/>
      </c>
      <c r="AL100" t="str">
        <f ca="1">IFERROR(IF(0=LEN(ReferenceData!$AL$100),"",ReferenceData!$AL$100),"")</f>
        <v/>
      </c>
    </row>
    <row r="101" spans="1:38" x14ac:dyDescent="0.25">
      <c r="A101" t="str">
        <f>IFERROR(IF(0=LEN(ReferenceData!$A$101),"",ReferenceData!$A$101),"")</f>
        <v xml:space="preserve">        Huntington Bancshares Inc/OH</v>
      </c>
      <c r="B101" t="str">
        <f>IFERROR(IF(0=LEN(ReferenceData!$B$101),"",ReferenceData!$B$101),"")</f>
        <v>HBAN US Equity</v>
      </c>
      <c r="C101" t="str">
        <f>IFERROR(IF(0=LEN(ReferenceData!$C$101),"",ReferenceData!$C$101),"")</f>
        <v>FR011</v>
      </c>
      <c r="D101" t="str">
        <f>IFERROR(IF(0=LEN(ReferenceData!$D$101),"",ReferenceData!$D$101),"")</f>
        <v>FED_C&amp;I_LOANS_US_ADDRESS</v>
      </c>
      <c r="E101" t="str">
        <f>IFERROR(IF(0=LEN(ReferenceData!$E$101),"",ReferenceData!$E$101),"")</f>
        <v>Dynamic</v>
      </c>
      <c r="F101">
        <f ca="1">IFERROR(IF(0=LEN(ReferenceData!$F$101),"",ReferenceData!$F$101),"")</f>
        <v>36223.894999999997</v>
      </c>
      <c r="G101">
        <f ca="1">IFERROR(IF(0=LEN(ReferenceData!$G$101),"",ReferenceData!$G$101),"")</f>
        <v>33995.055999999997</v>
      </c>
      <c r="H101">
        <f ca="1">IFERROR(IF(0=LEN(ReferenceData!$H$101),"",ReferenceData!$H$101),"")</f>
        <v>31979.536</v>
      </c>
      <c r="I101">
        <f ca="1">IFERROR(IF(0=LEN(ReferenceData!$I$101),"",ReferenceData!$I$101),"")</f>
        <v>32121.205999999998</v>
      </c>
      <c r="J101">
        <f ca="1">IFERROR(IF(0=LEN(ReferenceData!$J$101),"",ReferenceData!$J$101),"")</f>
        <v>26354.253000000001</v>
      </c>
      <c r="K101">
        <f ca="1">IFERROR(IF(0=LEN(ReferenceData!$K$101),"",ReferenceData!$K$101),"")</f>
        <v>22581.722000000002</v>
      </c>
      <c r="L101">
        <f ca="1">IFERROR(IF(0=LEN(ReferenceData!$L$101),"",ReferenceData!$L$101),"")</f>
        <v>22505.43</v>
      </c>
      <c r="M101">
        <f ca="1">IFERROR(IF(0=LEN(ReferenceData!$M$101),"",ReferenceData!$M$101),"")</f>
        <v>19810.883999999998</v>
      </c>
      <c r="N101">
        <f ca="1">IFERROR(IF(0=LEN(ReferenceData!$N$101),"",ReferenceData!$N$101),"")</f>
        <v>19294.147000000001</v>
      </c>
      <c r="O101">
        <f ca="1">IFERROR(IF(0=LEN(ReferenceData!$O$101),"",ReferenceData!$O$101),"")</f>
        <v>14272.254999999999</v>
      </c>
      <c r="P101">
        <f ca="1">IFERROR(IF(0=LEN(ReferenceData!$P$101),"",ReferenceData!$P$101),"")</f>
        <v>12757.535</v>
      </c>
      <c r="Q101">
        <f ca="1">IFERROR(IF(0=LEN(ReferenceData!$Q$101),"",ReferenceData!$Q$101),"")</f>
        <v>11933.986000000001</v>
      </c>
      <c r="R101">
        <f ca="1">IFERROR(IF(0=LEN(ReferenceData!$R$101),"",ReferenceData!$R$101),"")</f>
        <v>11541.575999999999</v>
      </c>
      <c r="S101">
        <f ca="1">IFERROR(IF(0=LEN(ReferenceData!$S$101),"",ReferenceData!$S$101),"")</f>
        <v>9903.3709999999992</v>
      </c>
      <c r="T101">
        <f ca="1">IFERROR(IF(0=LEN(ReferenceData!$T$101),"",ReferenceData!$T$101),"")</f>
        <v>8354.4689999999991</v>
      </c>
      <c r="U101">
        <f ca="1">IFERROR(IF(0=LEN(ReferenceData!$U$101),"",ReferenceData!$U$101),"")</f>
        <v>7280.3559999999998</v>
      </c>
      <c r="V101">
        <f ca="1">IFERROR(IF(0=LEN(ReferenceData!$V$101),"",ReferenceData!$V$101),"")</f>
        <v>7461.7690000000002</v>
      </c>
      <c r="W101">
        <f ca="1">IFERROR(IF(0=LEN(ReferenceData!$W$101),"",ReferenceData!$W$101),"")</f>
        <v>6589.402</v>
      </c>
      <c r="X101">
        <f ca="1">IFERROR(IF(0=LEN(ReferenceData!$X$101),"",ReferenceData!$X$101),"")</f>
        <v>4290.0709999999999</v>
      </c>
      <c r="Y101">
        <f ca="1">IFERROR(IF(0=LEN(ReferenceData!$Y$101),"",ReferenceData!$Y$101),"")</f>
        <v>3818.864</v>
      </c>
      <c r="Z101">
        <f ca="1">IFERROR(IF(0=LEN(ReferenceData!$Z$101),"",ReferenceData!$Z$101),"")</f>
        <v>3787.2489999999998</v>
      </c>
      <c r="AA101">
        <f ca="1">IFERROR(IF(0=LEN(ReferenceData!$AA$101),"",ReferenceData!$AA$101),"")</f>
        <v>3911.26</v>
      </c>
      <c r="AB101">
        <f ca="1">IFERROR(IF(0=LEN(ReferenceData!$AB$101),"",ReferenceData!$AB$101),"")</f>
        <v>4066.3939999999998</v>
      </c>
      <c r="AC101">
        <f ca="1">IFERROR(IF(0=LEN(ReferenceData!$AC$101),"",ReferenceData!$AC$101),"")</f>
        <v>4976.098</v>
      </c>
      <c r="AD101" t="str">
        <f ca="1">IFERROR(IF(0=LEN(ReferenceData!$AD$101),"",ReferenceData!$AD$101),"")</f>
        <v/>
      </c>
      <c r="AE101" t="str">
        <f ca="1">IFERROR(IF(0=LEN(ReferenceData!$AE$101),"",ReferenceData!$AE$101),"")</f>
        <v/>
      </c>
      <c r="AF101" t="str">
        <f ca="1">IFERROR(IF(0=LEN(ReferenceData!$AF$101),"",ReferenceData!$AF$101),"")</f>
        <v/>
      </c>
      <c r="AG101" t="str">
        <f ca="1">IFERROR(IF(0=LEN(ReferenceData!$AG$101),"",ReferenceData!$AG$101),"")</f>
        <v/>
      </c>
      <c r="AH101" t="str">
        <f ca="1">IFERROR(IF(0=LEN(ReferenceData!$AH$101),"",ReferenceData!$AH$101),"")</f>
        <v/>
      </c>
      <c r="AI101" t="str">
        <f ca="1">IFERROR(IF(0=LEN(ReferenceData!$AI$101),"",ReferenceData!$AI$101),"")</f>
        <v/>
      </c>
      <c r="AJ101" t="str">
        <f ca="1">IFERROR(IF(0=LEN(ReferenceData!$AJ$101),"",ReferenceData!$AJ$101),"")</f>
        <v/>
      </c>
      <c r="AK101" t="str">
        <f ca="1">IFERROR(IF(0=LEN(ReferenceData!$AK$101),"",ReferenceData!$AK$101),"")</f>
        <v/>
      </c>
      <c r="AL101" t="str">
        <f ca="1">IFERROR(IF(0=LEN(ReferenceData!$AL$101),"",ReferenceData!$AL$101),"")</f>
        <v/>
      </c>
    </row>
    <row r="102" spans="1:38" x14ac:dyDescent="0.25">
      <c r="A102" t="str">
        <f>IFERROR(IF(0=LEN(ReferenceData!$A$102),"",ReferenceData!$A$102),"")</f>
        <v xml:space="preserve">        JPMorgan Chase &amp; Co</v>
      </c>
      <c r="B102" t="str">
        <f>IFERROR(IF(0=LEN(ReferenceData!$B$102),"",ReferenceData!$B$102),"")</f>
        <v>JPM US Equity</v>
      </c>
      <c r="C102" t="str">
        <f>IFERROR(IF(0=LEN(ReferenceData!$C$102),"",ReferenceData!$C$102),"")</f>
        <v>FR011</v>
      </c>
      <c r="D102" t="str">
        <f>IFERROR(IF(0=LEN(ReferenceData!$D$102),"",ReferenceData!$D$102),"")</f>
        <v>FED_C&amp;I_LOANS_US_ADDRESS</v>
      </c>
      <c r="E102" t="str">
        <f>IFERROR(IF(0=LEN(ReferenceData!$E$102),"",ReferenceData!$E$102),"")</f>
        <v>Dynamic</v>
      </c>
      <c r="F102">
        <f ca="1">IFERROR(IF(0=LEN(ReferenceData!$F$102),"",ReferenceData!$F$102),"")</f>
        <v>165689</v>
      </c>
      <c r="G102">
        <f ca="1">IFERROR(IF(0=LEN(ReferenceData!$G$102),"",ReferenceData!$G$102),"")</f>
        <v>160047</v>
      </c>
      <c r="H102">
        <f ca="1">IFERROR(IF(0=LEN(ReferenceData!$H$102),"",ReferenceData!$H$102),"")</f>
        <v>150836</v>
      </c>
      <c r="I102">
        <f ca="1">IFERROR(IF(0=LEN(ReferenceData!$I$102),"",ReferenceData!$I$102),"")</f>
        <v>134484</v>
      </c>
      <c r="J102">
        <f ca="1">IFERROR(IF(0=LEN(ReferenceData!$J$102),"",ReferenceData!$J$102),"")</f>
        <v>149693</v>
      </c>
      <c r="K102">
        <f ca="1">IFERROR(IF(0=LEN(ReferenceData!$K$102),"",ReferenceData!$K$102),"")</f>
        <v>133662</v>
      </c>
      <c r="L102">
        <f ca="1">IFERROR(IF(0=LEN(ReferenceData!$L$102),"",ReferenceData!$L$102),"")</f>
        <v>152804</v>
      </c>
      <c r="M102">
        <f ca="1">IFERROR(IF(0=LEN(ReferenceData!$M$102),"",ReferenceData!$M$102),"")</f>
        <v>130507</v>
      </c>
      <c r="N102">
        <f ca="1">IFERROR(IF(0=LEN(ReferenceData!$N$102),"",ReferenceData!$N$102),"")</f>
        <v>124890</v>
      </c>
      <c r="O102">
        <f ca="1">IFERROR(IF(0=LEN(ReferenceData!$O$102),"",ReferenceData!$O$102),"")</f>
        <v>111422</v>
      </c>
      <c r="P102">
        <f ca="1">IFERROR(IF(0=LEN(ReferenceData!$P$102),"",ReferenceData!$P$102),"")</f>
        <v>98863</v>
      </c>
      <c r="Q102">
        <f ca="1">IFERROR(IF(0=LEN(ReferenceData!$Q$102),"",ReferenceData!$Q$102),"")</f>
        <v>97172</v>
      </c>
      <c r="R102">
        <f ca="1">IFERROR(IF(0=LEN(ReferenceData!$R$102),"",ReferenceData!$R$102),"")</f>
        <v>99319</v>
      </c>
      <c r="S102">
        <f ca="1">IFERROR(IF(0=LEN(ReferenceData!$S$102),"",ReferenceData!$S$102),"")</f>
        <v>89125</v>
      </c>
      <c r="T102">
        <f ca="1">IFERROR(IF(0=LEN(ReferenceData!$T$102),"",ReferenceData!$T$102),"")</f>
        <v>75796</v>
      </c>
      <c r="U102">
        <f ca="1">IFERROR(IF(0=LEN(ReferenceData!$U$102),"",ReferenceData!$U$102),"")</f>
        <v>80452</v>
      </c>
      <c r="V102">
        <f ca="1">IFERROR(IF(0=LEN(ReferenceData!$V$102),"",ReferenceData!$V$102),"")</f>
        <v>105908</v>
      </c>
      <c r="W102">
        <f ca="1">IFERROR(IF(0=LEN(ReferenceData!$W$102),"",ReferenceData!$W$102),"")</f>
        <v>98000</v>
      </c>
      <c r="X102">
        <f ca="1">IFERROR(IF(0=LEN(ReferenceData!$X$102),"",ReferenceData!$X$102),"")</f>
        <v>75327</v>
      </c>
      <c r="Y102">
        <f ca="1">IFERROR(IF(0=LEN(ReferenceData!$Y$102),"",ReferenceData!$Y$102),"")</f>
        <v>75873</v>
      </c>
      <c r="Z102">
        <f ca="1">IFERROR(IF(0=LEN(ReferenceData!$Z$102),"",ReferenceData!$Z$102),"")</f>
        <v>56477</v>
      </c>
      <c r="AA102">
        <f ca="1">IFERROR(IF(0=LEN(ReferenceData!$AA$102),"",ReferenceData!$AA$102),"")</f>
        <v>28521</v>
      </c>
      <c r="AB102">
        <f ca="1">IFERROR(IF(0=LEN(ReferenceData!$AB$102),"",ReferenceData!$AB$102),"")</f>
        <v>32397</v>
      </c>
      <c r="AC102">
        <f ca="1">IFERROR(IF(0=LEN(ReferenceData!$AC$102),"",ReferenceData!$AC$102),"")</f>
        <v>36105</v>
      </c>
      <c r="AD102" t="str">
        <f ca="1">IFERROR(IF(0=LEN(ReferenceData!$AD$102),"",ReferenceData!$AD$102),"")</f>
        <v/>
      </c>
      <c r="AE102" t="str">
        <f ca="1">IFERROR(IF(0=LEN(ReferenceData!$AE$102),"",ReferenceData!$AE$102),"")</f>
        <v/>
      </c>
      <c r="AF102" t="str">
        <f ca="1">IFERROR(IF(0=LEN(ReferenceData!$AF$102),"",ReferenceData!$AF$102),"")</f>
        <v/>
      </c>
      <c r="AG102" t="str">
        <f ca="1">IFERROR(IF(0=LEN(ReferenceData!$AG$102),"",ReferenceData!$AG$102),"")</f>
        <v/>
      </c>
      <c r="AH102" t="str">
        <f ca="1">IFERROR(IF(0=LEN(ReferenceData!$AH$102),"",ReferenceData!$AH$102),"")</f>
        <v/>
      </c>
      <c r="AI102" t="str">
        <f ca="1">IFERROR(IF(0=LEN(ReferenceData!$AI$102),"",ReferenceData!$AI$102),"")</f>
        <v/>
      </c>
      <c r="AJ102" t="str">
        <f ca="1">IFERROR(IF(0=LEN(ReferenceData!$AJ$102),"",ReferenceData!$AJ$102),"")</f>
        <v/>
      </c>
      <c r="AK102" t="str">
        <f ca="1">IFERROR(IF(0=LEN(ReferenceData!$AK$102),"",ReferenceData!$AK$102),"")</f>
        <v/>
      </c>
      <c r="AL102" t="str">
        <f ca="1">IFERROR(IF(0=LEN(ReferenceData!$AL$102),"",ReferenceData!$AL$102),"")</f>
        <v/>
      </c>
    </row>
    <row r="103" spans="1:38" x14ac:dyDescent="0.25">
      <c r="A103" t="str">
        <f>IFERROR(IF(0=LEN(ReferenceData!$A$103),"",ReferenceData!$A$103),"")</f>
        <v xml:space="preserve">        KeyCorp</v>
      </c>
      <c r="B103" t="str">
        <f>IFERROR(IF(0=LEN(ReferenceData!$B$103),"",ReferenceData!$B$103),"")</f>
        <v>KEY US Equity</v>
      </c>
      <c r="C103" t="str">
        <f>IFERROR(IF(0=LEN(ReferenceData!$C$103),"",ReferenceData!$C$103),"")</f>
        <v>FR011</v>
      </c>
      <c r="D103" t="str">
        <f>IFERROR(IF(0=LEN(ReferenceData!$D$103),"",ReferenceData!$D$103),"")</f>
        <v>FED_C&amp;I_LOANS_US_ADDRESS</v>
      </c>
      <c r="E103" t="str">
        <f>IFERROR(IF(0=LEN(ReferenceData!$E$103),"",ReferenceData!$E$103),"")</f>
        <v>Dynamic</v>
      </c>
      <c r="F103">
        <f ca="1">IFERROR(IF(0=LEN(ReferenceData!$F$103),"",ReferenceData!$F$103),"")</f>
        <v>29575.995999999999</v>
      </c>
      <c r="G103">
        <f ca="1">IFERROR(IF(0=LEN(ReferenceData!$G$103),"",ReferenceData!$G$103),"")</f>
        <v>41818.837</v>
      </c>
      <c r="H103">
        <f ca="1">IFERROR(IF(0=LEN(ReferenceData!$H$103),"",ReferenceData!$H$103),"")</f>
        <v>45880.3</v>
      </c>
      <c r="I103">
        <f ca="1">IFERROR(IF(0=LEN(ReferenceData!$I$103),"",ReferenceData!$I$103),"")</f>
        <v>39500.326000000001</v>
      </c>
      <c r="J103">
        <f ca="1">IFERROR(IF(0=LEN(ReferenceData!$J$103),"",ReferenceData!$J$103),"")</f>
        <v>41072.786999999997</v>
      </c>
      <c r="K103">
        <f ca="1">IFERROR(IF(0=LEN(ReferenceData!$K$103),"",ReferenceData!$K$103),"")</f>
        <v>36785.572</v>
      </c>
      <c r="L103">
        <f ca="1">IFERROR(IF(0=LEN(ReferenceData!$L$103),"",ReferenceData!$L$103),"")</f>
        <v>34749.845000000001</v>
      </c>
      <c r="M103">
        <f ca="1">IFERROR(IF(0=LEN(ReferenceData!$M$103),"",ReferenceData!$M$103),"")</f>
        <v>31106</v>
      </c>
      <c r="N103">
        <f ca="1">IFERROR(IF(0=LEN(ReferenceData!$N$103),"",ReferenceData!$N$103),"")</f>
        <v>30070.73</v>
      </c>
      <c r="O103">
        <f ca="1">IFERROR(IF(0=LEN(ReferenceData!$O$103),"",ReferenceData!$O$103),"")</f>
        <v>22791.664000000001</v>
      </c>
      <c r="P103">
        <f ca="1">IFERROR(IF(0=LEN(ReferenceData!$P$103),"",ReferenceData!$P$103),"")</f>
        <v>21211.904999999999</v>
      </c>
      <c r="Q103">
        <f ca="1">IFERROR(IF(0=LEN(ReferenceData!$Q$103),"",ReferenceData!$Q$103),"")</f>
        <v>18998.039000000001</v>
      </c>
      <c r="R103">
        <f ca="1">IFERROR(IF(0=LEN(ReferenceData!$R$103),"",ReferenceData!$R$103),"")</f>
        <v>17650.335999999999</v>
      </c>
      <c r="S103">
        <f ca="1">IFERROR(IF(0=LEN(ReferenceData!$S$103),"",ReferenceData!$S$103),"")</f>
        <v>14913.321</v>
      </c>
      <c r="T103">
        <f ca="1">IFERROR(IF(0=LEN(ReferenceData!$T$103),"",ReferenceData!$T$103),"")</f>
        <v>12897.736000000001</v>
      </c>
      <c r="U103">
        <f ca="1">IFERROR(IF(0=LEN(ReferenceData!$U$103),"",ReferenceData!$U$103),"")</f>
        <v>15187.117</v>
      </c>
      <c r="V103">
        <f ca="1">IFERROR(IF(0=LEN(ReferenceData!$V$103),"",ReferenceData!$V$103),"")</f>
        <v>21679.648000000001</v>
      </c>
      <c r="W103">
        <f ca="1">IFERROR(IF(0=LEN(ReferenceData!$W$103),"",ReferenceData!$W$103),"")</f>
        <v>20581.539000000001</v>
      </c>
      <c r="X103">
        <f ca="1">IFERROR(IF(0=LEN(ReferenceData!$X$103),"",ReferenceData!$X$103),"")</f>
        <v>18711.419999999998</v>
      </c>
      <c r="Y103">
        <f ca="1">IFERROR(IF(0=LEN(ReferenceData!$Y$103),"",ReferenceData!$Y$103),"")</f>
        <v>19902.791000000001</v>
      </c>
      <c r="Z103">
        <f ca="1">IFERROR(IF(0=LEN(ReferenceData!$Z$103),"",ReferenceData!$Z$103),"")</f>
        <v>17561.143</v>
      </c>
      <c r="AA103">
        <f ca="1">IFERROR(IF(0=LEN(ReferenceData!$AA$103),"",ReferenceData!$AA$103),"")</f>
        <v>15727.905000000001</v>
      </c>
      <c r="AB103">
        <f ca="1">IFERROR(IF(0=LEN(ReferenceData!$AB$103),"",ReferenceData!$AB$103),"")</f>
        <v>16287.365</v>
      </c>
      <c r="AC103">
        <f ca="1">IFERROR(IF(0=LEN(ReferenceData!$AC$103),"",ReferenceData!$AC$103),"")</f>
        <v>16849.543000000001</v>
      </c>
      <c r="AD103" t="str">
        <f ca="1">IFERROR(IF(0=LEN(ReferenceData!$AD$103),"",ReferenceData!$AD$103),"")</f>
        <v/>
      </c>
      <c r="AE103" t="str">
        <f ca="1">IFERROR(IF(0=LEN(ReferenceData!$AE$103),"",ReferenceData!$AE$103),"")</f>
        <v/>
      </c>
      <c r="AF103" t="str">
        <f ca="1">IFERROR(IF(0=LEN(ReferenceData!$AF$103),"",ReferenceData!$AF$103),"")</f>
        <v/>
      </c>
      <c r="AG103" t="str">
        <f ca="1">IFERROR(IF(0=LEN(ReferenceData!$AG$103),"",ReferenceData!$AG$103),"")</f>
        <v/>
      </c>
      <c r="AH103" t="str">
        <f ca="1">IFERROR(IF(0=LEN(ReferenceData!$AH$103),"",ReferenceData!$AH$103),"")</f>
        <v/>
      </c>
      <c r="AI103" t="str">
        <f ca="1">IFERROR(IF(0=LEN(ReferenceData!$AI$103),"",ReferenceData!$AI$103),"")</f>
        <v/>
      </c>
      <c r="AJ103" t="str">
        <f ca="1">IFERROR(IF(0=LEN(ReferenceData!$AJ$103),"",ReferenceData!$AJ$103),"")</f>
        <v/>
      </c>
      <c r="AK103" t="str">
        <f ca="1">IFERROR(IF(0=LEN(ReferenceData!$AK$103),"",ReferenceData!$AK$103),"")</f>
        <v/>
      </c>
      <c r="AL103" t="str">
        <f ca="1">IFERROR(IF(0=LEN(ReferenceData!$AL$103),"",ReferenceData!$AL$103),"")</f>
        <v/>
      </c>
    </row>
    <row r="104" spans="1:38" x14ac:dyDescent="0.25">
      <c r="A104" t="str">
        <f>IFERROR(IF(0=LEN(ReferenceData!$A$104),"",ReferenceData!$A$104),"")</f>
        <v xml:space="preserve">        M&amp;T Bank Corp</v>
      </c>
      <c r="B104" t="str">
        <f>IFERROR(IF(0=LEN(ReferenceData!$B$104),"",ReferenceData!$B$104),"")</f>
        <v>MTB US Equity</v>
      </c>
      <c r="C104" t="str">
        <f>IFERROR(IF(0=LEN(ReferenceData!$C$104),"",ReferenceData!$C$104),"")</f>
        <v>FR011</v>
      </c>
      <c r="D104" t="str">
        <f>IFERROR(IF(0=LEN(ReferenceData!$D$104),"",ReferenceData!$D$104),"")</f>
        <v>FED_C&amp;I_LOANS_US_ADDRESS</v>
      </c>
      <c r="E104" t="str">
        <f>IFERROR(IF(0=LEN(ReferenceData!$E$104),"",ReferenceData!$E$104),"")</f>
        <v>Dynamic</v>
      </c>
      <c r="F104">
        <f ca="1">IFERROR(IF(0=LEN(ReferenceData!$F$104),"",ReferenceData!$F$104),"")</f>
        <v>34151.082999999999</v>
      </c>
      <c r="G104">
        <f ca="1">IFERROR(IF(0=LEN(ReferenceData!$G$104),"",ReferenceData!$G$104),"")</f>
        <v>32204.977999999999</v>
      </c>
      <c r="H104">
        <f ca="1">IFERROR(IF(0=LEN(ReferenceData!$H$104),"",ReferenceData!$H$104),"")</f>
        <v>30044.839</v>
      </c>
      <c r="I104">
        <f ca="1">IFERROR(IF(0=LEN(ReferenceData!$I$104),"",ReferenceData!$I$104),"")</f>
        <v>18034.106</v>
      </c>
      <c r="J104">
        <f ca="1">IFERROR(IF(0=LEN(ReferenceData!$J$104),"",ReferenceData!$J$104),"")</f>
        <v>22382.092000000001</v>
      </c>
      <c r="K104">
        <f ca="1">IFERROR(IF(0=LEN(ReferenceData!$K$104),"",ReferenceData!$K$104),"")</f>
        <v>19018.134999999998</v>
      </c>
      <c r="L104">
        <f ca="1">IFERROR(IF(0=LEN(ReferenceData!$L$104),"",ReferenceData!$L$104),"")</f>
        <v>18099.976999999999</v>
      </c>
      <c r="M104">
        <f ca="1">IFERROR(IF(0=LEN(ReferenceData!$M$104),"",ReferenceData!$M$104),"")</f>
        <v>16919.260999999999</v>
      </c>
      <c r="N104">
        <f ca="1">IFERROR(IF(0=LEN(ReferenceData!$N$104),"",ReferenceData!$N$104),"")</f>
        <v>17638.648000000001</v>
      </c>
      <c r="O104">
        <f ca="1">IFERROR(IF(0=LEN(ReferenceData!$O$104),"",ReferenceData!$O$104),"")</f>
        <v>16444.212</v>
      </c>
      <c r="P104">
        <f ca="1">IFERROR(IF(0=LEN(ReferenceData!$P$104),"",ReferenceData!$P$104),"")</f>
        <v>15752.373</v>
      </c>
      <c r="Q104">
        <f ca="1">IFERROR(IF(0=LEN(ReferenceData!$Q$104),"",ReferenceData!$Q$104),"")</f>
        <v>15094.986000000001</v>
      </c>
      <c r="R104">
        <f ca="1">IFERROR(IF(0=LEN(ReferenceData!$R$104),"",ReferenceData!$R$104),"")</f>
        <v>14147.92</v>
      </c>
      <c r="S104">
        <f ca="1">IFERROR(IF(0=LEN(ReferenceData!$S$104),"",ReferenceData!$S$104),"")</f>
        <v>12655.05</v>
      </c>
      <c r="T104">
        <f ca="1">IFERROR(IF(0=LEN(ReferenceData!$T$104),"",ReferenceData!$T$104),"")</f>
        <v>10544.942999999999</v>
      </c>
      <c r="U104">
        <f ca="1">IFERROR(IF(0=LEN(ReferenceData!$U$104),"",ReferenceData!$U$104),"")</f>
        <v>10362.379000000001</v>
      </c>
      <c r="V104">
        <f ca="1">IFERROR(IF(0=LEN(ReferenceData!$V$104),"",ReferenceData!$V$104),"")</f>
        <v>11084.695</v>
      </c>
      <c r="W104">
        <f ca="1">IFERROR(IF(0=LEN(ReferenceData!$W$104),"",ReferenceData!$W$104),"")</f>
        <v>10549.732</v>
      </c>
      <c r="X104">
        <f ca="1">IFERROR(IF(0=LEN(ReferenceData!$X$104),"",ReferenceData!$X$104),"")</f>
        <v>9704.4699999999993</v>
      </c>
      <c r="Y104">
        <f ca="1">IFERROR(IF(0=LEN(ReferenceData!$Y$104),"",ReferenceData!$Y$104),"")</f>
        <v>8914.3580000000002</v>
      </c>
      <c r="Z104">
        <f ca="1">IFERROR(IF(0=LEN(ReferenceData!$Z$104),"",ReferenceData!$Z$104),"")</f>
        <v>7946.2920000000004</v>
      </c>
      <c r="AA104">
        <f ca="1">IFERROR(IF(0=LEN(ReferenceData!$AA$104),"",ReferenceData!$AA$104),"")</f>
        <v>7429.06</v>
      </c>
      <c r="AB104">
        <f ca="1">IFERROR(IF(0=LEN(ReferenceData!$AB$104),"",ReferenceData!$AB$104),"")</f>
        <v>4855.3549999999996</v>
      </c>
      <c r="AC104">
        <f ca="1">IFERROR(IF(0=LEN(ReferenceData!$AC$104),"",ReferenceData!$AC$104),"")</f>
        <v>4681.1670000000004</v>
      </c>
      <c r="AD104" t="str">
        <f ca="1">IFERROR(IF(0=LEN(ReferenceData!$AD$104),"",ReferenceData!$AD$104),"")</f>
        <v/>
      </c>
      <c r="AE104" t="str">
        <f ca="1">IFERROR(IF(0=LEN(ReferenceData!$AE$104),"",ReferenceData!$AE$104),"")</f>
        <v/>
      </c>
      <c r="AF104" t="str">
        <f ca="1">IFERROR(IF(0=LEN(ReferenceData!$AF$104),"",ReferenceData!$AF$104),"")</f>
        <v/>
      </c>
      <c r="AG104" t="str">
        <f ca="1">IFERROR(IF(0=LEN(ReferenceData!$AG$104),"",ReferenceData!$AG$104),"")</f>
        <v/>
      </c>
      <c r="AH104" t="str">
        <f ca="1">IFERROR(IF(0=LEN(ReferenceData!$AH$104),"",ReferenceData!$AH$104),"")</f>
        <v/>
      </c>
      <c r="AI104" t="str">
        <f ca="1">IFERROR(IF(0=LEN(ReferenceData!$AI$104),"",ReferenceData!$AI$104),"")</f>
        <v/>
      </c>
      <c r="AJ104" t="str">
        <f ca="1">IFERROR(IF(0=LEN(ReferenceData!$AJ$104),"",ReferenceData!$AJ$104),"")</f>
        <v/>
      </c>
      <c r="AK104" t="str">
        <f ca="1">IFERROR(IF(0=LEN(ReferenceData!$AK$104),"",ReferenceData!$AK$104),"")</f>
        <v/>
      </c>
      <c r="AL104" t="str">
        <f ca="1">IFERROR(IF(0=LEN(ReferenceData!$AL$104),"",ReferenceData!$AL$104),"")</f>
        <v/>
      </c>
    </row>
    <row r="105" spans="1:38" x14ac:dyDescent="0.25">
      <c r="A105" t="str">
        <f>IFERROR(IF(0=LEN(ReferenceData!$A$105),"",ReferenceData!$A$105),"")</f>
        <v xml:space="preserve">        PNC Financial Services Group I</v>
      </c>
      <c r="B105" t="str">
        <f>IFERROR(IF(0=LEN(ReferenceData!$B$105),"",ReferenceData!$B$105),"")</f>
        <v>PNC US Equity</v>
      </c>
      <c r="C105" t="str">
        <f>IFERROR(IF(0=LEN(ReferenceData!$C$105),"",ReferenceData!$C$105),"")</f>
        <v>FR011</v>
      </c>
      <c r="D105" t="str">
        <f>IFERROR(IF(0=LEN(ReferenceData!$D$105),"",ReferenceData!$D$105),"")</f>
        <v>FED_C&amp;I_LOANS_US_ADDRESS</v>
      </c>
      <c r="E105" t="str">
        <f>IFERROR(IF(0=LEN(ReferenceData!$E$105),"",ReferenceData!$E$105),"")</f>
        <v>Dynamic</v>
      </c>
      <c r="F105" t="str">
        <f ca="1">IFERROR(IF(0=LEN(ReferenceData!$F$105),"",ReferenceData!$F$105),"")</f>
        <v/>
      </c>
      <c r="G105">
        <f ca="1">IFERROR(IF(0=LEN(ReferenceData!$G$105),"",ReferenceData!$G$105),"")</f>
        <v>114999.12</v>
      </c>
      <c r="H105">
        <f ca="1">IFERROR(IF(0=LEN(ReferenceData!$H$105),"",ReferenceData!$H$105),"")</f>
        <v>121294.583</v>
      </c>
      <c r="I105">
        <f ca="1">IFERROR(IF(0=LEN(ReferenceData!$I$105),"",ReferenceData!$I$105),"")</f>
        <v>97373.402000000002</v>
      </c>
      <c r="J105">
        <f ca="1">IFERROR(IF(0=LEN(ReferenceData!$J$105),"",ReferenceData!$J$105),"")</f>
        <v>88084.629000000001</v>
      </c>
      <c r="K105">
        <f ca="1">IFERROR(IF(0=LEN(ReferenceData!$K$105),"",ReferenceData!$K$105),"")</f>
        <v>86519.012000000002</v>
      </c>
      <c r="L105">
        <f ca="1">IFERROR(IF(0=LEN(ReferenceData!$L$105),"",ReferenceData!$L$105),"")</f>
        <v>80692.263999999996</v>
      </c>
      <c r="M105">
        <f ca="1">IFERROR(IF(0=LEN(ReferenceData!$M$105),"",ReferenceData!$M$105),"")</f>
        <v>73201.493000000002</v>
      </c>
      <c r="N105">
        <f ca="1">IFERROR(IF(0=LEN(ReferenceData!$N$105),"",ReferenceData!$N$105),"")</f>
        <v>66670.441999999995</v>
      </c>
      <c r="O105">
        <f ca="1">IFERROR(IF(0=LEN(ReferenceData!$O$105),"",ReferenceData!$O$105),"")</f>
        <v>62898.84</v>
      </c>
      <c r="P105">
        <f ca="1">IFERROR(IF(0=LEN(ReferenceData!$P$105),"",ReferenceData!$P$105),"")</f>
        <v>63080.902000000002</v>
      </c>
      <c r="Q105">
        <f ca="1">IFERROR(IF(0=LEN(ReferenceData!$Q$105),"",ReferenceData!$Q$105),"")</f>
        <v>56707.216</v>
      </c>
      <c r="R105">
        <f ca="1">IFERROR(IF(0=LEN(ReferenceData!$R$105),"",ReferenceData!$R$105),"")</f>
        <v>53584.644</v>
      </c>
      <c r="S105">
        <f ca="1">IFERROR(IF(0=LEN(ReferenceData!$S$105),"",ReferenceData!$S$105),"")</f>
        <v>45414.777999999998</v>
      </c>
      <c r="T105">
        <f ca="1">IFERROR(IF(0=LEN(ReferenceData!$T$105),"",ReferenceData!$T$105),"")</f>
        <v>40133.654999999999</v>
      </c>
      <c r="U105">
        <f ca="1">IFERROR(IF(0=LEN(ReferenceData!$U$105),"",ReferenceData!$U$105),"")</f>
        <v>40587.699000000001</v>
      </c>
      <c r="V105">
        <f ca="1">IFERROR(IF(0=LEN(ReferenceData!$V$105),"",ReferenceData!$V$105),"")</f>
        <v>52424.241000000002</v>
      </c>
      <c r="W105">
        <f ca="1">IFERROR(IF(0=LEN(ReferenceData!$W$105),"",ReferenceData!$W$105),"")</f>
        <v>21134.603999999999</v>
      </c>
      <c r="X105">
        <f ca="1">IFERROR(IF(0=LEN(ReferenceData!$X$105),"",ReferenceData!$X$105),"")</f>
        <v>16592.207999999999</v>
      </c>
      <c r="Y105">
        <f ca="1">IFERROR(IF(0=LEN(ReferenceData!$Y$105),"",ReferenceData!$Y$105),"")</f>
        <v>14803.018</v>
      </c>
      <c r="Z105">
        <f ca="1">IFERROR(IF(0=LEN(ReferenceData!$Z$105),"",ReferenceData!$Z$105),"")</f>
        <v>14438.828</v>
      </c>
      <c r="AA105">
        <f ca="1">IFERROR(IF(0=LEN(ReferenceData!$AA$105),"",ReferenceData!$AA$105),"")</f>
        <v>11758.42</v>
      </c>
      <c r="AB105">
        <f ca="1">IFERROR(IF(0=LEN(ReferenceData!$AB$105),"",ReferenceData!$AB$105),"")</f>
        <v>12662.664000000001</v>
      </c>
      <c r="AC105">
        <f ca="1">IFERROR(IF(0=LEN(ReferenceData!$AC$105),"",ReferenceData!$AC$105),"")</f>
        <v>14614.16</v>
      </c>
      <c r="AD105" t="str">
        <f ca="1">IFERROR(IF(0=LEN(ReferenceData!$AD$105),"",ReferenceData!$AD$105),"")</f>
        <v/>
      </c>
      <c r="AE105" t="str">
        <f ca="1">IFERROR(IF(0=LEN(ReferenceData!$AE$105),"",ReferenceData!$AE$105),"")</f>
        <v/>
      </c>
      <c r="AF105" t="str">
        <f ca="1">IFERROR(IF(0=LEN(ReferenceData!$AF$105),"",ReferenceData!$AF$105),"")</f>
        <v/>
      </c>
      <c r="AG105" t="str">
        <f ca="1">IFERROR(IF(0=LEN(ReferenceData!$AG$105),"",ReferenceData!$AG$105),"")</f>
        <v/>
      </c>
      <c r="AH105" t="str">
        <f ca="1">IFERROR(IF(0=LEN(ReferenceData!$AH$105),"",ReferenceData!$AH$105),"")</f>
        <v/>
      </c>
      <c r="AI105" t="str">
        <f ca="1">IFERROR(IF(0=LEN(ReferenceData!$AI$105),"",ReferenceData!$AI$105),"")</f>
        <v/>
      </c>
      <c r="AJ105" t="str">
        <f ca="1">IFERROR(IF(0=LEN(ReferenceData!$AJ$105),"",ReferenceData!$AJ$105),"")</f>
        <v/>
      </c>
      <c r="AK105" t="str">
        <f ca="1">IFERROR(IF(0=LEN(ReferenceData!$AK$105),"",ReferenceData!$AK$105),"")</f>
        <v/>
      </c>
      <c r="AL105" t="str">
        <f ca="1">IFERROR(IF(0=LEN(ReferenceData!$AL$105),"",ReferenceData!$AL$105),"")</f>
        <v/>
      </c>
    </row>
    <row r="106" spans="1:38" x14ac:dyDescent="0.25">
      <c r="A106" t="str">
        <f>IFERROR(IF(0=LEN(ReferenceData!$A$106),"",ReferenceData!$A$106),"")</f>
        <v xml:space="preserve">        Regions Financial Corp</v>
      </c>
      <c r="B106" t="str">
        <f>IFERROR(IF(0=LEN(ReferenceData!$B$106),"",ReferenceData!$B$106),"")</f>
        <v>RF US Equity</v>
      </c>
      <c r="C106" t="str">
        <f>IFERROR(IF(0=LEN(ReferenceData!$C$106),"",ReferenceData!$C$106),"")</f>
        <v>FR011</v>
      </c>
      <c r="D106" t="str">
        <f>IFERROR(IF(0=LEN(ReferenceData!$D$106),"",ReferenceData!$D$106),"")</f>
        <v>FED_C&amp;I_LOANS_US_ADDRESS</v>
      </c>
      <c r="E106" t="str">
        <f>IFERROR(IF(0=LEN(ReferenceData!$E$106),"",ReferenceData!$E$106),"")</f>
        <v>Dynamic</v>
      </c>
      <c r="F106" t="str">
        <f ca="1">IFERROR(IF(0=LEN(ReferenceData!$F$106),"",ReferenceData!$F$106),"")</f>
        <v/>
      </c>
      <c r="G106">
        <f ca="1">IFERROR(IF(0=LEN(ReferenceData!$G$106),"",ReferenceData!$G$106),"")</f>
        <v>31250</v>
      </c>
      <c r="H106">
        <f ca="1">IFERROR(IF(0=LEN(ReferenceData!$H$106),"",ReferenceData!$H$106),"")</f>
        <v>32252</v>
      </c>
      <c r="I106">
        <f ca="1">IFERROR(IF(0=LEN(ReferenceData!$I$106),"",ReferenceData!$I$106),"")</f>
        <v>27573</v>
      </c>
      <c r="J106">
        <f ca="1">IFERROR(IF(0=LEN(ReferenceData!$J$106),"",ReferenceData!$J$106),"")</f>
        <v>27425</v>
      </c>
      <c r="K106">
        <f ca="1">IFERROR(IF(0=LEN(ReferenceData!$K$106),"",ReferenceData!$K$106),"")</f>
        <v>24489</v>
      </c>
      <c r="L106">
        <f ca="1">IFERROR(IF(0=LEN(ReferenceData!$L$106),"",ReferenceData!$L$106),"")</f>
        <v>24160.666000000001</v>
      </c>
      <c r="M106">
        <f ca="1">IFERROR(IF(0=LEN(ReferenceData!$M$106),"",ReferenceData!$M$106),"")</f>
        <v>22206.879000000001</v>
      </c>
      <c r="N106">
        <f ca="1">IFERROR(IF(0=LEN(ReferenceData!$N$106),"",ReferenceData!$N$106),"")</f>
        <v>22228.208999999999</v>
      </c>
      <c r="O106">
        <f ca="1">IFERROR(IF(0=LEN(ReferenceData!$O$106),"",ReferenceData!$O$106),"")</f>
        <v>24026.438999999998</v>
      </c>
      <c r="P106">
        <f ca="1">IFERROR(IF(0=LEN(ReferenceData!$P$106),"",ReferenceData!$P$106),"")</f>
        <v>22925.076000000001</v>
      </c>
      <c r="Q106">
        <f ca="1">IFERROR(IF(0=LEN(ReferenceData!$Q$106),"",ReferenceData!$Q$106),"")</f>
        <v>20427.585999999999</v>
      </c>
      <c r="R106">
        <f ca="1">IFERROR(IF(0=LEN(ReferenceData!$R$106),"",ReferenceData!$R$106),"")</f>
        <v>18548.844000000001</v>
      </c>
      <c r="S106">
        <f ca="1">IFERROR(IF(0=LEN(ReferenceData!$S$106),"",ReferenceData!$S$106),"")</f>
        <v>16821.334999999999</v>
      </c>
      <c r="T106">
        <f ca="1">IFERROR(IF(0=LEN(ReferenceData!$T$106),"",ReferenceData!$T$106),"")</f>
        <v>15035.343999999999</v>
      </c>
      <c r="U106">
        <f ca="1">IFERROR(IF(0=LEN(ReferenceData!$U$106),"",ReferenceData!$U$106),"")</f>
        <v>13576.59</v>
      </c>
      <c r="V106">
        <f ca="1">IFERROR(IF(0=LEN(ReferenceData!$V$106),"",ReferenceData!$V$106),"")</f>
        <v>16508.572</v>
      </c>
      <c r="W106">
        <f ca="1">IFERROR(IF(0=LEN(ReferenceData!$W$106),"",ReferenceData!$W$106),"")</f>
        <v>15699.856</v>
      </c>
      <c r="X106">
        <f ca="1">IFERROR(IF(0=LEN(ReferenceData!$X$106),"",ReferenceData!$X$106),"")</f>
        <v>15466.166999999999</v>
      </c>
      <c r="Y106">
        <f ca="1">IFERROR(IF(0=LEN(ReferenceData!$Y$106),"",ReferenceData!$Y$106),"")</f>
        <v>9710.0139999999992</v>
      </c>
      <c r="Z106">
        <f ca="1">IFERROR(IF(0=LEN(ReferenceData!$Z$106),"",ReferenceData!$Z$106),"")</f>
        <v>10103.302</v>
      </c>
      <c r="AA106" t="str">
        <f ca="1">IFERROR(IF(0=LEN(ReferenceData!$AA$106),"",ReferenceData!$AA$106),"")</f>
        <v/>
      </c>
      <c r="AB106" t="str">
        <f ca="1">IFERROR(IF(0=LEN(ReferenceData!$AB$106),"",ReferenceData!$AB$106),"")</f>
        <v/>
      </c>
      <c r="AC106" t="str">
        <f ca="1">IFERROR(IF(0=LEN(ReferenceData!$AC$106),"",ReferenceData!$AC$106),"")</f>
        <v/>
      </c>
      <c r="AD106" t="str">
        <f ca="1">IFERROR(IF(0=LEN(ReferenceData!$AD$106),"",ReferenceData!$AD$106),"")</f>
        <v/>
      </c>
      <c r="AE106" t="str">
        <f ca="1">IFERROR(IF(0=LEN(ReferenceData!$AE$106),"",ReferenceData!$AE$106),"")</f>
        <v/>
      </c>
      <c r="AF106" t="str">
        <f ca="1">IFERROR(IF(0=LEN(ReferenceData!$AF$106),"",ReferenceData!$AF$106),"")</f>
        <v/>
      </c>
      <c r="AG106" t="str">
        <f ca="1">IFERROR(IF(0=LEN(ReferenceData!$AG$106),"",ReferenceData!$AG$106),"")</f>
        <v/>
      </c>
      <c r="AH106" t="str">
        <f ca="1">IFERROR(IF(0=LEN(ReferenceData!$AH$106),"",ReferenceData!$AH$106),"")</f>
        <v/>
      </c>
      <c r="AI106" t="str">
        <f ca="1">IFERROR(IF(0=LEN(ReferenceData!$AI$106),"",ReferenceData!$AI$106),"")</f>
        <v/>
      </c>
      <c r="AJ106" t="str">
        <f ca="1">IFERROR(IF(0=LEN(ReferenceData!$AJ$106),"",ReferenceData!$AJ$106),"")</f>
        <v/>
      </c>
      <c r="AK106" t="str">
        <f ca="1">IFERROR(IF(0=LEN(ReferenceData!$AK$106),"",ReferenceData!$AK$106),"")</f>
        <v/>
      </c>
      <c r="AL106" t="str">
        <f ca="1">IFERROR(IF(0=LEN(ReferenceData!$AL$106),"",ReferenceData!$AL$106),"")</f>
        <v/>
      </c>
    </row>
    <row r="107" spans="1:38" x14ac:dyDescent="0.25">
      <c r="A107" t="str">
        <f>IFERROR(IF(0=LEN(ReferenceData!$A$107),"",ReferenceData!$A$107),"")</f>
        <v xml:space="preserve">        Truist Financial Corp</v>
      </c>
      <c r="B107" t="str">
        <f>IFERROR(IF(0=LEN(ReferenceData!$B$107),"",ReferenceData!$B$107),"")</f>
        <v>TFC US Equity</v>
      </c>
      <c r="C107" t="str">
        <f>IFERROR(IF(0=LEN(ReferenceData!$C$107),"",ReferenceData!$C$107),"")</f>
        <v>FR011</v>
      </c>
      <c r="D107" t="str">
        <f>IFERROR(IF(0=LEN(ReferenceData!$D$107),"",ReferenceData!$D$107),"")</f>
        <v>FED_C&amp;I_LOANS_US_ADDRESS</v>
      </c>
      <c r="E107" t="str">
        <f>IFERROR(IF(0=LEN(ReferenceData!$E$107),"",ReferenceData!$E$107),"")</f>
        <v>Dynamic</v>
      </c>
      <c r="F107">
        <f ca="1">IFERROR(IF(0=LEN(ReferenceData!$F$107),"",ReferenceData!$F$107),"")</f>
        <v>70656</v>
      </c>
      <c r="G107">
        <f ca="1">IFERROR(IF(0=LEN(ReferenceData!$G$107),"",ReferenceData!$G$107),"")</f>
        <v>83799</v>
      </c>
      <c r="H107">
        <f ca="1">IFERROR(IF(0=LEN(ReferenceData!$H$107),"",ReferenceData!$H$107),"")</f>
        <v>84615</v>
      </c>
      <c r="I107">
        <f ca="1">IFERROR(IF(0=LEN(ReferenceData!$I$107),"",ReferenceData!$I$107),"")</f>
        <v>65471</v>
      </c>
      <c r="J107">
        <f ca="1">IFERROR(IF(0=LEN(ReferenceData!$J$107),"",ReferenceData!$J$107),"")</f>
        <v>72404</v>
      </c>
      <c r="K107">
        <f ca="1">IFERROR(IF(0=LEN(ReferenceData!$K$107),"",ReferenceData!$K$107),"")</f>
        <v>71051</v>
      </c>
      <c r="L107">
        <f ca="1">IFERROR(IF(0=LEN(ReferenceData!$L$107),"",ReferenceData!$L$107),"")</f>
        <v>29892</v>
      </c>
      <c r="M107">
        <f ca="1">IFERROR(IF(0=LEN(ReferenceData!$M$107),"",ReferenceData!$M$107),"")</f>
        <v>26761</v>
      </c>
      <c r="N107">
        <f ca="1">IFERROR(IF(0=LEN(ReferenceData!$N$107),"",ReferenceData!$N$107),"")</f>
        <v>25953.246999999999</v>
      </c>
      <c r="O107">
        <f ca="1">IFERROR(IF(0=LEN(ReferenceData!$O$107),"",ReferenceData!$O$107),"")</f>
        <v>23341.453000000001</v>
      </c>
      <c r="P107">
        <f ca="1">IFERROR(IF(0=LEN(ReferenceData!$P$107),"",ReferenceData!$P$107),"")</f>
        <v>18842.584999999999</v>
      </c>
      <c r="Q107">
        <f ca="1">IFERROR(IF(0=LEN(ReferenceData!$Q$107),"",ReferenceData!$Q$107),"")</f>
        <v>16823.215</v>
      </c>
      <c r="R107">
        <f ca="1">IFERROR(IF(0=LEN(ReferenceData!$R$107),"",ReferenceData!$R$107),"")</f>
        <v>15976.623</v>
      </c>
      <c r="S107">
        <f ca="1">IFERROR(IF(0=LEN(ReferenceData!$S$107),"",ReferenceData!$S$107),"")</f>
        <v>14793.297</v>
      </c>
      <c r="T107">
        <f ca="1">IFERROR(IF(0=LEN(ReferenceData!$T$107),"",ReferenceData!$T$107),"")</f>
        <v>13394.07</v>
      </c>
      <c r="U107">
        <f ca="1">IFERROR(IF(0=LEN(ReferenceData!$U$107),"",ReferenceData!$U$107),"")</f>
        <v>14099.186</v>
      </c>
      <c r="V107">
        <f ca="1">IFERROR(IF(0=LEN(ReferenceData!$V$107),"",ReferenceData!$V$107),"")</f>
        <v>14387.058000000001</v>
      </c>
      <c r="W107">
        <f ca="1">IFERROR(IF(0=LEN(ReferenceData!$W$107),"",ReferenceData!$W$107),"")</f>
        <v>12147.416999999999</v>
      </c>
      <c r="X107">
        <f ca="1">IFERROR(IF(0=LEN(ReferenceData!$X$107),"",ReferenceData!$X$107),"")</f>
        <v>9170.2209999999995</v>
      </c>
      <c r="Y107">
        <f ca="1">IFERROR(IF(0=LEN(ReferenceData!$Y$107),"",ReferenceData!$Y$107),"")</f>
        <v>8152.5309999999999</v>
      </c>
      <c r="Z107">
        <f ca="1">IFERROR(IF(0=LEN(ReferenceData!$Z$107),"",ReferenceData!$Z$107),"")</f>
        <v>7594.5249999999996</v>
      </c>
      <c r="AA107">
        <f ca="1">IFERROR(IF(0=LEN(ReferenceData!$AA$107),"",ReferenceData!$AA$107),"")</f>
        <v>7181.3829999999998</v>
      </c>
      <c r="AB107">
        <f ca="1">IFERROR(IF(0=LEN(ReferenceData!$AB$107),"",ReferenceData!$AB$107),"")</f>
        <v>6909.3459999999995</v>
      </c>
      <c r="AC107">
        <f ca="1">IFERROR(IF(0=LEN(ReferenceData!$AC$107),"",ReferenceData!$AC$107),"")</f>
        <v>6450.5479999999998</v>
      </c>
      <c r="AD107" t="str">
        <f ca="1">IFERROR(IF(0=LEN(ReferenceData!$AD$107),"",ReferenceData!$AD$107),"")</f>
        <v/>
      </c>
      <c r="AE107" t="str">
        <f ca="1">IFERROR(IF(0=LEN(ReferenceData!$AE$107),"",ReferenceData!$AE$107),"")</f>
        <v/>
      </c>
      <c r="AF107" t="str">
        <f ca="1">IFERROR(IF(0=LEN(ReferenceData!$AF$107),"",ReferenceData!$AF$107),"")</f>
        <v/>
      </c>
      <c r="AG107" t="str">
        <f ca="1">IFERROR(IF(0=LEN(ReferenceData!$AG$107),"",ReferenceData!$AG$107),"")</f>
        <v/>
      </c>
      <c r="AH107" t="str">
        <f ca="1">IFERROR(IF(0=LEN(ReferenceData!$AH$107),"",ReferenceData!$AH$107),"")</f>
        <v/>
      </c>
      <c r="AI107" t="str">
        <f ca="1">IFERROR(IF(0=LEN(ReferenceData!$AI$107),"",ReferenceData!$AI$107),"")</f>
        <v/>
      </c>
      <c r="AJ107" t="str">
        <f ca="1">IFERROR(IF(0=LEN(ReferenceData!$AJ$107),"",ReferenceData!$AJ$107),"")</f>
        <v/>
      </c>
      <c r="AK107" t="str">
        <f ca="1">IFERROR(IF(0=LEN(ReferenceData!$AK$107),"",ReferenceData!$AK$107),"")</f>
        <v/>
      </c>
      <c r="AL107" t="str">
        <f ca="1">IFERROR(IF(0=LEN(ReferenceData!$AL$107),"",ReferenceData!$AL$107),"")</f>
        <v/>
      </c>
    </row>
    <row r="108" spans="1:38" x14ac:dyDescent="0.25">
      <c r="A108" t="str">
        <f>IFERROR(IF(0=LEN(ReferenceData!$A$108),"",ReferenceData!$A$108),"")</f>
        <v xml:space="preserve">        US Bancorp</v>
      </c>
      <c r="B108" t="str">
        <f>IFERROR(IF(0=LEN(ReferenceData!$B$108),"",ReferenceData!$B$108),"")</f>
        <v>USB US Equity</v>
      </c>
      <c r="C108" t="str">
        <f>IFERROR(IF(0=LEN(ReferenceData!$C$108),"",ReferenceData!$C$108),"")</f>
        <v>FR011</v>
      </c>
      <c r="D108" t="str">
        <f>IFERROR(IF(0=LEN(ReferenceData!$D$108),"",ReferenceData!$D$108),"")</f>
        <v>FED_C&amp;I_LOANS_US_ADDRESS</v>
      </c>
      <c r="E108" t="str">
        <f>IFERROR(IF(0=LEN(ReferenceData!$E$108),"",ReferenceData!$E$108),"")</f>
        <v>Dynamic</v>
      </c>
      <c r="F108">
        <f ca="1">IFERROR(IF(0=LEN(ReferenceData!$F$108),"",ReferenceData!$F$108),"")</f>
        <v>93480</v>
      </c>
      <c r="G108">
        <f ca="1">IFERROR(IF(0=LEN(ReferenceData!$G$108),"",ReferenceData!$G$108),"")</f>
        <v>95923</v>
      </c>
      <c r="H108">
        <f ca="1">IFERROR(IF(0=LEN(ReferenceData!$H$108),"",ReferenceData!$H$108),"")</f>
        <v>101069</v>
      </c>
      <c r="I108">
        <f ca="1">IFERROR(IF(0=LEN(ReferenceData!$I$108),"",ReferenceData!$I$108),"")</f>
        <v>80352</v>
      </c>
      <c r="J108">
        <f ca="1">IFERROR(IF(0=LEN(ReferenceData!$J$108),"",ReferenceData!$J$108),"")</f>
        <v>75750</v>
      </c>
      <c r="K108">
        <f ca="1">IFERROR(IF(0=LEN(ReferenceData!$K$108),"",ReferenceData!$K$108),"")</f>
        <v>77666</v>
      </c>
      <c r="L108">
        <f ca="1">IFERROR(IF(0=LEN(ReferenceData!$L$108),"",ReferenceData!$L$108),"")</f>
        <v>77365</v>
      </c>
      <c r="M108">
        <f ca="1">IFERROR(IF(0=LEN(ReferenceData!$M$108),"",ReferenceData!$M$108),"")</f>
        <v>71503</v>
      </c>
      <c r="N108">
        <f ca="1">IFERROR(IF(0=LEN(ReferenceData!$N$108),"",ReferenceData!$N$108),"")</f>
        <v>68079</v>
      </c>
      <c r="O108">
        <f ca="1">IFERROR(IF(0=LEN(ReferenceData!$O$108),"",ReferenceData!$O$108),"")</f>
        <v>65637</v>
      </c>
      <c r="P108">
        <f ca="1">IFERROR(IF(0=LEN(ReferenceData!$P$108),"",ReferenceData!$P$108),"")</f>
        <v>59496</v>
      </c>
      <c r="Q108">
        <f ca="1">IFERROR(IF(0=LEN(ReferenceData!$Q$108),"",ReferenceData!$Q$108),"")</f>
        <v>51358</v>
      </c>
      <c r="R108">
        <f ca="1">IFERROR(IF(0=LEN(ReferenceData!$R$108),"",ReferenceData!$R$108),"")</f>
        <v>47397</v>
      </c>
      <c r="S108">
        <f ca="1">IFERROR(IF(0=LEN(ReferenceData!$S$108),"",ReferenceData!$S$108),"")</f>
        <v>41061</v>
      </c>
      <c r="T108">
        <f ca="1">IFERROR(IF(0=LEN(ReferenceData!$T$108),"",ReferenceData!$T$108),"")</f>
        <v>35068</v>
      </c>
      <c r="U108">
        <f ca="1">IFERROR(IF(0=LEN(ReferenceData!$U$108),"",ReferenceData!$U$108),"")</f>
        <v>35468</v>
      </c>
      <c r="V108">
        <f ca="1">IFERROR(IF(0=LEN(ReferenceData!$V$108),"",ReferenceData!$V$108),"")</f>
        <v>41320</v>
      </c>
      <c r="W108">
        <f ca="1">IFERROR(IF(0=LEN(ReferenceData!$W$108),"",ReferenceData!$W$108),"")</f>
        <v>36782</v>
      </c>
      <c r="X108">
        <f ca="1">IFERROR(IF(0=LEN(ReferenceData!$X$108),"",ReferenceData!$X$108),"")</f>
        <v>32991</v>
      </c>
      <c r="Y108">
        <f ca="1">IFERROR(IF(0=LEN(ReferenceData!$Y$108),"",ReferenceData!$Y$108),"")</f>
        <v>30858</v>
      </c>
      <c r="Z108">
        <f ca="1">IFERROR(IF(0=LEN(ReferenceData!$Z$108),"",ReferenceData!$Z$108),"")</f>
        <v>28959</v>
      </c>
      <c r="AA108">
        <f ca="1">IFERROR(IF(0=LEN(ReferenceData!$AA$108),"",ReferenceData!$AA$108),"")</f>
        <v>27437</v>
      </c>
      <c r="AB108">
        <f ca="1">IFERROR(IF(0=LEN(ReferenceData!$AB$108),"",ReferenceData!$AB$108),"")</f>
        <v>29167</v>
      </c>
      <c r="AC108">
        <f ca="1">IFERROR(IF(0=LEN(ReferenceData!$AC$108),"",ReferenceData!$AC$108),"")</f>
        <v>34156</v>
      </c>
      <c r="AD108" t="str">
        <f ca="1">IFERROR(IF(0=LEN(ReferenceData!$AD$108),"",ReferenceData!$AD$108),"")</f>
        <v/>
      </c>
      <c r="AE108" t="str">
        <f ca="1">IFERROR(IF(0=LEN(ReferenceData!$AE$108),"",ReferenceData!$AE$108),"")</f>
        <v/>
      </c>
      <c r="AF108" t="str">
        <f ca="1">IFERROR(IF(0=LEN(ReferenceData!$AF$108),"",ReferenceData!$AF$108),"")</f>
        <v/>
      </c>
      <c r="AG108" t="str">
        <f ca="1">IFERROR(IF(0=LEN(ReferenceData!$AG$108),"",ReferenceData!$AG$108),"")</f>
        <v/>
      </c>
      <c r="AH108" t="str">
        <f ca="1">IFERROR(IF(0=LEN(ReferenceData!$AH$108),"",ReferenceData!$AH$108),"")</f>
        <v/>
      </c>
      <c r="AI108" t="str">
        <f ca="1">IFERROR(IF(0=LEN(ReferenceData!$AI$108),"",ReferenceData!$AI$108),"")</f>
        <v/>
      </c>
      <c r="AJ108" t="str">
        <f ca="1">IFERROR(IF(0=LEN(ReferenceData!$AJ$108),"",ReferenceData!$AJ$108),"")</f>
        <v/>
      </c>
      <c r="AK108" t="str">
        <f ca="1">IFERROR(IF(0=LEN(ReferenceData!$AK$108),"",ReferenceData!$AK$108),"")</f>
        <v/>
      </c>
      <c r="AL108" t="str">
        <f ca="1">IFERROR(IF(0=LEN(ReferenceData!$AL$108),"",ReferenceData!$AL$108),"")</f>
        <v/>
      </c>
    </row>
    <row r="109" spans="1:38" x14ac:dyDescent="0.25">
      <c r="A109" t="str">
        <f>IFERROR(IF(0=LEN(ReferenceData!$A$109),"",ReferenceData!$A$109),"")</f>
        <v xml:space="preserve">        Wells Fargo &amp; Co</v>
      </c>
      <c r="B109" t="str">
        <f>IFERROR(IF(0=LEN(ReferenceData!$B$109),"",ReferenceData!$B$109),"")</f>
        <v>WFC US Equity</v>
      </c>
      <c r="C109" t="str">
        <f>IFERROR(IF(0=LEN(ReferenceData!$C$109),"",ReferenceData!$C$109),"")</f>
        <v>FR011</v>
      </c>
      <c r="D109" t="str">
        <f>IFERROR(IF(0=LEN(ReferenceData!$D$109),"",ReferenceData!$D$109),"")</f>
        <v>FED_C&amp;I_LOANS_US_ADDRESS</v>
      </c>
      <c r="E109" t="str">
        <f>IFERROR(IF(0=LEN(ReferenceData!$E$109),"",ReferenceData!$E$109),"")</f>
        <v>Dynamic</v>
      </c>
      <c r="F109">
        <f ca="1">IFERROR(IF(0=LEN(ReferenceData!$F$109),"",ReferenceData!$F$109),"")</f>
        <v>169380</v>
      </c>
      <c r="G109">
        <f ca="1">IFERROR(IF(0=LEN(ReferenceData!$G$109),"",ReferenceData!$G$109),"")</f>
        <v>172732</v>
      </c>
      <c r="H109">
        <f ca="1">IFERROR(IF(0=LEN(ReferenceData!$H$109),"",ReferenceData!$H$109),"")</f>
        <v>177409</v>
      </c>
      <c r="I109">
        <f ca="1">IFERROR(IF(0=LEN(ReferenceData!$I$109),"",ReferenceData!$I$109),"")</f>
        <v>154435</v>
      </c>
      <c r="J109">
        <f ca="1">IFERROR(IF(0=LEN(ReferenceData!$J$109),"",ReferenceData!$J$109),"")</f>
        <v>148745</v>
      </c>
      <c r="K109">
        <f ca="1">IFERROR(IF(0=LEN(ReferenceData!$K$109),"",ReferenceData!$K$109),"")</f>
        <v>171200</v>
      </c>
      <c r="L109">
        <f ca="1">IFERROR(IF(0=LEN(ReferenceData!$L$109),"",ReferenceData!$L$109),"")</f>
        <v>175997</v>
      </c>
      <c r="M109">
        <f ca="1">IFERROR(IF(0=LEN(ReferenceData!$M$109),"",ReferenceData!$M$109),"")</f>
        <v>168663</v>
      </c>
      <c r="N109">
        <f ca="1">IFERROR(IF(0=LEN(ReferenceData!$N$109),"",ReferenceData!$N$109),"")</f>
        <v>168367</v>
      </c>
      <c r="O109">
        <f ca="1">IFERROR(IF(0=LEN(ReferenceData!$O$109),"",ReferenceData!$O$109),"")</f>
        <v>155648</v>
      </c>
      <c r="P109">
        <f ca="1">IFERROR(IF(0=LEN(ReferenceData!$P$109),"",ReferenceData!$P$109),"")</f>
        <v>151387</v>
      </c>
      <c r="Q109">
        <f ca="1">IFERROR(IF(0=LEN(ReferenceData!$Q$109),"",ReferenceData!$Q$109),"")</f>
        <v>146309</v>
      </c>
      <c r="R109">
        <f ca="1">IFERROR(IF(0=LEN(ReferenceData!$R$109),"",ReferenceData!$R$109),"")</f>
        <v>148843</v>
      </c>
      <c r="S109">
        <f ca="1">IFERROR(IF(0=LEN(ReferenceData!$S$109),"",ReferenceData!$S$109),"")</f>
        <v>142010</v>
      </c>
      <c r="T109">
        <f ca="1">IFERROR(IF(0=LEN(ReferenceData!$T$109),"",ReferenceData!$T$109),"")</f>
        <v>122523</v>
      </c>
      <c r="U109">
        <f ca="1">IFERROR(IF(0=LEN(ReferenceData!$U$109),"",ReferenceData!$U$109),"")</f>
        <v>134695</v>
      </c>
      <c r="V109">
        <f ca="1">IFERROR(IF(0=LEN(ReferenceData!$V$109),"",ReferenceData!$V$109),"")</f>
        <v>175087</v>
      </c>
      <c r="W109">
        <f ca="1">IFERROR(IF(0=LEN(ReferenceData!$W$109),"",ReferenceData!$W$109),"")</f>
        <v>77521</v>
      </c>
      <c r="X109">
        <f ca="1">IFERROR(IF(0=LEN(ReferenceData!$X$109),"",ReferenceData!$X$109),"")</f>
        <v>59508</v>
      </c>
      <c r="Y109">
        <f ca="1">IFERROR(IF(0=LEN(ReferenceData!$Y$109),"",ReferenceData!$Y$109),"")</f>
        <v>51564</v>
      </c>
      <c r="Z109">
        <f ca="1">IFERROR(IF(0=LEN(ReferenceData!$Z$109),"",ReferenceData!$Z$109),"")</f>
        <v>46115</v>
      </c>
      <c r="AA109">
        <f ca="1">IFERROR(IF(0=LEN(ReferenceData!$AA$109),"",ReferenceData!$AA$109),"")</f>
        <v>42059</v>
      </c>
      <c r="AB109">
        <f ca="1">IFERROR(IF(0=LEN(ReferenceData!$AB$109),"",ReferenceData!$AB$109),"")</f>
        <v>40451</v>
      </c>
      <c r="AC109">
        <f ca="1">IFERROR(IF(0=LEN(ReferenceData!$AC$109),"",ReferenceData!$AC$109),"")</f>
        <v>41292</v>
      </c>
      <c r="AD109" t="str">
        <f ca="1">IFERROR(IF(0=LEN(ReferenceData!$AD$109),"",ReferenceData!$AD$109),"")</f>
        <v/>
      </c>
      <c r="AE109" t="str">
        <f ca="1">IFERROR(IF(0=LEN(ReferenceData!$AE$109),"",ReferenceData!$AE$109),"")</f>
        <v/>
      </c>
      <c r="AF109" t="str">
        <f ca="1">IFERROR(IF(0=LEN(ReferenceData!$AF$109),"",ReferenceData!$AF$109),"")</f>
        <v/>
      </c>
      <c r="AG109" t="str">
        <f ca="1">IFERROR(IF(0=LEN(ReferenceData!$AG$109),"",ReferenceData!$AG$109),"")</f>
        <v/>
      </c>
      <c r="AH109" t="str">
        <f ca="1">IFERROR(IF(0=LEN(ReferenceData!$AH$109),"",ReferenceData!$AH$109),"")</f>
        <v/>
      </c>
      <c r="AI109" t="str">
        <f ca="1">IFERROR(IF(0=LEN(ReferenceData!$AI$109),"",ReferenceData!$AI$109),"")</f>
        <v/>
      </c>
      <c r="AJ109" t="str">
        <f ca="1">IFERROR(IF(0=LEN(ReferenceData!$AJ$109),"",ReferenceData!$AJ$109),"")</f>
        <v/>
      </c>
      <c r="AK109" t="str">
        <f ca="1">IFERROR(IF(0=LEN(ReferenceData!$AK$109),"",ReferenceData!$AK$109),"")</f>
        <v/>
      </c>
      <c r="AL109" t="str">
        <f ca="1">IFERROR(IF(0=LEN(ReferenceData!$AL$109),"",ReferenceData!$AL$109),"")</f>
        <v/>
      </c>
    </row>
    <row r="110" spans="1:38" x14ac:dyDescent="0.25">
      <c r="A110" t="str">
        <f>IFERROR(IF(0=LEN(ReferenceData!$A$110),"",ReferenceData!$A$110),"")</f>
        <v xml:space="preserve">        Western Alliance Bancorp</v>
      </c>
      <c r="B110" t="str">
        <f>IFERROR(IF(0=LEN(ReferenceData!$B$110),"",ReferenceData!$B$110),"")</f>
        <v>WAL US Equity</v>
      </c>
      <c r="C110" t="str">
        <f>IFERROR(IF(0=LEN(ReferenceData!$C$110),"",ReferenceData!$C$110),"")</f>
        <v>FR011</v>
      </c>
      <c r="D110" t="str">
        <f>IFERROR(IF(0=LEN(ReferenceData!$D$110),"",ReferenceData!$D$110),"")</f>
        <v>FED_C&amp;I_LOANS_US_ADDRESS</v>
      </c>
      <c r="E110" t="str">
        <f>IFERROR(IF(0=LEN(ReferenceData!$E$110),"",ReferenceData!$E$110),"")</f>
        <v>Dynamic</v>
      </c>
      <c r="F110">
        <f ca="1">IFERROR(IF(0=LEN(ReferenceData!$F$110),"",ReferenceData!$F$110),"")</f>
        <v>9927.7829999999994</v>
      </c>
      <c r="G110">
        <f ca="1">IFERROR(IF(0=LEN(ReferenceData!$G$110),"",ReferenceData!$G$110),"")</f>
        <v>8786.5540000000001</v>
      </c>
      <c r="H110">
        <f ca="1">IFERROR(IF(0=LEN(ReferenceData!$H$110),"",ReferenceData!$H$110),"")</f>
        <v>11612.654</v>
      </c>
      <c r="I110">
        <f ca="1">IFERROR(IF(0=LEN(ReferenceData!$I$110),"",ReferenceData!$I$110),"")</f>
        <v>10661.641</v>
      </c>
      <c r="J110">
        <f ca="1">IFERROR(IF(0=LEN(ReferenceData!$J$110),"",ReferenceData!$J$110),"")</f>
        <v>7359.0039999999999</v>
      </c>
      <c r="K110">
        <f ca="1">IFERROR(IF(0=LEN(ReferenceData!$K$110),"",ReferenceData!$K$110),"")</f>
        <v>5081.0469999999996</v>
      </c>
      <c r="L110">
        <f ca="1">IFERROR(IF(0=LEN(ReferenceData!$L$110),"",ReferenceData!$L$110),"")</f>
        <v>4284</v>
      </c>
      <c r="M110">
        <f ca="1">IFERROR(IF(0=LEN(ReferenceData!$M$110),"",ReferenceData!$M$110),"")</f>
        <v>3945.777</v>
      </c>
      <c r="N110">
        <f ca="1">IFERROR(IF(0=LEN(ReferenceData!$N$110),"",ReferenceData!$N$110),"")</f>
        <v>3356.7089999999998</v>
      </c>
      <c r="O110">
        <f ca="1">IFERROR(IF(0=LEN(ReferenceData!$O$110),"",ReferenceData!$O$110),"")</f>
        <v>3136.9</v>
      </c>
      <c r="P110">
        <f ca="1">IFERROR(IF(0=LEN(ReferenceData!$P$110),"",ReferenceData!$P$110),"")</f>
        <v>1893.979</v>
      </c>
      <c r="Q110">
        <f ca="1">IFERROR(IF(0=LEN(ReferenceData!$Q$110),"",ReferenceData!$Q$110),"")</f>
        <v>1290.7919999999999</v>
      </c>
      <c r="R110">
        <f ca="1">IFERROR(IF(0=LEN(ReferenceData!$R$110),"",ReferenceData!$R$110),"")</f>
        <v>1043.0719999999999</v>
      </c>
      <c r="S110">
        <f ca="1">IFERROR(IF(0=LEN(ReferenceData!$S$110),"",ReferenceData!$S$110),"")</f>
        <v>817.23400000000004</v>
      </c>
      <c r="T110">
        <f ca="1">IFERROR(IF(0=LEN(ReferenceData!$T$110),"",ReferenceData!$T$110),"")</f>
        <v>697.399</v>
      </c>
      <c r="U110">
        <f ca="1">IFERROR(IF(0=LEN(ReferenceData!$U$110),"",ReferenceData!$U$110),"")</f>
        <v>665.65499999999997</v>
      </c>
      <c r="V110">
        <f ca="1">IFERROR(IF(0=LEN(ReferenceData!$V$110),"",ReferenceData!$V$110),"")</f>
        <v>798.25199999999995</v>
      </c>
      <c r="W110">
        <f ca="1">IFERROR(IF(0=LEN(ReferenceData!$W$110),"",ReferenceData!$W$110),"")</f>
        <v>727.59900000000005</v>
      </c>
      <c r="X110">
        <f ca="1">IFERROR(IF(0=LEN(ReferenceData!$X$110),"",ReferenceData!$X$110),"")</f>
        <v>622.59199999999998</v>
      </c>
      <c r="Y110">
        <f ca="1">IFERROR(IF(0=LEN(ReferenceData!$Y$110),"",ReferenceData!$Y$110),"")</f>
        <v>338.47899999999998</v>
      </c>
      <c r="Z110">
        <f ca="1">IFERROR(IF(0=LEN(ReferenceData!$Z$110),"",ReferenceData!$Z$110),"")</f>
        <v>239.57599999999999</v>
      </c>
      <c r="AA110">
        <f ca="1">IFERROR(IF(0=LEN(ReferenceData!$AA$110),"",ReferenceData!$AA$110),"")</f>
        <v>158.71600000000001</v>
      </c>
      <c r="AB110">
        <f ca="1">IFERROR(IF(0=LEN(ReferenceData!$AB$110),"",ReferenceData!$AB$110),"")</f>
        <v>93.838999999999999</v>
      </c>
      <c r="AC110">
        <f ca="1">IFERROR(IF(0=LEN(ReferenceData!$AC$110),"",ReferenceData!$AC$110),"")</f>
        <v>85.05</v>
      </c>
      <c r="AD110" t="str">
        <f ca="1">IFERROR(IF(0=LEN(ReferenceData!$AD$110),"",ReferenceData!$AD$110),"")</f>
        <v/>
      </c>
      <c r="AE110" t="str">
        <f ca="1">IFERROR(IF(0=LEN(ReferenceData!$AE$110),"",ReferenceData!$AE$110),"")</f>
        <v/>
      </c>
      <c r="AF110" t="str">
        <f ca="1">IFERROR(IF(0=LEN(ReferenceData!$AF$110),"",ReferenceData!$AF$110),"")</f>
        <v/>
      </c>
      <c r="AG110" t="str">
        <f ca="1">IFERROR(IF(0=LEN(ReferenceData!$AG$110),"",ReferenceData!$AG$110),"")</f>
        <v/>
      </c>
      <c r="AH110" t="str">
        <f ca="1">IFERROR(IF(0=LEN(ReferenceData!$AH$110),"",ReferenceData!$AH$110),"")</f>
        <v/>
      </c>
      <c r="AI110" t="str">
        <f ca="1">IFERROR(IF(0=LEN(ReferenceData!$AI$110),"",ReferenceData!$AI$110),"")</f>
        <v/>
      </c>
      <c r="AJ110" t="str">
        <f ca="1">IFERROR(IF(0=LEN(ReferenceData!$AJ$110),"",ReferenceData!$AJ$110),"")</f>
        <v/>
      </c>
      <c r="AK110" t="str">
        <f ca="1">IFERROR(IF(0=LEN(ReferenceData!$AK$110),"",ReferenceData!$AK$110),"")</f>
        <v/>
      </c>
      <c r="AL110" t="str">
        <f ca="1">IFERROR(IF(0=LEN(ReferenceData!$AL$110),"",ReferenceData!$AL$110),"")</f>
        <v/>
      </c>
    </row>
    <row r="111" spans="1:38" x14ac:dyDescent="0.25">
      <c r="A111" t="str">
        <f>IFERROR(IF(0=LEN(ReferenceData!$A$111),"",ReferenceData!$A$111),"")</f>
        <v xml:space="preserve">        Zions Bancorp NA</v>
      </c>
      <c r="B111" t="str">
        <f>IFERROR(IF(0=LEN(ReferenceData!$B$111),"",ReferenceData!$B$111),"")</f>
        <v>ZION US Equity</v>
      </c>
      <c r="C111" t="str">
        <f>IFERROR(IF(0=LEN(ReferenceData!$C$111),"",ReferenceData!$C$111),"")</f>
        <v>FR011</v>
      </c>
      <c r="D111" t="str">
        <f>IFERROR(IF(0=LEN(ReferenceData!$D$111),"",ReferenceData!$D$111),"")</f>
        <v>FED_C&amp;I_LOANS_US_ADDRESS</v>
      </c>
      <c r="E111" t="str">
        <f>IFERROR(IF(0=LEN(ReferenceData!$E$111),"",ReferenceData!$E$111),"")</f>
        <v>Dynamic</v>
      </c>
      <c r="F111" t="str">
        <f ca="1">IFERROR(IF(0=LEN(ReferenceData!$F$111),"",ReferenceData!$F$111),"")</f>
        <v/>
      </c>
      <c r="G111" t="str">
        <f ca="1">IFERROR(IF(0=LEN(ReferenceData!$G$111),"",ReferenceData!$G$111),"")</f>
        <v/>
      </c>
      <c r="H111" t="str">
        <f ca="1">IFERROR(IF(0=LEN(ReferenceData!$H$111),"",ReferenceData!$H$111),"")</f>
        <v/>
      </c>
      <c r="I111" t="str">
        <f ca="1">IFERROR(IF(0=LEN(ReferenceData!$I$111),"",ReferenceData!$I$111),"")</f>
        <v/>
      </c>
      <c r="J111" t="str">
        <f ca="1">IFERROR(IF(0=LEN(ReferenceData!$J$111),"",ReferenceData!$J$111),"")</f>
        <v/>
      </c>
      <c r="K111" t="str">
        <f ca="1">IFERROR(IF(0=LEN(ReferenceData!$K$111),"",ReferenceData!$K$111),"")</f>
        <v/>
      </c>
      <c r="L111" t="str">
        <f ca="1">IFERROR(IF(0=LEN(ReferenceData!$L$111),"",ReferenceData!$L$111),"")</f>
        <v/>
      </c>
      <c r="M111" t="str">
        <f ca="1">IFERROR(IF(0=LEN(ReferenceData!$M$111),"",ReferenceData!$M$111),"")</f>
        <v/>
      </c>
      <c r="N111" t="str">
        <f ca="1">IFERROR(IF(0=LEN(ReferenceData!$N$111),"",ReferenceData!$N$111),"")</f>
        <v/>
      </c>
      <c r="O111" t="str">
        <f ca="1">IFERROR(IF(0=LEN(ReferenceData!$O$111),"",ReferenceData!$O$111),"")</f>
        <v/>
      </c>
      <c r="P111" t="str">
        <f ca="1">IFERROR(IF(0=LEN(ReferenceData!$P$111),"",ReferenceData!$P$111),"")</f>
        <v/>
      </c>
      <c r="Q111" t="str">
        <f ca="1">IFERROR(IF(0=LEN(ReferenceData!$Q$111),"",ReferenceData!$Q$111),"")</f>
        <v/>
      </c>
      <c r="R111" t="str">
        <f ca="1">IFERROR(IF(0=LEN(ReferenceData!$R$111),"",ReferenceData!$R$111),"")</f>
        <v/>
      </c>
      <c r="S111" t="str">
        <f ca="1">IFERROR(IF(0=LEN(ReferenceData!$S$111),"",ReferenceData!$S$111),"")</f>
        <v/>
      </c>
      <c r="T111" t="str">
        <f ca="1">IFERROR(IF(0=LEN(ReferenceData!$T$111),"",ReferenceData!$T$111),"")</f>
        <v/>
      </c>
      <c r="U111" t="str">
        <f ca="1">IFERROR(IF(0=LEN(ReferenceData!$U$111),"",ReferenceData!$U$111),"")</f>
        <v/>
      </c>
      <c r="V111" t="str">
        <f ca="1">IFERROR(IF(0=LEN(ReferenceData!$V$111),"",ReferenceData!$V$111),"")</f>
        <v/>
      </c>
      <c r="W111" t="str">
        <f ca="1">IFERROR(IF(0=LEN(ReferenceData!$W$111),"",ReferenceData!$W$111),"")</f>
        <v/>
      </c>
      <c r="X111" t="str">
        <f ca="1">IFERROR(IF(0=LEN(ReferenceData!$X$111),"",ReferenceData!$X$111),"")</f>
        <v/>
      </c>
      <c r="Y111" t="str">
        <f ca="1">IFERROR(IF(0=LEN(ReferenceData!$Y$111),"",ReferenceData!$Y$111),"")</f>
        <v/>
      </c>
      <c r="Z111" t="str">
        <f ca="1">IFERROR(IF(0=LEN(ReferenceData!$Z$111),"",ReferenceData!$Z$111),"")</f>
        <v/>
      </c>
      <c r="AA111" t="str">
        <f ca="1">IFERROR(IF(0=LEN(ReferenceData!$AA$111),"",ReferenceData!$AA$111),"")</f>
        <v/>
      </c>
      <c r="AB111" t="str">
        <f ca="1">IFERROR(IF(0=LEN(ReferenceData!$AB$111),"",ReferenceData!$AB$111),"")</f>
        <v/>
      </c>
      <c r="AC111" t="str">
        <f ca="1">IFERROR(IF(0=LEN(ReferenceData!$AC$111),"",ReferenceData!$AC$111),"")</f>
        <v/>
      </c>
      <c r="AD111" t="str">
        <f ca="1">IFERROR(IF(0=LEN(ReferenceData!$AD$111),"",ReferenceData!$AD$111),"")</f>
        <v/>
      </c>
      <c r="AE111" t="str">
        <f ca="1">IFERROR(IF(0=LEN(ReferenceData!$AE$111),"",ReferenceData!$AE$111),"")</f>
        <v/>
      </c>
      <c r="AF111" t="str">
        <f ca="1">IFERROR(IF(0=LEN(ReferenceData!$AF$111),"",ReferenceData!$AF$111),"")</f>
        <v/>
      </c>
      <c r="AG111" t="str">
        <f ca="1">IFERROR(IF(0=LEN(ReferenceData!$AG$111),"",ReferenceData!$AG$111),"")</f>
        <v/>
      </c>
      <c r="AH111" t="str">
        <f ca="1">IFERROR(IF(0=LEN(ReferenceData!$AH$111),"",ReferenceData!$AH$111),"")</f>
        <v/>
      </c>
      <c r="AI111" t="str">
        <f ca="1">IFERROR(IF(0=LEN(ReferenceData!$AI$111),"",ReferenceData!$AI$111),"")</f>
        <v/>
      </c>
      <c r="AJ111" t="str">
        <f ca="1">IFERROR(IF(0=LEN(ReferenceData!$AJ$111),"",ReferenceData!$AJ$111),"")</f>
        <v/>
      </c>
      <c r="AK111" t="str">
        <f ca="1">IFERROR(IF(0=LEN(ReferenceData!$AK$111),"",ReferenceData!$AK$111),"")</f>
        <v/>
      </c>
      <c r="AL111" t="str">
        <f ca="1">IFERROR(IF(0=LEN(ReferenceData!$AL$111),"",ReferenceData!$AL$111),"")</f>
        <v/>
      </c>
    </row>
    <row r="112" spans="1:38" x14ac:dyDescent="0.25">
      <c r="A112" t="str">
        <f>IFERROR(IF(0=LEN(ReferenceData!$A$112),"",ReferenceData!$A$112),"")</f>
        <v xml:space="preserve">    Foreign</v>
      </c>
      <c r="B112" t="str">
        <f>IFERROR(IF(0=LEN(ReferenceData!$B$112),"",ReferenceData!$B$112),"")</f>
        <v/>
      </c>
      <c r="C112" t="str">
        <f>IFERROR(IF(0=LEN(ReferenceData!$C$112),"",ReferenceData!$C$112),"")</f>
        <v/>
      </c>
      <c r="D112" t="str">
        <f>IFERROR(IF(0=LEN(ReferenceData!$D$112),"",ReferenceData!$D$112),"")</f>
        <v/>
      </c>
      <c r="E112" t="str">
        <f>IFERROR(IF(0=LEN(ReferenceData!$E$112),"",ReferenceData!$E$112),"")</f>
        <v>Sum</v>
      </c>
      <c r="F112">
        <f ca="1">IFERROR(IF(0=LEN(ReferenceData!$F$112),"",ReferenceData!$F$112),"")</f>
        <v>247192.34700000001</v>
      </c>
      <c r="G112">
        <f ca="1">IFERROR(IF(0=LEN(ReferenceData!$G$112),"",ReferenceData!$G$112),"")</f>
        <v>265444.17200000002</v>
      </c>
      <c r="H112">
        <f ca="1">IFERROR(IF(0=LEN(ReferenceData!$H$112),"",ReferenceData!$H$112),"")</f>
        <v>279042.48300000007</v>
      </c>
      <c r="I112">
        <f ca="1">IFERROR(IF(0=LEN(ReferenceData!$I$112),"",ReferenceData!$I$112),"")</f>
        <v>268046.34899999999</v>
      </c>
      <c r="J112">
        <f ca="1">IFERROR(IF(0=LEN(ReferenceData!$J$112),"",ReferenceData!$J$112),"")</f>
        <v>251302.84899999999</v>
      </c>
      <c r="K112">
        <f ca="1">IFERROR(IF(0=LEN(ReferenceData!$K$112),"",ReferenceData!$K$112),"")</f>
        <v>266199.81699999998</v>
      </c>
      <c r="L112">
        <f ca="1">IFERROR(IF(0=LEN(ReferenceData!$L$112),"",ReferenceData!$L$112),"")</f>
        <v>254086.92599999998</v>
      </c>
      <c r="M112">
        <f ca="1">IFERROR(IF(0=LEN(ReferenceData!$M$112),"",ReferenceData!$M$112),"")</f>
        <v>249317.49</v>
      </c>
      <c r="N112">
        <f ca="1">IFERROR(IF(0=LEN(ReferenceData!$N$112),"",ReferenceData!$N$112),"")</f>
        <v>228878.58000000007</v>
      </c>
      <c r="O112">
        <f ca="1">IFERROR(IF(0=LEN(ReferenceData!$O$112),"",ReferenceData!$O$112),"")</f>
        <v>220550.13799999995</v>
      </c>
      <c r="P112">
        <f ca="1">IFERROR(IF(0=LEN(ReferenceData!$P$112),"",ReferenceData!$P$112),"")</f>
        <v>219296.73499999999</v>
      </c>
      <c r="Q112">
        <f ca="1">IFERROR(IF(0=LEN(ReferenceData!$Q$112),"",ReferenceData!$Q$112),"")</f>
        <v>228269.20500000002</v>
      </c>
      <c r="R112">
        <f ca="1">IFERROR(IF(0=LEN(ReferenceData!$R$112),"",ReferenceData!$R$112),"")</f>
        <v>222021.30599999998</v>
      </c>
      <c r="S112">
        <f ca="1">IFERROR(IF(0=LEN(ReferenceData!$S$112),"",ReferenceData!$S$112),"")</f>
        <v>198560.14900000003</v>
      </c>
      <c r="T112">
        <f ca="1">IFERROR(IF(0=LEN(ReferenceData!$T$112),"",ReferenceData!$T$112),"")</f>
        <v>152511.51599999997</v>
      </c>
      <c r="U112">
        <f ca="1">IFERROR(IF(0=LEN(ReferenceData!$U$112),"",ReferenceData!$U$112),"")</f>
        <v>154444.21799999999</v>
      </c>
      <c r="V112">
        <f ca="1">IFERROR(IF(0=LEN(ReferenceData!$V$112),"",ReferenceData!$V$112),"")</f>
        <v>195151.65899999999</v>
      </c>
      <c r="W112">
        <f ca="1">IFERROR(IF(0=LEN(ReferenceData!$W$112),"",ReferenceData!$W$112),"")</f>
        <v>211453.17300000001</v>
      </c>
      <c r="X112">
        <f ca="1">IFERROR(IF(0=LEN(ReferenceData!$X$112),"",ReferenceData!$X$112),"")</f>
        <v>164057.62</v>
      </c>
      <c r="Y112">
        <f ca="1">IFERROR(IF(0=LEN(ReferenceData!$Y$112),"",ReferenceData!$Y$112),"")</f>
        <v>130176.59400000001</v>
      </c>
      <c r="Z112">
        <f ca="1">IFERROR(IF(0=LEN(ReferenceData!$Z$112),"",ReferenceData!$Z$112),"")</f>
        <v>117725.63099999999</v>
      </c>
      <c r="AA112">
        <f ca="1">IFERROR(IF(0=LEN(ReferenceData!$AA$112),"",ReferenceData!$AA$112),"")</f>
        <v>96586.793999999994</v>
      </c>
      <c r="AB112">
        <f ca="1">IFERROR(IF(0=LEN(ReferenceData!$AB$112),"",ReferenceData!$AB$112),"")</f>
        <v>107118.41600000001</v>
      </c>
      <c r="AC112">
        <f ca="1">IFERROR(IF(0=LEN(ReferenceData!$AC$112),"",ReferenceData!$AC$112),"")</f>
        <v>119829.185</v>
      </c>
      <c r="AD112">
        <f ca="1">IFERROR(IF(0=LEN(ReferenceData!$AD$112),"",ReferenceData!$AD$112),"")</f>
        <v>99438.82</v>
      </c>
      <c r="AE112">
        <f ca="1">IFERROR(IF(0=LEN(ReferenceData!$AE$112),"",ReferenceData!$AE$112),"")</f>
        <v>83952.005000000005</v>
      </c>
      <c r="AF112">
        <f ca="1">IFERROR(IF(0=LEN(ReferenceData!$AF$112),"",ReferenceData!$AF$112),"")</f>
        <v>82875.201000000015</v>
      </c>
      <c r="AG112">
        <f ca="1">IFERROR(IF(0=LEN(ReferenceData!$AG$112),"",ReferenceData!$AG$112),"")</f>
        <v>27584.013999999996</v>
      </c>
      <c r="AH112">
        <f ca="1">IFERROR(IF(0=LEN(ReferenceData!$AH$112),"",ReferenceData!$AH$112),"")</f>
        <v>24543.414999999997</v>
      </c>
      <c r="AI112">
        <f ca="1">IFERROR(IF(0=LEN(ReferenceData!$AI$112),"",ReferenceData!$AI$112),"")</f>
        <v>11875.681999999999</v>
      </c>
      <c r="AJ112">
        <f ca="1">IFERROR(IF(0=LEN(ReferenceData!$AJ$112),"",ReferenceData!$AJ$112),"")</f>
        <v>9134.0430000000015</v>
      </c>
      <c r="AK112">
        <f ca="1">IFERROR(IF(0=LEN(ReferenceData!$AK$112),"",ReferenceData!$AK$112),"")</f>
        <v>8281.3150000000005</v>
      </c>
      <c r="AL112">
        <f ca="1">IFERROR(IF(0=LEN(ReferenceData!$AL$112),"",ReferenceData!$AL$112),"")</f>
        <v>9609.2099999999973</v>
      </c>
    </row>
    <row r="113" spans="1:38" x14ac:dyDescent="0.25">
      <c r="A113" t="str">
        <f>IFERROR(IF(0=LEN(ReferenceData!$A$113),"",ReferenceData!$A$113),"")</f>
        <v xml:space="preserve">        Bank of America Corp</v>
      </c>
      <c r="B113" t="str">
        <f>IFERROR(IF(0=LEN(ReferenceData!$B$113),"",ReferenceData!$B$113),"")</f>
        <v>BAC US Equity</v>
      </c>
      <c r="C113" t="str">
        <f>IFERROR(IF(0=LEN(ReferenceData!$C$113),"",ReferenceData!$C$113),"")</f>
        <v>FC313</v>
      </c>
      <c r="D113" t="str">
        <f>IFERROR(IF(0=LEN(ReferenceData!$D$113),"",ReferenceData!$D$113),"")</f>
        <v>FDIC_C&amp;I_LOANS_NON-US</v>
      </c>
      <c r="E113" t="str">
        <f>IFERROR(IF(0=LEN(ReferenceData!$E$113),"",ReferenceData!$E$113),"")</f>
        <v>Dynamic</v>
      </c>
      <c r="F113">
        <f ca="1">IFERROR(IF(0=LEN(ReferenceData!$F$113),"",ReferenceData!$F$113),"")</f>
        <v>72613</v>
      </c>
      <c r="G113">
        <f ca="1">IFERROR(IF(0=LEN(ReferenceData!$G$113),"",ReferenceData!$G$113),"")</f>
        <v>72553</v>
      </c>
      <c r="H113">
        <f ca="1">IFERROR(IF(0=LEN(ReferenceData!$H$113),"",ReferenceData!$H$113),"")</f>
        <v>78031</v>
      </c>
      <c r="I113">
        <f ca="1">IFERROR(IF(0=LEN(ReferenceData!$I$113),"",ReferenceData!$I$113),"")</f>
        <v>71816</v>
      </c>
      <c r="J113">
        <f ca="1">IFERROR(IF(0=LEN(ReferenceData!$J$113),"",ReferenceData!$J$113),"")</f>
        <v>64041</v>
      </c>
      <c r="K113">
        <f ca="1">IFERROR(IF(0=LEN(ReferenceData!$K$113),"",ReferenceData!$K$113),"")</f>
        <v>75373</v>
      </c>
      <c r="L113">
        <f ca="1">IFERROR(IF(0=LEN(ReferenceData!$L$113),"",ReferenceData!$L$113),"")</f>
        <v>67320</v>
      </c>
      <c r="M113">
        <f ca="1">IFERROR(IF(0=LEN(ReferenceData!$M$113),"",ReferenceData!$M$113),"")</f>
        <v>66557</v>
      </c>
      <c r="N113">
        <f ca="1">IFERROR(IF(0=LEN(ReferenceData!$N$113),"",ReferenceData!$N$113),"")</f>
        <v>59810</v>
      </c>
      <c r="O113">
        <f ca="1">IFERROR(IF(0=LEN(ReferenceData!$O$113),"",ReferenceData!$O$113),"")</f>
        <v>59116</v>
      </c>
      <c r="P113">
        <f ca="1">IFERROR(IF(0=LEN(ReferenceData!$P$113),"",ReferenceData!$P$113),"")</f>
        <v>57082</v>
      </c>
      <c r="Q113">
        <f ca="1">IFERROR(IF(0=LEN(ReferenceData!$Q$113),"",ReferenceData!$Q$113),"")</f>
        <v>68259</v>
      </c>
      <c r="R113">
        <f ca="1">IFERROR(IF(0=LEN(ReferenceData!$R$113),"",ReferenceData!$R$113),"")</f>
        <v>60037.034</v>
      </c>
      <c r="S113">
        <f ca="1">IFERROR(IF(0=LEN(ReferenceData!$S$113),"",ReferenceData!$S$113),"")</f>
        <v>53195.612999999998</v>
      </c>
      <c r="T113">
        <f ca="1">IFERROR(IF(0=LEN(ReferenceData!$T$113),"",ReferenceData!$T$113),"")</f>
        <v>34961.697</v>
      </c>
      <c r="U113">
        <f ca="1">IFERROR(IF(0=LEN(ReferenceData!$U$113),"",ReferenceData!$U$113),"")</f>
        <v>33865.370999999999</v>
      </c>
      <c r="V113">
        <f ca="1">IFERROR(IF(0=LEN(ReferenceData!$V$113),"",ReferenceData!$V$113),"")</f>
        <v>29854.469000000001</v>
      </c>
      <c r="W113">
        <f ca="1">IFERROR(IF(0=LEN(ReferenceData!$W$113),"",ReferenceData!$W$113),"")</f>
        <v>25181.438999999998</v>
      </c>
      <c r="X113">
        <f ca="1">IFERROR(IF(0=LEN(ReferenceData!$X$113),"",ReferenceData!$X$113),"")</f>
        <v>19760.146000000001</v>
      </c>
      <c r="Y113">
        <f ca="1">IFERROR(IF(0=LEN(ReferenceData!$Y$113),"",ReferenceData!$Y$113),"")</f>
        <v>19219.291000000001</v>
      </c>
      <c r="Z113">
        <f ca="1">IFERROR(IF(0=LEN(ReferenceData!$Z$113),"",ReferenceData!$Z$113),"")</f>
        <v>16700.333999999999</v>
      </c>
      <c r="AA113">
        <f ca="1">IFERROR(IF(0=LEN(ReferenceData!$AA$113),"",ReferenceData!$AA$113),"")</f>
        <v>9715.7610000000004</v>
      </c>
      <c r="AB113">
        <f ca="1">IFERROR(IF(0=LEN(ReferenceData!$AB$113),"",ReferenceData!$AB$113),"")</f>
        <v>13208</v>
      </c>
      <c r="AC113">
        <f ca="1">IFERROR(IF(0=LEN(ReferenceData!$AC$113),"",ReferenceData!$AC$113),"")</f>
        <v>15664</v>
      </c>
      <c r="AD113" t="str">
        <f ca="1">IFERROR(IF(0=LEN(ReferenceData!$AD$113),"",ReferenceData!$AD$113),"")</f>
        <v/>
      </c>
      <c r="AE113" t="str">
        <f ca="1">IFERROR(IF(0=LEN(ReferenceData!$AE$113),"",ReferenceData!$AE$113),"")</f>
        <v/>
      </c>
      <c r="AF113" t="str">
        <f ca="1">IFERROR(IF(0=LEN(ReferenceData!$AF$113),"",ReferenceData!$AF$113),"")</f>
        <v/>
      </c>
      <c r="AG113" t="str">
        <f ca="1">IFERROR(IF(0=LEN(ReferenceData!$AG$113),"",ReferenceData!$AG$113),"")</f>
        <v/>
      </c>
      <c r="AH113" t="str">
        <f ca="1">IFERROR(IF(0=LEN(ReferenceData!$AH$113),"",ReferenceData!$AH$113),"")</f>
        <v/>
      </c>
      <c r="AI113" t="str">
        <f ca="1">IFERROR(IF(0=LEN(ReferenceData!$AI$113),"",ReferenceData!$AI$113),"")</f>
        <v/>
      </c>
      <c r="AJ113" t="str">
        <f ca="1">IFERROR(IF(0=LEN(ReferenceData!$AJ$113),"",ReferenceData!$AJ$113),"")</f>
        <v/>
      </c>
      <c r="AK113" t="str">
        <f ca="1">IFERROR(IF(0=LEN(ReferenceData!$AK$113),"",ReferenceData!$AK$113),"")</f>
        <v/>
      </c>
      <c r="AL113" t="str">
        <f ca="1">IFERROR(IF(0=LEN(ReferenceData!$AL$113),"",ReferenceData!$AL$113),"")</f>
        <v/>
      </c>
    </row>
    <row r="114" spans="1:38" x14ac:dyDescent="0.25">
      <c r="A114" t="str">
        <f>IFERROR(IF(0=LEN(ReferenceData!$A$114),"",ReferenceData!$A$114),"")</f>
        <v xml:space="preserve">        Citigroup Inc</v>
      </c>
      <c r="B114" t="str">
        <f>IFERROR(IF(0=LEN(ReferenceData!$B$114),"",ReferenceData!$B$114),"")</f>
        <v>C US Equity</v>
      </c>
      <c r="C114" t="str">
        <f>IFERROR(IF(0=LEN(ReferenceData!$C$114),"",ReferenceData!$C$114),"")</f>
        <v>FC313</v>
      </c>
      <c r="D114" t="str">
        <f>IFERROR(IF(0=LEN(ReferenceData!$D$114),"",ReferenceData!$D$114),"")</f>
        <v>FDIC_C&amp;I_LOANS_NON-US</v>
      </c>
      <c r="E114" t="str">
        <f>IFERROR(IF(0=LEN(ReferenceData!$E$114),"",ReferenceData!$E$114),"")</f>
        <v>Dynamic</v>
      </c>
      <c r="F114">
        <f ca="1">IFERROR(IF(0=LEN(ReferenceData!$F$114),"",ReferenceData!$F$114),"")</f>
        <v>100958</v>
      </c>
      <c r="G114">
        <f ca="1">IFERROR(IF(0=LEN(ReferenceData!$G$114),"",ReferenceData!$G$114),"")</f>
        <v>101791</v>
      </c>
      <c r="H114">
        <f ca="1">IFERROR(IF(0=LEN(ReferenceData!$H$114),"",ReferenceData!$H$114),"")</f>
        <v>103166</v>
      </c>
      <c r="I114">
        <f ca="1">IFERROR(IF(0=LEN(ReferenceData!$I$114),"",ReferenceData!$I$114),"")</f>
        <v>109790</v>
      </c>
      <c r="J114">
        <f ca="1">IFERROR(IF(0=LEN(ReferenceData!$J$114),"",ReferenceData!$J$114),"")</f>
        <v>109657</v>
      </c>
      <c r="K114">
        <f ca="1">IFERROR(IF(0=LEN(ReferenceData!$K$114),"",ReferenceData!$K$114),"")</f>
        <v>119593</v>
      </c>
      <c r="L114">
        <f ca="1">IFERROR(IF(0=LEN(ReferenceData!$L$114),"",ReferenceData!$L$114),"")</f>
        <v>120072</v>
      </c>
      <c r="M114">
        <f ca="1">IFERROR(IF(0=LEN(ReferenceData!$M$114),"",ReferenceData!$M$114),"")</f>
        <v>120154</v>
      </c>
      <c r="N114">
        <f ca="1">IFERROR(IF(0=LEN(ReferenceData!$N$114),"",ReferenceData!$N$114),"")</f>
        <v>105562</v>
      </c>
      <c r="O114">
        <f ca="1">IFERROR(IF(0=LEN(ReferenceData!$O$114),"",ReferenceData!$O$114),"")</f>
        <v>109821</v>
      </c>
      <c r="P114">
        <f ca="1">IFERROR(IF(0=LEN(ReferenceData!$P$114),"",ReferenceData!$P$114),"")</f>
        <v>110277</v>
      </c>
      <c r="Q114">
        <f ca="1">IFERROR(IF(0=LEN(ReferenceData!$Q$114),"",ReferenceData!$Q$114),"")</f>
        <v>111845</v>
      </c>
      <c r="R114">
        <f ca="1">IFERROR(IF(0=LEN(ReferenceData!$R$114),"",ReferenceData!$R$114),"")</f>
        <v>107545</v>
      </c>
      <c r="S114">
        <f ca="1">IFERROR(IF(0=LEN(ReferenceData!$S$114),"",ReferenceData!$S$114),"")</f>
        <v>100282</v>
      </c>
      <c r="T114">
        <f ca="1">IFERROR(IF(0=LEN(ReferenceData!$T$114),"",ReferenceData!$T$114),"")</f>
        <v>86208</v>
      </c>
      <c r="U114">
        <f ca="1">IFERROR(IF(0=LEN(ReferenceData!$U$114),"",ReferenceData!$U$114),"")</f>
        <v>84501</v>
      </c>
      <c r="V114">
        <f ca="1">IFERROR(IF(0=LEN(ReferenceData!$V$114),"",ReferenceData!$V$114),"")</f>
        <v>105861</v>
      </c>
      <c r="W114">
        <f ca="1">IFERROR(IF(0=LEN(ReferenceData!$W$114),"",ReferenceData!$W$114),"")</f>
        <v>137916</v>
      </c>
      <c r="X114">
        <f ca="1">IFERROR(IF(0=LEN(ReferenceData!$X$114),"",ReferenceData!$X$114),"")</f>
        <v>112208</v>
      </c>
      <c r="Y114">
        <f ca="1">IFERROR(IF(0=LEN(ReferenceData!$Y$114),"",ReferenceData!$Y$114),"")</f>
        <v>87534</v>
      </c>
      <c r="Z114">
        <f ca="1">IFERROR(IF(0=LEN(ReferenceData!$Z$114),"",ReferenceData!$Z$114),"")</f>
        <v>83245</v>
      </c>
      <c r="AA114">
        <f ca="1">IFERROR(IF(0=LEN(ReferenceData!$AA$114),"",ReferenceData!$AA$114),"")</f>
        <v>66918</v>
      </c>
      <c r="AB114">
        <f ca="1">IFERROR(IF(0=LEN(ReferenceData!$AB$114),"",ReferenceData!$AB$114),"")</f>
        <v>71111</v>
      </c>
      <c r="AC114">
        <f ca="1">IFERROR(IF(0=LEN(ReferenceData!$AC$114),"",ReferenceData!$AC$114),"")</f>
        <v>75247</v>
      </c>
      <c r="AD114">
        <f ca="1">IFERROR(IF(0=LEN(ReferenceData!$AD$114),"",ReferenceData!$AD$114),"")</f>
        <v>67923</v>
      </c>
      <c r="AE114">
        <f ca="1">IFERROR(IF(0=LEN(ReferenceData!$AE$114),"",ReferenceData!$AE$114),"")</f>
        <v>59610</v>
      </c>
      <c r="AF114">
        <f ca="1">IFERROR(IF(0=LEN(ReferenceData!$AF$114),"",ReferenceData!$AF$114),"")</f>
        <v>55964</v>
      </c>
      <c r="AG114" t="str">
        <f ca="1">IFERROR(IF(0=LEN(ReferenceData!$AG$114),"",ReferenceData!$AG$114),"")</f>
        <v/>
      </c>
      <c r="AH114" t="str">
        <f ca="1">IFERROR(IF(0=LEN(ReferenceData!$AH$114),"",ReferenceData!$AH$114),"")</f>
        <v/>
      </c>
      <c r="AI114" t="str">
        <f ca="1">IFERROR(IF(0=LEN(ReferenceData!$AI$114),"",ReferenceData!$AI$114),"")</f>
        <v/>
      </c>
      <c r="AJ114" t="str">
        <f ca="1">IFERROR(IF(0=LEN(ReferenceData!$AJ$114),"",ReferenceData!$AJ$114),"")</f>
        <v/>
      </c>
      <c r="AK114" t="str">
        <f ca="1">IFERROR(IF(0=LEN(ReferenceData!$AK$114),"",ReferenceData!$AK$114),"")</f>
        <v/>
      </c>
      <c r="AL114" t="str">
        <f ca="1">IFERROR(IF(0=LEN(ReferenceData!$AL$114),"",ReferenceData!$AL$114),"")</f>
        <v/>
      </c>
    </row>
    <row r="115" spans="1:38" x14ac:dyDescent="0.25">
      <c r="A115" t="str">
        <f>IFERROR(IF(0=LEN(ReferenceData!$A$115),"",ReferenceData!$A$115),"")</f>
        <v xml:space="preserve">        Citizens Financial Group Inc</v>
      </c>
      <c r="B115" t="str">
        <f>IFERROR(IF(0=LEN(ReferenceData!$B$115),"",ReferenceData!$B$115),"")</f>
        <v>CFG US Equity</v>
      </c>
      <c r="C115" t="str">
        <f>IFERROR(IF(0=LEN(ReferenceData!$C$115),"",ReferenceData!$C$115),"")</f>
        <v>FC313</v>
      </c>
      <c r="D115" t="str">
        <f>IFERROR(IF(0=LEN(ReferenceData!$D$115),"",ReferenceData!$D$115),"")</f>
        <v>FDIC_C&amp;I_LOANS_NON-US</v>
      </c>
      <c r="E115" t="str">
        <f>IFERROR(IF(0=LEN(ReferenceData!$E$115),"",ReferenceData!$E$115),"")</f>
        <v>Dynamic</v>
      </c>
      <c r="F115">
        <f ca="1">IFERROR(IF(0=LEN(ReferenceData!$F$115),"",ReferenceData!$F$115),"")</f>
        <v>1088.059</v>
      </c>
      <c r="G115">
        <f ca="1">IFERROR(IF(0=LEN(ReferenceData!$G$115),"",ReferenceData!$G$115),"")</f>
        <v>2535.8939999999998</v>
      </c>
      <c r="H115">
        <f ca="1">IFERROR(IF(0=LEN(ReferenceData!$H$115),"",ReferenceData!$H$115),"")</f>
        <v>2903.672</v>
      </c>
      <c r="I115">
        <f ca="1">IFERROR(IF(0=LEN(ReferenceData!$I$115),"",ReferenceData!$I$115),"")</f>
        <v>1365.1790000000001</v>
      </c>
      <c r="J115">
        <f ca="1">IFERROR(IF(0=LEN(ReferenceData!$J$115),"",ReferenceData!$J$115),"")</f>
        <v>1004.043</v>
      </c>
      <c r="K115">
        <f ca="1">IFERROR(IF(0=LEN(ReferenceData!$K$115),"",ReferenceData!$K$115),"")</f>
        <v>949.94100000000003</v>
      </c>
      <c r="L115">
        <f ca="1">IFERROR(IF(0=LEN(ReferenceData!$L$115),"",ReferenceData!$L$115),"")</f>
        <v>1024.3119999999999</v>
      </c>
      <c r="M115">
        <f ca="1">IFERROR(IF(0=LEN(ReferenceData!$M$115),"",ReferenceData!$M$115),"")</f>
        <v>813.42</v>
      </c>
      <c r="N115">
        <f ca="1">IFERROR(IF(0=LEN(ReferenceData!$N$115),"",ReferenceData!$N$115),"")</f>
        <v>999.23800000000006</v>
      </c>
      <c r="O115">
        <f ca="1">IFERROR(IF(0=LEN(ReferenceData!$O$115),"",ReferenceData!$O$115),"")</f>
        <v>366.40499999999997</v>
      </c>
      <c r="P115">
        <f ca="1">IFERROR(IF(0=LEN(ReferenceData!$P$115),"",ReferenceData!$P$115),"")</f>
        <v>440.95499999999998</v>
      </c>
      <c r="Q115">
        <f ca="1">IFERROR(IF(0=LEN(ReferenceData!$Q$115),"",ReferenceData!$Q$115),"")</f>
        <v>460.839</v>
      </c>
      <c r="R115">
        <f ca="1">IFERROR(IF(0=LEN(ReferenceData!$R$115),"",ReferenceData!$R$115),"")</f>
        <v>269.22500000000002</v>
      </c>
      <c r="S115">
        <f ca="1">IFERROR(IF(0=LEN(ReferenceData!$S$115),"",ReferenceData!$S$115),"")</f>
        <v>124.003</v>
      </c>
      <c r="T115">
        <f ca="1">IFERROR(IF(0=LEN(ReferenceData!$T$115),"",ReferenceData!$T$115),"")</f>
        <v>78.718000000000004</v>
      </c>
      <c r="U115">
        <f ca="1">IFERROR(IF(0=LEN(ReferenceData!$U$115),"",ReferenceData!$U$115),"")</f>
        <v>46.523000000000003</v>
      </c>
      <c r="V115">
        <f ca="1">IFERROR(IF(0=LEN(ReferenceData!$V$115),"",ReferenceData!$V$115),"")</f>
        <v>49.673000000000002</v>
      </c>
      <c r="W115">
        <f ca="1">IFERROR(IF(0=LEN(ReferenceData!$W$115),"",ReferenceData!$W$115),"")</f>
        <v>19.847000000000001</v>
      </c>
      <c r="X115">
        <f ca="1">IFERROR(IF(0=LEN(ReferenceData!$X$115),"",ReferenceData!$X$115),"")</f>
        <v>54.133000000000003</v>
      </c>
      <c r="Y115">
        <f ca="1">IFERROR(IF(0=LEN(ReferenceData!$Y$115),"",ReferenceData!$Y$115),"")</f>
        <v>36.713999999999999</v>
      </c>
      <c r="Z115">
        <f ca="1">IFERROR(IF(0=LEN(ReferenceData!$Z$115),"",ReferenceData!$Z$115),"")</f>
        <v>26.742999999999999</v>
      </c>
      <c r="AA115">
        <f ca="1">IFERROR(IF(0=LEN(ReferenceData!$AA$115),"",ReferenceData!$AA$115),"")</f>
        <v>2.0110000000000001</v>
      </c>
      <c r="AB115">
        <f ca="1">IFERROR(IF(0=LEN(ReferenceData!$AB$115),"",ReferenceData!$AB$115),"")</f>
        <v>1.73</v>
      </c>
      <c r="AC115">
        <f ca="1">IFERROR(IF(0=LEN(ReferenceData!$AC$115),"",ReferenceData!$AC$115),"")</f>
        <v>22.797999999999998</v>
      </c>
      <c r="AD115" t="str">
        <f ca="1">IFERROR(IF(0=LEN(ReferenceData!$AD$115),"",ReferenceData!$AD$115),"")</f>
        <v/>
      </c>
      <c r="AE115" t="str">
        <f ca="1">IFERROR(IF(0=LEN(ReferenceData!$AE$115),"",ReferenceData!$AE$115),"")</f>
        <v/>
      </c>
      <c r="AF115" t="str">
        <f ca="1">IFERROR(IF(0=LEN(ReferenceData!$AF$115),"",ReferenceData!$AF$115),"")</f>
        <v/>
      </c>
      <c r="AG115" t="str">
        <f ca="1">IFERROR(IF(0=LEN(ReferenceData!$AG$115),"",ReferenceData!$AG$115),"")</f>
        <v/>
      </c>
      <c r="AH115" t="str">
        <f ca="1">IFERROR(IF(0=LEN(ReferenceData!$AH$115),"",ReferenceData!$AH$115),"")</f>
        <v/>
      </c>
      <c r="AI115" t="str">
        <f ca="1">IFERROR(IF(0=LEN(ReferenceData!$AI$115),"",ReferenceData!$AI$115),"")</f>
        <v/>
      </c>
      <c r="AJ115" t="str">
        <f ca="1">IFERROR(IF(0=LEN(ReferenceData!$AJ$115),"",ReferenceData!$AJ$115),"")</f>
        <v/>
      </c>
      <c r="AK115" t="str">
        <f ca="1">IFERROR(IF(0=LEN(ReferenceData!$AK$115),"",ReferenceData!$AK$115),"")</f>
        <v/>
      </c>
      <c r="AL115" t="str">
        <f ca="1">IFERROR(IF(0=LEN(ReferenceData!$AL$115),"",ReferenceData!$AL$115),"")</f>
        <v/>
      </c>
    </row>
    <row r="116" spans="1:38" x14ac:dyDescent="0.25">
      <c r="A116" t="str">
        <f>IFERROR(IF(0=LEN(ReferenceData!$A$116),"",ReferenceData!$A$116),"")</f>
        <v xml:space="preserve">        Capital One Financial Corp</v>
      </c>
      <c r="B116" t="str">
        <f>IFERROR(IF(0=LEN(ReferenceData!$B$116),"",ReferenceData!$B$116),"")</f>
        <v>COF US Equity</v>
      </c>
      <c r="C116" t="str">
        <f>IFERROR(IF(0=LEN(ReferenceData!$C$116),"",ReferenceData!$C$116),"")</f>
        <v>FC313</v>
      </c>
      <c r="D116" t="str">
        <f>IFERROR(IF(0=LEN(ReferenceData!$D$116),"",ReferenceData!$D$116),"")</f>
        <v>FDIC_C&amp;I_LOANS_NON-US</v>
      </c>
      <c r="E116" t="str">
        <f>IFERROR(IF(0=LEN(ReferenceData!$E$116),"",ReferenceData!$E$116),"")</f>
        <v>Dynamic</v>
      </c>
      <c r="F116">
        <f ca="1">IFERROR(IF(0=LEN(ReferenceData!$F$116),"",ReferenceData!$F$116),"")</f>
        <v>658.30499999999995</v>
      </c>
      <c r="G116">
        <f ca="1">IFERROR(IF(0=LEN(ReferenceData!$G$116),"",ReferenceData!$G$116),"")</f>
        <v>634.846</v>
      </c>
      <c r="H116">
        <f ca="1">IFERROR(IF(0=LEN(ReferenceData!$H$116),"",ReferenceData!$H$116),"")</f>
        <v>821.40700000000004</v>
      </c>
      <c r="I116">
        <f ca="1">IFERROR(IF(0=LEN(ReferenceData!$I$116),"",ReferenceData!$I$116),"")</f>
        <v>897.33100000000002</v>
      </c>
      <c r="J116">
        <f ca="1">IFERROR(IF(0=LEN(ReferenceData!$J$116),"",ReferenceData!$J$116),"")</f>
        <v>609.96</v>
      </c>
      <c r="K116">
        <f ca="1">IFERROR(IF(0=LEN(ReferenceData!$K$116),"",ReferenceData!$K$116),"")</f>
        <v>514.952</v>
      </c>
      <c r="L116">
        <f ca="1">IFERROR(IF(0=LEN(ReferenceData!$L$116),"",ReferenceData!$L$116),"")</f>
        <v>406.596</v>
      </c>
      <c r="M116">
        <f ca="1">IFERROR(IF(0=LEN(ReferenceData!$M$116),"",ReferenceData!$M$116),"")</f>
        <v>121.071</v>
      </c>
      <c r="N116">
        <f ca="1">IFERROR(IF(0=LEN(ReferenceData!$N$116),"",ReferenceData!$N$116),"")</f>
        <v>144.01</v>
      </c>
      <c r="O116">
        <f ca="1">IFERROR(IF(0=LEN(ReferenceData!$O$116),"",ReferenceData!$O$116),"")</f>
        <v>7.0439999999999996</v>
      </c>
      <c r="P116">
        <f ca="1">IFERROR(IF(0=LEN(ReferenceData!$P$116),"",ReferenceData!$P$116),"")</f>
        <v>0.109</v>
      </c>
      <c r="Q116">
        <f ca="1">IFERROR(IF(0=LEN(ReferenceData!$Q$116),"",ReferenceData!$Q$116),"")</f>
        <v>6.2450000000000001</v>
      </c>
      <c r="R116">
        <f ca="1">IFERROR(IF(0=LEN(ReferenceData!$R$116),"",ReferenceData!$R$116),"")</f>
        <v>71.995999999999995</v>
      </c>
      <c r="S116">
        <f ca="1">IFERROR(IF(0=LEN(ReferenceData!$S$116),"",ReferenceData!$S$116),"")</f>
        <v>88.227000000000004</v>
      </c>
      <c r="T116">
        <f ca="1">IFERROR(IF(0=LEN(ReferenceData!$T$116),"",ReferenceData!$T$116),"")</f>
        <v>4.2000000000000003E-2</v>
      </c>
      <c r="U116">
        <f ca="1">IFERROR(IF(0=LEN(ReferenceData!$U$116),"",ReferenceData!$U$116),"")</f>
        <v>0.01</v>
      </c>
      <c r="V116">
        <f ca="1">IFERROR(IF(0=LEN(ReferenceData!$V$116),"",ReferenceData!$V$116),"")</f>
        <v>0.13600000000000001</v>
      </c>
      <c r="W116">
        <f ca="1">IFERROR(IF(0=LEN(ReferenceData!$W$116),"",ReferenceData!$W$116),"")</f>
        <v>0.151</v>
      </c>
      <c r="X116">
        <f ca="1">IFERROR(IF(0=LEN(ReferenceData!$X$116),"",ReferenceData!$X$116),"")</f>
        <v>0.14699999999999999</v>
      </c>
      <c r="Y116">
        <f ca="1">IFERROR(IF(0=LEN(ReferenceData!$Y$116),"",ReferenceData!$Y$116),"")</f>
        <v>1.1000000000000001</v>
      </c>
      <c r="Z116">
        <f ca="1">IFERROR(IF(0=LEN(ReferenceData!$Z$116),"",ReferenceData!$Z$116),"")</f>
        <v>0</v>
      </c>
      <c r="AA116" t="str">
        <f ca="1">IFERROR(IF(0=LEN(ReferenceData!$AA$116),"",ReferenceData!$AA$116),"")</f>
        <v/>
      </c>
      <c r="AB116" t="str">
        <f ca="1">IFERROR(IF(0=LEN(ReferenceData!$AB$116),"",ReferenceData!$AB$116),"")</f>
        <v/>
      </c>
      <c r="AC116" t="str">
        <f ca="1">IFERROR(IF(0=LEN(ReferenceData!$AC$116),"",ReferenceData!$AC$116),"")</f>
        <v/>
      </c>
      <c r="AD116" t="str">
        <f ca="1">IFERROR(IF(0=LEN(ReferenceData!$AD$116),"",ReferenceData!$AD$116),"")</f>
        <v/>
      </c>
      <c r="AE116" t="str">
        <f ca="1">IFERROR(IF(0=LEN(ReferenceData!$AE$116),"",ReferenceData!$AE$116),"")</f>
        <v/>
      </c>
      <c r="AF116" t="str">
        <f ca="1">IFERROR(IF(0=LEN(ReferenceData!$AF$116),"",ReferenceData!$AF$116),"")</f>
        <v/>
      </c>
      <c r="AG116" t="str">
        <f ca="1">IFERROR(IF(0=LEN(ReferenceData!$AG$116),"",ReferenceData!$AG$116),"")</f>
        <v/>
      </c>
      <c r="AH116" t="str">
        <f ca="1">IFERROR(IF(0=LEN(ReferenceData!$AH$116),"",ReferenceData!$AH$116),"")</f>
        <v/>
      </c>
      <c r="AI116" t="str">
        <f ca="1">IFERROR(IF(0=LEN(ReferenceData!$AI$116),"",ReferenceData!$AI$116),"")</f>
        <v/>
      </c>
      <c r="AJ116" t="str">
        <f ca="1">IFERROR(IF(0=LEN(ReferenceData!$AJ$116),"",ReferenceData!$AJ$116),"")</f>
        <v/>
      </c>
      <c r="AK116" t="str">
        <f ca="1">IFERROR(IF(0=LEN(ReferenceData!$AK$116),"",ReferenceData!$AK$116),"")</f>
        <v/>
      </c>
      <c r="AL116" t="str">
        <f ca="1">IFERROR(IF(0=LEN(ReferenceData!$AL$116),"",ReferenceData!$AL$116),"")</f>
        <v/>
      </c>
    </row>
    <row r="117" spans="1:38" x14ac:dyDescent="0.25">
      <c r="A117" t="str">
        <f>IFERROR(IF(0=LEN(ReferenceData!$A$117),"",ReferenceData!$A$117),"")</f>
        <v xml:space="preserve">        Comerica Inc</v>
      </c>
      <c r="B117" t="str">
        <f>IFERROR(IF(0=LEN(ReferenceData!$B$117),"",ReferenceData!$B$117),"")</f>
        <v>CMA US Equity</v>
      </c>
      <c r="C117" t="str">
        <f>IFERROR(IF(0=LEN(ReferenceData!$C$117),"",ReferenceData!$C$117),"")</f>
        <v>FC313</v>
      </c>
      <c r="D117" t="str">
        <f>IFERROR(IF(0=LEN(ReferenceData!$D$117),"",ReferenceData!$D$117),"")</f>
        <v>FDIC_C&amp;I_LOANS_NON-US</v>
      </c>
      <c r="E117" t="str">
        <f>IFERROR(IF(0=LEN(ReferenceData!$E$117),"",ReferenceData!$E$117),"")</f>
        <v>Dynamic</v>
      </c>
      <c r="F117" t="str">
        <f ca="1">IFERROR(IF(0=LEN(ReferenceData!$F$117),"",ReferenceData!$F$117),"")</f>
        <v/>
      </c>
      <c r="G117">
        <f ca="1">IFERROR(IF(0=LEN(ReferenceData!$G$117),"",ReferenceData!$G$117),"")</f>
        <v>1074</v>
      </c>
      <c r="H117">
        <f ca="1">IFERROR(IF(0=LEN(ReferenceData!$H$117),"",ReferenceData!$H$117),"")</f>
        <v>1148</v>
      </c>
      <c r="I117">
        <f ca="1">IFERROR(IF(0=LEN(ReferenceData!$I$117),"",ReferenceData!$I$117),"")</f>
        <v>1150</v>
      </c>
      <c r="J117">
        <f ca="1">IFERROR(IF(0=LEN(ReferenceData!$J$117),"",ReferenceData!$J$117),"")</f>
        <v>888</v>
      </c>
      <c r="K117">
        <f ca="1">IFERROR(IF(0=LEN(ReferenceData!$K$117),"",ReferenceData!$K$117),"")</f>
        <v>989</v>
      </c>
      <c r="L117">
        <f ca="1">IFERROR(IF(0=LEN(ReferenceData!$L$117),"",ReferenceData!$L$117),"")</f>
        <v>1055.0899999999999</v>
      </c>
      <c r="M117">
        <f ca="1">IFERROR(IF(0=LEN(ReferenceData!$M$117),"",ReferenceData!$M$117),"")</f>
        <v>1054.462</v>
      </c>
      <c r="N117">
        <f ca="1">IFERROR(IF(0=LEN(ReferenceData!$N$117),"",ReferenceData!$N$117),"")</f>
        <v>1323.4190000000001</v>
      </c>
      <c r="O117">
        <f ca="1">IFERROR(IF(0=LEN(ReferenceData!$O$117),"",ReferenceData!$O$117),"")</f>
        <v>1439.9929999999999</v>
      </c>
      <c r="P117">
        <f ca="1">IFERROR(IF(0=LEN(ReferenceData!$P$117),"",ReferenceData!$P$117),"")</f>
        <v>1564.6120000000001</v>
      </c>
      <c r="Q117">
        <f ca="1">IFERROR(IF(0=LEN(ReferenceData!$Q$117),"",ReferenceData!$Q$117),"")</f>
        <v>1469.0550000000001</v>
      </c>
      <c r="R117">
        <f ca="1">IFERROR(IF(0=LEN(ReferenceData!$R$117),"",ReferenceData!$R$117),"")</f>
        <v>1362.8240000000001</v>
      </c>
      <c r="S117">
        <f ca="1">IFERROR(IF(0=LEN(ReferenceData!$S$117),"",ReferenceData!$S$117),"")</f>
        <v>1155.758</v>
      </c>
      <c r="T117">
        <f ca="1">IFERROR(IF(0=LEN(ReferenceData!$T$117),"",ReferenceData!$T$117),"")</f>
        <v>1077.02</v>
      </c>
      <c r="U117">
        <f ca="1">IFERROR(IF(0=LEN(ReferenceData!$U$117),"",ReferenceData!$U$117),"")</f>
        <v>1104.67</v>
      </c>
      <c r="V117">
        <f ca="1">IFERROR(IF(0=LEN(ReferenceData!$V$117),"",ReferenceData!$V$117),"")</f>
        <v>1496.748</v>
      </c>
      <c r="W117">
        <f ca="1">IFERROR(IF(0=LEN(ReferenceData!$W$117),"",ReferenceData!$W$117),"")</f>
        <v>1542.933</v>
      </c>
      <c r="X117">
        <f ca="1">IFERROR(IF(0=LEN(ReferenceData!$X$117),"",ReferenceData!$X$117),"")</f>
        <v>1699.771</v>
      </c>
      <c r="Y117">
        <f ca="1">IFERROR(IF(0=LEN(ReferenceData!$Y$117),"",ReferenceData!$Y$117),"")</f>
        <v>1813.4459999999999</v>
      </c>
      <c r="Z117">
        <f ca="1">IFERROR(IF(0=LEN(ReferenceData!$Z$117),"",ReferenceData!$Z$117),"")</f>
        <v>2103.674</v>
      </c>
      <c r="AA117">
        <f ca="1">IFERROR(IF(0=LEN(ReferenceData!$AA$117),"",ReferenceData!$AA$117),"")</f>
        <v>2138.1729999999998</v>
      </c>
      <c r="AB117">
        <f ca="1">IFERROR(IF(0=LEN(ReferenceData!$AB$117),"",ReferenceData!$AB$117),"")</f>
        <v>2406.2579999999998</v>
      </c>
      <c r="AC117">
        <f ca="1">IFERROR(IF(0=LEN(ReferenceData!$AC$117),"",ReferenceData!$AC$117),"")</f>
        <v>2454.6970000000001</v>
      </c>
      <c r="AD117">
        <f ca="1">IFERROR(IF(0=LEN(ReferenceData!$AD$117),"",ReferenceData!$AD$117),"")</f>
        <v>2139.895</v>
      </c>
      <c r="AE117">
        <f ca="1">IFERROR(IF(0=LEN(ReferenceData!$AE$117),"",ReferenceData!$AE$117),"")</f>
        <v>2085.2139999999999</v>
      </c>
      <c r="AF117">
        <f ca="1">IFERROR(IF(0=LEN(ReferenceData!$AF$117),"",ReferenceData!$AF$117),"")</f>
        <v>1993.021</v>
      </c>
      <c r="AG117">
        <f ca="1">IFERROR(IF(0=LEN(ReferenceData!$AG$117),"",ReferenceData!$AG$117),"")</f>
        <v>1350.693</v>
      </c>
      <c r="AH117">
        <f ca="1">IFERROR(IF(0=LEN(ReferenceData!$AH$117),"",ReferenceData!$AH$117),"")</f>
        <v>996.04200000000003</v>
      </c>
      <c r="AI117">
        <f ca="1">IFERROR(IF(0=LEN(ReferenceData!$AI$117),"",ReferenceData!$AI$117),"")</f>
        <v>665.66200000000003</v>
      </c>
      <c r="AJ117">
        <f ca="1">IFERROR(IF(0=LEN(ReferenceData!$AJ$117),"",ReferenceData!$AJ$117),"")</f>
        <v>436.61700000000002</v>
      </c>
      <c r="AK117">
        <f ca="1">IFERROR(IF(0=LEN(ReferenceData!$AK$117),"",ReferenceData!$AK$117),"")</f>
        <v>187.30600000000001</v>
      </c>
      <c r="AL117">
        <f ca="1">IFERROR(IF(0=LEN(ReferenceData!$AL$117),"",ReferenceData!$AL$117),"")</f>
        <v>193.46899999999999</v>
      </c>
    </row>
    <row r="118" spans="1:38" x14ac:dyDescent="0.25">
      <c r="A118" t="str">
        <f>IFERROR(IF(0=LEN(ReferenceData!$A$118),"",ReferenceData!$A$118),"")</f>
        <v xml:space="preserve">        East West Bancorp Inc</v>
      </c>
      <c r="B118" t="str">
        <f>IFERROR(IF(0=LEN(ReferenceData!$B$118),"",ReferenceData!$B$118),"")</f>
        <v>EWBC US Equity</v>
      </c>
      <c r="C118" t="str">
        <f>IFERROR(IF(0=LEN(ReferenceData!$C$118),"",ReferenceData!$C$118),"")</f>
        <v>FC313</v>
      </c>
      <c r="D118" t="str">
        <f>IFERROR(IF(0=LEN(ReferenceData!$D$118),"",ReferenceData!$D$118),"")</f>
        <v>FDIC_C&amp;I_LOANS_NON-US</v>
      </c>
      <c r="E118" t="str">
        <f>IFERROR(IF(0=LEN(ReferenceData!$E$118),"",ReferenceData!$E$118),"")</f>
        <v>Dynamic</v>
      </c>
      <c r="F118" t="str">
        <f ca="1">IFERROR(IF(0=LEN(ReferenceData!$F$118),"",ReferenceData!$F$118),"")</f>
        <v/>
      </c>
      <c r="G118">
        <f ca="1">IFERROR(IF(0=LEN(ReferenceData!$G$118),"",ReferenceData!$G$118),"")</f>
        <v>2108.9929999999999</v>
      </c>
      <c r="H118">
        <f ca="1">IFERROR(IF(0=LEN(ReferenceData!$H$118),"",ReferenceData!$H$118),"")</f>
        <v>1887.42</v>
      </c>
      <c r="I118">
        <f ca="1">IFERROR(IF(0=LEN(ReferenceData!$I$118),"",ReferenceData!$I$118),"")</f>
        <v>1991.732</v>
      </c>
      <c r="J118">
        <f ca="1">IFERROR(IF(0=LEN(ReferenceData!$J$118),"",ReferenceData!$J$118),"")</f>
        <v>1675.8119999999999</v>
      </c>
      <c r="K118">
        <f ca="1">IFERROR(IF(0=LEN(ReferenceData!$K$118),"",ReferenceData!$K$118),"")</f>
        <v>1409.01</v>
      </c>
      <c r="L118">
        <f ca="1">IFERROR(IF(0=LEN(ReferenceData!$L$118),"",ReferenceData!$L$118),"")</f>
        <v>1325.5730000000001</v>
      </c>
      <c r="M118">
        <f ca="1">IFERROR(IF(0=LEN(ReferenceData!$M$118),"",ReferenceData!$M$118),"")</f>
        <v>1093.5309999999999</v>
      </c>
      <c r="N118">
        <f ca="1">IFERROR(IF(0=LEN(ReferenceData!$N$118),"",ReferenceData!$N$118),"")</f>
        <v>1132.7059999999999</v>
      </c>
      <c r="O118">
        <f ca="1">IFERROR(IF(0=LEN(ReferenceData!$O$118),"",ReferenceData!$O$118),"")</f>
        <v>1004.232</v>
      </c>
      <c r="P118">
        <f ca="1">IFERROR(IF(0=LEN(ReferenceData!$P$118),"",ReferenceData!$P$118),"")</f>
        <v>644.84</v>
      </c>
      <c r="Q118">
        <f ca="1">IFERROR(IF(0=LEN(ReferenceData!$Q$118),"",ReferenceData!$Q$118),"")</f>
        <v>415.04599999999999</v>
      </c>
      <c r="R118">
        <f ca="1">IFERROR(IF(0=LEN(ReferenceData!$R$118),"",ReferenceData!$R$118),"")</f>
        <v>314.767</v>
      </c>
      <c r="S118">
        <f ca="1">IFERROR(IF(0=LEN(ReferenceData!$S$118),"",ReferenceData!$S$118),"")</f>
        <v>543.31700000000001</v>
      </c>
      <c r="T118">
        <f ca="1">IFERROR(IF(0=LEN(ReferenceData!$T$118),"",ReferenceData!$T$118),"")</f>
        <v>282.09699999999998</v>
      </c>
      <c r="U118">
        <f ca="1">IFERROR(IF(0=LEN(ReferenceData!$U$118),"",ReferenceData!$U$118),"")</f>
        <v>478.46699999999998</v>
      </c>
      <c r="V118">
        <f ca="1">IFERROR(IF(0=LEN(ReferenceData!$V$118),"",ReferenceData!$V$118),"")</f>
        <v>63.698</v>
      </c>
      <c r="W118">
        <f ca="1">IFERROR(IF(0=LEN(ReferenceData!$W$118),"",ReferenceData!$W$118),"")</f>
        <v>53.826999999999998</v>
      </c>
      <c r="X118">
        <f ca="1">IFERROR(IF(0=LEN(ReferenceData!$X$118),"",ReferenceData!$X$118),"")</f>
        <v>0</v>
      </c>
      <c r="Y118">
        <f ca="1">IFERROR(IF(0=LEN(ReferenceData!$Y$118),"",ReferenceData!$Y$118),"")</f>
        <v>0</v>
      </c>
      <c r="Z118">
        <f ca="1">IFERROR(IF(0=LEN(ReferenceData!$Z$118),"",ReferenceData!$Z$118),"")</f>
        <v>0</v>
      </c>
      <c r="AA118">
        <f ca="1">IFERROR(IF(0=LEN(ReferenceData!$AA$118),"",ReferenceData!$AA$118),"")</f>
        <v>0</v>
      </c>
      <c r="AB118">
        <f ca="1">IFERROR(IF(0=LEN(ReferenceData!$AB$118),"",ReferenceData!$AB$118),"")</f>
        <v>2.149</v>
      </c>
      <c r="AC118">
        <f ca="1">IFERROR(IF(0=LEN(ReferenceData!$AC$118),"",ReferenceData!$AC$118),"")</f>
        <v>0.61499999999999999</v>
      </c>
      <c r="AD118">
        <f ca="1">IFERROR(IF(0=LEN(ReferenceData!$AD$118),"",ReferenceData!$AD$118),"")</f>
        <v>0</v>
      </c>
      <c r="AE118">
        <f ca="1">IFERROR(IF(0=LEN(ReferenceData!$AE$118),"",ReferenceData!$AE$118),"")</f>
        <v>0</v>
      </c>
      <c r="AF118">
        <f ca="1">IFERROR(IF(0=LEN(ReferenceData!$AF$118),"",ReferenceData!$AF$118),"")</f>
        <v>0</v>
      </c>
      <c r="AG118" t="str">
        <f ca="1">IFERROR(IF(0=LEN(ReferenceData!$AG$118),"",ReferenceData!$AG$118),"")</f>
        <v/>
      </c>
      <c r="AH118" t="str">
        <f ca="1">IFERROR(IF(0=LEN(ReferenceData!$AH$118),"",ReferenceData!$AH$118),"")</f>
        <v/>
      </c>
      <c r="AI118" t="str">
        <f ca="1">IFERROR(IF(0=LEN(ReferenceData!$AI$118),"",ReferenceData!$AI$118),"")</f>
        <v/>
      </c>
      <c r="AJ118" t="str">
        <f ca="1">IFERROR(IF(0=LEN(ReferenceData!$AJ$118),"",ReferenceData!$AJ$118),"")</f>
        <v/>
      </c>
      <c r="AK118" t="str">
        <f ca="1">IFERROR(IF(0=LEN(ReferenceData!$AK$118),"",ReferenceData!$AK$118),"")</f>
        <v/>
      </c>
      <c r="AL118" t="str">
        <f ca="1">IFERROR(IF(0=LEN(ReferenceData!$AL$118),"",ReferenceData!$AL$118),"")</f>
        <v/>
      </c>
    </row>
    <row r="119" spans="1:38" x14ac:dyDescent="0.25">
      <c r="A119" t="str">
        <f>IFERROR(IF(0=LEN(ReferenceData!$A$119),"",ReferenceData!$A$119),"")</f>
        <v xml:space="preserve">        Fifth Third Bancorp</v>
      </c>
      <c r="B119" t="str">
        <f>IFERROR(IF(0=LEN(ReferenceData!$B$119),"",ReferenceData!$B$119),"")</f>
        <v>FITB US Equity</v>
      </c>
      <c r="C119" t="str">
        <f>IFERROR(IF(0=LEN(ReferenceData!$C$119),"",ReferenceData!$C$119),"")</f>
        <v>FC313</v>
      </c>
      <c r="D119" t="str">
        <f>IFERROR(IF(0=LEN(ReferenceData!$D$119),"",ReferenceData!$D$119),"")</f>
        <v>FDIC_C&amp;I_LOANS_NON-US</v>
      </c>
      <c r="E119" t="str">
        <f>IFERROR(IF(0=LEN(ReferenceData!$E$119),"",ReferenceData!$E$119),"")</f>
        <v>Dynamic</v>
      </c>
      <c r="F119">
        <f ca="1">IFERROR(IF(0=LEN(ReferenceData!$F$119),"",ReferenceData!$F$119),"")</f>
        <v>2499</v>
      </c>
      <c r="G119">
        <f ca="1">IFERROR(IF(0=LEN(ReferenceData!$G$119),"",ReferenceData!$G$119),"")</f>
        <v>2986</v>
      </c>
      <c r="H119">
        <f ca="1">IFERROR(IF(0=LEN(ReferenceData!$H$119),"",ReferenceData!$H$119),"")</f>
        <v>2982.8519999999999</v>
      </c>
      <c r="I119">
        <f ca="1">IFERROR(IF(0=LEN(ReferenceData!$I$119),"",ReferenceData!$I$119),"")</f>
        <v>2740.652</v>
      </c>
      <c r="J119">
        <f ca="1">IFERROR(IF(0=LEN(ReferenceData!$J$119),"",ReferenceData!$J$119),"")</f>
        <v>2829.6039999999998</v>
      </c>
      <c r="K119">
        <f ca="1">IFERROR(IF(0=LEN(ReferenceData!$K$119),"",ReferenceData!$K$119),"")</f>
        <v>2747.3519999999999</v>
      </c>
      <c r="L119">
        <f ca="1">IFERROR(IF(0=LEN(ReferenceData!$L$119),"",ReferenceData!$L$119),"")</f>
        <v>2036.7449999999999</v>
      </c>
      <c r="M119">
        <f ca="1">IFERROR(IF(0=LEN(ReferenceData!$M$119),"",ReferenceData!$M$119),"")</f>
        <v>2035.9190000000001</v>
      </c>
      <c r="N119">
        <f ca="1">IFERROR(IF(0=LEN(ReferenceData!$N$119),"",ReferenceData!$N$119),"")</f>
        <v>1632.386</v>
      </c>
      <c r="O119">
        <f ca="1">IFERROR(IF(0=LEN(ReferenceData!$O$119),"",ReferenceData!$O$119),"")</f>
        <v>1728.03</v>
      </c>
      <c r="P119">
        <f ca="1">IFERROR(IF(0=LEN(ReferenceData!$P$119),"",ReferenceData!$P$119),"")</f>
        <v>1849.9680000000001</v>
      </c>
      <c r="Q119">
        <f ca="1">IFERROR(IF(0=LEN(ReferenceData!$Q$119),"",ReferenceData!$Q$119),"")</f>
        <v>1213.7070000000001</v>
      </c>
      <c r="R119">
        <f ca="1">IFERROR(IF(0=LEN(ReferenceData!$R$119),"",ReferenceData!$R$119),"")</f>
        <v>760.49800000000005</v>
      </c>
      <c r="S119">
        <f ca="1">IFERROR(IF(0=LEN(ReferenceData!$S$119),"",ReferenceData!$S$119),"")</f>
        <v>714.69600000000003</v>
      </c>
      <c r="T119">
        <f ca="1">IFERROR(IF(0=LEN(ReferenceData!$T$119),"",ReferenceData!$T$119),"")</f>
        <v>631.798</v>
      </c>
      <c r="U119">
        <f ca="1">IFERROR(IF(0=LEN(ReferenceData!$U$119),"",ReferenceData!$U$119),"")</f>
        <v>488.77</v>
      </c>
      <c r="V119">
        <f ca="1">IFERROR(IF(0=LEN(ReferenceData!$V$119),"",ReferenceData!$V$119),"")</f>
        <v>562.08199999999999</v>
      </c>
      <c r="W119">
        <f ca="1">IFERROR(IF(0=LEN(ReferenceData!$W$119),"",ReferenceData!$W$119),"")</f>
        <v>320.41800000000001</v>
      </c>
      <c r="X119">
        <f ca="1">IFERROR(IF(0=LEN(ReferenceData!$X$119),"",ReferenceData!$X$119),"")</f>
        <v>168.42699999999999</v>
      </c>
      <c r="Y119">
        <f ca="1">IFERROR(IF(0=LEN(ReferenceData!$Y$119),"",ReferenceData!$Y$119),"")</f>
        <v>56.853999999999999</v>
      </c>
      <c r="Z119">
        <f ca="1">IFERROR(IF(0=LEN(ReferenceData!$Z$119),"",ReferenceData!$Z$119),"")</f>
        <v>8.1609999999999996</v>
      </c>
      <c r="AA119">
        <f ca="1">IFERROR(IF(0=LEN(ReferenceData!$AA$119),"",ReferenceData!$AA$119),"")</f>
        <v>13.175000000000001</v>
      </c>
      <c r="AB119">
        <f ca="1">IFERROR(IF(0=LEN(ReferenceData!$AB$119),"",ReferenceData!$AB$119),"")</f>
        <v>0</v>
      </c>
      <c r="AC119">
        <f ca="1">IFERROR(IF(0=LEN(ReferenceData!$AC$119),"",ReferenceData!$AC$119),"")</f>
        <v>0</v>
      </c>
      <c r="AD119">
        <f ca="1">IFERROR(IF(0=LEN(ReferenceData!$AD$119),"",ReferenceData!$AD$119),"")</f>
        <v>0</v>
      </c>
      <c r="AE119">
        <f ca="1">IFERROR(IF(0=LEN(ReferenceData!$AE$119),"",ReferenceData!$AE$119),"")</f>
        <v>0</v>
      </c>
      <c r="AF119">
        <f ca="1">IFERROR(IF(0=LEN(ReferenceData!$AF$119),"",ReferenceData!$AF$119),"")</f>
        <v>0</v>
      </c>
      <c r="AG119">
        <f ca="1">IFERROR(IF(0=LEN(ReferenceData!$AG$119),"",ReferenceData!$AG$119),"")</f>
        <v>0</v>
      </c>
      <c r="AH119">
        <f ca="1">IFERROR(IF(0=LEN(ReferenceData!$AH$119),"",ReferenceData!$AH$119),"")</f>
        <v>0</v>
      </c>
      <c r="AI119">
        <f ca="1">IFERROR(IF(0=LEN(ReferenceData!$AI$119),"",ReferenceData!$AI$119),"")</f>
        <v>0</v>
      </c>
      <c r="AJ119">
        <f ca="1">IFERROR(IF(0=LEN(ReferenceData!$AJ$119),"",ReferenceData!$AJ$119),"")</f>
        <v>0</v>
      </c>
      <c r="AK119">
        <f ca="1">IFERROR(IF(0=LEN(ReferenceData!$AK$119),"",ReferenceData!$AK$119),"")</f>
        <v>0</v>
      </c>
      <c r="AL119">
        <f ca="1">IFERROR(IF(0=LEN(ReferenceData!$AL$119),"",ReferenceData!$AL$119),"")</f>
        <v>0</v>
      </c>
    </row>
    <row r="120" spans="1:38" x14ac:dyDescent="0.25">
      <c r="A120" t="str">
        <f>IFERROR(IF(0=LEN(ReferenceData!$A$120),"",ReferenceData!$A$120),"")</f>
        <v xml:space="preserve">        First Citizens BancShares Inc/</v>
      </c>
      <c r="B120" t="str">
        <f>IFERROR(IF(0=LEN(ReferenceData!$B$120),"",ReferenceData!$B$120),"")</f>
        <v>FCNCA US Equity</v>
      </c>
      <c r="C120" t="str">
        <f>IFERROR(IF(0=LEN(ReferenceData!$C$120),"",ReferenceData!$C$120),"")</f>
        <v>FC313</v>
      </c>
      <c r="D120" t="str">
        <f>IFERROR(IF(0=LEN(ReferenceData!$D$120),"",ReferenceData!$D$120),"")</f>
        <v>FDIC_C&amp;I_LOANS_NON-US</v>
      </c>
      <c r="E120" t="str">
        <f>IFERROR(IF(0=LEN(ReferenceData!$E$120),"",ReferenceData!$E$120),"")</f>
        <v>Dynamic</v>
      </c>
      <c r="F120">
        <f ca="1">IFERROR(IF(0=LEN(ReferenceData!$F$120),"",ReferenceData!$F$120),"")</f>
        <v>1963</v>
      </c>
      <c r="G120">
        <f ca="1">IFERROR(IF(0=LEN(ReferenceData!$G$120),"",ReferenceData!$G$120),"")</f>
        <v>1698.454</v>
      </c>
      <c r="H120">
        <f ca="1">IFERROR(IF(0=LEN(ReferenceData!$H$120),"",ReferenceData!$H$120),"")</f>
        <v>291.34100000000001</v>
      </c>
      <c r="I120">
        <f ca="1">IFERROR(IF(0=LEN(ReferenceData!$I$120),"",ReferenceData!$I$120),"")</f>
        <v>0</v>
      </c>
      <c r="J120">
        <f ca="1">IFERROR(IF(0=LEN(ReferenceData!$J$120),"",ReferenceData!$J$120),"")</f>
        <v>0</v>
      </c>
      <c r="K120">
        <f ca="1">IFERROR(IF(0=LEN(ReferenceData!$K$120),"",ReferenceData!$K$120),"")</f>
        <v>0</v>
      </c>
      <c r="L120">
        <f ca="1">IFERROR(IF(0=LEN(ReferenceData!$L$120),"",ReferenceData!$L$120),"")</f>
        <v>0</v>
      </c>
      <c r="M120">
        <f ca="1">IFERROR(IF(0=LEN(ReferenceData!$M$120),"",ReferenceData!$M$120),"")</f>
        <v>0</v>
      </c>
      <c r="N120">
        <f ca="1">IFERROR(IF(0=LEN(ReferenceData!$N$120),"",ReferenceData!$N$120),"")</f>
        <v>0</v>
      </c>
      <c r="O120">
        <f ca="1">IFERROR(IF(0=LEN(ReferenceData!$O$120),"",ReferenceData!$O$120),"")</f>
        <v>8.8999999999999996E-2</v>
      </c>
      <c r="P120">
        <f ca="1">IFERROR(IF(0=LEN(ReferenceData!$P$120),"",ReferenceData!$P$120),"")</f>
        <v>0</v>
      </c>
      <c r="Q120">
        <f ca="1">IFERROR(IF(0=LEN(ReferenceData!$Q$120),"",ReferenceData!$Q$120),"")</f>
        <v>0</v>
      </c>
      <c r="R120">
        <f ca="1">IFERROR(IF(0=LEN(ReferenceData!$R$120),"",ReferenceData!$R$120),"")</f>
        <v>0</v>
      </c>
      <c r="S120">
        <f ca="1">IFERROR(IF(0=LEN(ReferenceData!$S$120),"",ReferenceData!$S$120),"")</f>
        <v>0</v>
      </c>
      <c r="T120">
        <f ca="1">IFERROR(IF(0=LEN(ReferenceData!$T$120),"",ReferenceData!$T$120),"")</f>
        <v>0</v>
      </c>
      <c r="U120">
        <f ca="1">IFERROR(IF(0=LEN(ReferenceData!$U$120),"",ReferenceData!$U$120),"")</f>
        <v>0</v>
      </c>
      <c r="V120">
        <f ca="1">IFERROR(IF(0=LEN(ReferenceData!$V$120),"",ReferenceData!$V$120),"")</f>
        <v>0</v>
      </c>
      <c r="W120">
        <f ca="1">IFERROR(IF(0=LEN(ReferenceData!$W$120),"",ReferenceData!$W$120),"")</f>
        <v>0</v>
      </c>
      <c r="X120">
        <f ca="1">IFERROR(IF(0=LEN(ReferenceData!$X$120),"",ReferenceData!$X$120),"")</f>
        <v>0</v>
      </c>
      <c r="Y120">
        <f ca="1">IFERROR(IF(0=LEN(ReferenceData!$Y$120),"",ReferenceData!$Y$120),"")</f>
        <v>0</v>
      </c>
      <c r="Z120">
        <f ca="1">IFERROR(IF(0=LEN(ReferenceData!$Z$120),"",ReferenceData!$Z$120),"")</f>
        <v>0</v>
      </c>
      <c r="AA120">
        <f ca="1">IFERROR(IF(0=LEN(ReferenceData!$AA$120),"",ReferenceData!$AA$120),"")</f>
        <v>0</v>
      </c>
      <c r="AB120">
        <f ca="1">IFERROR(IF(0=LEN(ReferenceData!$AB$120),"",ReferenceData!$AB$120),"")</f>
        <v>0</v>
      </c>
      <c r="AC120">
        <f ca="1">IFERROR(IF(0=LEN(ReferenceData!$AC$120),"",ReferenceData!$AC$120),"")</f>
        <v>0</v>
      </c>
      <c r="AD120">
        <f ca="1">IFERROR(IF(0=LEN(ReferenceData!$AD$120),"",ReferenceData!$AD$120),"")</f>
        <v>0</v>
      </c>
      <c r="AE120">
        <f ca="1">IFERROR(IF(0=LEN(ReferenceData!$AE$120),"",ReferenceData!$AE$120),"")</f>
        <v>0</v>
      </c>
      <c r="AF120">
        <f ca="1">IFERROR(IF(0=LEN(ReferenceData!$AF$120),"",ReferenceData!$AF$120),"")</f>
        <v>0</v>
      </c>
      <c r="AG120">
        <f ca="1">IFERROR(IF(0=LEN(ReferenceData!$AG$120),"",ReferenceData!$AG$120),"")</f>
        <v>0</v>
      </c>
      <c r="AH120">
        <f ca="1">IFERROR(IF(0=LEN(ReferenceData!$AH$120),"",ReferenceData!$AH$120),"")</f>
        <v>0</v>
      </c>
      <c r="AI120">
        <f ca="1">IFERROR(IF(0=LEN(ReferenceData!$AI$120),"",ReferenceData!$AI$120),"")</f>
        <v>0</v>
      </c>
      <c r="AJ120">
        <f ca="1">IFERROR(IF(0=LEN(ReferenceData!$AJ$120),"",ReferenceData!$AJ$120),"")</f>
        <v>0</v>
      </c>
      <c r="AK120">
        <f ca="1">IFERROR(IF(0=LEN(ReferenceData!$AK$120),"",ReferenceData!$AK$120),"")</f>
        <v>0</v>
      </c>
      <c r="AL120">
        <f ca="1">IFERROR(IF(0=LEN(ReferenceData!$AL$120),"",ReferenceData!$AL$120),"")</f>
        <v>0</v>
      </c>
    </row>
    <row r="121" spans="1:38" x14ac:dyDescent="0.25">
      <c r="A121" t="str">
        <f>IFERROR(IF(0=LEN(ReferenceData!$A$121),"",ReferenceData!$A$121),"")</f>
        <v xml:space="preserve">        Flagstar Financial Inc</v>
      </c>
      <c r="B121" t="str">
        <f>IFERROR(IF(0=LEN(ReferenceData!$B$121),"",ReferenceData!$B$121),"")</f>
        <v>FLG US Equity</v>
      </c>
      <c r="C121" t="str">
        <f>IFERROR(IF(0=LEN(ReferenceData!$C$121),"",ReferenceData!$C$121),"")</f>
        <v>FC313</v>
      </c>
      <c r="D121" t="str">
        <f>IFERROR(IF(0=LEN(ReferenceData!$D$121),"",ReferenceData!$D$121),"")</f>
        <v>FDIC_C&amp;I_LOANS_NON-US</v>
      </c>
      <c r="E121" t="str">
        <f>IFERROR(IF(0=LEN(ReferenceData!$E$121),"",ReferenceData!$E$121),"")</f>
        <v>Dynamic</v>
      </c>
      <c r="F121" t="str">
        <f ca="1">IFERROR(IF(0=LEN(ReferenceData!$F$121),"",ReferenceData!$F$121),"")</f>
        <v/>
      </c>
      <c r="G121">
        <f ca="1">IFERROR(IF(0=LEN(ReferenceData!$G$121),"",ReferenceData!$G$121),"")</f>
        <v>0</v>
      </c>
      <c r="H121">
        <f ca="1">IFERROR(IF(0=LEN(ReferenceData!$H$121),"",ReferenceData!$H$121),"")</f>
        <v>1.8089999999999999</v>
      </c>
      <c r="I121">
        <f ca="1">IFERROR(IF(0=LEN(ReferenceData!$I$121),"",ReferenceData!$I$121),"")</f>
        <v>0</v>
      </c>
      <c r="J121">
        <f ca="1">IFERROR(IF(0=LEN(ReferenceData!$J$121),"",ReferenceData!$J$121),"")</f>
        <v>0</v>
      </c>
      <c r="K121">
        <f ca="1">IFERROR(IF(0=LEN(ReferenceData!$K$121),"",ReferenceData!$K$121),"")</f>
        <v>0</v>
      </c>
      <c r="L121">
        <f ca="1">IFERROR(IF(0=LEN(ReferenceData!$L$121),"",ReferenceData!$L$121),"")</f>
        <v>0</v>
      </c>
      <c r="M121">
        <f ca="1">IFERROR(IF(0=LEN(ReferenceData!$M$121),"",ReferenceData!$M$121),"")</f>
        <v>0</v>
      </c>
      <c r="N121">
        <f ca="1">IFERROR(IF(0=LEN(ReferenceData!$N$121),"",ReferenceData!$N$121),"")</f>
        <v>0</v>
      </c>
      <c r="O121">
        <f ca="1">IFERROR(IF(0=LEN(ReferenceData!$O$121),"",ReferenceData!$O$121),"")</f>
        <v>0</v>
      </c>
      <c r="P121">
        <f ca="1">IFERROR(IF(0=LEN(ReferenceData!$P$121),"",ReferenceData!$P$121),"")</f>
        <v>0</v>
      </c>
      <c r="Q121">
        <f ca="1">IFERROR(IF(0=LEN(ReferenceData!$Q$121),"",ReferenceData!$Q$121),"")</f>
        <v>0</v>
      </c>
      <c r="R121">
        <f ca="1">IFERROR(IF(0=LEN(ReferenceData!$R$121),"",ReferenceData!$R$121),"")</f>
        <v>0</v>
      </c>
      <c r="S121">
        <f ca="1">IFERROR(IF(0=LEN(ReferenceData!$S$121),"",ReferenceData!$S$121),"")</f>
        <v>0</v>
      </c>
      <c r="T121">
        <f ca="1">IFERROR(IF(0=LEN(ReferenceData!$T$121),"",ReferenceData!$T$121),"")</f>
        <v>0</v>
      </c>
      <c r="U121">
        <f ca="1">IFERROR(IF(0=LEN(ReferenceData!$U$121),"",ReferenceData!$U$121),"")</f>
        <v>0</v>
      </c>
      <c r="V121">
        <f ca="1">IFERROR(IF(0=LEN(ReferenceData!$V$121),"",ReferenceData!$V$121),"")</f>
        <v>0</v>
      </c>
      <c r="W121">
        <f ca="1">IFERROR(IF(0=LEN(ReferenceData!$W$121),"",ReferenceData!$W$121),"")</f>
        <v>0</v>
      </c>
      <c r="X121">
        <f ca="1">IFERROR(IF(0=LEN(ReferenceData!$X$121),"",ReferenceData!$X$121),"")</f>
        <v>0</v>
      </c>
      <c r="Y121">
        <f ca="1">IFERROR(IF(0=LEN(ReferenceData!$Y$121),"",ReferenceData!$Y$121),"")</f>
        <v>0</v>
      </c>
      <c r="Z121">
        <f ca="1">IFERROR(IF(0=LEN(ReferenceData!$Z$121),"",ReferenceData!$Z$121),"")</f>
        <v>0</v>
      </c>
      <c r="AA121">
        <f ca="1">IFERROR(IF(0=LEN(ReferenceData!$AA$121),"",ReferenceData!$AA$121),"")</f>
        <v>0</v>
      </c>
      <c r="AB121">
        <f ca="1">IFERROR(IF(0=LEN(ReferenceData!$AB$121),"",ReferenceData!$AB$121),"")</f>
        <v>0</v>
      </c>
      <c r="AC121">
        <f ca="1">IFERROR(IF(0=LEN(ReferenceData!$AC$121),"",ReferenceData!$AC$121),"")</f>
        <v>0</v>
      </c>
      <c r="AD121">
        <f ca="1">IFERROR(IF(0=LEN(ReferenceData!$AD$121),"",ReferenceData!$AD$121),"")</f>
        <v>0</v>
      </c>
      <c r="AE121">
        <f ca="1">IFERROR(IF(0=LEN(ReferenceData!$AE$121),"",ReferenceData!$AE$121),"")</f>
        <v>0</v>
      </c>
      <c r="AF121">
        <f ca="1">IFERROR(IF(0=LEN(ReferenceData!$AF$121),"",ReferenceData!$AF$121),"")</f>
        <v>0</v>
      </c>
      <c r="AG121">
        <f ca="1">IFERROR(IF(0=LEN(ReferenceData!$AG$121),"",ReferenceData!$AG$121),"")</f>
        <v>0</v>
      </c>
      <c r="AH121">
        <f ca="1">IFERROR(IF(0=LEN(ReferenceData!$AH$121),"",ReferenceData!$AH$121),"")</f>
        <v>0</v>
      </c>
      <c r="AI121">
        <f ca="1">IFERROR(IF(0=LEN(ReferenceData!$AI$121),"",ReferenceData!$AI$121),"")</f>
        <v>0</v>
      </c>
      <c r="AJ121">
        <f ca="1">IFERROR(IF(0=LEN(ReferenceData!$AJ$121),"",ReferenceData!$AJ$121),"")</f>
        <v>0</v>
      </c>
      <c r="AK121">
        <f ca="1">IFERROR(IF(0=LEN(ReferenceData!$AK$121),"",ReferenceData!$AK$121),"")</f>
        <v>0</v>
      </c>
      <c r="AL121" t="str">
        <f ca="1">IFERROR(IF(0=LEN(ReferenceData!$AL$121),"",ReferenceData!$AL$121),"")</f>
        <v/>
      </c>
    </row>
    <row r="122" spans="1:38" x14ac:dyDescent="0.25">
      <c r="A122" t="str">
        <f>IFERROR(IF(0=LEN(ReferenceData!$A$122),"",ReferenceData!$A$122),"")</f>
        <v xml:space="preserve">        Huntington Bancshares Inc/OH</v>
      </c>
      <c r="B122" t="str">
        <f>IFERROR(IF(0=LEN(ReferenceData!$B$122),"",ReferenceData!$B$122),"")</f>
        <v>HBAN US Equity</v>
      </c>
      <c r="C122" t="str">
        <f>IFERROR(IF(0=LEN(ReferenceData!$C$122),"",ReferenceData!$C$122),"")</f>
        <v>FC313</v>
      </c>
      <c r="D122" t="str">
        <f>IFERROR(IF(0=LEN(ReferenceData!$D$122),"",ReferenceData!$D$122),"")</f>
        <v>FDIC_C&amp;I_LOANS_NON-US</v>
      </c>
      <c r="E122" t="str">
        <f>IFERROR(IF(0=LEN(ReferenceData!$E$122),"",ReferenceData!$E$122),"")</f>
        <v>Dynamic</v>
      </c>
      <c r="F122">
        <f ca="1">IFERROR(IF(0=LEN(ReferenceData!$F$122),"",ReferenceData!$F$122),"")</f>
        <v>1265.8579999999999</v>
      </c>
      <c r="G122">
        <f ca="1">IFERROR(IF(0=LEN(ReferenceData!$G$122),"",ReferenceData!$G$122),"")</f>
        <v>999.32600000000002</v>
      </c>
      <c r="H122">
        <f ca="1">IFERROR(IF(0=LEN(ReferenceData!$H$122),"",ReferenceData!$H$122),"")</f>
        <v>916.74699999999996</v>
      </c>
      <c r="I122">
        <f ca="1">IFERROR(IF(0=LEN(ReferenceData!$I$122),"",ReferenceData!$I$122),"")</f>
        <v>417.62700000000001</v>
      </c>
      <c r="J122">
        <f ca="1">IFERROR(IF(0=LEN(ReferenceData!$J$122),"",ReferenceData!$J$122),"")</f>
        <v>58.136000000000003</v>
      </c>
      <c r="K122">
        <f ca="1">IFERROR(IF(0=LEN(ReferenceData!$K$122),"",ReferenceData!$K$122),"")</f>
        <v>74.822999999999993</v>
      </c>
      <c r="L122">
        <f ca="1">IFERROR(IF(0=LEN(ReferenceData!$L$122),"",ReferenceData!$L$122),"")</f>
        <v>97.554000000000002</v>
      </c>
      <c r="M122">
        <f ca="1">IFERROR(IF(0=LEN(ReferenceData!$M$122),"",ReferenceData!$M$122),"")</f>
        <v>103.453</v>
      </c>
      <c r="N122">
        <f ca="1">IFERROR(IF(0=LEN(ReferenceData!$N$122),"",ReferenceData!$N$122),"")</f>
        <v>25.928999999999998</v>
      </c>
      <c r="O122">
        <f ca="1">IFERROR(IF(0=LEN(ReferenceData!$O$122),"",ReferenceData!$O$122),"")</f>
        <v>59.652000000000001</v>
      </c>
      <c r="P122">
        <f ca="1">IFERROR(IF(0=LEN(ReferenceData!$P$122),"",ReferenceData!$P$122),"")</f>
        <v>167.30099999999999</v>
      </c>
      <c r="Q122">
        <f ca="1">IFERROR(IF(0=LEN(ReferenceData!$Q$122),"",ReferenceData!$Q$122),"")</f>
        <v>0</v>
      </c>
      <c r="R122">
        <f ca="1">IFERROR(IF(0=LEN(ReferenceData!$R$122),"",ReferenceData!$R$122),"")</f>
        <v>0</v>
      </c>
      <c r="S122">
        <f ca="1">IFERROR(IF(0=LEN(ReferenceData!$S$122),"",ReferenceData!$S$122),"")</f>
        <v>0.53300000000000003</v>
      </c>
      <c r="T122">
        <f ca="1">IFERROR(IF(0=LEN(ReferenceData!$T$122),"",ReferenceData!$T$122),"")</f>
        <v>0.55300000000000005</v>
      </c>
      <c r="U122">
        <f ca="1">IFERROR(IF(0=LEN(ReferenceData!$U$122),"",ReferenceData!$U$122),"")</f>
        <v>0</v>
      </c>
      <c r="V122">
        <f ca="1">IFERROR(IF(0=LEN(ReferenceData!$V$122),"",ReferenceData!$V$122),"")</f>
        <v>0</v>
      </c>
      <c r="W122">
        <f ca="1">IFERROR(IF(0=LEN(ReferenceData!$W$122),"",ReferenceData!$W$122),"")</f>
        <v>0</v>
      </c>
      <c r="X122">
        <f ca="1">IFERROR(IF(0=LEN(ReferenceData!$X$122),"",ReferenceData!$X$122),"")</f>
        <v>0</v>
      </c>
      <c r="Y122">
        <f ca="1">IFERROR(IF(0=LEN(ReferenceData!$Y$122),"",ReferenceData!$Y$122),"")</f>
        <v>0</v>
      </c>
      <c r="Z122">
        <f ca="1">IFERROR(IF(0=LEN(ReferenceData!$Z$122),"",ReferenceData!$Z$122),"")</f>
        <v>0</v>
      </c>
      <c r="AA122">
        <f ca="1">IFERROR(IF(0=LEN(ReferenceData!$AA$122),"",ReferenceData!$AA$122),"")</f>
        <v>0</v>
      </c>
      <c r="AB122">
        <f ca="1">IFERROR(IF(0=LEN(ReferenceData!$AB$122),"",ReferenceData!$AB$122),"")</f>
        <v>0</v>
      </c>
      <c r="AC122">
        <f ca="1">IFERROR(IF(0=LEN(ReferenceData!$AC$122),"",ReferenceData!$AC$122),"")</f>
        <v>0</v>
      </c>
      <c r="AD122">
        <f ca="1">IFERROR(IF(0=LEN(ReferenceData!$AD$122),"",ReferenceData!$AD$122),"")</f>
        <v>0</v>
      </c>
      <c r="AE122">
        <f ca="1">IFERROR(IF(0=LEN(ReferenceData!$AE$122),"",ReferenceData!$AE$122),"")</f>
        <v>0</v>
      </c>
      <c r="AF122">
        <f ca="1">IFERROR(IF(0=LEN(ReferenceData!$AF$122),"",ReferenceData!$AF$122),"")</f>
        <v>0</v>
      </c>
      <c r="AG122">
        <f ca="1">IFERROR(IF(0=LEN(ReferenceData!$AG$122),"",ReferenceData!$AG$122),"")</f>
        <v>9.3729999999999993</v>
      </c>
      <c r="AH122">
        <f ca="1">IFERROR(IF(0=LEN(ReferenceData!$AH$122),"",ReferenceData!$AH$122),"")</f>
        <v>0</v>
      </c>
      <c r="AI122">
        <f ca="1">IFERROR(IF(0=LEN(ReferenceData!$AI$122),"",ReferenceData!$AI$122),"")</f>
        <v>0</v>
      </c>
      <c r="AJ122">
        <f ca="1">IFERROR(IF(0=LEN(ReferenceData!$AJ$122),"",ReferenceData!$AJ$122),"")</f>
        <v>0</v>
      </c>
      <c r="AK122">
        <f ca="1">IFERROR(IF(0=LEN(ReferenceData!$AK$122),"",ReferenceData!$AK$122),"")</f>
        <v>0</v>
      </c>
      <c r="AL122">
        <f ca="1">IFERROR(IF(0=LEN(ReferenceData!$AL$122),"",ReferenceData!$AL$122),"")</f>
        <v>0</v>
      </c>
    </row>
    <row r="123" spans="1:38" x14ac:dyDescent="0.25">
      <c r="A123" t="str">
        <f>IFERROR(IF(0=LEN(ReferenceData!$A$123),"",ReferenceData!$A$123),"")</f>
        <v xml:space="preserve">        JPMorgan Chase &amp; Co</v>
      </c>
      <c r="B123" t="str">
        <f>IFERROR(IF(0=LEN(ReferenceData!$B$123),"",ReferenceData!$B$123),"")</f>
        <v>JPM US Equity</v>
      </c>
      <c r="C123" t="str">
        <f>IFERROR(IF(0=LEN(ReferenceData!$C$123),"",ReferenceData!$C$123),"")</f>
        <v>FC313</v>
      </c>
      <c r="D123" t="str">
        <f>IFERROR(IF(0=LEN(ReferenceData!$D$123),"",ReferenceData!$D$123),"")</f>
        <v>FDIC_C&amp;I_LOANS_NON-US</v>
      </c>
      <c r="E123" t="str">
        <f>IFERROR(IF(0=LEN(ReferenceData!$E$123),"",ReferenceData!$E$123),"")</f>
        <v>Dynamic</v>
      </c>
      <c r="F123">
        <f ca="1">IFERROR(IF(0=LEN(ReferenceData!$F$123),"",ReferenceData!$F$123),"")</f>
        <v>43614</v>
      </c>
      <c r="G123">
        <f ca="1">IFERROR(IF(0=LEN(ReferenceData!$G$123),"",ReferenceData!$G$123),"")</f>
        <v>43416</v>
      </c>
      <c r="H123">
        <f ca="1">IFERROR(IF(0=LEN(ReferenceData!$H$123),"",ReferenceData!$H$123),"")</f>
        <v>52278</v>
      </c>
      <c r="I123">
        <f ca="1">IFERROR(IF(0=LEN(ReferenceData!$I$123),"",ReferenceData!$I$123),"")</f>
        <v>49634</v>
      </c>
      <c r="J123">
        <f ca="1">IFERROR(IF(0=LEN(ReferenceData!$J$123),"",ReferenceData!$J$123),"")</f>
        <v>44614</v>
      </c>
      <c r="K123">
        <f ca="1">IFERROR(IF(0=LEN(ReferenceData!$K$123),"",ReferenceData!$K$123),"")</f>
        <v>36470</v>
      </c>
      <c r="L123">
        <f ca="1">IFERROR(IF(0=LEN(ReferenceData!$L$123),"",ReferenceData!$L$123),"")</f>
        <v>34901</v>
      </c>
      <c r="M123">
        <f ca="1">IFERROR(IF(0=LEN(ReferenceData!$M$123),"",ReferenceData!$M$123),"")</f>
        <v>33483</v>
      </c>
      <c r="N123">
        <f ca="1">IFERROR(IF(0=LEN(ReferenceData!$N$123),"",ReferenceData!$N$123),"")</f>
        <v>34207</v>
      </c>
      <c r="O123">
        <f ca="1">IFERROR(IF(0=LEN(ReferenceData!$O$123),"",ReferenceData!$O$123),"")</f>
        <v>31087</v>
      </c>
      <c r="P123">
        <f ca="1">IFERROR(IF(0=LEN(ReferenceData!$P$123),"",ReferenceData!$P$123),"")</f>
        <v>33401</v>
      </c>
      <c r="Q123">
        <f ca="1">IFERROR(IF(0=LEN(ReferenceData!$Q$123),"",ReferenceData!$Q$123),"")</f>
        <v>33936</v>
      </c>
      <c r="R123">
        <f ca="1">IFERROR(IF(0=LEN(ReferenceData!$R$123),"",ReferenceData!$R$123),"")</f>
        <v>40723</v>
      </c>
      <c r="S123">
        <f ca="1">IFERROR(IF(0=LEN(ReferenceData!$S$123),"",ReferenceData!$S$123),"")</f>
        <v>33861</v>
      </c>
      <c r="T123">
        <f ca="1">IFERROR(IF(0=LEN(ReferenceData!$T$123),"",ReferenceData!$T$123),"")</f>
        <v>22337</v>
      </c>
      <c r="U123">
        <f ca="1">IFERROR(IF(0=LEN(ReferenceData!$U$123),"",ReferenceData!$U$123),"")</f>
        <v>23836</v>
      </c>
      <c r="V123">
        <f ca="1">IFERROR(IF(0=LEN(ReferenceData!$V$123),"",ReferenceData!$V$123),"")</f>
        <v>45329</v>
      </c>
      <c r="W123">
        <f ca="1">IFERROR(IF(0=LEN(ReferenceData!$W$123),"",ReferenceData!$W$123),"")</f>
        <v>42945</v>
      </c>
      <c r="X123">
        <f ca="1">IFERROR(IF(0=LEN(ReferenceData!$X$123),"",ReferenceData!$X$123),"")</f>
        <v>27630</v>
      </c>
      <c r="Y123">
        <f ca="1">IFERROR(IF(0=LEN(ReferenceData!$Y$123),"",ReferenceData!$Y$123),"")</f>
        <v>19934</v>
      </c>
      <c r="Z123">
        <f ca="1">IFERROR(IF(0=LEN(ReferenceData!$Z$123),"",ReferenceData!$Z$123),"")</f>
        <v>14594</v>
      </c>
      <c r="AA123">
        <f ca="1">IFERROR(IF(0=LEN(ReferenceData!$AA$123),"",ReferenceData!$AA$123),"")</f>
        <v>16987</v>
      </c>
      <c r="AB123">
        <f ca="1">IFERROR(IF(0=LEN(ReferenceData!$AB$123),"",ReferenceData!$AB$123),"")</f>
        <v>19980</v>
      </c>
      <c r="AC123">
        <f ca="1">IFERROR(IF(0=LEN(ReferenceData!$AC$123),"",ReferenceData!$AC$123),"")</f>
        <v>26105</v>
      </c>
      <c r="AD123">
        <f ca="1">IFERROR(IF(0=LEN(ReferenceData!$AD$123),"",ReferenceData!$AD$123),"")</f>
        <v>28760</v>
      </c>
      <c r="AE123">
        <f ca="1">IFERROR(IF(0=LEN(ReferenceData!$AE$123),"",ReferenceData!$AE$123),"")</f>
        <v>21640.365000000002</v>
      </c>
      <c r="AF123">
        <f ca="1">IFERROR(IF(0=LEN(ReferenceData!$AF$123),"",ReferenceData!$AF$123),"")</f>
        <v>24449.145</v>
      </c>
      <c r="AG123">
        <f ca="1">IFERROR(IF(0=LEN(ReferenceData!$AG$123),"",ReferenceData!$AG$123),"")</f>
        <v>25872.205999999998</v>
      </c>
      <c r="AH123">
        <f ca="1">IFERROR(IF(0=LEN(ReferenceData!$AH$123),"",ReferenceData!$AH$123),"")</f>
        <v>23292.92</v>
      </c>
      <c r="AI123">
        <f ca="1">IFERROR(IF(0=LEN(ReferenceData!$AI$123),"",ReferenceData!$AI$123),"")</f>
        <v>10983.630999999999</v>
      </c>
      <c r="AJ123">
        <f ca="1">IFERROR(IF(0=LEN(ReferenceData!$AJ$123),"",ReferenceData!$AJ$123),"")</f>
        <v>8465.4310000000005</v>
      </c>
      <c r="AK123">
        <f ca="1">IFERROR(IF(0=LEN(ReferenceData!$AK$123),"",ReferenceData!$AK$123),"")</f>
        <v>7930.0910000000003</v>
      </c>
      <c r="AL123">
        <f ca="1">IFERROR(IF(0=LEN(ReferenceData!$AL$123),"",ReferenceData!$AL$123),"")</f>
        <v>9198.7279999999992</v>
      </c>
    </row>
    <row r="124" spans="1:38" x14ac:dyDescent="0.25">
      <c r="A124" t="str">
        <f>IFERROR(IF(0=LEN(ReferenceData!$A$124),"",ReferenceData!$A$124),"")</f>
        <v xml:space="preserve">        KeyCorp</v>
      </c>
      <c r="B124" t="str">
        <f>IFERROR(IF(0=LEN(ReferenceData!$B$124),"",ReferenceData!$B$124),"")</f>
        <v>KEY US Equity</v>
      </c>
      <c r="C124" t="str">
        <f>IFERROR(IF(0=LEN(ReferenceData!$C$124),"",ReferenceData!$C$124),"")</f>
        <v>FC313</v>
      </c>
      <c r="D124" t="str">
        <f>IFERROR(IF(0=LEN(ReferenceData!$D$124),"",ReferenceData!$D$124),"")</f>
        <v>FDIC_C&amp;I_LOANS_NON-US</v>
      </c>
      <c r="E124" t="str">
        <f>IFERROR(IF(0=LEN(ReferenceData!$E$124),"",ReferenceData!$E$124),"")</f>
        <v>Dynamic</v>
      </c>
      <c r="F124">
        <f ca="1">IFERROR(IF(0=LEN(ReferenceData!$F$124),"",ReferenceData!$F$124),"")</f>
        <v>306.125</v>
      </c>
      <c r="G124">
        <f ca="1">IFERROR(IF(0=LEN(ReferenceData!$G$124),"",ReferenceData!$G$124),"")</f>
        <v>1792.8879999999999</v>
      </c>
      <c r="H124">
        <f ca="1">IFERROR(IF(0=LEN(ReferenceData!$H$124),"",ReferenceData!$H$124),"")</f>
        <v>1933.9179999999999</v>
      </c>
      <c r="I124">
        <f ca="1">IFERROR(IF(0=LEN(ReferenceData!$I$124),"",ReferenceData!$I$124),"")</f>
        <v>1451.116</v>
      </c>
      <c r="J124">
        <f ca="1">IFERROR(IF(0=LEN(ReferenceData!$J$124),"",ReferenceData!$J$124),"")</f>
        <v>1385.4</v>
      </c>
      <c r="K124">
        <f ca="1">IFERROR(IF(0=LEN(ReferenceData!$K$124),"",ReferenceData!$K$124),"")</f>
        <v>1091.7739999999999</v>
      </c>
      <c r="L124">
        <f ca="1">IFERROR(IF(0=LEN(ReferenceData!$L$124),"",ReferenceData!$L$124),"")</f>
        <v>1032.8130000000001</v>
      </c>
      <c r="M124">
        <f ca="1">IFERROR(IF(0=LEN(ReferenceData!$M$124),"",ReferenceData!$M$124),"")</f>
        <v>1080.2170000000001</v>
      </c>
      <c r="N124">
        <f ca="1">IFERROR(IF(0=LEN(ReferenceData!$N$124),"",ReferenceData!$N$124),"")</f>
        <v>1256.616</v>
      </c>
      <c r="O124">
        <f ca="1">IFERROR(IF(0=LEN(ReferenceData!$O$124),"",ReferenceData!$O$124),"")</f>
        <v>1041.7919999999999</v>
      </c>
      <c r="P124">
        <f ca="1">IFERROR(IF(0=LEN(ReferenceData!$P$124),"",ReferenceData!$P$124),"")</f>
        <v>685.86900000000003</v>
      </c>
      <c r="Q124">
        <f ca="1">IFERROR(IF(0=LEN(ReferenceData!$Q$124),"",ReferenceData!$Q$124),"")</f>
        <v>707.63599999999997</v>
      </c>
      <c r="R124">
        <f ca="1">IFERROR(IF(0=LEN(ReferenceData!$R$124),"",ReferenceData!$R$124),"")</f>
        <v>460.93700000000001</v>
      </c>
      <c r="S124">
        <f ca="1">IFERROR(IF(0=LEN(ReferenceData!$S$124),"",ReferenceData!$S$124),"")</f>
        <v>194.48</v>
      </c>
      <c r="T124">
        <f ca="1">IFERROR(IF(0=LEN(ReferenceData!$T$124),"",ReferenceData!$T$124),"")</f>
        <v>191.06100000000001</v>
      </c>
      <c r="U124">
        <f ca="1">IFERROR(IF(0=LEN(ReferenceData!$U$124),"",ReferenceData!$U$124),"")</f>
        <v>284.16199999999998</v>
      </c>
      <c r="V124">
        <f ca="1">IFERROR(IF(0=LEN(ReferenceData!$V$124),"",ReferenceData!$V$124),"")</f>
        <v>365.66699999999997</v>
      </c>
      <c r="W124">
        <f ca="1">IFERROR(IF(0=LEN(ReferenceData!$W$124),"",ReferenceData!$W$124),"")</f>
        <v>400.96800000000002</v>
      </c>
      <c r="X124">
        <f ca="1">IFERROR(IF(0=LEN(ReferenceData!$X$124),"",ReferenceData!$X$124),"")</f>
        <v>307.43799999999999</v>
      </c>
      <c r="Y124">
        <f ca="1">IFERROR(IF(0=LEN(ReferenceData!$Y$124),"",ReferenceData!$Y$124),"")</f>
        <v>123.262</v>
      </c>
      <c r="Z124">
        <f ca="1">IFERROR(IF(0=LEN(ReferenceData!$Z$124),"",ReferenceData!$Z$124),"")</f>
        <v>42.718000000000004</v>
      </c>
      <c r="AA124">
        <f ca="1">IFERROR(IF(0=LEN(ReferenceData!$AA$124),"",ReferenceData!$AA$124),"")</f>
        <v>91.72</v>
      </c>
      <c r="AB124">
        <f ca="1">IFERROR(IF(0=LEN(ReferenceData!$AB$124),"",ReferenceData!$AB$124),"")</f>
        <v>106.035</v>
      </c>
      <c r="AC124">
        <f ca="1">IFERROR(IF(0=LEN(ReferenceData!$AC$124),"",ReferenceData!$AC$124),"")</f>
        <v>137.28800000000001</v>
      </c>
      <c r="AD124">
        <f ca="1">IFERROR(IF(0=LEN(ReferenceData!$AD$124),"",ReferenceData!$AD$124),"")</f>
        <v>157.51900000000001</v>
      </c>
      <c r="AE124">
        <f ca="1">IFERROR(IF(0=LEN(ReferenceData!$AE$124),"",ReferenceData!$AE$124),"")</f>
        <v>146.292</v>
      </c>
      <c r="AF124">
        <f ca="1">IFERROR(IF(0=LEN(ReferenceData!$AF$124),"",ReferenceData!$AF$124),"")</f>
        <v>134.31800000000001</v>
      </c>
      <c r="AG124">
        <f ca="1">IFERROR(IF(0=LEN(ReferenceData!$AG$124),"",ReferenceData!$AG$124),"")</f>
        <v>116.15300000000001</v>
      </c>
      <c r="AH124">
        <f ca="1">IFERROR(IF(0=LEN(ReferenceData!$AH$124),"",ReferenceData!$AH$124),"")</f>
        <v>39.384999999999998</v>
      </c>
      <c r="AI124">
        <f ca="1">IFERROR(IF(0=LEN(ReferenceData!$AI$124),"",ReferenceData!$AI$124),"")</f>
        <v>27.510999999999999</v>
      </c>
      <c r="AJ124">
        <f ca="1">IFERROR(IF(0=LEN(ReferenceData!$AJ$124),"",ReferenceData!$AJ$124),"")</f>
        <v>20.079000000000001</v>
      </c>
      <c r="AK124">
        <f ca="1">IFERROR(IF(0=LEN(ReferenceData!$AK$124),"",ReferenceData!$AK$124),"")</f>
        <v>1.8959999999999999</v>
      </c>
      <c r="AL124">
        <f ca="1">IFERROR(IF(0=LEN(ReferenceData!$AL$124),"",ReferenceData!$AL$124),"")</f>
        <v>32.655000000000001</v>
      </c>
    </row>
    <row r="125" spans="1:38" x14ac:dyDescent="0.25">
      <c r="A125" t="str">
        <f>IFERROR(IF(0=LEN(ReferenceData!$A$125),"",ReferenceData!$A$125),"")</f>
        <v xml:space="preserve">        M&amp;T Bank Corp</v>
      </c>
      <c r="B125" t="str">
        <f>IFERROR(IF(0=LEN(ReferenceData!$B$125),"",ReferenceData!$B$125),"")</f>
        <v>MTB US Equity</v>
      </c>
      <c r="C125" t="str">
        <f>IFERROR(IF(0=LEN(ReferenceData!$C$125),"",ReferenceData!$C$125),"")</f>
        <v>FC313</v>
      </c>
      <c r="D125" t="str">
        <f>IFERROR(IF(0=LEN(ReferenceData!$D$125),"",ReferenceData!$D$125),"")</f>
        <v>FDIC_C&amp;I_LOANS_NON-US</v>
      </c>
      <c r="E125" t="str">
        <f>IFERROR(IF(0=LEN(ReferenceData!$E$125),"",ReferenceData!$E$125),"")</f>
        <v>Dynamic</v>
      </c>
      <c r="F125">
        <f ca="1">IFERROR(IF(0=LEN(ReferenceData!$F$125),"",ReferenceData!$F$125),"")</f>
        <v>71.186000000000007</v>
      </c>
      <c r="G125">
        <f ca="1">IFERROR(IF(0=LEN(ReferenceData!$G$125),"",ReferenceData!$G$125),"")</f>
        <v>48.201000000000001</v>
      </c>
      <c r="H125">
        <f ca="1">IFERROR(IF(0=LEN(ReferenceData!$H$125),"",ReferenceData!$H$125),"")</f>
        <v>72.313999999999993</v>
      </c>
      <c r="I125">
        <f ca="1">IFERROR(IF(0=LEN(ReferenceData!$I$125),"",ReferenceData!$I$125),"")</f>
        <v>38.174999999999997</v>
      </c>
      <c r="J125">
        <f ca="1">IFERROR(IF(0=LEN(ReferenceData!$J$125),"",ReferenceData!$J$125),"")</f>
        <v>49.287999999999997</v>
      </c>
      <c r="K125">
        <f ca="1">IFERROR(IF(0=LEN(ReferenceData!$K$125),"",ReferenceData!$K$125),"")</f>
        <v>92.290999999999997</v>
      </c>
      <c r="L125">
        <f ca="1">IFERROR(IF(0=LEN(ReferenceData!$L$125),"",ReferenceData!$L$125),"")</f>
        <v>108.726</v>
      </c>
      <c r="M125">
        <f ca="1">IFERROR(IF(0=LEN(ReferenceData!$M$125),"",ReferenceData!$M$125),"")</f>
        <v>76.543999999999997</v>
      </c>
      <c r="N125">
        <f ca="1">IFERROR(IF(0=LEN(ReferenceData!$N$125),"",ReferenceData!$N$125),"")</f>
        <v>227.51</v>
      </c>
      <c r="O125">
        <f ca="1">IFERROR(IF(0=LEN(ReferenceData!$O$125),"",ReferenceData!$O$125),"")</f>
        <v>191.11</v>
      </c>
      <c r="P125">
        <f ca="1">IFERROR(IF(0=LEN(ReferenceData!$P$125),"",ReferenceData!$P$125),"")</f>
        <v>167.13200000000001</v>
      </c>
      <c r="Q125">
        <f ca="1">IFERROR(IF(0=LEN(ReferenceData!$Q$125),"",ReferenceData!$Q$125),"")</f>
        <v>170.01300000000001</v>
      </c>
      <c r="R125">
        <f ca="1">IFERROR(IF(0=LEN(ReferenceData!$R$125),"",ReferenceData!$R$125),"")</f>
        <v>138.03800000000001</v>
      </c>
      <c r="S125">
        <f ca="1">IFERROR(IF(0=LEN(ReferenceData!$S$125),"",ReferenceData!$S$125),"")</f>
        <v>120.578</v>
      </c>
      <c r="T125">
        <f ca="1">IFERROR(IF(0=LEN(ReferenceData!$T$125),"",ReferenceData!$T$125),"")</f>
        <v>100.875</v>
      </c>
      <c r="U125">
        <f ca="1">IFERROR(IF(0=LEN(ReferenceData!$U$125),"",ReferenceData!$U$125),"")</f>
        <v>47.101999999999997</v>
      </c>
      <c r="V125">
        <f ca="1">IFERROR(IF(0=LEN(ReferenceData!$V$125),"",ReferenceData!$V$125),"")</f>
        <v>77.932000000000002</v>
      </c>
      <c r="W125">
        <f ca="1">IFERROR(IF(0=LEN(ReferenceData!$W$125),"",ReferenceData!$W$125),"")</f>
        <v>83.388999999999996</v>
      </c>
      <c r="X125">
        <f ca="1">IFERROR(IF(0=LEN(ReferenceData!$X$125),"",ReferenceData!$X$125),"")</f>
        <v>128.13399999999999</v>
      </c>
      <c r="Y125">
        <f ca="1">IFERROR(IF(0=LEN(ReferenceData!$Y$125),"",ReferenceData!$Y$125),"")</f>
        <v>145.74199999999999</v>
      </c>
      <c r="Z125">
        <f ca="1">IFERROR(IF(0=LEN(ReferenceData!$Z$125),"",ReferenceData!$Z$125),"")</f>
        <v>159.91</v>
      </c>
      <c r="AA125">
        <f ca="1">IFERROR(IF(0=LEN(ReferenceData!$AA$125),"",ReferenceData!$AA$125),"")</f>
        <v>199.66399999999999</v>
      </c>
      <c r="AB125">
        <f ca="1">IFERROR(IF(0=LEN(ReferenceData!$AB$125),"",ReferenceData!$AB$125),"")</f>
        <v>0</v>
      </c>
      <c r="AC125">
        <f ca="1">IFERROR(IF(0=LEN(ReferenceData!$AC$125),"",ReferenceData!$AC$125),"")</f>
        <v>0</v>
      </c>
      <c r="AD125">
        <f ca="1">IFERROR(IF(0=LEN(ReferenceData!$AD$125),"",ReferenceData!$AD$125),"")</f>
        <v>0</v>
      </c>
      <c r="AE125">
        <f ca="1">IFERROR(IF(0=LEN(ReferenceData!$AE$125),"",ReferenceData!$AE$125),"")</f>
        <v>4.7670000000000003</v>
      </c>
      <c r="AF125">
        <f ca="1">IFERROR(IF(0=LEN(ReferenceData!$AF$125),"",ReferenceData!$AF$125),"")</f>
        <v>25.248000000000001</v>
      </c>
      <c r="AG125">
        <f ca="1">IFERROR(IF(0=LEN(ReferenceData!$AG$125),"",ReferenceData!$AG$125),"")</f>
        <v>4.96</v>
      </c>
      <c r="AH125">
        <f ca="1">IFERROR(IF(0=LEN(ReferenceData!$AH$125),"",ReferenceData!$AH$125),"")</f>
        <v>1.6779999999999999</v>
      </c>
      <c r="AI125">
        <f ca="1">IFERROR(IF(0=LEN(ReferenceData!$AI$125),"",ReferenceData!$AI$125),"")</f>
        <v>1.0960000000000001</v>
      </c>
      <c r="AJ125">
        <f ca="1">IFERROR(IF(0=LEN(ReferenceData!$AJ$125),"",ReferenceData!$AJ$125),"")</f>
        <v>1.222</v>
      </c>
      <c r="AK125">
        <f ca="1">IFERROR(IF(0=LEN(ReferenceData!$AK$125),"",ReferenceData!$AK$125),"")</f>
        <v>1.391</v>
      </c>
      <c r="AL125">
        <f ca="1">IFERROR(IF(0=LEN(ReferenceData!$AL$125),"",ReferenceData!$AL$125),"")</f>
        <v>1.774</v>
      </c>
    </row>
    <row r="126" spans="1:38" x14ac:dyDescent="0.25">
      <c r="A126" t="str">
        <f>IFERROR(IF(0=LEN(ReferenceData!$A$126),"",ReferenceData!$A$126),"")</f>
        <v xml:space="preserve">        PNC Financial Services Group I</v>
      </c>
      <c r="B126" t="str">
        <f>IFERROR(IF(0=LEN(ReferenceData!$B$126),"",ReferenceData!$B$126),"")</f>
        <v>PNC US Equity</v>
      </c>
      <c r="C126" t="str">
        <f>IFERROR(IF(0=LEN(ReferenceData!$C$126),"",ReferenceData!$C$126),"")</f>
        <v>FC313</v>
      </c>
      <c r="D126" t="str">
        <f>IFERROR(IF(0=LEN(ReferenceData!$D$126),"",ReferenceData!$D$126),"")</f>
        <v>FDIC_C&amp;I_LOANS_NON-US</v>
      </c>
      <c r="E126" t="str">
        <f>IFERROR(IF(0=LEN(ReferenceData!$E$126),"",ReferenceData!$E$126),"")</f>
        <v>Dynamic</v>
      </c>
      <c r="F126" t="str">
        <f ca="1">IFERROR(IF(0=LEN(ReferenceData!$F$126),"",ReferenceData!$F$126),"")</f>
        <v/>
      </c>
      <c r="G126">
        <f ca="1">IFERROR(IF(0=LEN(ReferenceData!$G$126),"",ReferenceData!$G$126),"")</f>
        <v>10995.325000000001</v>
      </c>
      <c r="H126">
        <f ca="1">IFERROR(IF(0=LEN(ReferenceData!$H$126),"",ReferenceData!$H$126),"")</f>
        <v>11020.046</v>
      </c>
      <c r="I126">
        <f ca="1">IFERROR(IF(0=LEN(ReferenceData!$I$126),"",ReferenceData!$I$126),"")</f>
        <v>9055.2170000000006</v>
      </c>
      <c r="J126">
        <f ca="1">IFERROR(IF(0=LEN(ReferenceData!$J$126),"",ReferenceData!$J$126),"")</f>
        <v>7401.8360000000002</v>
      </c>
      <c r="K126">
        <f ca="1">IFERROR(IF(0=LEN(ReferenceData!$K$126),"",ReferenceData!$K$126),"")</f>
        <v>6735.8890000000001</v>
      </c>
      <c r="L126">
        <f ca="1">IFERROR(IF(0=LEN(ReferenceData!$L$126),"",ReferenceData!$L$126),"")</f>
        <v>5070.5119999999997</v>
      </c>
      <c r="M126">
        <f ca="1">IFERROR(IF(0=LEN(ReferenceData!$M$126),"",ReferenceData!$M$126),"")</f>
        <v>4181.4579999999996</v>
      </c>
      <c r="N126">
        <f ca="1">IFERROR(IF(0=LEN(ReferenceData!$N$126),"",ReferenceData!$N$126),"")</f>
        <v>3922.7269999999999</v>
      </c>
      <c r="O126">
        <f ca="1">IFERROR(IF(0=LEN(ReferenceData!$O$126),"",ReferenceData!$O$126),"")</f>
        <v>3733.886</v>
      </c>
      <c r="P126">
        <f ca="1">IFERROR(IF(0=LEN(ReferenceData!$P$126),"",ReferenceData!$P$126),"")</f>
        <v>2332.817</v>
      </c>
      <c r="Q126">
        <f ca="1">IFERROR(IF(0=LEN(ReferenceData!$Q$126),"",ReferenceData!$Q$126),"")</f>
        <v>2025.3589999999999</v>
      </c>
      <c r="R126">
        <f ca="1">IFERROR(IF(0=LEN(ReferenceData!$R$126),"",ReferenceData!$R$126),"")</f>
        <v>1790.05</v>
      </c>
      <c r="S126">
        <f ca="1">IFERROR(IF(0=LEN(ReferenceData!$S$126),"",ReferenceData!$S$126),"")</f>
        <v>1409.0509999999999</v>
      </c>
      <c r="T126">
        <f ca="1">IFERROR(IF(0=LEN(ReferenceData!$T$126),"",ReferenceData!$T$126),"")</f>
        <v>1031.8869999999999</v>
      </c>
      <c r="U126">
        <f ca="1">IFERROR(IF(0=LEN(ReferenceData!$U$126),"",ReferenceData!$U$126),"")</f>
        <v>938.85699999999997</v>
      </c>
      <c r="V126">
        <f ca="1">IFERROR(IF(0=LEN(ReferenceData!$V$126),"",ReferenceData!$V$126),"")</f>
        <v>739.62599999999998</v>
      </c>
      <c r="W126">
        <f ca="1">IFERROR(IF(0=LEN(ReferenceData!$W$126),"",ReferenceData!$W$126),"")</f>
        <v>239.36799999999999</v>
      </c>
      <c r="X126">
        <f ca="1">IFERROR(IF(0=LEN(ReferenceData!$X$126),"",ReferenceData!$X$126),"")</f>
        <v>211.458</v>
      </c>
      <c r="Y126">
        <f ca="1">IFERROR(IF(0=LEN(ReferenceData!$Y$126),"",ReferenceData!$Y$126),"")</f>
        <v>80.84</v>
      </c>
      <c r="Z126">
        <f ca="1">IFERROR(IF(0=LEN(ReferenceData!$Z$126),"",ReferenceData!$Z$126),"")</f>
        <v>67.603999999999999</v>
      </c>
      <c r="AA126">
        <f ca="1">IFERROR(IF(0=LEN(ReferenceData!$AA$126),"",ReferenceData!$AA$126),"")</f>
        <v>75.290000000000006</v>
      </c>
      <c r="AB126">
        <f ca="1">IFERROR(IF(0=LEN(ReferenceData!$AB$126),"",ReferenceData!$AB$126),"")</f>
        <v>79.244</v>
      </c>
      <c r="AC126">
        <f ca="1">IFERROR(IF(0=LEN(ReferenceData!$AC$126),"",ReferenceData!$AC$126),"")</f>
        <v>23.786999999999999</v>
      </c>
      <c r="AD126">
        <f ca="1">IFERROR(IF(0=LEN(ReferenceData!$AD$126),"",ReferenceData!$AD$126),"")</f>
        <v>95.296999999999997</v>
      </c>
      <c r="AE126">
        <f ca="1">IFERROR(IF(0=LEN(ReferenceData!$AE$126),"",ReferenceData!$AE$126),"")</f>
        <v>97.828999999999994</v>
      </c>
      <c r="AF126">
        <f ca="1">IFERROR(IF(0=LEN(ReferenceData!$AF$126),"",ReferenceData!$AF$126),"")</f>
        <v>100.07</v>
      </c>
      <c r="AG126">
        <f ca="1">IFERROR(IF(0=LEN(ReferenceData!$AG$126),"",ReferenceData!$AG$126),"")</f>
        <v>61.36</v>
      </c>
      <c r="AH126">
        <f ca="1">IFERROR(IF(0=LEN(ReferenceData!$AH$126),"",ReferenceData!$AH$126),"")</f>
        <v>84.748999999999995</v>
      </c>
      <c r="AI126">
        <f ca="1">IFERROR(IF(0=LEN(ReferenceData!$AI$126),"",ReferenceData!$AI$126),"")</f>
        <v>111.098</v>
      </c>
      <c r="AJ126">
        <f ca="1">IFERROR(IF(0=LEN(ReferenceData!$AJ$126),"",ReferenceData!$AJ$126),"")</f>
        <v>178.892</v>
      </c>
      <c r="AK126">
        <f ca="1">IFERROR(IF(0=LEN(ReferenceData!$AK$126),"",ReferenceData!$AK$126),"")</f>
        <v>146.74299999999999</v>
      </c>
      <c r="AL126">
        <f ca="1">IFERROR(IF(0=LEN(ReferenceData!$AL$126),"",ReferenceData!$AL$126),"")</f>
        <v>157.64400000000001</v>
      </c>
    </row>
    <row r="127" spans="1:38" x14ac:dyDescent="0.25">
      <c r="A127" t="str">
        <f>IFERROR(IF(0=LEN(ReferenceData!$A$127),"",ReferenceData!$A$127),"")</f>
        <v xml:space="preserve">        Regions Financial Corp</v>
      </c>
      <c r="B127" t="str">
        <f>IFERROR(IF(0=LEN(ReferenceData!$B$127),"",ReferenceData!$B$127),"")</f>
        <v>RF US Equity</v>
      </c>
      <c r="C127" t="str">
        <f>IFERROR(IF(0=LEN(ReferenceData!$C$127),"",ReferenceData!$C$127),"")</f>
        <v>FC313</v>
      </c>
      <c r="D127" t="str">
        <f>IFERROR(IF(0=LEN(ReferenceData!$D$127),"",ReferenceData!$D$127),"")</f>
        <v>FDIC_C&amp;I_LOANS_NON-US</v>
      </c>
      <c r="E127" t="str">
        <f>IFERROR(IF(0=LEN(ReferenceData!$E$127),"",ReferenceData!$E$127),"")</f>
        <v>Dynamic</v>
      </c>
      <c r="F127" t="str">
        <f ca="1">IFERROR(IF(0=LEN(ReferenceData!$F$127),"",ReferenceData!$F$127),"")</f>
        <v/>
      </c>
      <c r="G127">
        <f ca="1">IFERROR(IF(0=LEN(ReferenceData!$G$127),"",ReferenceData!$G$127),"")</f>
        <v>635</v>
      </c>
      <c r="H127">
        <f ca="1">IFERROR(IF(0=LEN(ReferenceData!$H$127),"",ReferenceData!$H$127),"")</f>
        <v>517</v>
      </c>
      <c r="I127">
        <f ca="1">IFERROR(IF(0=LEN(ReferenceData!$I$127),"",ReferenceData!$I$127),"")</f>
        <v>689</v>
      </c>
      <c r="J127">
        <f ca="1">IFERROR(IF(0=LEN(ReferenceData!$J$127),"",ReferenceData!$J$127),"")</f>
        <v>110</v>
      </c>
      <c r="K127">
        <f ca="1">IFERROR(IF(0=LEN(ReferenceData!$K$127),"",ReferenceData!$K$127),"")</f>
        <v>205</v>
      </c>
      <c r="L127">
        <f ca="1">IFERROR(IF(0=LEN(ReferenceData!$L$127),"",ReferenceData!$L$127),"")</f>
        <v>180.483</v>
      </c>
      <c r="M127">
        <f ca="1">IFERROR(IF(0=LEN(ReferenceData!$M$127),"",ReferenceData!$M$127),"")</f>
        <v>148.28899999999999</v>
      </c>
      <c r="N127">
        <f ca="1">IFERROR(IF(0=LEN(ReferenceData!$N$127),"",ReferenceData!$N$127),"")</f>
        <v>36.156999999999996</v>
      </c>
      <c r="O127">
        <f ca="1">IFERROR(IF(0=LEN(ReferenceData!$O$127),"",ReferenceData!$O$127),"")</f>
        <v>103.095</v>
      </c>
      <c r="P127">
        <f ca="1">IFERROR(IF(0=LEN(ReferenceData!$P$127),"",ReferenceData!$P$127),"")</f>
        <v>100.39700000000001</v>
      </c>
      <c r="Q127">
        <f ca="1">IFERROR(IF(0=LEN(ReferenceData!$Q$127),"",ReferenceData!$Q$127),"")</f>
        <v>52.268000000000001</v>
      </c>
      <c r="R127">
        <f ca="1">IFERROR(IF(0=LEN(ReferenceData!$R$127),"",ReferenceData!$R$127),"")</f>
        <v>71.150999999999996</v>
      </c>
      <c r="S127">
        <f ca="1">IFERROR(IF(0=LEN(ReferenceData!$S$127),"",ReferenceData!$S$127),"")</f>
        <v>69.849000000000004</v>
      </c>
      <c r="T127">
        <f ca="1">IFERROR(IF(0=LEN(ReferenceData!$T$127),"",ReferenceData!$T$127),"")</f>
        <v>6.8339999999999996</v>
      </c>
      <c r="U127">
        <f ca="1">IFERROR(IF(0=LEN(ReferenceData!$U$127),"",ReferenceData!$U$127),"")</f>
        <v>24.28</v>
      </c>
      <c r="V127">
        <f ca="1">IFERROR(IF(0=LEN(ReferenceData!$V$127),"",ReferenceData!$V$127),"")</f>
        <v>30.338999999999999</v>
      </c>
      <c r="W127">
        <f ca="1">IFERROR(IF(0=LEN(ReferenceData!$W$127),"",ReferenceData!$W$127),"")</f>
        <v>42.664999999999999</v>
      </c>
      <c r="X127">
        <f ca="1">IFERROR(IF(0=LEN(ReferenceData!$X$127),"",ReferenceData!$X$127),"")</f>
        <v>43.966000000000001</v>
      </c>
      <c r="Y127">
        <f ca="1">IFERROR(IF(0=LEN(ReferenceData!$Y$127),"",ReferenceData!$Y$127),"")</f>
        <v>35.344999999999999</v>
      </c>
      <c r="Z127">
        <f ca="1">IFERROR(IF(0=LEN(ReferenceData!$Z$127),"",ReferenceData!$Z$127),"")</f>
        <v>41.487000000000002</v>
      </c>
      <c r="AA127" t="str">
        <f ca="1">IFERROR(IF(0=LEN(ReferenceData!$AA$127),"",ReferenceData!$AA$127),"")</f>
        <v/>
      </c>
      <c r="AB127" t="str">
        <f ca="1">IFERROR(IF(0=LEN(ReferenceData!$AB$127),"",ReferenceData!$AB$127),"")</f>
        <v/>
      </c>
      <c r="AC127" t="str">
        <f ca="1">IFERROR(IF(0=LEN(ReferenceData!$AC$127),"",ReferenceData!$AC$127),"")</f>
        <v/>
      </c>
      <c r="AD127" t="str">
        <f ca="1">IFERROR(IF(0=LEN(ReferenceData!$AD$127),"",ReferenceData!$AD$127),"")</f>
        <v/>
      </c>
      <c r="AE127" t="str">
        <f ca="1">IFERROR(IF(0=LEN(ReferenceData!$AE$127),"",ReferenceData!$AE$127),"")</f>
        <v/>
      </c>
      <c r="AF127" t="str">
        <f ca="1">IFERROR(IF(0=LEN(ReferenceData!$AF$127),"",ReferenceData!$AF$127),"")</f>
        <v/>
      </c>
      <c r="AG127" t="str">
        <f ca="1">IFERROR(IF(0=LEN(ReferenceData!$AG$127),"",ReferenceData!$AG$127),"")</f>
        <v/>
      </c>
      <c r="AH127" t="str">
        <f ca="1">IFERROR(IF(0=LEN(ReferenceData!$AH$127),"",ReferenceData!$AH$127),"")</f>
        <v/>
      </c>
      <c r="AI127" t="str">
        <f ca="1">IFERROR(IF(0=LEN(ReferenceData!$AI$127),"",ReferenceData!$AI$127),"")</f>
        <v/>
      </c>
      <c r="AJ127" t="str">
        <f ca="1">IFERROR(IF(0=LEN(ReferenceData!$AJ$127),"",ReferenceData!$AJ$127),"")</f>
        <v/>
      </c>
      <c r="AK127" t="str">
        <f ca="1">IFERROR(IF(0=LEN(ReferenceData!$AK$127),"",ReferenceData!$AK$127),"")</f>
        <v/>
      </c>
      <c r="AL127" t="str">
        <f ca="1">IFERROR(IF(0=LEN(ReferenceData!$AL$127),"",ReferenceData!$AL$127),"")</f>
        <v/>
      </c>
    </row>
    <row r="128" spans="1:38" x14ac:dyDescent="0.25">
      <c r="A128" t="str">
        <f>IFERROR(IF(0=LEN(ReferenceData!$A$128),"",ReferenceData!$A$128),"")</f>
        <v xml:space="preserve">        Truist Financial Corp</v>
      </c>
      <c r="B128" t="str">
        <f>IFERROR(IF(0=LEN(ReferenceData!$B$128),"",ReferenceData!$B$128),"")</f>
        <v>TFC US Equity</v>
      </c>
      <c r="C128" t="str">
        <f>IFERROR(IF(0=LEN(ReferenceData!$C$128),"",ReferenceData!$C$128),"")</f>
        <v>FC313</v>
      </c>
      <c r="D128" t="str">
        <f>IFERROR(IF(0=LEN(ReferenceData!$D$128),"",ReferenceData!$D$128),"")</f>
        <v>FDIC_C&amp;I_LOANS_NON-US</v>
      </c>
      <c r="E128" t="str">
        <f>IFERROR(IF(0=LEN(ReferenceData!$E$128),"",ReferenceData!$E$128),"")</f>
        <v>Dynamic</v>
      </c>
      <c r="F128">
        <f ca="1">IFERROR(IF(0=LEN(ReferenceData!$F$128),"",ReferenceData!$F$128),"")</f>
        <v>2388</v>
      </c>
      <c r="G128">
        <f ca="1">IFERROR(IF(0=LEN(ReferenceData!$G$128),"",ReferenceData!$G$128),"")</f>
        <v>1069</v>
      </c>
      <c r="H128">
        <f ca="1">IFERROR(IF(0=LEN(ReferenceData!$H$128),"",ReferenceData!$H$128),"")</f>
        <v>1360</v>
      </c>
      <c r="I128">
        <f ca="1">IFERROR(IF(0=LEN(ReferenceData!$I$128),"",ReferenceData!$I$128),"")</f>
        <v>2191</v>
      </c>
      <c r="J128">
        <f ca="1">IFERROR(IF(0=LEN(ReferenceData!$J$128),"",ReferenceData!$J$128),"")</f>
        <v>1913</v>
      </c>
      <c r="K128">
        <f ca="1">IFERROR(IF(0=LEN(ReferenceData!$K$128),"",ReferenceData!$K$128),"")</f>
        <v>1867</v>
      </c>
      <c r="L128">
        <f ca="1">IFERROR(IF(0=LEN(ReferenceData!$L$128),"",ReferenceData!$L$128),"")</f>
        <v>693</v>
      </c>
      <c r="M128">
        <f ca="1">IFERROR(IF(0=LEN(ReferenceData!$M$128),"",ReferenceData!$M$128),"")</f>
        <v>534</v>
      </c>
      <c r="N128">
        <f ca="1">IFERROR(IF(0=LEN(ReferenceData!$N$128),"",ReferenceData!$N$128),"")</f>
        <v>394.18099999999998</v>
      </c>
      <c r="O128">
        <f ca="1">IFERROR(IF(0=LEN(ReferenceData!$O$128),"",ReferenceData!$O$128),"")</f>
        <v>363.32100000000003</v>
      </c>
      <c r="P128">
        <f ca="1">IFERROR(IF(0=LEN(ReferenceData!$P$128),"",ReferenceData!$P$128),"")</f>
        <v>397.47899999999998</v>
      </c>
      <c r="Q128">
        <f ca="1">IFERROR(IF(0=LEN(ReferenceData!$Q$128),"",ReferenceData!$Q$128),"")</f>
        <v>392.935</v>
      </c>
      <c r="R128">
        <f ca="1">IFERROR(IF(0=LEN(ReferenceData!$R$128),"",ReferenceData!$R$128),"")</f>
        <v>400.786</v>
      </c>
      <c r="S128">
        <f ca="1">IFERROR(IF(0=LEN(ReferenceData!$S$128),"",ReferenceData!$S$128),"")</f>
        <v>318.04399999999998</v>
      </c>
      <c r="T128">
        <f ca="1">IFERROR(IF(0=LEN(ReferenceData!$T$128),"",ReferenceData!$T$128),"")</f>
        <v>262.93400000000003</v>
      </c>
      <c r="U128">
        <f ca="1">IFERROR(IF(0=LEN(ReferenceData!$U$128),"",ReferenceData!$U$128),"")</f>
        <v>252.006</v>
      </c>
      <c r="V128">
        <f ca="1">IFERROR(IF(0=LEN(ReferenceData!$V$128),"",ReferenceData!$V$128),"")</f>
        <v>188.28899999999999</v>
      </c>
      <c r="W128">
        <f ca="1">IFERROR(IF(0=LEN(ReferenceData!$W$128),"",ReferenceData!$W$128),"")</f>
        <v>211.16800000000001</v>
      </c>
      <c r="X128">
        <f ca="1">IFERROR(IF(0=LEN(ReferenceData!$X$128),"",ReferenceData!$X$128),"")</f>
        <v>0</v>
      </c>
      <c r="Y128">
        <f ca="1">IFERROR(IF(0=LEN(ReferenceData!$Y$128),"",ReferenceData!$Y$128),"")</f>
        <v>0</v>
      </c>
      <c r="Z128">
        <f ca="1">IFERROR(IF(0=LEN(ReferenceData!$Z$128),"",ReferenceData!$Z$128),"")</f>
        <v>0</v>
      </c>
      <c r="AA128">
        <f ca="1">IFERROR(IF(0=LEN(ReferenceData!$AA$128),"",ReferenceData!$AA$128),"")</f>
        <v>0</v>
      </c>
      <c r="AB128">
        <f ca="1">IFERROR(IF(0=LEN(ReferenceData!$AB$128),"",ReferenceData!$AB$128),"")</f>
        <v>0</v>
      </c>
      <c r="AC128">
        <f ca="1">IFERROR(IF(0=LEN(ReferenceData!$AC$128),"",ReferenceData!$AC$128),"")</f>
        <v>0</v>
      </c>
      <c r="AD128">
        <f ca="1">IFERROR(IF(0=LEN(ReferenceData!$AD$128),"",ReferenceData!$AD$128),"")</f>
        <v>0</v>
      </c>
      <c r="AE128">
        <f ca="1">IFERROR(IF(0=LEN(ReferenceData!$AE$128),"",ReferenceData!$AE$128),"")</f>
        <v>0</v>
      </c>
      <c r="AF128">
        <f ca="1">IFERROR(IF(0=LEN(ReferenceData!$AF$128),"",ReferenceData!$AF$128),"")</f>
        <v>0</v>
      </c>
      <c r="AG128">
        <f ca="1">IFERROR(IF(0=LEN(ReferenceData!$AG$128),"",ReferenceData!$AG$128),"")</f>
        <v>0</v>
      </c>
      <c r="AH128">
        <f ca="1">IFERROR(IF(0=LEN(ReferenceData!$AH$128),"",ReferenceData!$AH$128),"")</f>
        <v>0</v>
      </c>
      <c r="AI128">
        <f ca="1">IFERROR(IF(0=LEN(ReferenceData!$AI$128),"",ReferenceData!$AI$128),"")</f>
        <v>0</v>
      </c>
      <c r="AJ128">
        <f ca="1">IFERROR(IF(0=LEN(ReferenceData!$AJ$128),"",ReferenceData!$AJ$128),"")</f>
        <v>0</v>
      </c>
      <c r="AK128">
        <f ca="1">IFERROR(IF(0=LEN(ReferenceData!$AK$128),"",ReferenceData!$AK$128),"")</f>
        <v>0</v>
      </c>
      <c r="AL128">
        <f ca="1">IFERROR(IF(0=LEN(ReferenceData!$AL$128),"",ReferenceData!$AL$128),"")</f>
        <v>0</v>
      </c>
    </row>
    <row r="129" spans="1:38" x14ac:dyDescent="0.25">
      <c r="A129" t="str">
        <f>IFERROR(IF(0=LEN(ReferenceData!$A$129),"",ReferenceData!$A$129),"")</f>
        <v xml:space="preserve">        US Bancorp</v>
      </c>
      <c r="B129" t="str">
        <f>IFERROR(IF(0=LEN(ReferenceData!$B$129),"",ReferenceData!$B$129),"")</f>
        <v>USB US Equity</v>
      </c>
      <c r="C129" t="str">
        <f>IFERROR(IF(0=LEN(ReferenceData!$C$129),"",ReferenceData!$C$129),"")</f>
        <v>FC313</v>
      </c>
      <c r="D129" t="str">
        <f>IFERROR(IF(0=LEN(ReferenceData!$D$129),"",ReferenceData!$D$129),"")</f>
        <v>FDIC_C&amp;I_LOANS_NON-US</v>
      </c>
      <c r="E129" t="str">
        <f>IFERROR(IF(0=LEN(ReferenceData!$E$129),"",ReferenceData!$E$129),"")</f>
        <v>Dynamic</v>
      </c>
      <c r="F129">
        <f ca="1">IFERROR(IF(0=LEN(ReferenceData!$F$129),"",ReferenceData!$F$129),"")</f>
        <v>2198</v>
      </c>
      <c r="G129">
        <f ca="1">IFERROR(IF(0=LEN(ReferenceData!$G$129),"",ReferenceData!$G$129),"")</f>
        <v>1839</v>
      </c>
      <c r="H129">
        <f ca="1">IFERROR(IF(0=LEN(ReferenceData!$H$129),"",ReferenceData!$H$129),"")</f>
        <v>1712</v>
      </c>
      <c r="I129">
        <f ca="1">IFERROR(IF(0=LEN(ReferenceData!$I$129),"",ReferenceData!$I$129),"")</f>
        <v>1058</v>
      </c>
      <c r="J129">
        <f ca="1">IFERROR(IF(0=LEN(ReferenceData!$J$129),"",ReferenceData!$J$129),"")</f>
        <v>731</v>
      </c>
      <c r="K129">
        <f ca="1">IFERROR(IF(0=LEN(ReferenceData!$K$129),"",ReferenceData!$K$129),"")</f>
        <v>1080</v>
      </c>
      <c r="L129">
        <f ca="1">IFERROR(IF(0=LEN(ReferenceData!$L$129),"",ReferenceData!$L$129),"")</f>
        <v>1030</v>
      </c>
      <c r="M129">
        <f ca="1">IFERROR(IF(0=LEN(ReferenceData!$M$129),"",ReferenceData!$M$129),"")</f>
        <v>825</v>
      </c>
      <c r="N129">
        <f ca="1">IFERROR(IF(0=LEN(ReferenceData!$N$129),"",ReferenceData!$N$129),"")</f>
        <v>998</v>
      </c>
      <c r="O129">
        <f ca="1">IFERROR(IF(0=LEN(ReferenceData!$O$129),"",ReferenceData!$O$129),"")</f>
        <v>826</v>
      </c>
      <c r="P129">
        <f ca="1">IFERROR(IF(0=LEN(ReferenceData!$P$129),"",ReferenceData!$P$129),"")</f>
        <v>1045</v>
      </c>
      <c r="Q129">
        <f ca="1">IFERROR(IF(0=LEN(ReferenceData!$Q$129),"",ReferenceData!$Q$129),"")</f>
        <v>862</v>
      </c>
      <c r="R129">
        <f ca="1">IFERROR(IF(0=LEN(ReferenceData!$R$129),"",ReferenceData!$R$129),"")</f>
        <v>932</v>
      </c>
      <c r="S129">
        <f ca="1">IFERROR(IF(0=LEN(ReferenceData!$S$129),"",ReferenceData!$S$129),"")</f>
        <v>587</v>
      </c>
      <c r="T129">
        <f ca="1">IFERROR(IF(0=LEN(ReferenceData!$T$129),"",ReferenceData!$T$129),"")</f>
        <v>558</v>
      </c>
      <c r="U129">
        <f ca="1">IFERROR(IF(0=LEN(ReferenceData!$U$129),"",ReferenceData!$U$129),"")</f>
        <v>517</v>
      </c>
      <c r="V129">
        <f ca="1">IFERROR(IF(0=LEN(ReferenceData!$V$129),"",ReferenceData!$V$129),"")</f>
        <v>663</v>
      </c>
      <c r="W129">
        <f ca="1">IFERROR(IF(0=LEN(ReferenceData!$W$129),"",ReferenceData!$W$129),"")</f>
        <v>555</v>
      </c>
      <c r="X129">
        <f ca="1">IFERROR(IF(0=LEN(ReferenceData!$X$129),"",ReferenceData!$X$129),"")</f>
        <v>511</v>
      </c>
      <c r="Y129">
        <f ca="1">IFERROR(IF(0=LEN(ReferenceData!$Y$129),"",ReferenceData!$Y$129),"")</f>
        <v>433</v>
      </c>
      <c r="Z129">
        <f ca="1">IFERROR(IF(0=LEN(ReferenceData!$Z$129),"",ReferenceData!$Z$129),"")</f>
        <v>244</v>
      </c>
      <c r="AA129">
        <f ca="1">IFERROR(IF(0=LEN(ReferenceData!$AA$129),"",ReferenceData!$AA$129),"")</f>
        <v>168</v>
      </c>
      <c r="AB129">
        <f ca="1">IFERROR(IF(0=LEN(ReferenceData!$AB$129),"",ReferenceData!$AB$129),"")</f>
        <v>170</v>
      </c>
      <c r="AC129">
        <f ca="1">IFERROR(IF(0=LEN(ReferenceData!$AC$129),"",ReferenceData!$AC$129),"")</f>
        <v>132</v>
      </c>
      <c r="AD129">
        <f ca="1">IFERROR(IF(0=LEN(ReferenceData!$AD$129),"",ReferenceData!$AD$129),"")</f>
        <v>144.578</v>
      </c>
      <c r="AE129">
        <f ca="1">IFERROR(IF(0=LEN(ReferenceData!$AE$129),"",ReferenceData!$AE$129),"")</f>
        <v>91.531000000000006</v>
      </c>
      <c r="AF129">
        <f ca="1">IFERROR(IF(0=LEN(ReferenceData!$AF$129),"",ReferenceData!$AF$129),"")</f>
        <v>48.871000000000002</v>
      </c>
      <c r="AG129">
        <f ca="1">IFERROR(IF(0=LEN(ReferenceData!$AG$129),"",ReferenceData!$AG$129),"")</f>
        <v>60.628999999999998</v>
      </c>
      <c r="AH129">
        <f ca="1">IFERROR(IF(0=LEN(ReferenceData!$AH$129),"",ReferenceData!$AH$129),"")</f>
        <v>32.003999999999998</v>
      </c>
      <c r="AI129">
        <f ca="1">IFERROR(IF(0=LEN(ReferenceData!$AI$129),"",ReferenceData!$AI$129),"")</f>
        <v>1.96</v>
      </c>
      <c r="AJ129">
        <f ca="1">IFERROR(IF(0=LEN(ReferenceData!$AJ$129),"",ReferenceData!$AJ$129),"")</f>
        <v>3.3959999999999999</v>
      </c>
      <c r="AK129">
        <f ca="1">IFERROR(IF(0=LEN(ReferenceData!$AK$129),"",ReferenceData!$AK$129),"")</f>
        <v>1.2689999999999999</v>
      </c>
      <c r="AL129">
        <f ca="1">IFERROR(IF(0=LEN(ReferenceData!$AL$129),"",ReferenceData!$AL$129),"")</f>
        <v>5.63</v>
      </c>
    </row>
    <row r="130" spans="1:38" x14ac:dyDescent="0.25">
      <c r="A130" t="str">
        <f>IFERROR(IF(0=LEN(ReferenceData!$A$130),"",ReferenceData!$A$130),"")</f>
        <v xml:space="preserve">        Wells Fargo &amp; Co</v>
      </c>
      <c r="B130" t="str">
        <f>IFERROR(IF(0=LEN(ReferenceData!$B$130),"",ReferenceData!$B$130),"")</f>
        <v>WFC US Equity</v>
      </c>
      <c r="C130" t="str">
        <f>IFERROR(IF(0=LEN(ReferenceData!$C$130),"",ReferenceData!$C$130),"")</f>
        <v>FC313</v>
      </c>
      <c r="D130" t="str">
        <f>IFERROR(IF(0=LEN(ReferenceData!$D$130),"",ReferenceData!$D$130),"")</f>
        <v>FDIC_C&amp;I_LOANS_NON-US</v>
      </c>
      <c r="E130" t="str">
        <f>IFERROR(IF(0=LEN(ReferenceData!$E$130),"",ReferenceData!$E$130),"")</f>
        <v>Dynamic</v>
      </c>
      <c r="F130">
        <f ca="1">IFERROR(IF(0=LEN(ReferenceData!$F$130),"",ReferenceData!$F$130),"")</f>
        <v>17462</v>
      </c>
      <c r="G130">
        <f ca="1">IFERROR(IF(0=LEN(ReferenceData!$G$130),"",ReferenceData!$G$130),"")</f>
        <v>19203</v>
      </c>
      <c r="H130">
        <f ca="1">IFERROR(IF(0=LEN(ReferenceData!$H$130),"",ReferenceData!$H$130),"")</f>
        <v>17605</v>
      </c>
      <c r="I130">
        <f ca="1">IFERROR(IF(0=LEN(ReferenceData!$I$130),"",ReferenceData!$I$130),"")</f>
        <v>13524</v>
      </c>
      <c r="J130">
        <f ca="1">IFERROR(IF(0=LEN(ReferenceData!$J$130),"",ReferenceData!$J$130),"")</f>
        <v>14058</v>
      </c>
      <c r="K130">
        <f ca="1">IFERROR(IF(0=LEN(ReferenceData!$K$130),"",ReferenceData!$K$130),"")</f>
        <v>16866</v>
      </c>
      <c r="L130">
        <f ca="1">IFERROR(IF(0=LEN(ReferenceData!$L$130),"",ReferenceData!$L$130),"")</f>
        <v>17658</v>
      </c>
      <c r="M130">
        <f ca="1">IFERROR(IF(0=LEN(ReferenceData!$M$130),"",ReferenceData!$M$130),"")</f>
        <v>16989</v>
      </c>
      <c r="N130">
        <f ca="1">IFERROR(IF(0=LEN(ReferenceData!$N$130),"",ReferenceData!$N$130),"")</f>
        <v>17185</v>
      </c>
      <c r="O130">
        <f ca="1">IFERROR(IF(0=LEN(ReferenceData!$O$130),"",ReferenceData!$O$130),"")</f>
        <v>9607</v>
      </c>
      <c r="P130">
        <f ca="1">IFERROR(IF(0=LEN(ReferenceData!$P$130),"",ReferenceData!$P$130),"")</f>
        <v>9112</v>
      </c>
      <c r="Q130">
        <f ca="1">IFERROR(IF(0=LEN(ReferenceData!$Q$130),"",ReferenceData!$Q$130),"")</f>
        <v>6439</v>
      </c>
      <c r="R130">
        <f ca="1">IFERROR(IF(0=LEN(ReferenceData!$R$130),"",ReferenceData!$R$130),"")</f>
        <v>7144</v>
      </c>
      <c r="S130">
        <f ca="1">IFERROR(IF(0=LEN(ReferenceData!$S$130),"",ReferenceData!$S$130),"")</f>
        <v>5896</v>
      </c>
      <c r="T130">
        <f ca="1">IFERROR(IF(0=LEN(ReferenceData!$T$130),"",ReferenceData!$T$130),"")</f>
        <v>4783</v>
      </c>
      <c r="U130">
        <f ca="1">IFERROR(IF(0=LEN(ReferenceData!$U$130),"",ReferenceData!$U$130),"")</f>
        <v>8060</v>
      </c>
      <c r="V130">
        <f ca="1">IFERROR(IF(0=LEN(ReferenceData!$V$130),"",ReferenceData!$V$130),"")</f>
        <v>9870</v>
      </c>
      <c r="W130">
        <f ca="1">IFERROR(IF(0=LEN(ReferenceData!$W$130),"",ReferenceData!$W$130),"")</f>
        <v>1941</v>
      </c>
      <c r="X130">
        <f ca="1">IFERROR(IF(0=LEN(ReferenceData!$X$130),"",ReferenceData!$X$130),"")</f>
        <v>1335</v>
      </c>
      <c r="Y130">
        <f ca="1">IFERROR(IF(0=LEN(ReferenceData!$Y$130),"",ReferenceData!$Y$130),"")</f>
        <v>763</v>
      </c>
      <c r="Z130">
        <f ca="1">IFERROR(IF(0=LEN(ReferenceData!$Z$130),"",ReferenceData!$Z$130),"")</f>
        <v>492</v>
      </c>
      <c r="AA130">
        <f ca="1">IFERROR(IF(0=LEN(ReferenceData!$AA$130),"",ReferenceData!$AA$130),"")</f>
        <v>278</v>
      </c>
      <c r="AB130">
        <f ca="1">IFERROR(IF(0=LEN(ReferenceData!$AB$130),"",ReferenceData!$AB$130),"")</f>
        <v>54</v>
      </c>
      <c r="AC130">
        <f ca="1">IFERROR(IF(0=LEN(ReferenceData!$AC$130),"",ReferenceData!$AC$130),"")</f>
        <v>42</v>
      </c>
      <c r="AD130">
        <f ca="1">IFERROR(IF(0=LEN(ReferenceData!$AD$130),"",ReferenceData!$AD$130),"")</f>
        <v>218.53100000000001</v>
      </c>
      <c r="AE130">
        <f ca="1">IFERROR(IF(0=LEN(ReferenceData!$AE$130),"",ReferenceData!$AE$130),"")</f>
        <v>276.00700000000001</v>
      </c>
      <c r="AF130">
        <f ca="1">IFERROR(IF(0=LEN(ReferenceData!$AF$130),"",ReferenceData!$AF$130),"")</f>
        <v>160.52799999999999</v>
      </c>
      <c r="AG130">
        <f ca="1">IFERROR(IF(0=LEN(ReferenceData!$AG$130),"",ReferenceData!$AG$130),"")</f>
        <v>108.64</v>
      </c>
      <c r="AH130">
        <f ca="1">IFERROR(IF(0=LEN(ReferenceData!$AH$130),"",ReferenceData!$AH$130),"")</f>
        <v>96.637</v>
      </c>
      <c r="AI130">
        <f ca="1">IFERROR(IF(0=LEN(ReferenceData!$AI$130),"",ReferenceData!$AI$130),"")</f>
        <v>84.724000000000004</v>
      </c>
      <c r="AJ130">
        <f ca="1">IFERROR(IF(0=LEN(ReferenceData!$AJ$130),"",ReferenceData!$AJ$130),"")</f>
        <v>28.405999999999999</v>
      </c>
      <c r="AK130">
        <f ca="1">IFERROR(IF(0=LEN(ReferenceData!$AK$130),"",ReferenceData!$AK$130),"")</f>
        <v>12.619</v>
      </c>
      <c r="AL130">
        <f ca="1">IFERROR(IF(0=LEN(ReferenceData!$AL$130),"",ReferenceData!$AL$130),"")</f>
        <v>19.309999999999999</v>
      </c>
    </row>
    <row r="131" spans="1:38" x14ac:dyDescent="0.25">
      <c r="A131" t="str">
        <f>IFERROR(IF(0=LEN(ReferenceData!$A$131),"",ReferenceData!$A$131),"")</f>
        <v xml:space="preserve">        Western Alliance Bancorp</v>
      </c>
      <c r="B131" t="str">
        <f>IFERROR(IF(0=LEN(ReferenceData!$B$131),"",ReferenceData!$B$131),"")</f>
        <v>WAL US Equity</v>
      </c>
      <c r="C131" t="str">
        <f>IFERROR(IF(0=LEN(ReferenceData!$C$131),"",ReferenceData!$C$131),"")</f>
        <v>FC313</v>
      </c>
      <c r="D131" t="str">
        <f>IFERROR(IF(0=LEN(ReferenceData!$D$131),"",ReferenceData!$D$131),"")</f>
        <v>FDIC_C&amp;I_LOANS_NON-US</v>
      </c>
      <c r="E131" t="str">
        <f>IFERROR(IF(0=LEN(ReferenceData!$E$131),"",ReferenceData!$E$131),"")</f>
        <v>Dynamic</v>
      </c>
      <c r="F131">
        <f ca="1">IFERROR(IF(0=LEN(ReferenceData!$F$131),"",ReferenceData!$F$131),"")</f>
        <v>107.81399999999999</v>
      </c>
      <c r="G131">
        <f ca="1">IFERROR(IF(0=LEN(ReferenceData!$G$131),"",ReferenceData!$G$131),"")</f>
        <v>63.743000000000002</v>
      </c>
      <c r="H131">
        <f ca="1">IFERROR(IF(0=LEN(ReferenceData!$H$131),"",ReferenceData!$H$131),"")</f>
        <v>363.35300000000001</v>
      </c>
      <c r="I131">
        <f ca="1">IFERROR(IF(0=LEN(ReferenceData!$I$131),"",ReferenceData!$I$131),"")</f>
        <v>202.489</v>
      </c>
      <c r="J131">
        <f ca="1">IFERROR(IF(0=LEN(ReferenceData!$J$131),"",ReferenceData!$J$131),"")</f>
        <v>276.77</v>
      </c>
      <c r="K131">
        <f ca="1">IFERROR(IF(0=LEN(ReferenceData!$K$131),"",ReferenceData!$K$131),"")</f>
        <v>140.785</v>
      </c>
      <c r="L131">
        <f ca="1">IFERROR(IF(0=LEN(ReferenceData!$L$131),"",ReferenceData!$L$131),"")</f>
        <v>74.522000000000006</v>
      </c>
      <c r="M131">
        <f ca="1">IFERROR(IF(0=LEN(ReferenceData!$M$131),"",ReferenceData!$M$131),"")</f>
        <v>67.126000000000005</v>
      </c>
      <c r="N131">
        <f ca="1">IFERROR(IF(0=LEN(ReferenceData!$N$131),"",ReferenceData!$N$131),"")</f>
        <v>21.701000000000001</v>
      </c>
      <c r="O131">
        <f ca="1">IFERROR(IF(0=LEN(ReferenceData!$O$131),"",ReferenceData!$O$131),"")</f>
        <v>54.488999999999997</v>
      </c>
      <c r="P131">
        <f ca="1">IFERROR(IF(0=LEN(ReferenceData!$P$131),"",ReferenceData!$P$131),"")</f>
        <v>28.256</v>
      </c>
      <c r="Q131">
        <f ca="1">IFERROR(IF(0=LEN(ReferenceData!$Q$131),"",ReferenceData!$Q$131),"")</f>
        <v>15.102</v>
      </c>
      <c r="R131">
        <f ca="1">IFERROR(IF(0=LEN(ReferenceData!$R$131),"",ReferenceData!$R$131),"")</f>
        <v>0</v>
      </c>
      <c r="S131">
        <f ca="1">IFERROR(IF(0=LEN(ReferenceData!$S$131),"",ReferenceData!$S$131),"")</f>
        <v>0</v>
      </c>
      <c r="T131">
        <f ca="1">IFERROR(IF(0=LEN(ReferenceData!$T$131),"",ReferenceData!$T$131),"")</f>
        <v>0</v>
      </c>
      <c r="U131">
        <f ca="1">IFERROR(IF(0=LEN(ReferenceData!$U$131),"",ReferenceData!$U$131),"")</f>
        <v>0</v>
      </c>
      <c r="V131">
        <f ca="1">IFERROR(IF(0=LEN(ReferenceData!$V$131),"",ReferenceData!$V$131),"")</f>
        <v>0</v>
      </c>
      <c r="W131">
        <f ca="1">IFERROR(IF(0=LEN(ReferenceData!$W$131),"",ReferenceData!$W$131),"")</f>
        <v>0</v>
      </c>
      <c r="X131">
        <f ca="1">IFERROR(IF(0=LEN(ReferenceData!$X$131),"",ReferenceData!$X$131),"")</f>
        <v>0</v>
      </c>
      <c r="Y131">
        <f ca="1">IFERROR(IF(0=LEN(ReferenceData!$Y$131),"",ReferenceData!$Y$131),"")</f>
        <v>0</v>
      </c>
      <c r="Z131">
        <f ca="1">IFERROR(IF(0=LEN(ReferenceData!$Z$131),"",ReferenceData!$Z$131),"")</f>
        <v>0</v>
      </c>
      <c r="AA131">
        <f ca="1">IFERROR(IF(0=LEN(ReferenceData!$AA$131),"",ReferenceData!$AA$131),"")</f>
        <v>0</v>
      </c>
      <c r="AB131">
        <f ca="1">IFERROR(IF(0=LEN(ReferenceData!$AB$131),"",ReferenceData!$AB$131),"")</f>
        <v>0</v>
      </c>
      <c r="AC131">
        <f ca="1">IFERROR(IF(0=LEN(ReferenceData!$AC$131),"",ReferenceData!$AC$131),"")</f>
        <v>0</v>
      </c>
      <c r="AD131" t="str">
        <f ca="1">IFERROR(IF(0=LEN(ReferenceData!$AD$131),"",ReferenceData!$AD$131),"")</f>
        <v/>
      </c>
      <c r="AE131" t="str">
        <f ca="1">IFERROR(IF(0=LEN(ReferenceData!$AE$131),"",ReferenceData!$AE$131),"")</f>
        <v/>
      </c>
      <c r="AF131" t="str">
        <f ca="1">IFERROR(IF(0=LEN(ReferenceData!$AF$131),"",ReferenceData!$AF$131),"")</f>
        <v/>
      </c>
      <c r="AG131" t="str">
        <f ca="1">IFERROR(IF(0=LEN(ReferenceData!$AG$131),"",ReferenceData!$AG$131),"")</f>
        <v/>
      </c>
      <c r="AH131" t="str">
        <f ca="1">IFERROR(IF(0=LEN(ReferenceData!$AH$131),"",ReferenceData!$AH$131),"")</f>
        <v/>
      </c>
      <c r="AI131" t="str">
        <f ca="1">IFERROR(IF(0=LEN(ReferenceData!$AI$131),"",ReferenceData!$AI$131),"")</f>
        <v/>
      </c>
      <c r="AJ131" t="str">
        <f ca="1">IFERROR(IF(0=LEN(ReferenceData!$AJ$131),"",ReferenceData!$AJ$131),"")</f>
        <v/>
      </c>
      <c r="AK131" t="str">
        <f ca="1">IFERROR(IF(0=LEN(ReferenceData!$AK$131),"",ReferenceData!$AK$131),"")</f>
        <v/>
      </c>
      <c r="AL131" t="str">
        <f ca="1">IFERROR(IF(0=LEN(ReferenceData!$AL$131),"",ReferenceData!$AL$131),"")</f>
        <v/>
      </c>
    </row>
    <row r="132" spans="1:38" x14ac:dyDescent="0.25">
      <c r="A132" t="str">
        <f>IFERROR(IF(0=LEN(ReferenceData!$A$132),"",ReferenceData!$A$132),"")</f>
        <v xml:space="preserve">        Zions Bancorp NA</v>
      </c>
      <c r="B132" t="str">
        <f>IFERROR(IF(0=LEN(ReferenceData!$B$132),"",ReferenceData!$B$132),"")</f>
        <v>ZION US Equity</v>
      </c>
      <c r="C132" t="str">
        <f>IFERROR(IF(0=LEN(ReferenceData!$C$132),"",ReferenceData!$C$132),"")</f>
        <v>FC313</v>
      </c>
      <c r="D132" t="str">
        <f>IFERROR(IF(0=LEN(ReferenceData!$D$132),"",ReferenceData!$D$132),"")</f>
        <v>FDIC_C&amp;I_LOANS_NON-US</v>
      </c>
      <c r="E132" t="str">
        <f>IFERROR(IF(0=LEN(ReferenceData!$E$132),"",ReferenceData!$E$132),"")</f>
        <v>Dynamic</v>
      </c>
      <c r="F132" t="str">
        <f ca="1">IFERROR(IF(0=LEN(ReferenceData!$F$132),"",ReferenceData!$F$132),"")</f>
        <v/>
      </c>
      <c r="G132">
        <f ca="1">IFERROR(IF(0=LEN(ReferenceData!$G$132),"",ReferenceData!$G$132),"")</f>
        <v>0.502</v>
      </c>
      <c r="H132">
        <f ca="1">IFERROR(IF(0=LEN(ReferenceData!$H$132),"",ReferenceData!$H$132),"")</f>
        <v>30.603999999999999</v>
      </c>
      <c r="I132">
        <f ca="1">IFERROR(IF(0=LEN(ReferenceData!$I$132),"",ReferenceData!$I$132),"")</f>
        <v>34.831000000000003</v>
      </c>
      <c r="J132" t="str">
        <f ca="1">IFERROR(IF(0=LEN(ReferenceData!$J$132),"",ReferenceData!$J$132),"")</f>
        <v/>
      </c>
      <c r="K132" t="str">
        <f ca="1">IFERROR(IF(0=LEN(ReferenceData!$K$132),"",ReferenceData!$K$132),"")</f>
        <v/>
      </c>
      <c r="L132" t="str">
        <f ca="1">IFERROR(IF(0=LEN(ReferenceData!$L$132),"",ReferenceData!$L$132),"")</f>
        <v/>
      </c>
      <c r="M132" t="str">
        <f ca="1">IFERROR(IF(0=LEN(ReferenceData!$M$132),"",ReferenceData!$M$132),"")</f>
        <v/>
      </c>
      <c r="N132" t="str">
        <f ca="1">IFERROR(IF(0=LEN(ReferenceData!$N$132),"",ReferenceData!$N$132),"")</f>
        <v/>
      </c>
      <c r="O132" t="str">
        <f ca="1">IFERROR(IF(0=LEN(ReferenceData!$O$132),"",ReferenceData!$O$132),"")</f>
        <v/>
      </c>
      <c r="P132" t="str">
        <f ca="1">IFERROR(IF(0=LEN(ReferenceData!$P$132),"",ReferenceData!$P$132),"")</f>
        <v/>
      </c>
      <c r="Q132" t="str">
        <f ca="1">IFERROR(IF(0=LEN(ReferenceData!$Q$132),"",ReferenceData!$Q$132),"")</f>
        <v/>
      </c>
      <c r="R132" t="str">
        <f ca="1">IFERROR(IF(0=LEN(ReferenceData!$R$132),"",ReferenceData!$R$132),"")</f>
        <v/>
      </c>
      <c r="S132" t="str">
        <f ca="1">IFERROR(IF(0=LEN(ReferenceData!$S$132),"",ReferenceData!$S$132),"")</f>
        <v/>
      </c>
      <c r="T132" t="str">
        <f ca="1">IFERROR(IF(0=LEN(ReferenceData!$T$132),"",ReferenceData!$T$132),"")</f>
        <v/>
      </c>
      <c r="U132" t="str">
        <f ca="1">IFERROR(IF(0=LEN(ReferenceData!$U$132),"",ReferenceData!$U$132),"")</f>
        <v/>
      </c>
      <c r="V132" t="str">
        <f ca="1">IFERROR(IF(0=LEN(ReferenceData!$V$132),"",ReferenceData!$V$132),"")</f>
        <v/>
      </c>
      <c r="W132" t="str">
        <f ca="1">IFERROR(IF(0=LEN(ReferenceData!$W$132),"",ReferenceData!$W$132),"")</f>
        <v/>
      </c>
      <c r="X132" t="str">
        <f ca="1">IFERROR(IF(0=LEN(ReferenceData!$X$132),"",ReferenceData!$X$132),"")</f>
        <v/>
      </c>
      <c r="Y132" t="str">
        <f ca="1">IFERROR(IF(0=LEN(ReferenceData!$Y$132),"",ReferenceData!$Y$132),"")</f>
        <v/>
      </c>
      <c r="Z132" t="str">
        <f ca="1">IFERROR(IF(0=LEN(ReferenceData!$Z$132),"",ReferenceData!$Z$132),"")</f>
        <v/>
      </c>
      <c r="AA132" t="str">
        <f ca="1">IFERROR(IF(0=LEN(ReferenceData!$AA$132),"",ReferenceData!$AA$132),"")</f>
        <v/>
      </c>
      <c r="AB132" t="str">
        <f ca="1">IFERROR(IF(0=LEN(ReferenceData!$AB$132),"",ReferenceData!$AB$132),"")</f>
        <v/>
      </c>
      <c r="AC132" t="str">
        <f ca="1">IFERROR(IF(0=LEN(ReferenceData!$AC$132),"",ReferenceData!$AC$132),"")</f>
        <v/>
      </c>
      <c r="AD132" t="str">
        <f ca="1">IFERROR(IF(0=LEN(ReferenceData!$AD$132),"",ReferenceData!$AD$132),"")</f>
        <v/>
      </c>
      <c r="AE132" t="str">
        <f ca="1">IFERROR(IF(0=LEN(ReferenceData!$AE$132),"",ReferenceData!$AE$132),"")</f>
        <v/>
      </c>
      <c r="AF132" t="str">
        <f ca="1">IFERROR(IF(0=LEN(ReferenceData!$AF$132),"",ReferenceData!$AF$132),"")</f>
        <v/>
      </c>
      <c r="AG132" t="str">
        <f ca="1">IFERROR(IF(0=LEN(ReferenceData!$AG$132),"",ReferenceData!$AG$132),"")</f>
        <v/>
      </c>
      <c r="AH132" t="str">
        <f ca="1">IFERROR(IF(0=LEN(ReferenceData!$AH$132),"",ReferenceData!$AH$132),"")</f>
        <v/>
      </c>
      <c r="AI132" t="str">
        <f ca="1">IFERROR(IF(0=LEN(ReferenceData!$AI$132),"",ReferenceData!$AI$132),"")</f>
        <v/>
      </c>
      <c r="AJ132" t="str">
        <f ca="1">IFERROR(IF(0=LEN(ReferenceData!$AJ$132),"",ReferenceData!$AJ$132),"")</f>
        <v/>
      </c>
      <c r="AK132" t="str">
        <f ca="1">IFERROR(IF(0=LEN(ReferenceData!$AK$132),"",ReferenceData!$AK$132),"")</f>
        <v/>
      </c>
      <c r="AL132" t="str">
        <f ca="1">IFERROR(IF(0=LEN(ReferenceData!$AL$132),"",ReferenceData!$AL$132),"")</f>
        <v/>
      </c>
    </row>
    <row r="133" spans="1:38" x14ac:dyDescent="0.25">
      <c r="A133" t="str">
        <f>IFERROR(IF(0=LEN(ReferenceData!$A$133),"",ReferenceData!$A$133),"")</f>
        <v xml:space="preserve">    C&amp;I Loans by Company</v>
      </c>
      <c r="B133" t="str">
        <f>IFERROR(IF(0=LEN(ReferenceData!$B$133),"",ReferenceData!$B$133),"")</f>
        <v/>
      </c>
      <c r="C133" t="str">
        <f>IFERROR(IF(0=LEN(ReferenceData!$C$133),"",ReferenceData!$C$133),"")</f>
        <v/>
      </c>
      <c r="D133" t="str">
        <f>IFERROR(IF(0=LEN(ReferenceData!$D$133),"",ReferenceData!$D$133),"")</f>
        <v/>
      </c>
      <c r="E133" t="str">
        <f>IFERROR(IF(0=LEN(ReferenceData!$E$133),"",ReferenceData!$E$133),"")</f>
        <v>Sum</v>
      </c>
      <c r="F133">
        <f ca="1">IFERROR(IF(0=LEN(ReferenceData!$F$133),"",ReferenceData!$F$133),"")</f>
        <v>1319202.9620000001</v>
      </c>
      <c r="G133">
        <f ca="1">IFERROR(IF(0=LEN(ReferenceData!$G$133),"",ReferenceData!$G$133),"")</f>
        <v>1552466.875</v>
      </c>
      <c r="H133">
        <f ca="1">IFERROR(IF(0=LEN(ReferenceData!$H$133),"",ReferenceData!$H$133),"")</f>
        <v>1565602.754</v>
      </c>
      <c r="I133">
        <f ca="1">IFERROR(IF(0=LEN(ReferenceData!$I$133),"",ReferenceData!$I$133),"")</f>
        <v>1360535.1539999999</v>
      </c>
      <c r="J133">
        <f ca="1">IFERROR(IF(0=LEN(ReferenceData!$J$133),"",ReferenceData!$J$133),"")</f>
        <v>1352373.561</v>
      </c>
      <c r="K133">
        <f ca="1">IFERROR(IF(0=LEN(ReferenceData!$K$133),"",ReferenceData!$K$133),"")</f>
        <v>1347599.6379999998</v>
      </c>
      <c r="L133">
        <f ca="1">IFERROR(IF(0=LEN(ReferenceData!$L$133),"",ReferenceData!$L$133),"")</f>
        <v>1288551.925</v>
      </c>
      <c r="M133">
        <f ca="1">IFERROR(IF(0=LEN(ReferenceData!$M$133),"",ReferenceData!$M$133),"")</f>
        <v>1204755.6539999996</v>
      </c>
      <c r="N133">
        <f ca="1">IFERROR(IF(0=LEN(ReferenceData!$N$133),"",ReferenceData!$N$133),"")</f>
        <v>1147677.9549999998</v>
      </c>
      <c r="O133">
        <f ca="1">IFERROR(IF(0=LEN(ReferenceData!$O$133),"",ReferenceData!$O$133),"")</f>
        <v>1066677.2590000001</v>
      </c>
      <c r="P133">
        <f ca="1">IFERROR(IF(0=LEN(ReferenceData!$P$133),"",ReferenceData!$P$133),"")</f>
        <v>1001362.525</v>
      </c>
      <c r="Q133">
        <f ca="1">IFERROR(IF(0=LEN(ReferenceData!$Q$133),"",ReferenceData!$Q$133),"")</f>
        <v>972730.19499999995</v>
      </c>
      <c r="R133">
        <f ca="1">IFERROR(IF(0=LEN(ReferenceData!$R$133),"",ReferenceData!$R$133),"")</f>
        <v>934719.35100000002</v>
      </c>
      <c r="S133">
        <f ca="1">IFERROR(IF(0=LEN(ReferenceData!$S$133),"",ReferenceData!$S$133),"")</f>
        <v>835969.0610000001</v>
      </c>
      <c r="T133">
        <f ca="1">IFERROR(IF(0=LEN(ReferenceData!$T$133),"",ReferenceData!$T$133),"")</f>
        <v>713996.1449999999</v>
      </c>
      <c r="U133">
        <f ca="1">IFERROR(IF(0=LEN(ReferenceData!$U$133),"",ReferenceData!$U$133),"")</f>
        <v>744072.02400000009</v>
      </c>
      <c r="V133">
        <f ca="1">IFERROR(IF(0=LEN(ReferenceData!$V$133),"",ReferenceData!$V$133),"")</f>
        <v>932563.5229999997</v>
      </c>
      <c r="W133">
        <f ca="1">IFERROR(IF(0=LEN(ReferenceData!$W$133),"",ReferenceData!$W$133),"")</f>
        <v>814802.09999999986</v>
      </c>
      <c r="X133">
        <f ca="1">IFERROR(IF(0=LEN(ReferenceData!$X$133),"",ReferenceData!$X$133),"")</f>
        <v>626892.70199999993</v>
      </c>
      <c r="Y133">
        <f ca="1">IFERROR(IF(0=LEN(ReferenceData!$Y$133),"",ReferenceData!$Y$133),"")</f>
        <v>547286.576</v>
      </c>
      <c r="Z133">
        <f ca="1">IFERROR(IF(0=LEN(ReferenceData!$Z$133),"",ReferenceData!$Z$133),"")</f>
        <v>472336.03</v>
      </c>
      <c r="AA133">
        <f ca="1">IFERROR(IF(0=LEN(ReferenceData!$AA$133),"",ReferenceData!$AA$133),"")</f>
        <v>374664.43300000002</v>
      </c>
      <c r="AB133">
        <f ca="1">IFERROR(IF(0=LEN(ReferenceData!$AB$133),"",ReferenceData!$AB$133),"")</f>
        <v>404380.20200000005</v>
      </c>
      <c r="AC133">
        <f ca="1">IFERROR(IF(0=LEN(ReferenceData!$AC$133),"",ReferenceData!$AC$133),"")</f>
        <v>448792.29299999995</v>
      </c>
      <c r="AD133" t="str">
        <f ca="1">IFERROR(IF(0=LEN(ReferenceData!$AD$133),"",ReferenceData!$AD$133),"")</f>
        <v/>
      </c>
      <c r="AE133" t="str">
        <f ca="1">IFERROR(IF(0=LEN(ReferenceData!$AE$133),"",ReferenceData!$AE$133),"")</f>
        <v/>
      </c>
      <c r="AF133" t="str">
        <f ca="1">IFERROR(IF(0=LEN(ReferenceData!$AF$133),"",ReferenceData!$AF$133),"")</f>
        <v/>
      </c>
      <c r="AG133" t="str">
        <f ca="1">IFERROR(IF(0=LEN(ReferenceData!$AG$133),"",ReferenceData!$AG$133),"")</f>
        <v/>
      </c>
      <c r="AH133" t="str">
        <f ca="1">IFERROR(IF(0=LEN(ReferenceData!$AH$133),"",ReferenceData!$AH$133),"")</f>
        <v/>
      </c>
      <c r="AI133" t="str">
        <f ca="1">IFERROR(IF(0=LEN(ReferenceData!$AI$133),"",ReferenceData!$AI$133),"")</f>
        <v/>
      </c>
      <c r="AJ133" t="str">
        <f ca="1">IFERROR(IF(0=LEN(ReferenceData!$AJ$133),"",ReferenceData!$AJ$133),"")</f>
        <v/>
      </c>
      <c r="AK133" t="str">
        <f ca="1">IFERROR(IF(0=LEN(ReferenceData!$AK$133),"",ReferenceData!$AK$133),"")</f>
        <v/>
      </c>
      <c r="AL133" t="str">
        <f ca="1">IFERROR(IF(0=LEN(ReferenceData!$AL$133),"",ReferenceData!$AL$133),"")</f>
        <v/>
      </c>
    </row>
    <row r="134" spans="1:38" x14ac:dyDescent="0.25">
      <c r="A134" t="str">
        <f>IFERROR(IF(0=LEN(ReferenceData!$A$134),"",ReferenceData!$A$134),"")</f>
        <v xml:space="preserve">        Bank of America Corp</v>
      </c>
      <c r="B134" t="str">
        <f>IFERROR(IF(0=LEN(ReferenceData!$B$134),"",ReferenceData!$B$134),"")</f>
        <v>BAC US Equity</v>
      </c>
      <c r="C134" t="str">
        <f>IFERROR(IF(0=LEN(ReferenceData!$C$134),"",ReferenceData!$C$134),"")</f>
        <v>F0090</v>
      </c>
      <c r="D134" t="str">
        <f>IFERROR(IF(0=LEN(ReferenceData!$D$134),"",ReferenceData!$D$134),"")</f>
        <v>FED_C&amp;I_LOANS_CONSOLIDATED</v>
      </c>
      <c r="E134" t="str">
        <f>IFERROR(IF(0=LEN(ReferenceData!$E$134),"",ReferenceData!$E$134),"")</f>
        <v>Dynamic</v>
      </c>
      <c r="F134">
        <f ca="1">IFERROR(IF(0=LEN(ReferenceData!$F$134),"",ReferenceData!$F$134),"")</f>
        <v>332420</v>
      </c>
      <c r="G134">
        <f ca="1">IFERROR(IF(0=LEN(ReferenceData!$G$134),"",ReferenceData!$G$134),"")</f>
        <v>318910</v>
      </c>
      <c r="H134">
        <f ca="1">IFERROR(IF(0=LEN(ReferenceData!$H$134),"",ReferenceData!$H$134),"")</f>
        <v>329384</v>
      </c>
      <c r="I134">
        <f ca="1">IFERROR(IF(0=LEN(ReferenceData!$I$134),"",ReferenceData!$I$134),"")</f>
        <v>298150</v>
      </c>
      <c r="J134">
        <f ca="1">IFERROR(IF(0=LEN(ReferenceData!$J$134),"",ReferenceData!$J$134),"")</f>
        <v>291121</v>
      </c>
      <c r="K134">
        <f ca="1">IFERROR(IF(0=LEN(ReferenceData!$K$134),"",ReferenceData!$K$134),"")</f>
        <v>297452</v>
      </c>
      <c r="L134">
        <f ca="1">IFERROR(IF(0=LEN(ReferenceData!$L$134),"",ReferenceData!$L$134),"")</f>
        <v>279685</v>
      </c>
      <c r="M134">
        <f ca="1">IFERROR(IF(0=LEN(ReferenceData!$M$134),"",ReferenceData!$M$134),"")</f>
        <v>271364</v>
      </c>
      <c r="N134">
        <f ca="1">IFERROR(IF(0=LEN(ReferenceData!$N$134),"",ReferenceData!$N$134),"")</f>
        <v>252712</v>
      </c>
      <c r="O134">
        <f ca="1">IFERROR(IF(0=LEN(ReferenceData!$O$134),"",ReferenceData!$O$134),"")</f>
        <v>234795</v>
      </c>
      <c r="P134">
        <f ca="1">IFERROR(IF(0=LEN(ReferenceData!$P$134),"",ReferenceData!$P$134),"")</f>
        <v>215543</v>
      </c>
      <c r="Q134">
        <f ca="1">IFERROR(IF(0=LEN(ReferenceData!$Q$134),"",ReferenceData!$Q$134),"")</f>
        <v>232009</v>
      </c>
      <c r="R134">
        <f ca="1">IFERROR(IF(0=LEN(ReferenceData!$R$134),"",ReferenceData!$R$134),"")</f>
        <v>210801.894</v>
      </c>
      <c r="S134">
        <f ca="1">IFERROR(IF(0=LEN(ReferenceData!$S$134),"",ReferenceData!$S$134),"")</f>
        <v>184957.22</v>
      </c>
      <c r="T134">
        <f ca="1">IFERROR(IF(0=LEN(ReferenceData!$T$134),"",ReferenceData!$T$134),"")</f>
        <v>157769.073</v>
      </c>
      <c r="U134">
        <f ca="1">IFERROR(IF(0=LEN(ReferenceData!$U$134),"",ReferenceData!$U$134),"")</f>
        <v>165589.22099999999</v>
      </c>
      <c r="V134">
        <f ca="1">IFERROR(IF(0=LEN(ReferenceData!$V$134),"",ReferenceData!$V$134),"")</f>
        <v>188845.91800000001</v>
      </c>
      <c r="W134">
        <f ca="1">IFERROR(IF(0=LEN(ReferenceData!$W$134),"",ReferenceData!$W$134),"")</f>
        <v>176878.61300000001</v>
      </c>
      <c r="X134">
        <f ca="1">IFERROR(IF(0=LEN(ReferenceData!$X$134),"",ReferenceData!$X$134),"")</f>
        <v>125175.06600000001</v>
      </c>
      <c r="Y134">
        <f ca="1">IFERROR(IF(0=LEN(ReferenceData!$Y$134),"",ReferenceData!$Y$134),"")</f>
        <v>112296.393</v>
      </c>
      <c r="Z134">
        <f ca="1">IFERROR(IF(0=LEN(ReferenceData!$Z$134),"",ReferenceData!$Z$134),"")</f>
        <v>94697.194000000003</v>
      </c>
      <c r="AA134">
        <f ca="1">IFERROR(IF(0=LEN(ReferenceData!$AA$134),"",ReferenceData!$AA$134),"")</f>
        <v>70584.608999999997</v>
      </c>
      <c r="AB134">
        <f ca="1">IFERROR(IF(0=LEN(ReferenceData!$AB$134),"",ReferenceData!$AB$134),"")</f>
        <v>84909</v>
      </c>
      <c r="AC134">
        <f ca="1">IFERROR(IF(0=LEN(ReferenceData!$AC$134),"",ReferenceData!$AC$134),"")</f>
        <v>103927</v>
      </c>
      <c r="AD134" t="str">
        <f ca="1">IFERROR(IF(0=LEN(ReferenceData!$AD$134),"",ReferenceData!$AD$134),"")</f>
        <v/>
      </c>
      <c r="AE134" t="str">
        <f ca="1">IFERROR(IF(0=LEN(ReferenceData!$AE$134),"",ReferenceData!$AE$134),"")</f>
        <v/>
      </c>
      <c r="AF134" t="str">
        <f ca="1">IFERROR(IF(0=LEN(ReferenceData!$AF$134),"",ReferenceData!$AF$134),"")</f>
        <v/>
      </c>
      <c r="AG134" t="str">
        <f ca="1">IFERROR(IF(0=LEN(ReferenceData!$AG$134),"",ReferenceData!$AG$134),"")</f>
        <v/>
      </c>
      <c r="AH134" t="str">
        <f ca="1">IFERROR(IF(0=LEN(ReferenceData!$AH$134),"",ReferenceData!$AH$134),"")</f>
        <v/>
      </c>
      <c r="AI134" t="str">
        <f ca="1">IFERROR(IF(0=LEN(ReferenceData!$AI$134),"",ReferenceData!$AI$134),"")</f>
        <v/>
      </c>
      <c r="AJ134" t="str">
        <f ca="1">IFERROR(IF(0=LEN(ReferenceData!$AJ$134),"",ReferenceData!$AJ$134),"")</f>
        <v/>
      </c>
      <c r="AK134" t="str">
        <f ca="1">IFERROR(IF(0=LEN(ReferenceData!$AK$134),"",ReferenceData!$AK$134),"")</f>
        <v/>
      </c>
      <c r="AL134" t="str">
        <f ca="1">IFERROR(IF(0=LEN(ReferenceData!$AL$134),"",ReferenceData!$AL$134),"")</f>
        <v/>
      </c>
    </row>
    <row r="135" spans="1:38" x14ac:dyDescent="0.25">
      <c r="A135" t="str">
        <f>IFERROR(IF(0=LEN(ReferenceData!$A$135),"",ReferenceData!$A$135),"")</f>
        <v xml:space="preserve">        Citigroup Inc</v>
      </c>
      <c r="B135" t="str">
        <f>IFERROR(IF(0=LEN(ReferenceData!$B$135),"",ReferenceData!$B$135),"")</f>
        <v>C US Equity</v>
      </c>
      <c r="C135" t="str">
        <f>IFERROR(IF(0=LEN(ReferenceData!$C$135),"",ReferenceData!$C$135),"")</f>
        <v>F0090</v>
      </c>
      <c r="D135" t="str">
        <f>IFERROR(IF(0=LEN(ReferenceData!$D$135),"",ReferenceData!$D$135),"")</f>
        <v>FED_C&amp;I_LOANS_CONSOLIDATED</v>
      </c>
      <c r="E135" t="str">
        <f>IFERROR(IF(0=LEN(ReferenceData!$E$135),"",ReferenceData!$E$135),"")</f>
        <v>Dynamic</v>
      </c>
      <c r="F135">
        <f ca="1">IFERROR(IF(0=LEN(ReferenceData!$F$135),"",ReferenceData!$F$135),"")</f>
        <v>158867</v>
      </c>
      <c r="G135">
        <f ca="1">IFERROR(IF(0=LEN(ReferenceData!$G$135),"",ReferenceData!$G$135),"")</f>
        <v>162637</v>
      </c>
      <c r="H135">
        <f ca="1">IFERROR(IF(0=LEN(ReferenceData!$H$135),"",ReferenceData!$H$135),"")</f>
        <v>157619</v>
      </c>
      <c r="I135">
        <f ca="1">IFERROR(IF(0=LEN(ReferenceData!$I$135),"",ReferenceData!$I$135),"")</f>
        <v>159164</v>
      </c>
      <c r="J135">
        <f ca="1">IFERROR(IF(0=LEN(ReferenceData!$J$135),"",ReferenceData!$J$135),"")</f>
        <v>167657</v>
      </c>
      <c r="K135">
        <f ca="1">IFERROR(IF(0=LEN(ReferenceData!$K$135),"",ReferenceData!$K$135),"")</f>
        <v>177036</v>
      </c>
      <c r="L135">
        <f ca="1">IFERROR(IF(0=LEN(ReferenceData!$L$135),"",ReferenceData!$L$135),"")</f>
        <v>178326</v>
      </c>
      <c r="M135">
        <f ca="1">IFERROR(IF(0=LEN(ReferenceData!$M$135),"",ReferenceData!$M$135),"")</f>
        <v>174748</v>
      </c>
      <c r="N135">
        <f ca="1">IFERROR(IF(0=LEN(ReferenceData!$N$135),"",ReferenceData!$N$135),"")</f>
        <v>155005</v>
      </c>
      <c r="O135">
        <f ca="1">IFERROR(IF(0=LEN(ReferenceData!$O$135),"",ReferenceData!$O$135),"")</f>
        <v>157099</v>
      </c>
      <c r="P135">
        <f ca="1">IFERROR(IF(0=LEN(ReferenceData!$P$135),"",ReferenceData!$P$135),"")</f>
        <v>151819</v>
      </c>
      <c r="Q135">
        <f ca="1">IFERROR(IF(0=LEN(ReferenceData!$Q$135),"",ReferenceData!$Q$135),"")</f>
        <v>150503</v>
      </c>
      <c r="R135">
        <f ca="1">IFERROR(IF(0=LEN(ReferenceData!$R$135),"",ReferenceData!$R$135),"")</f>
        <v>140323</v>
      </c>
      <c r="S135">
        <f ca="1">IFERROR(IF(0=LEN(ReferenceData!$S$135),"",ReferenceData!$S$135),"")</f>
        <v>129479</v>
      </c>
      <c r="T135">
        <f ca="1">IFERROR(IF(0=LEN(ReferenceData!$T$135),"",ReferenceData!$T$135),"")</f>
        <v>111870</v>
      </c>
      <c r="U135">
        <f ca="1">IFERROR(IF(0=LEN(ReferenceData!$U$135),"",ReferenceData!$U$135),"")</f>
        <v>116872</v>
      </c>
      <c r="V135">
        <f ca="1">IFERROR(IF(0=LEN(ReferenceData!$V$135),"",ReferenceData!$V$135),"")</f>
        <v>151178</v>
      </c>
      <c r="W135">
        <f ca="1">IFERROR(IF(0=LEN(ReferenceData!$W$135),"",ReferenceData!$W$135),"")</f>
        <v>204361</v>
      </c>
      <c r="X135">
        <f ca="1">IFERROR(IF(0=LEN(ReferenceData!$X$135),"",ReferenceData!$X$135),"")</f>
        <v>158656</v>
      </c>
      <c r="Y135">
        <f ca="1">IFERROR(IF(0=LEN(ReferenceData!$Y$135),"",ReferenceData!$Y$135),"")</f>
        <v>127959</v>
      </c>
      <c r="Z135">
        <f ca="1">IFERROR(IF(0=LEN(ReferenceData!$Z$135),"",ReferenceData!$Z$135),"")</f>
        <v>115232</v>
      </c>
      <c r="AA135">
        <f ca="1">IFERROR(IF(0=LEN(ReferenceData!$AA$135),"",ReferenceData!$AA$135),"")</f>
        <v>96264</v>
      </c>
      <c r="AB135">
        <f ca="1">IFERROR(IF(0=LEN(ReferenceData!$AB$135),"",ReferenceData!$AB$135),"")</f>
        <v>107091</v>
      </c>
      <c r="AC135">
        <f ca="1">IFERROR(IF(0=LEN(ReferenceData!$AC$135),"",ReferenceData!$AC$135),"")</f>
        <v>115477</v>
      </c>
      <c r="AD135" t="str">
        <f ca="1">IFERROR(IF(0=LEN(ReferenceData!$AD$135),"",ReferenceData!$AD$135),"")</f>
        <v/>
      </c>
      <c r="AE135" t="str">
        <f ca="1">IFERROR(IF(0=LEN(ReferenceData!$AE$135),"",ReferenceData!$AE$135),"")</f>
        <v/>
      </c>
      <c r="AF135" t="str">
        <f ca="1">IFERROR(IF(0=LEN(ReferenceData!$AF$135),"",ReferenceData!$AF$135),"")</f>
        <v/>
      </c>
      <c r="AG135" t="str">
        <f ca="1">IFERROR(IF(0=LEN(ReferenceData!$AG$135),"",ReferenceData!$AG$135),"")</f>
        <v/>
      </c>
      <c r="AH135" t="str">
        <f ca="1">IFERROR(IF(0=LEN(ReferenceData!$AH$135),"",ReferenceData!$AH$135),"")</f>
        <v/>
      </c>
      <c r="AI135" t="str">
        <f ca="1">IFERROR(IF(0=LEN(ReferenceData!$AI$135),"",ReferenceData!$AI$135),"")</f>
        <v/>
      </c>
      <c r="AJ135" t="str">
        <f ca="1">IFERROR(IF(0=LEN(ReferenceData!$AJ$135),"",ReferenceData!$AJ$135),"")</f>
        <v/>
      </c>
      <c r="AK135" t="str">
        <f ca="1">IFERROR(IF(0=LEN(ReferenceData!$AK$135),"",ReferenceData!$AK$135),"")</f>
        <v/>
      </c>
      <c r="AL135" t="str">
        <f ca="1">IFERROR(IF(0=LEN(ReferenceData!$AL$135),"",ReferenceData!$AL$135),"")</f>
        <v/>
      </c>
    </row>
    <row r="136" spans="1:38" x14ac:dyDescent="0.25">
      <c r="A136" t="str">
        <f>IFERROR(IF(0=LEN(ReferenceData!$A$136),"",ReferenceData!$A$136),"")</f>
        <v xml:space="preserve">        Citizens Financial Group Inc</v>
      </c>
      <c r="B136" t="str">
        <f>IFERROR(IF(0=LEN(ReferenceData!$B$136),"",ReferenceData!$B$136),"")</f>
        <v>CFG US Equity</v>
      </c>
      <c r="C136" t="str">
        <f>IFERROR(IF(0=LEN(ReferenceData!$C$136),"",ReferenceData!$C$136),"")</f>
        <v>F0090</v>
      </c>
      <c r="D136" t="str">
        <f>IFERROR(IF(0=LEN(ReferenceData!$D$136),"",ReferenceData!$D$136),"")</f>
        <v>FED_C&amp;I_LOANS_CONSOLIDATED</v>
      </c>
      <c r="E136" t="str">
        <f>IFERROR(IF(0=LEN(ReferenceData!$E$136),"",ReferenceData!$E$136),"")</f>
        <v>Dynamic</v>
      </c>
      <c r="F136">
        <f ca="1">IFERROR(IF(0=LEN(ReferenceData!$F$136),"",ReferenceData!$F$136),"")</f>
        <v>25848.716</v>
      </c>
      <c r="G136">
        <f ca="1">IFERROR(IF(0=LEN(ReferenceData!$G$136),"",ReferenceData!$G$136),"")</f>
        <v>39256.084000000003</v>
      </c>
      <c r="H136">
        <f ca="1">IFERROR(IF(0=LEN(ReferenceData!$H$136),"",ReferenceData!$H$136),"")</f>
        <v>46945.883000000002</v>
      </c>
      <c r="I136">
        <f ca="1">IFERROR(IF(0=LEN(ReferenceData!$I$136),"",ReferenceData!$I$136),"")</f>
        <v>41227.932000000001</v>
      </c>
      <c r="J136">
        <f ca="1">IFERROR(IF(0=LEN(ReferenceData!$J$136),"",ReferenceData!$J$136),"")</f>
        <v>39866.642999999996</v>
      </c>
      <c r="K136">
        <f ca="1">IFERROR(IF(0=LEN(ReferenceData!$K$136),"",ReferenceData!$K$136),"")</f>
        <v>36533.271999999997</v>
      </c>
      <c r="L136">
        <f ca="1">IFERROR(IF(0=LEN(ReferenceData!$L$136),"",ReferenceData!$L$136),"")</f>
        <v>35971.002</v>
      </c>
      <c r="M136">
        <f ca="1">IFERROR(IF(0=LEN(ReferenceData!$M$136),"",ReferenceData!$M$136),"")</f>
        <v>32006.120999999999</v>
      </c>
      <c r="N136">
        <f ca="1">IFERROR(IF(0=LEN(ReferenceData!$N$136),"",ReferenceData!$N$136),"")</f>
        <v>31774.93</v>
      </c>
      <c r="O136">
        <f ca="1">IFERROR(IF(0=LEN(ReferenceData!$O$136),"",ReferenceData!$O$136),"")</f>
        <v>27253.407999999999</v>
      </c>
      <c r="P136">
        <f ca="1">IFERROR(IF(0=LEN(ReferenceData!$P$136),"",ReferenceData!$P$136),"")</f>
        <v>25255.487000000001</v>
      </c>
      <c r="Q136">
        <f ca="1">IFERROR(IF(0=LEN(ReferenceData!$Q$136),"",ReferenceData!$Q$136),"")</f>
        <v>23103.087</v>
      </c>
      <c r="R136">
        <f ca="1">IFERROR(IF(0=LEN(ReferenceData!$R$136),"",ReferenceData!$R$136),"")</f>
        <v>21740.506000000001</v>
      </c>
      <c r="S136">
        <f ca="1">IFERROR(IF(0=LEN(ReferenceData!$S$136),"",ReferenceData!$S$136),"")</f>
        <v>18925.776000000002</v>
      </c>
      <c r="T136">
        <f ca="1">IFERROR(IF(0=LEN(ReferenceData!$T$136),"",ReferenceData!$T$136),"")</f>
        <v>15590.603999999999</v>
      </c>
      <c r="U136">
        <f ca="1">IFERROR(IF(0=LEN(ReferenceData!$U$136),"",ReferenceData!$U$136),"")</f>
        <v>15150.184999999999</v>
      </c>
      <c r="V136">
        <f ca="1">IFERROR(IF(0=LEN(ReferenceData!$V$136),"",ReferenceData!$V$136),"")</f>
        <v>19457.517</v>
      </c>
      <c r="W136">
        <f ca="1">IFERROR(IF(0=LEN(ReferenceData!$W$136),"",ReferenceData!$W$136),"")</f>
        <v>20440.324000000001</v>
      </c>
      <c r="X136">
        <f ca="1">IFERROR(IF(0=LEN(ReferenceData!$X$136),"",ReferenceData!$X$136),"")</f>
        <v>16240.373</v>
      </c>
      <c r="Y136">
        <f ca="1">IFERROR(IF(0=LEN(ReferenceData!$Y$136),"",ReferenceData!$Y$136),"")</f>
        <v>12011.245000000001</v>
      </c>
      <c r="Z136">
        <f ca="1">IFERROR(IF(0=LEN(ReferenceData!$Z$136),"",ReferenceData!$Z$136),"")</f>
        <v>10523.362999999999</v>
      </c>
      <c r="AA136">
        <f ca="1">IFERROR(IF(0=LEN(ReferenceData!$AA$136),"",ReferenceData!$AA$136),"")</f>
        <v>8742.0920000000006</v>
      </c>
      <c r="AB136">
        <f ca="1">IFERROR(IF(0=LEN(ReferenceData!$AB$136),"",ReferenceData!$AB$136),"")</f>
        <v>8231.3250000000007</v>
      </c>
      <c r="AC136">
        <f ca="1">IFERROR(IF(0=LEN(ReferenceData!$AC$136),"",ReferenceData!$AC$136),"")</f>
        <v>8680.4240000000009</v>
      </c>
      <c r="AD136" t="str">
        <f ca="1">IFERROR(IF(0=LEN(ReferenceData!$AD$136),"",ReferenceData!$AD$136),"")</f>
        <v/>
      </c>
      <c r="AE136" t="str">
        <f ca="1">IFERROR(IF(0=LEN(ReferenceData!$AE$136),"",ReferenceData!$AE$136),"")</f>
        <v/>
      </c>
      <c r="AF136" t="str">
        <f ca="1">IFERROR(IF(0=LEN(ReferenceData!$AF$136),"",ReferenceData!$AF$136),"")</f>
        <v/>
      </c>
      <c r="AG136" t="str">
        <f ca="1">IFERROR(IF(0=LEN(ReferenceData!$AG$136),"",ReferenceData!$AG$136),"")</f>
        <v/>
      </c>
      <c r="AH136" t="str">
        <f ca="1">IFERROR(IF(0=LEN(ReferenceData!$AH$136),"",ReferenceData!$AH$136),"")</f>
        <v/>
      </c>
      <c r="AI136" t="str">
        <f ca="1">IFERROR(IF(0=LEN(ReferenceData!$AI$136),"",ReferenceData!$AI$136),"")</f>
        <v/>
      </c>
      <c r="AJ136" t="str">
        <f ca="1">IFERROR(IF(0=LEN(ReferenceData!$AJ$136),"",ReferenceData!$AJ$136),"")</f>
        <v/>
      </c>
      <c r="AK136" t="str">
        <f ca="1">IFERROR(IF(0=LEN(ReferenceData!$AK$136),"",ReferenceData!$AK$136),"")</f>
        <v/>
      </c>
      <c r="AL136" t="str">
        <f ca="1">IFERROR(IF(0=LEN(ReferenceData!$AL$136),"",ReferenceData!$AL$136),"")</f>
        <v/>
      </c>
    </row>
    <row r="137" spans="1:38" x14ac:dyDescent="0.25">
      <c r="A137" t="str">
        <f>IFERROR(IF(0=LEN(ReferenceData!$A$137),"",ReferenceData!$A$137),"")</f>
        <v xml:space="preserve">        Capital One Financial Corp</v>
      </c>
      <c r="B137" t="str">
        <f>IFERROR(IF(0=LEN(ReferenceData!$B$137),"",ReferenceData!$B$137),"")</f>
        <v>COF US Equity</v>
      </c>
      <c r="C137" t="str">
        <f>IFERROR(IF(0=LEN(ReferenceData!$C$137),"",ReferenceData!$C$137),"")</f>
        <v>F0090</v>
      </c>
      <c r="D137" t="str">
        <f>IFERROR(IF(0=LEN(ReferenceData!$D$137),"",ReferenceData!$D$137),"")</f>
        <v>FED_C&amp;I_LOANS_CONSOLIDATED</v>
      </c>
      <c r="E137" t="str">
        <f>IFERROR(IF(0=LEN(ReferenceData!$E$137),"",ReferenceData!$E$137),"")</f>
        <v>Dynamic</v>
      </c>
      <c r="F137">
        <f ca="1">IFERROR(IF(0=LEN(ReferenceData!$F$137),"",ReferenceData!$F$137),"")</f>
        <v>45040.726000000002</v>
      </c>
      <c r="G137">
        <f ca="1">IFERROR(IF(0=LEN(ReferenceData!$G$137),"",ReferenceData!$G$137),"")</f>
        <v>46241.307000000001</v>
      </c>
      <c r="H137">
        <f ca="1">IFERROR(IF(0=LEN(ReferenceData!$H$137),"",ReferenceData!$H$137),"")</f>
        <v>47587.336000000003</v>
      </c>
      <c r="I137">
        <f ca="1">IFERROR(IF(0=LEN(ReferenceData!$I$137),"",ReferenceData!$I$137),"")</f>
        <v>40528.548000000003</v>
      </c>
      <c r="J137">
        <f ca="1">IFERROR(IF(0=LEN(ReferenceData!$J$137),"",ReferenceData!$J$137),"")</f>
        <v>35160.271000000001</v>
      </c>
      <c r="K137">
        <f ca="1">IFERROR(IF(0=LEN(ReferenceData!$K$137),"",ReferenceData!$K$137),"")</f>
        <v>37348.758000000002</v>
      </c>
      <c r="L137">
        <f ca="1">IFERROR(IF(0=LEN(ReferenceData!$L$137),"",ReferenceData!$L$137),"")</f>
        <v>33831.891000000003</v>
      </c>
      <c r="M137">
        <f ca="1">IFERROR(IF(0=LEN(ReferenceData!$M$137),"",ReferenceData!$M$137),"")</f>
        <v>29092.799999999999</v>
      </c>
      <c r="N137">
        <f ca="1">IFERROR(IF(0=LEN(ReferenceData!$N$137),"",ReferenceData!$N$137),"")</f>
        <v>29464.776999999998</v>
      </c>
      <c r="O137">
        <f ca="1">IFERROR(IF(0=LEN(ReferenceData!$O$137),"",ReferenceData!$O$137),"")</f>
        <v>26813.617999999999</v>
      </c>
      <c r="P137">
        <f ca="1">IFERROR(IF(0=LEN(ReferenceData!$P$137),"",ReferenceData!$P$137),"")</f>
        <v>22170.337</v>
      </c>
      <c r="Q137">
        <f ca="1">IFERROR(IF(0=LEN(ReferenceData!$Q$137),"",ReferenceData!$Q$137),"")</f>
        <v>19177.742999999999</v>
      </c>
      <c r="R137">
        <f ca="1">IFERROR(IF(0=LEN(ReferenceData!$R$137),"",ReferenceData!$R$137),"")</f>
        <v>18048.169999999998</v>
      </c>
      <c r="S137">
        <f ca="1">IFERROR(IF(0=LEN(ReferenceData!$S$137),"",ReferenceData!$S$137),"")</f>
        <v>17357.438999999998</v>
      </c>
      <c r="T137">
        <f ca="1">IFERROR(IF(0=LEN(ReferenceData!$T$137),"",ReferenceData!$T$137),"")</f>
        <v>16030.998</v>
      </c>
      <c r="U137">
        <f ca="1">IFERROR(IF(0=LEN(ReferenceData!$U$137),"",ReferenceData!$U$137),"")</f>
        <v>12551.282999999999</v>
      </c>
      <c r="V137">
        <f ca="1">IFERROR(IF(0=LEN(ReferenceData!$V$137),"",ReferenceData!$V$137),"")</f>
        <v>15633.941999999999</v>
      </c>
      <c r="W137">
        <f ca="1">IFERROR(IF(0=LEN(ReferenceData!$W$137),"",ReferenceData!$W$137),"")</f>
        <v>16430.575000000001</v>
      </c>
      <c r="X137">
        <f ca="1">IFERROR(IF(0=LEN(ReferenceData!$X$137),"",ReferenceData!$X$137),"")</f>
        <v>11447.866</v>
      </c>
      <c r="Y137">
        <f ca="1">IFERROR(IF(0=LEN(ReferenceData!$Y$137),"",ReferenceData!$Y$137),"")</f>
        <v>5637.5110000000004</v>
      </c>
      <c r="Z137">
        <f ca="1">IFERROR(IF(0=LEN(ReferenceData!$Z$137),"",ReferenceData!$Z$137),"")</f>
        <v>2692.8270000000002</v>
      </c>
      <c r="AA137" t="str">
        <f ca="1">IFERROR(IF(0=LEN(ReferenceData!$AA$137),"",ReferenceData!$AA$137),"")</f>
        <v/>
      </c>
      <c r="AB137" t="str">
        <f ca="1">IFERROR(IF(0=LEN(ReferenceData!$AB$137),"",ReferenceData!$AB$137),"")</f>
        <v/>
      </c>
      <c r="AC137" t="str">
        <f ca="1">IFERROR(IF(0=LEN(ReferenceData!$AC$137),"",ReferenceData!$AC$137),"")</f>
        <v/>
      </c>
      <c r="AD137" t="str">
        <f ca="1">IFERROR(IF(0=LEN(ReferenceData!$AD$137),"",ReferenceData!$AD$137),"")</f>
        <v/>
      </c>
      <c r="AE137" t="str">
        <f ca="1">IFERROR(IF(0=LEN(ReferenceData!$AE$137),"",ReferenceData!$AE$137),"")</f>
        <v/>
      </c>
      <c r="AF137" t="str">
        <f ca="1">IFERROR(IF(0=LEN(ReferenceData!$AF$137),"",ReferenceData!$AF$137),"")</f>
        <v/>
      </c>
      <c r="AG137" t="str">
        <f ca="1">IFERROR(IF(0=LEN(ReferenceData!$AG$137),"",ReferenceData!$AG$137),"")</f>
        <v/>
      </c>
      <c r="AH137" t="str">
        <f ca="1">IFERROR(IF(0=LEN(ReferenceData!$AH$137),"",ReferenceData!$AH$137),"")</f>
        <v/>
      </c>
      <c r="AI137" t="str">
        <f ca="1">IFERROR(IF(0=LEN(ReferenceData!$AI$137),"",ReferenceData!$AI$137),"")</f>
        <v/>
      </c>
      <c r="AJ137" t="str">
        <f ca="1">IFERROR(IF(0=LEN(ReferenceData!$AJ$137),"",ReferenceData!$AJ$137),"")</f>
        <v/>
      </c>
      <c r="AK137" t="str">
        <f ca="1">IFERROR(IF(0=LEN(ReferenceData!$AK$137),"",ReferenceData!$AK$137),"")</f>
        <v/>
      </c>
      <c r="AL137" t="str">
        <f ca="1">IFERROR(IF(0=LEN(ReferenceData!$AL$137),"",ReferenceData!$AL$137),"")</f>
        <v/>
      </c>
    </row>
    <row r="138" spans="1:38" x14ac:dyDescent="0.25">
      <c r="A138" t="str">
        <f>IFERROR(IF(0=LEN(ReferenceData!$A$138),"",ReferenceData!$A$138),"")</f>
        <v xml:space="preserve">        Comerica Inc</v>
      </c>
      <c r="B138" t="str">
        <f>IFERROR(IF(0=LEN(ReferenceData!$B$138),"",ReferenceData!$B$138),"")</f>
        <v>CMA US Equity</v>
      </c>
      <c r="C138" t="str">
        <f>IFERROR(IF(0=LEN(ReferenceData!$C$138),"",ReferenceData!$C$138),"")</f>
        <v>F0090</v>
      </c>
      <c r="D138" t="str">
        <f>IFERROR(IF(0=LEN(ReferenceData!$D$138),"",ReferenceData!$D$138),"")</f>
        <v>FED_C&amp;I_LOANS_CONSOLIDATED</v>
      </c>
      <c r="E138" t="str">
        <f>IFERROR(IF(0=LEN(ReferenceData!$E$138),"",ReferenceData!$E$138),"")</f>
        <v>Dynamic</v>
      </c>
      <c r="F138" t="str">
        <f ca="1">IFERROR(IF(0=LEN(ReferenceData!$F$138),"",ReferenceData!$F$138),"")</f>
        <v/>
      </c>
      <c r="G138">
        <f ca="1">IFERROR(IF(0=LEN(ReferenceData!$G$138),"",ReferenceData!$G$138),"")</f>
        <v>24769</v>
      </c>
      <c r="H138">
        <f ca="1">IFERROR(IF(0=LEN(ReferenceData!$H$138),"",ReferenceData!$H$138),"")</f>
        <v>25619</v>
      </c>
      <c r="I138">
        <f ca="1">IFERROR(IF(0=LEN(ReferenceData!$I$138),"",ReferenceData!$I$138),"")</f>
        <v>22935</v>
      </c>
      <c r="J138">
        <f ca="1">IFERROR(IF(0=LEN(ReferenceData!$J$138),"",ReferenceData!$J$138),"")</f>
        <v>25290</v>
      </c>
      <c r="K138">
        <f ca="1">IFERROR(IF(0=LEN(ReferenceData!$K$138),"",ReferenceData!$K$138),"")</f>
        <v>25882</v>
      </c>
      <c r="L138">
        <f ca="1">IFERROR(IF(0=LEN(ReferenceData!$L$138),"",ReferenceData!$L$138),"")</f>
        <v>27039.773000000001</v>
      </c>
      <c r="M138">
        <f ca="1">IFERROR(IF(0=LEN(ReferenceData!$M$138),"",ReferenceData!$M$138),"")</f>
        <v>26958.605</v>
      </c>
      <c r="N138">
        <f ca="1">IFERROR(IF(0=LEN(ReferenceData!$N$138),"",ReferenceData!$N$138),"")</f>
        <v>26638.668000000001</v>
      </c>
      <c r="O138">
        <f ca="1">IFERROR(IF(0=LEN(ReferenceData!$O$138),"",ReferenceData!$O$138),"")</f>
        <v>27443.327000000001</v>
      </c>
      <c r="P138">
        <f ca="1">IFERROR(IF(0=LEN(ReferenceData!$P$138),"",ReferenceData!$P$138),"")</f>
        <v>28661.366000000002</v>
      </c>
      <c r="Q138">
        <f ca="1">IFERROR(IF(0=LEN(ReferenceData!$Q$138),"",ReferenceData!$Q$138),"")</f>
        <v>26640.554</v>
      </c>
      <c r="R138">
        <f ca="1">IFERROR(IF(0=LEN(ReferenceData!$R$138),"",ReferenceData!$R$138),"")</f>
        <v>26080.764999999999</v>
      </c>
      <c r="S138">
        <f ca="1">IFERROR(IF(0=LEN(ReferenceData!$S$138),"",ReferenceData!$S$138),"")</f>
        <v>23400.526000000002</v>
      </c>
      <c r="T138">
        <f ca="1">IFERROR(IF(0=LEN(ReferenceData!$T$138),"",ReferenceData!$T$138),"")</f>
        <v>21251.794999999998</v>
      </c>
      <c r="U138">
        <f ca="1">IFERROR(IF(0=LEN(ReferenceData!$U$138),"",ReferenceData!$U$138),"")</f>
        <v>20559.135999999999</v>
      </c>
      <c r="V138">
        <f ca="1">IFERROR(IF(0=LEN(ReferenceData!$V$138),"",ReferenceData!$V$138),"")</f>
        <v>24451.203000000001</v>
      </c>
      <c r="W138">
        <f ca="1">IFERROR(IF(0=LEN(ReferenceData!$W$138),"",ReferenceData!$W$138),"")</f>
        <v>24784.782999999999</v>
      </c>
      <c r="X138">
        <f ca="1">IFERROR(IF(0=LEN(ReferenceData!$X$138),"",ReferenceData!$X$138),"")</f>
        <v>23483.136999999999</v>
      </c>
      <c r="Y138">
        <f ca="1">IFERROR(IF(0=LEN(ReferenceData!$Y$138),"",ReferenceData!$Y$138),"")</f>
        <v>21018.958999999999</v>
      </c>
      <c r="Z138">
        <f ca="1">IFERROR(IF(0=LEN(ReferenceData!$Z$138),"",ReferenceData!$Z$138),"")</f>
        <v>22096.056</v>
      </c>
      <c r="AA138">
        <f ca="1">IFERROR(IF(0=LEN(ReferenceData!$AA$138),"",ReferenceData!$AA$138),"")</f>
        <v>22399.882000000001</v>
      </c>
      <c r="AB138">
        <f ca="1">IFERROR(IF(0=LEN(ReferenceData!$AB$138),"",ReferenceData!$AB$138),"")</f>
        <v>24344.472000000002</v>
      </c>
      <c r="AC138">
        <f ca="1">IFERROR(IF(0=LEN(ReferenceData!$AC$138),"",ReferenceData!$AC$138),"")</f>
        <v>24553.081999999999</v>
      </c>
      <c r="AD138" t="str">
        <f ca="1">IFERROR(IF(0=LEN(ReferenceData!$AD$138),"",ReferenceData!$AD$138),"")</f>
        <v/>
      </c>
      <c r="AE138" t="str">
        <f ca="1">IFERROR(IF(0=LEN(ReferenceData!$AE$138),"",ReferenceData!$AE$138),"")</f>
        <v/>
      </c>
      <c r="AF138" t="str">
        <f ca="1">IFERROR(IF(0=LEN(ReferenceData!$AF$138),"",ReferenceData!$AF$138),"")</f>
        <v/>
      </c>
      <c r="AG138" t="str">
        <f ca="1">IFERROR(IF(0=LEN(ReferenceData!$AG$138),"",ReferenceData!$AG$138),"")</f>
        <v/>
      </c>
      <c r="AH138" t="str">
        <f ca="1">IFERROR(IF(0=LEN(ReferenceData!$AH$138),"",ReferenceData!$AH$138),"")</f>
        <v/>
      </c>
      <c r="AI138" t="str">
        <f ca="1">IFERROR(IF(0=LEN(ReferenceData!$AI$138),"",ReferenceData!$AI$138),"")</f>
        <v/>
      </c>
      <c r="AJ138" t="str">
        <f ca="1">IFERROR(IF(0=LEN(ReferenceData!$AJ$138),"",ReferenceData!$AJ$138),"")</f>
        <v/>
      </c>
      <c r="AK138" t="str">
        <f ca="1">IFERROR(IF(0=LEN(ReferenceData!$AK$138),"",ReferenceData!$AK$138),"")</f>
        <v/>
      </c>
      <c r="AL138" t="str">
        <f ca="1">IFERROR(IF(0=LEN(ReferenceData!$AL$138),"",ReferenceData!$AL$138),"")</f>
        <v/>
      </c>
    </row>
    <row r="139" spans="1:38" x14ac:dyDescent="0.25">
      <c r="A139" t="str">
        <f>IFERROR(IF(0=LEN(ReferenceData!$A$139),"",ReferenceData!$A$139),"")</f>
        <v xml:space="preserve">        East West Bancorp Inc</v>
      </c>
      <c r="B139" t="str">
        <f>IFERROR(IF(0=LEN(ReferenceData!$B$139),"",ReferenceData!$B$139),"")</f>
        <v>EWBC US Equity</v>
      </c>
      <c r="C139" t="str">
        <f>IFERROR(IF(0=LEN(ReferenceData!$C$139),"",ReferenceData!$C$139),"")</f>
        <v>F0090</v>
      </c>
      <c r="D139" t="str">
        <f>IFERROR(IF(0=LEN(ReferenceData!$D$139),"",ReferenceData!$D$139),"")</f>
        <v>FED_C&amp;I_LOANS_CONSOLIDATED</v>
      </c>
      <c r="E139" t="str">
        <f>IFERROR(IF(0=LEN(ReferenceData!$E$139),"",ReferenceData!$E$139),"")</f>
        <v>Dynamic</v>
      </c>
      <c r="F139" t="str">
        <f ca="1">IFERROR(IF(0=LEN(ReferenceData!$F$139),"",ReferenceData!$F$139),"")</f>
        <v/>
      </c>
      <c r="G139">
        <f ca="1">IFERROR(IF(0=LEN(ReferenceData!$G$139),"",ReferenceData!$G$139),"")</f>
        <v>10236.644</v>
      </c>
      <c r="H139">
        <f ca="1">IFERROR(IF(0=LEN(ReferenceData!$H$139),"",ReferenceData!$H$139),"")</f>
        <v>9895.6759999999995</v>
      </c>
      <c r="I139">
        <f ca="1">IFERROR(IF(0=LEN(ReferenceData!$I$139),"",ReferenceData!$I$139),"")</f>
        <v>9756.241</v>
      </c>
      <c r="J139">
        <f ca="1">IFERROR(IF(0=LEN(ReferenceData!$J$139),"",ReferenceData!$J$139),"")</f>
        <v>10392.837</v>
      </c>
      <c r="K139">
        <f ca="1">IFERROR(IF(0=LEN(ReferenceData!$K$139),"",ReferenceData!$K$139),"")</f>
        <v>9746.7980000000007</v>
      </c>
      <c r="L139">
        <f ca="1">IFERROR(IF(0=LEN(ReferenceData!$L$139),"",ReferenceData!$L$139),"")</f>
        <v>9496.41</v>
      </c>
      <c r="M139">
        <f ca="1">IFERROR(IF(0=LEN(ReferenceData!$M$139),"",ReferenceData!$M$139),"")</f>
        <v>8704.6139999999996</v>
      </c>
      <c r="N139">
        <f ca="1">IFERROR(IF(0=LEN(ReferenceData!$N$139),"",ReferenceData!$N$139),"")</f>
        <v>7843.5559999999996</v>
      </c>
      <c r="O139">
        <f ca="1">IFERROR(IF(0=LEN(ReferenceData!$O$139),"",ReferenceData!$O$139),"")</f>
        <v>7471.7089999999998</v>
      </c>
      <c r="P139">
        <f ca="1">IFERROR(IF(0=LEN(ReferenceData!$P$139),"",ReferenceData!$P$139),"")</f>
        <v>7076.7929999999997</v>
      </c>
      <c r="Q139">
        <f ca="1">IFERROR(IF(0=LEN(ReferenceData!$Q$139),"",ReferenceData!$Q$139),"")</f>
        <v>5543.598</v>
      </c>
      <c r="R139">
        <f ca="1">IFERROR(IF(0=LEN(ReferenceData!$R$139),"",ReferenceData!$R$139),"")</f>
        <v>4753.6040000000003</v>
      </c>
      <c r="S139">
        <f ca="1">IFERROR(IF(0=LEN(ReferenceData!$S$139),"",ReferenceData!$S$139),"")</f>
        <v>3870.0749999999998</v>
      </c>
      <c r="T139">
        <f ca="1">IFERROR(IF(0=LEN(ReferenceData!$T$139),"",ReferenceData!$T$139),"")</f>
        <v>2880.0349999999999</v>
      </c>
      <c r="U139">
        <f ca="1">IFERROR(IF(0=LEN(ReferenceData!$U$139),"",ReferenceData!$U$139),"")</f>
        <v>2581.6950000000002</v>
      </c>
      <c r="V139">
        <f ca="1">IFERROR(IF(0=LEN(ReferenceData!$V$139),"",ReferenceData!$V$139),"")</f>
        <v>1554.5930000000001</v>
      </c>
      <c r="W139">
        <f ca="1">IFERROR(IF(0=LEN(ReferenceData!$W$139),"",ReferenceData!$W$139),"")</f>
        <v>1805.6210000000001</v>
      </c>
      <c r="X139">
        <f ca="1">IFERROR(IF(0=LEN(ReferenceData!$X$139),"",ReferenceData!$X$139),"")</f>
        <v>1232.1969999999999</v>
      </c>
      <c r="Y139">
        <f ca="1">IFERROR(IF(0=LEN(ReferenceData!$Y$139),"",ReferenceData!$Y$139),"")</f>
        <v>869.10400000000004</v>
      </c>
      <c r="Z139">
        <f ca="1">IFERROR(IF(0=LEN(ReferenceData!$Z$139),"",ReferenceData!$Z$139),"")</f>
        <v>588.38599999999997</v>
      </c>
      <c r="AA139">
        <f ca="1">IFERROR(IF(0=LEN(ReferenceData!$AA$139),"",ReferenceData!$AA$139),"")</f>
        <v>424.46499999999997</v>
      </c>
      <c r="AB139">
        <f ca="1">IFERROR(IF(0=LEN(ReferenceData!$AB$139),"",ReferenceData!$AB$139),"")</f>
        <v>330.358</v>
      </c>
      <c r="AC139">
        <f ca="1">IFERROR(IF(0=LEN(ReferenceData!$AC$139),"",ReferenceData!$AC$139),"")</f>
        <v>355.702</v>
      </c>
      <c r="AD139" t="str">
        <f ca="1">IFERROR(IF(0=LEN(ReferenceData!$AD$139),"",ReferenceData!$AD$139),"")</f>
        <v/>
      </c>
      <c r="AE139" t="str">
        <f ca="1">IFERROR(IF(0=LEN(ReferenceData!$AE$139),"",ReferenceData!$AE$139),"")</f>
        <v/>
      </c>
      <c r="AF139" t="str">
        <f ca="1">IFERROR(IF(0=LEN(ReferenceData!$AF$139),"",ReferenceData!$AF$139),"")</f>
        <v/>
      </c>
      <c r="AG139" t="str">
        <f ca="1">IFERROR(IF(0=LEN(ReferenceData!$AG$139),"",ReferenceData!$AG$139),"")</f>
        <v/>
      </c>
      <c r="AH139" t="str">
        <f ca="1">IFERROR(IF(0=LEN(ReferenceData!$AH$139),"",ReferenceData!$AH$139),"")</f>
        <v/>
      </c>
      <c r="AI139" t="str">
        <f ca="1">IFERROR(IF(0=LEN(ReferenceData!$AI$139),"",ReferenceData!$AI$139),"")</f>
        <v/>
      </c>
      <c r="AJ139" t="str">
        <f ca="1">IFERROR(IF(0=LEN(ReferenceData!$AJ$139),"",ReferenceData!$AJ$139),"")</f>
        <v/>
      </c>
      <c r="AK139" t="str">
        <f ca="1">IFERROR(IF(0=LEN(ReferenceData!$AK$139),"",ReferenceData!$AK$139),"")</f>
        <v/>
      </c>
      <c r="AL139" t="str">
        <f ca="1">IFERROR(IF(0=LEN(ReferenceData!$AL$139),"",ReferenceData!$AL$139),"")</f>
        <v/>
      </c>
    </row>
    <row r="140" spans="1:38" x14ac:dyDescent="0.25">
      <c r="A140" t="str">
        <f>IFERROR(IF(0=LEN(ReferenceData!$A$140),"",ReferenceData!$A$140),"")</f>
        <v xml:space="preserve">        Fifth Third Bancorp</v>
      </c>
      <c r="B140" t="str">
        <f>IFERROR(IF(0=LEN(ReferenceData!$B$140),"",ReferenceData!$B$140),"")</f>
        <v>FITB US Equity</v>
      </c>
      <c r="C140" t="str">
        <f>IFERROR(IF(0=LEN(ReferenceData!$C$140),"",ReferenceData!$C$140),"")</f>
        <v>F0090</v>
      </c>
      <c r="D140" t="str">
        <f>IFERROR(IF(0=LEN(ReferenceData!$D$140),"",ReferenceData!$D$140),"")</f>
        <v>FED_C&amp;I_LOANS_CONSOLIDATED</v>
      </c>
      <c r="E140" t="str">
        <f>IFERROR(IF(0=LEN(ReferenceData!$E$140),"",ReferenceData!$E$140),"")</f>
        <v>Dynamic</v>
      </c>
      <c r="F140">
        <f ca="1">IFERROR(IF(0=LEN(ReferenceData!$F$140),"",ReferenceData!$F$140),"")</f>
        <v>43671</v>
      </c>
      <c r="G140">
        <f ca="1">IFERROR(IF(0=LEN(ReferenceData!$G$140),"",ReferenceData!$G$140),"")</f>
        <v>44862</v>
      </c>
      <c r="H140">
        <f ca="1">IFERROR(IF(0=LEN(ReferenceData!$H$140),"",ReferenceData!$H$140),"")</f>
        <v>48994.118999999999</v>
      </c>
      <c r="I140">
        <f ca="1">IFERROR(IF(0=LEN(ReferenceData!$I$140),"",ReferenceData!$I$140),"")</f>
        <v>43503.324999999997</v>
      </c>
      <c r="J140">
        <f ca="1">IFERROR(IF(0=LEN(ReferenceData!$J$140),"",ReferenceData!$J$140),"")</f>
        <v>45052.552000000003</v>
      </c>
      <c r="K140">
        <f ca="1">IFERROR(IF(0=LEN(ReferenceData!$K$140),"",ReferenceData!$K$140),"")</f>
        <v>45717.123</v>
      </c>
      <c r="L140">
        <f ca="1">IFERROR(IF(0=LEN(ReferenceData!$L$140),"",ReferenceData!$L$140),"")</f>
        <v>38231.862999999998</v>
      </c>
      <c r="M140">
        <f ca="1">IFERROR(IF(0=LEN(ReferenceData!$M$140),"",ReferenceData!$M$140),"")</f>
        <v>36089.591</v>
      </c>
      <c r="N140">
        <f ca="1">IFERROR(IF(0=LEN(ReferenceData!$N$140),"",ReferenceData!$N$140),"")</f>
        <v>35907.538999999997</v>
      </c>
      <c r="O140">
        <f ca="1">IFERROR(IF(0=LEN(ReferenceData!$O$140),"",ReferenceData!$O$140),"")</f>
        <v>36057.894999999997</v>
      </c>
      <c r="P140">
        <f ca="1">IFERROR(IF(0=LEN(ReferenceData!$P$140),"",ReferenceData!$P$140),"")</f>
        <v>34472.421000000002</v>
      </c>
      <c r="Q140">
        <f ca="1">IFERROR(IF(0=LEN(ReferenceData!$Q$140),"",ReferenceData!$Q$140),"")</f>
        <v>33343.266000000003</v>
      </c>
      <c r="R140">
        <f ca="1">IFERROR(IF(0=LEN(ReferenceData!$R$140),"",ReferenceData!$R$140),"")</f>
        <v>30938.088</v>
      </c>
      <c r="S140">
        <f ca="1">IFERROR(IF(0=LEN(ReferenceData!$S$140),"",ReferenceData!$S$140),"")</f>
        <v>25592.778999999999</v>
      </c>
      <c r="T140">
        <f ca="1">IFERROR(IF(0=LEN(ReferenceData!$T$140),"",ReferenceData!$T$140),"")</f>
        <v>22374.27</v>
      </c>
      <c r="U140">
        <f ca="1">IFERROR(IF(0=LEN(ReferenceData!$U$140),"",ReferenceData!$U$140),"")</f>
        <v>22051.252</v>
      </c>
      <c r="V140">
        <f ca="1">IFERROR(IF(0=LEN(ReferenceData!$V$140),"",ReferenceData!$V$140),"")</f>
        <v>25109.757000000001</v>
      </c>
      <c r="W140">
        <f ca="1">IFERROR(IF(0=LEN(ReferenceData!$W$140),"",ReferenceData!$W$140),"")</f>
        <v>21752.419000000002</v>
      </c>
      <c r="X140">
        <f ca="1">IFERROR(IF(0=LEN(ReferenceData!$X$140),"",ReferenceData!$X$140),"")</f>
        <v>16189.016</v>
      </c>
      <c r="Y140">
        <f ca="1">IFERROR(IF(0=LEN(ReferenceData!$Y$140),"",ReferenceData!$Y$140),"")</f>
        <v>20833.276999999998</v>
      </c>
      <c r="Z140">
        <f ca="1">IFERROR(IF(0=LEN(ReferenceData!$Z$140),"",ReferenceData!$Z$140),"")</f>
        <v>16652.796999999999</v>
      </c>
      <c r="AA140">
        <f ca="1">IFERROR(IF(0=LEN(ReferenceData!$AA$140),"",ReferenceData!$AA$140),"")</f>
        <v>13338.079</v>
      </c>
      <c r="AB140">
        <f ca="1">IFERROR(IF(0=LEN(ReferenceData!$AB$140),"",ReferenceData!$AB$140),"")</f>
        <v>11277.380999999999</v>
      </c>
      <c r="AC140">
        <f ca="1">IFERROR(IF(0=LEN(ReferenceData!$AC$140),"",ReferenceData!$AC$140),"")</f>
        <v>9294.0020000000004</v>
      </c>
      <c r="AD140" t="str">
        <f ca="1">IFERROR(IF(0=LEN(ReferenceData!$AD$140),"",ReferenceData!$AD$140),"")</f>
        <v/>
      </c>
      <c r="AE140" t="str">
        <f ca="1">IFERROR(IF(0=LEN(ReferenceData!$AE$140),"",ReferenceData!$AE$140),"")</f>
        <v/>
      </c>
      <c r="AF140" t="str">
        <f ca="1">IFERROR(IF(0=LEN(ReferenceData!$AF$140),"",ReferenceData!$AF$140),"")</f>
        <v/>
      </c>
      <c r="AG140" t="str">
        <f ca="1">IFERROR(IF(0=LEN(ReferenceData!$AG$140),"",ReferenceData!$AG$140),"")</f>
        <v/>
      </c>
      <c r="AH140" t="str">
        <f ca="1">IFERROR(IF(0=LEN(ReferenceData!$AH$140),"",ReferenceData!$AH$140),"")</f>
        <v/>
      </c>
      <c r="AI140" t="str">
        <f ca="1">IFERROR(IF(0=LEN(ReferenceData!$AI$140),"",ReferenceData!$AI$140),"")</f>
        <v/>
      </c>
      <c r="AJ140" t="str">
        <f ca="1">IFERROR(IF(0=LEN(ReferenceData!$AJ$140),"",ReferenceData!$AJ$140),"")</f>
        <v/>
      </c>
      <c r="AK140" t="str">
        <f ca="1">IFERROR(IF(0=LEN(ReferenceData!$AK$140),"",ReferenceData!$AK$140),"")</f>
        <v/>
      </c>
      <c r="AL140" t="str">
        <f ca="1">IFERROR(IF(0=LEN(ReferenceData!$AL$140),"",ReferenceData!$AL$140),"")</f>
        <v/>
      </c>
    </row>
    <row r="141" spans="1:38" x14ac:dyDescent="0.25">
      <c r="A141" t="str">
        <f>IFERROR(IF(0=LEN(ReferenceData!$A$141),"",ReferenceData!$A$141),"")</f>
        <v xml:space="preserve">        First Citizens BancShares Inc/</v>
      </c>
      <c r="B141" t="str">
        <f>IFERROR(IF(0=LEN(ReferenceData!$B$141),"",ReferenceData!$B$141),"")</f>
        <v>FCNCA US Equity</v>
      </c>
      <c r="C141" t="str">
        <f>IFERROR(IF(0=LEN(ReferenceData!$C$141),"",ReferenceData!$C$141),"")</f>
        <v>F0090</v>
      </c>
      <c r="D141" t="str">
        <f>IFERROR(IF(0=LEN(ReferenceData!$D$141),"",ReferenceData!$D$141),"")</f>
        <v>FED_C&amp;I_LOANS_CONSOLIDATED</v>
      </c>
      <c r="E141" t="str">
        <f>IFERROR(IF(0=LEN(ReferenceData!$E$141),"",ReferenceData!$E$141),"")</f>
        <v>Dynamic</v>
      </c>
      <c r="F141">
        <f ca="1">IFERROR(IF(0=LEN(ReferenceData!$F$141),"",ReferenceData!$F$141),"")</f>
        <v>37527</v>
      </c>
      <c r="G141">
        <f ca="1">IFERROR(IF(0=LEN(ReferenceData!$G$141),"",ReferenceData!$G$141),"")</f>
        <v>37800.85</v>
      </c>
      <c r="H141">
        <f ca="1">IFERROR(IF(0=LEN(ReferenceData!$H$141),"",ReferenceData!$H$141),"")</f>
        <v>19669.96</v>
      </c>
      <c r="I141">
        <f ca="1">IFERROR(IF(0=LEN(ReferenceData!$I$141),"",ReferenceData!$I$141),"")</f>
        <v>4960.9650000000001</v>
      </c>
      <c r="J141">
        <f ca="1">IFERROR(IF(0=LEN(ReferenceData!$J$141),"",ReferenceData!$J$141),"")</f>
        <v>6164.8919999999998</v>
      </c>
      <c r="K141">
        <f ca="1">IFERROR(IF(0=LEN(ReferenceData!$K$141),"",ReferenceData!$K$141),"")</f>
        <v>3461.8989999999999</v>
      </c>
      <c r="L141">
        <f ca="1">IFERROR(IF(0=LEN(ReferenceData!$L$141),"",ReferenceData!$L$141),"")</f>
        <v>2867.4810000000002</v>
      </c>
      <c r="M141">
        <f ca="1">IFERROR(IF(0=LEN(ReferenceData!$M$141),"",ReferenceData!$M$141),"")</f>
        <v>2303.0500000000002</v>
      </c>
      <c r="N141">
        <f ca="1">IFERROR(IF(0=LEN(ReferenceData!$N$141),"",ReferenceData!$N$141),"")</f>
        <v>2168.393</v>
      </c>
      <c r="O141">
        <f ca="1">IFERROR(IF(0=LEN(ReferenceData!$O$141),"",ReferenceData!$O$141),"")</f>
        <v>1973.182</v>
      </c>
      <c r="P141">
        <f ca="1">IFERROR(IF(0=LEN(ReferenceData!$P$141),"",ReferenceData!$P$141),"")</f>
        <v>1650.8320000000001</v>
      </c>
      <c r="Q141">
        <f ca="1">IFERROR(IF(0=LEN(ReferenceData!$Q$141),"",ReferenceData!$Q$141),"")</f>
        <v>966.49099999999999</v>
      </c>
      <c r="R141">
        <f ca="1">IFERROR(IF(0=LEN(ReferenceData!$R$141),"",ReferenceData!$R$141),"")</f>
        <v>1701.5419999999999</v>
      </c>
      <c r="S141">
        <f ca="1">IFERROR(IF(0=LEN(ReferenceData!$S$141),"",ReferenceData!$S$141),"")</f>
        <v>1758.124</v>
      </c>
      <c r="T141">
        <f ca="1">IFERROR(IF(0=LEN(ReferenceData!$T$141),"",ReferenceData!$T$141),"")</f>
        <v>1800.2249999999999</v>
      </c>
      <c r="U141">
        <f ca="1">IFERROR(IF(0=LEN(ReferenceData!$U$141),"",ReferenceData!$U$141),"")</f>
        <v>1730.212</v>
      </c>
      <c r="V141">
        <f ca="1">IFERROR(IF(0=LEN(ReferenceData!$V$141),"",ReferenceData!$V$141),"")</f>
        <v>1695.9739999999999</v>
      </c>
      <c r="W141">
        <f ca="1">IFERROR(IF(0=LEN(ReferenceData!$W$141),"",ReferenceData!$W$141),"")</f>
        <v>1490.4960000000001</v>
      </c>
      <c r="X141">
        <f ca="1">IFERROR(IF(0=LEN(ReferenceData!$X$141),"",ReferenceData!$X$141),"")</f>
        <v>1275.7550000000001</v>
      </c>
      <c r="Y141">
        <f ca="1">IFERROR(IF(0=LEN(ReferenceData!$Y$141),"",ReferenceData!$Y$141),"")</f>
        <v>1047.2950000000001</v>
      </c>
      <c r="Z141">
        <f ca="1">IFERROR(IF(0=LEN(ReferenceData!$Z$141),"",ReferenceData!$Z$141),"")</f>
        <v>900.58299999999997</v>
      </c>
      <c r="AA141">
        <f ca="1">IFERROR(IF(0=LEN(ReferenceData!$AA$141),"",ReferenceData!$AA$141),"")</f>
        <v>862.37</v>
      </c>
      <c r="AB141">
        <f ca="1">IFERROR(IF(0=LEN(ReferenceData!$AB$141),"",ReferenceData!$AB$141),"")</f>
        <v>857.26499999999999</v>
      </c>
      <c r="AC141">
        <f ca="1">IFERROR(IF(0=LEN(ReferenceData!$AC$141),"",ReferenceData!$AC$141),"")</f>
        <v>854.32600000000002</v>
      </c>
      <c r="AD141" t="str">
        <f ca="1">IFERROR(IF(0=LEN(ReferenceData!$AD$141),"",ReferenceData!$AD$141),"")</f>
        <v/>
      </c>
      <c r="AE141" t="str">
        <f ca="1">IFERROR(IF(0=LEN(ReferenceData!$AE$141),"",ReferenceData!$AE$141),"")</f>
        <v/>
      </c>
      <c r="AF141" t="str">
        <f ca="1">IFERROR(IF(0=LEN(ReferenceData!$AF$141),"",ReferenceData!$AF$141),"")</f>
        <v/>
      </c>
      <c r="AG141" t="str">
        <f ca="1">IFERROR(IF(0=LEN(ReferenceData!$AG$141),"",ReferenceData!$AG$141),"")</f>
        <v/>
      </c>
      <c r="AH141" t="str">
        <f ca="1">IFERROR(IF(0=LEN(ReferenceData!$AH$141),"",ReferenceData!$AH$141),"")</f>
        <v/>
      </c>
      <c r="AI141" t="str">
        <f ca="1">IFERROR(IF(0=LEN(ReferenceData!$AI$141),"",ReferenceData!$AI$141),"")</f>
        <v/>
      </c>
      <c r="AJ141" t="str">
        <f ca="1">IFERROR(IF(0=LEN(ReferenceData!$AJ$141),"",ReferenceData!$AJ$141),"")</f>
        <v/>
      </c>
      <c r="AK141" t="str">
        <f ca="1">IFERROR(IF(0=LEN(ReferenceData!$AK$141),"",ReferenceData!$AK$141),"")</f>
        <v/>
      </c>
      <c r="AL141" t="str">
        <f ca="1">IFERROR(IF(0=LEN(ReferenceData!$AL$141),"",ReferenceData!$AL$141),"")</f>
        <v/>
      </c>
    </row>
    <row r="142" spans="1:38" x14ac:dyDescent="0.25">
      <c r="A142" t="str">
        <f>IFERROR(IF(0=LEN(ReferenceData!$A$142),"",ReferenceData!$A$142),"")</f>
        <v xml:space="preserve">        Flagstar Financial Inc</v>
      </c>
      <c r="B142" t="str">
        <f>IFERROR(IF(0=LEN(ReferenceData!$B$142),"",ReferenceData!$B$142),"")</f>
        <v>FLG US Equity</v>
      </c>
      <c r="C142" t="str">
        <f>IFERROR(IF(0=LEN(ReferenceData!$C$142),"",ReferenceData!$C$142),"")</f>
        <v>F0090</v>
      </c>
      <c r="D142" t="str">
        <f>IFERROR(IF(0=LEN(ReferenceData!$D$142),"",ReferenceData!$D$142),"")</f>
        <v>FED_C&amp;I_LOANS_CONSOLIDATED</v>
      </c>
      <c r="E142" t="str">
        <f>IFERROR(IF(0=LEN(ReferenceData!$E$142),"",ReferenceData!$E$142),"")</f>
        <v>Dynamic</v>
      </c>
      <c r="F142">
        <f ca="1">IFERROR(IF(0=LEN(ReferenceData!$F$142),"",ReferenceData!$F$142),"")</f>
        <v>9367.3770000000004</v>
      </c>
      <c r="G142">
        <f ca="1">IFERROR(IF(0=LEN(ReferenceData!$G$142),"",ReferenceData!$G$142),"")</f>
        <v>12136.962</v>
      </c>
      <c r="H142">
        <f ca="1">IFERROR(IF(0=LEN(ReferenceData!$H$142),"",ReferenceData!$H$142),"")</f>
        <v>5116.49</v>
      </c>
      <c r="I142">
        <f ca="1">IFERROR(IF(0=LEN(ReferenceData!$I$142),"",ReferenceData!$I$142),"")</f>
        <v>2042.838</v>
      </c>
      <c r="J142">
        <f ca="1">IFERROR(IF(0=LEN(ReferenceData!$J$142),"",ReferenceData!$J$142),"")</f>
        <v>1801.171</v>
      </c>
      <c r="K142">
        <f ca="1">IFERROR(IF(0=LEN(ReferenceData!$K$142),"",ReferenceData!$K$142),"")</f>
        <v>1744.7380000000001</v>
      </c>
      <c r="L142">
        <f ca="1">IFERROR(IF(0=LEN(ReferenceData!$L$142),"",ReferenceData!$L$142),"")</f>
        <v>1705.713</v>
      </c>
      <c r="M142">
        <f ca="1">IFERROR(IF(0=LEN(ReferenceData!$M$142),"",ReferenceData!$M$142),"")</f>
        <v>1376.492</v>
      </c>
      <c r="N142">
        <f ca="1">IFERROR(IF(0=LEN(ReferenceData!$N$142),"",ReferenceData!$N$142),"")</f>
        <v>1340.1389999999999</v>
      </c>
      <c r="O142">
        <f ca="1">IFERROR(IF(0=LEN(ReferenceData!$O$142),"",ReferenceData!$O$142),"")</f>
        <v>1084.0119999999999</v>
      </c>
      <c r="P142">
        <f ca="1">IFERROR(IF(0=LEN(ReferenceData!$P$142),"",ReferenceData!$P$142),"")</f>
        <v>1065.683</v>
      </c>
      <c r="Q142">
        <f ca="1">IFERROR(IF(0=LEN(ReferenceData!$Q$142),"",ReferenceData!$Q$142),"")</f>
        <v>728.32299999999998</v>
      </c>
      <c r="R142">
        <f ca="1">IFERROR(IF(0=LEN(ReferenceData!$R$142),"",ReferenceData!$R$142),"")</f>
        <v>619.80499999999995</v>
      </c>
      <c r="S142">
        <f ca="1">IFERROR(IF(0=LEN(ReferenceData!$S$142),"",ReferenceData!$S$142),"")</f>
        <v>657.20100000000002</v>
      </c>
      <c r="T142">
        <f ca="1">IFERROR(IF(0=LEN(ReferenceData!$T$142),"",ReferenceData!$T$142),"")</f>
        <v>712.38499999999999</v>
      </c>
      <c r="U142">
        <f ca="1">IFERROR(IF(0=LEN(ReferenceData!$U$142),"",ReferenceData!$U$142),"")</f>
        <v>653.65099999999995</v>
      </c>
      <c r="V142">
        <f ca="1">IFERROR(IF(0=LEN(ReferenceData!$V$142),"",ReferenceData!$V$142),"")</f>
        <v>713.53099999999995</v>
      </c>
      <c r="W142">
        <f ca="1">IFERROR(IF(0=LEN(ReferenceData!$W$142),"",ReferenceData!$W$142),"")</f>
        <v>706.56200000000001</v>
      </c>
      <c r="X142">
        <f ca="1">IFERROR(IF(0=LEN(ReferenceData!$X$142),"",ReferenceData!$X$142),"")</f>
        <v>643.14700000000005</v>
      </c>
      <c r="Y142">
        <f ca="1">IFERROR(IF(0=LEN(ReferenceData!$Y$142),"",ReferenceData!$Y$142),"")</f>
        <v>163.548</v>
      </c>
      <c r="Z142">
        <f ca="1">IFERROR(IF(0=LEN(ReferenceData!$Z$142),"",ReferenceData!$Z$142),"")</f>
        <v>89.19</v>
      </c>
      <c r="AA142">
        <f ca="1">IFERROR(IF(0=LEN(ReferenceData!$AA$142),"",ReferenceData!$AA$142),"")</f>
        <v>65.518000000000001</v>
      </c>
      <c r="AB142">
        <f ca="1">IFERROR(IF(0=LEN(ReferenceData!$AB$142),"",ReferenceData!$AB$142),"")</f>
        <v>60.158999999999999</v>
      </c>
      <c r="AC142">
        <f ca="1">IFERROR(IF(0=LEN(ReferenceData!$AC$142),"",ReferenceData!$AC$142),"")</f>
        <v>1.1160000000000001</v>
      </c>
      <c r="AD142" t="str">
        <f ca="1">IFERROR(IF(0=LEN(ReferenceData!$AD$142),"",ReferenceData!$AD$142),"")</f>
        <v/>
      </c>
      <c r="AE142" t="str">
        <f ca="1">IFERROR(IF(0=LEN(ReferenceData!$AE$142),"",ReferenceData!$AE$142),"")</f>
        <v/>
      </c>
      <c r="AF142" t="str">
        <f ca="1">IFERROR(IF(0=LEN(ReferenceData!$AF$142),"",ReferenceData!$AF$142),"")</f>
        <v/>
      </c>
      <c r="AG142" t="str">
        <f ca="1">IFERROR(IF(0=LEN(ReferenceData!$AG$142),"",ReferenceData!$AG$142),"")</f>
        <v/>
      </c>
      <c r="AH142" t="str">
        <f ca="1">IFERROR(IF(0=LEN(ReferenceData!$AH$142),"",ReferenceData!$AH$142),"")</f>
        <v/>
      </c>
      <c r="AI142" t="str">
        <f ca="1">IFERROR(IF(0=LEN(ReferenceData!$AI$142),"",ReferenceData!$AI$142),"")</f>
        <v/>
      </c>
      <c r="AJ142" t="str">
        <f ca="1">IFERROR(IF(0=LEN(ReferenceData!$AJ$142),"",ReferenceData!$AJ$142),"")</f>
        <v/>
      </c>
      <c r="AK142" t="str">
        <f ca="1">IFERROR(IF(0=LEN(ReferenceData!$AK$142),"",ReferenceData!$AK$142),"")</f>
        <v/>
      </c>
      <c r="AL142" t="str">
        <f ca="1">IFERROR(IF(0=LEN(ReferenceData!$AL$142),"",ReferenceData!$AL$142),"")</f>
        <v/>
      </c>
    </row>
    <row r="143" spans="1:38" x14ac:dyDescent="0.25">
      <c r="A143" t="str">
        <f>IFERROR(IF(0=LEN(ReferenceData!$A$143),"",ReferenceData!$A$143),"")</f>
        <v xml:space="preserve">        Huntington Bancshares Inc/OH</v>
      </c>
      <c r="B143" t="str">
        <f>IFERROR(IF(0=LEN(ReferenceData!$B$143),"",ReferenceData!$B$143),"")</f>
        <v>HBAN US Equity</v>
      </c>
      <c r="C143" t="str">
        <f>IFERROR(IF(0=LEN(ReferenceData!$C$143),"",ReferenceData!$C$143),"")</f>
        <v>F0090</v>
      </c>
      <c r="D143" t="str">
        <f>IFERROR(IF(0=LEN(ReferenceData!$D$143),"",ReferenceData!$D$143),"")</f>
        <v>FED_C&amp;I_LOANS_CONSOLIDATED</v>
      </c>
      <c r="E143" t="str">
        <f>IFERROR(IF(0=LEN(ReferenceData!$E$143),"",ReferenceData!$E$143),"")</f>
        <v>Dynamic</v>
      </c>
      <c r="F143">
        <f ca="1">IFERROR(IF(0=LEN(ReferenceData!$F$143),"",ReferenceData!$F$143),"")</f>
        <v>37489.752999999997</v>
      </c>
      <c r="G143">
        <f ca="1">IFERROR(IF(0=LEN(ReferenceData!$G$143),"",ReferenceData!$G$143),"")</f>
        <v>34994.381999999998</v>
      </c>
      <c r="H143">
        <f ca="1">IFERROR(IF(0=LEN(ReferenceData!$H$143),"",ReferenceData!$H$143),"")</f>
        <v>32896.283000000003</v>
      </c>
      <c r="I143">
        <f ca="1">IFERROR(IF(0=LEN(ReferenceData!$I$143),"",ReferenceData!$I$143),"")</f>
        <v>32538.832999999999</v>
      </c>
      <c r="J143">
        <f ca="1">IFERROR(IF(0=LEN(ReferenceData!$J$143),"",ReferenceData!$J$143),"")</f>
        <v>26412.388999999999</v>
      </c>
      <c r="K143">
        <f ca="1">IFERROR(IF(0=LEN(ReferenceData!$K$143),"",ReferenceData!$K$143),"")</f>
        <v>22656.544999999998</v>
      </c>
      <c r="L143">
        <f ca="1">IFERROR(IF(0=LEN(ReferenceData!$L$143),"",ReferenceData!$L$143),"")</f>
        <v>22602.984</v>
      </c>
      <c r="M143">
        <f ca="1">IFERROR(IF(0=LEN(ReferenceData!$M$143),"",ReferenceData!$M$143),"")</f>
        <v>19914.337</v>
      </c>
      <c r="N143">
        <f ca="1">IFERROR(IF(0=LEN(ReferenceData!$N$143),"",ReferenceData!$N$143),"")</f>
        <v>19320.076000000001</v>
      </c>
      <c r="O143">
        <f ca="1">IFERROR(IF(0=LEN(ReferenceData!$O$143),"",ReferenceData!$O$143),"")</f>
        <v>14331.906999999999</v>
      </c>
      <c r="P143">
        <f ca="1">IFERROR(IF(0=LEN(ReferenceData!$P$143),"",ReferenceData!$P$143),"")</f>
        <v>12924.835999999999</v>
      </c>
      <c r="Q143">
        <f ca="1">IFERROR(IF(0=LEN(ReferenceData!$Q$143),"",ReferenceData!$Q$143),"")</f>
        <v>11933.986000000001</v>
      </c>
      <c r="R143">
        <f ca="1">IFERROR(IF(0=LEN(ReferenceData!$R$143),"",ReferenceData!$R$143),"")</f>
        <v>11541.575999999999</v>
      </c>
      <c r="S143">
        <f ca="1">IFERROR(IF(0=LEN(ReferenceData!$S$143),"",ReferenceData!$S$143),"")</f>
        <v>9903.9040000000005</v>
      </c>
      <c r="T143">
        <f ca="1">IFERROR(IF(0=LEN(ReferenceData!$T$143),"",ReferenceData!$T$143),"")</f>
        <v>8355.0220000000008</v>
      </c>
      <c r="U143">
        <f ca="1">IFERROR(IF(0=LEN(ReferenceData!$U$143),"",ReferenceData!$U$143),"")</f>
        <v>7280.3559999999998</v>
      </c>
      <c r="V143">
        <f ca="1">IFERROR(IF(0=LEN(ReferenceData!$V$143),"",ReferenceData!$V$143),"")</f>
        <v>7461.7690000000002</v>
      </c>
      <c r="W143">
        <f ca="1">IFERROR(IF(0=LEN(ReferenceData!$W$143),"",ReferenceData!$W$143),"")</f>
        <v>6589.402</v>
      </c>
      <c r="X143">
        <f ca="1">IFERROR(IF(0=LEN(ReferenceData!$X$143),"",ReferenceData!$X$143),"")</f>
        <v>4290.0709999999999</v>
      </c>
      <c r="Y143">
        <f ca="1">IFERROR(IF(0=LEN(ReferenceData!$Y$143),"",ReferenceData!$Y$143),"")</f>
        <v>3818.864</v>
      </c>
      <c r="Z143">
        <f ca="1">IFERROR(IF(0=LEN(ReferenceData!$Z$143),"",ReferenceData!$Z$143),"")</f>
        <v>3787.2489999999998</v>
      </c>
      <c r="AA143">
        <f ca="1">IFERROR(IF(0=LEN(ReferenceData!$AA$143),"",ReferenceData!$AA$143),"")</f>
        <v>3911.26</v>
      </c>
      <c r="AB143">
        <f ca="1">IFERROR(IF(0=LEN(ReferenceData!$AB$143),"",ReferenceData!$AB$143),"")</f>
        <v>4066.3939999999998</v>
      </c>
      <c r="AC143">
        <f ca="1">IFERROR(IF(0=LEN(ReferenceData!$AC$143),"",ReferenceData!$AC$143),"")</f>
        <v>4976.098</v>
      </c>
      <c r="AD143" t="str">
        <f ca="1">IFERROR(IF(0=LEN(ReferenceData!$AD$143),"",ReferenceData!$AD$143),"")</f>
        <v/>
      </c>
      <c r="AE143" t="str">
        <f ca="1">IFERROR(IF(0=LEN(ReferenceData!$AE$143),"",ReferenceData!$AE$143),"")</f>
        <v/>
      </c>
      <c r="AF143" t="str">
        <f ca="1">IFERROR(IF(0=LEN(ReferenceData!$AF$143),"",ReferenceData!$AF$143),"")</f>
        <v/>
      </c>
      <c r="AG143" t="str">
        <f ca="1">IFERROR(IF(0=LEN(ReferenceData!$AG$143),"",ReferenceData!$AG$143),"")</f>
        <v/>
      </c>
      <c r="AH143" t="str">
        <f ca="1">IFERROR(IF(0=LEN(ReferenceData!$AH$143),"",ReferenceData!$AH$143),"")</f>
        <v/>
      </c>
      <c r="AI143" t="str">
        <f ca="1">IFERROR(IF(0=LEN(ReferenceData!$AI$143),"",ReferenceData!$AI$143),"")</f>
        <v/>
      </c>
      <c r="AJ143" t="str">
        <f ca="1">IFERROR(IF(0=LEN(ReferenceData!$AJ$143),"",ReferenceData!$AJ$143),"")</f>
        <v/>
      </c>
      <c r="AK143" t="str">
        <f ca="1">IFERROR(IF(0=LEN(ReferenceData!$AK$143),"",ReferenceData!$AK$143),"")</f>
        <v/>
      </c>
      <c r="AL143" t="str">
        <f ca="1">IFERROR(IF(0=LEN(ReferenceData!$AL$143),"",ReferenceData!$AL$143),"")</f>
        <v/>
      </c>
    </row>
    <row r="144" spans="1:38" x14ac:dyDescent="0.25">
      <c r="A144" t="str">
        <f>IFERROR(IF(0=LEN(ReferenceData!$A$144),"",ReferenceData!$A$144),"")</f>
        <v xml:space="preserve">        JPMorgan Chase &amp; Co</v>
      </c>
      <c r="B144" t="str">
        <f>IFERROR(IF(0=LEN(ReferenceData!$B$144),"",ReferenceData!$B$144),"")</f>
        <v>JPM US Equity</v>
      </c>
      <c r="C144" t="str">
        <f>IFERROR(IF(0=LEN(ReferenceData!$C$144),"",ReferenceData!$C$144),"")</f>
        <v>F0090</v>
      </c>
      <c r="D144" t="str">
        <f>IFERROR(IF(0=LEN(ReferenceData!$D$144),"",ReferenceData!$D$144),"")</f>
        <v>FED_C&amp;I_LOANS_CONSOLIDATED</v>
      </c>
      <c r="E144" t="str">
        <f>IFERROR(IF(0=LEN(ReferenceData!$E$144),"",ReferenceData!$E$144),"")</f>
        <v>Dynamic</v>
      </c>
      <c r="F144">
        <f ca="1">IFERROR(IF(0=LEN(ReferenceData!$F$144),"",ReferenceData!$F$144),"")</f>
        <v>209303</v>
      </c>
      <c r="G144">
        <f ca="1">IFERROR(IF(0=LEN(ReferenceData!$G$144),"",ReferenceData!$G$144),"")</f>
        <v>203463</v>
      </c>
      <c r="H144">
        <f ca="1">IFERROR(IF(0=LEN(ReferenceData!$H$144),"",ReferenceData!$H$144),"")</f>
        <v>203114</v>
      </c>
      <c r="I144">
        <f ca="1">IFERROR(IF(0=LEN(ReferenceData!$I$144),"",ReferenceData!$I$144),"")</f>
        <v>184118</v>
      </c>
      <c r="J144">
        <f ca="1">IFERROR(IF(0=LEN(ReferenceData!$J$144),"",ReferenceData!$J$144),"")</f>
        <v>194307</v>
      </c>
      <c r="K144">
        <f ca="1">IFERROR(IF(0=LEN(ReferenceData!$K$144),"",ReferenceData!$K$144),"")</f>
        <v>170132</v>
      </c>
      <c r="L144">
        <f ca="1">IFERROR(IF(0=LEN(ReferenceData!$L$144),"",ReferenceData!$L$144),"")</f>
        <v>187705</v>
      </c>
      <c r="M144">
        <f ca="1">IFERROR(IF(0=LEN(ReferenceData!$M$144),"",ReferenceData!$M$144),"")</f>
        <v>163990</v>
      </c>
      <c r="N144">
        <f ca="1">IFERROR(IF(0=LEN(ReferenceData!$N$144),"",ReferenceData!$N$144),"")</f>
        <v>159097</v>
      </c>
      <c r="O144">
        <f ca="1">IFERROR(IF(0=LEN(ReferenceData!$O$144),"",ReferenceData!$O$144),"")</f>
        <v>142509</v>
      </c>
      <c r="P144">
        <f ca="1">IFERROR(IF(0=LEN(ReferenceData!$P$144),"",ReferenceData!$P$144),"")</f>
        <v>132264</v>
      </c>
      <c r="Q144">
        <f ca="1">IFERROR(IF(0=LEN(ReferenceData!$Q$144),"",ReferenceData!$Q$144),"")</f>
        <v>131108</v>
      </c>
      <c r="R144">
        <f ca="1">IFERROR(IF(0=LEN(ReferenceData!$R$144),"",ReferenceData!$R$144),"")</f>
        <v>140042</v>
      </c>
      <c r="S144">
        <f ca="1">IFERROR(IF(0=LEN(ReferenceData!$S$144),"",ReferenceData!$S$144),"")</f>
        <v>122986</v>
      </c>
      <c r="T144">
        <f ca="1">IFERROR(IF(0=LEN(ReferenceData!$T$144),"",ReferenceData!$T$144),"")</f>
        <v>98133</v>
      </c>
      <c r="U144">
        <f ca="1">IFERROR(IF(0=LEN(ReferenceData!$U$144),"",ReferenceData!$U$144),"")</f>
        <v>104288</v>
      </c>
      <c r="V144">
        <f ca="1">IFERROR(IF(0=LEN(ReferenceData!$V$144),"",ReferenceData!$V$144),"")</f>
        <v>151237</v>
      </c>
      <c r="W144">
        <f ca="1">IFERROR(IF(0=LEN(ReferenceData!$W$144),"",ReferenceData!$W$144),"")</f>
        <v>140945</v>
      </c>
      <c r="X144">
        <f ca="1">IFERROR(IF(0=LEN(ReferenceData!$X$144),"",ReferenceData!$X$144),"")</f>
        <v>102957</v>
      </c>
      <c r="Y144">
        <f ca="1">IFERROR(IF(0=LEN(ReferenceData!$Y$144),"",ReferenceData!$Y$144),"")</f>
        <v>95807</v>
      </c>
      <c r="Z144">
        <f ca="1">IFERROR(IF(0=LEN(ReferenceData!$Z$144),"",ReferenceData!$Z$144),"")</f>
        <v>71071</v>
      </c>
      <c r="AA144">
        <f ca="1">IFERROR(IF(0=LEN(ReferenceData!$AA$144),"",ReferenceData!$AA$144),"")</f>
        <v>45508</v>
      </c>
      <c r="AB144">
        <f ca="1">IFERROR(IF(0=LEN(ReferenceData!$AB$144),"",ReferenceData!$AB$144),"")</f>
        <v>52377</v>
      </c>
      <c r="AC144">
        <f ca="1">IFERROR(IF(0=LEN(ReferenceData!$AC$144),"",ReferenceData!$AC$144),"")</f>
        <v>62210</v>
      </c>
      <c r="AD144" t="str">
        <f ca="1">IFERROR(IF(0=LEN(ReferenceData!$AD$144),"",ReferenceData!$AD$144),"")</f>
        <v/>
      </c>
      <c r="AE144" t="str">
        <f ca="1">IFERROR(IF(0=LEN(ReferenceData!$AE$144),"",ReferenceData!$AE$144),"")</f>
        <v/>
      </c>
      <c r="AF144" t="str">
        <f ca="1">IFERROR(IF(0=LEN(ReferenceData!$AF$144),"",ReferenceData!$AF$144),"")</f>
        <v/>
      </c>
      <c r="AG144" t="str">
        <f ca="1">IFERROR(IF(0=LEN(ReferenceData!$AG$144),"",ReferenceData!$AG$144),"")</f>
        <v/>
      </c>
      <c r="AH144" t="str">
        <f ca="1">IFERROR(IF(0=LEN(ReferenceData!$AH$144),"",ReferenceData!$AH$144),"")</f>
        <v/>
      </c>
      <c r="AI144" t="str">
        <f ca="1">IFERROR(IF(0=LEN(ReferenceData!$AI$144),"",ReferenceData!$AI$144),"")</f>
        <v/>
      </c>
      <c r="AJ144" t="str">
        <f ca="1">IFERROR(IF(0=LEN(ReferenceData!$AJ$144),"",ReferenceData!$AJ$144),"")</f>
        <v/>
      </c>
      <c r="AK144" t="str">
        <f ca="1">IFERROR(IF(0=LEN(ReferenceData!$AK$144),"",ReferenceData!$AK$144),"")</f>
        <v/>
      </c>
      <c r="AL144" t="str">
        <f ca="1">IFERROR(IF(0=LEN(ReferenceData!$AL$144),"",ReferenceData!$AL$144),"")</f>
        <v/>
      </c>
    </row>
    <row r="145" spans="1:38" x14ac:dyDescent="0.25">
      <c r="A145" t="str">
        <f>IFERROR(IF(0=LEN(ReferenceData!$A$145),"",ReferenceData!$A$145),"")</f>
        <v xml:space="preserve">        KeyCorp</v>
      </c>
      <c r="B145" t="str">
        <f>IFERROR(IF(0=LEN(ReferenceData!$B$145),"",ReferenceData!$B$145),"")</f>
        <v>KEY US Equity</v>
      </c>
      <c r="C145" t="str">
        <f>IFERROR(IF(0=LEN(ReferenceData!$C$145),"",ReferenceData!$C$145),"")</f>
        <v>F0090</v>
      </c>
      <c r="D145" t="str">
        <f>IFERROR(IF(0=LEN(ReferenceData!$D$145),"",ReferenceData!$D$145),"")</f>
        <v>FED_C&amp;I_LOANS_CONSOLIDATED</v>
      </c>
      <c r="E145" t="str">
        <f>IFERROR(IF(0=LEN(ReferenceData!$E$145),"",ReferenceData!$E$145),"")</f>
        <v>Dynamic</v>
      </c>
      <c r="F145">
        <f ca="1">IFERROR(IF(0=LEN(ReferenceData!$F$145),"",ReferenceData!$F$145),"")</f>
        <v>29882.120999999999</v>
      </c>
      <c r="G145">
        <f ca="1">IFERROR(IF(0=LEN(ReferenceData!$G$145),"",ReferenceData!$G$145),"")</f>
        <v>43611.724999999999</v>
      </c>
      <c r="H145">
        <f ca="1">IFERROR(IF(0=LEN(ReferenceData!$H$145),"",ReferenceData!$H$145),"")</f>
        <v>47814.218000000001</v>
      </c>
      <c r="I145">
        <f ca="1">IFERROR(IF(0=LEN(ReferenceData!$I$145),"",ReferenceData!$I$145),"")</f>
        <v>40951.442000000003</v>
      </c>
      <c r="J145">
        <f ca="1">IFERROR(IF(0=LEN(ReferenceData!$J$145),"",ReferenceData!$J$145),"")</f>
        <v>42458.186999999998</v>
      </c>
      <c r="K145">
        <f ca="1">IFERROR(IF(0=LEN(ReferenceData!$K$145),"",ReferenceData!$K$145),"")</f>
        <v>37877.345999999998</v>
      </c>
      <c r="L145">
        <f ca="1">IFERROR(IF(0=LEN(ReferenceData!$L$145),"",ReferenceData!$L$145),"")</f>
        <v>35782.658000000003</v>
      </c>
      <c r="M145">
        <f ca="1">IFERROR(IF(0=LEN(ReferenceData!$M$145),"",ReferenceData!$M$145),"")</f>
        <v>32186.217000000001</v>
      </c>
      <c r="N145">
        <f ca="1">IFERROR(IF(0=LEN(ReferenceData!$N$145),"",ReferenceData!$N$145),"")</f>
        <v>31327.346000000001</v>
      </c>
      <c r="O145">
        <f ca="1">IFERROR(IF(0=LEN(ReferenceData!$O$145),"",ReferenceData!$O$145),"")</f>
        <v>23833.455999999998</v>
      </c>
      <c r="P145">
        <f ca="1">IFERROR(IF(0=LEN(ReferenceData!$P$145),"",ReferenceData!$P$145),"")</f>
        <v>21897.774000000001</v>
      </c>
      <c r="Q145">
        <f ca="1">IFERROR(IF(0=LEN(ReferenceData!$Q$145),"",ReferenceData!$Q$145),"")</f>
        <v>19705.674999999999</v>
      </c>
      <c r="R145">
        <f ca="1">IFERROR(IF(0=LEN(ReferenceData!$R$145),"",ReferenceData!$R$145),"")</f>
        <v>18111.273000000001</v>
      </c>
      <c r="S145">
        <f ca="1">IFERROR(IF(0=LEN(ReferenceData!$S$145),"",ReferenceData!$S$145),"")</f>
        <v>15107.800999999999</v>
      </c>
      <c r="T145">
        <f ca="1">IFERROR(IF(0=LEN(ReferenceData!$T$145),"",ReferenceData!$T$145),"")</f>
        <v>13088.797</v>
      </c>
      <c r="U145">
        <f ca="1">IFERROR(IF(0=LEN(ReferenceData!$U$145),"",ReferenceData!$U$145),"")</f>
        <v>15471.279</v>
      </c>
      <c r="V145">
        <f ca="1">IFERROR(IF(0=LEN(ReferenceData!$V$145),"",ReferenceData!$V$145),"")</f>
        <v>22045.314999999999</v>
      </c>
      <c r="W145">
        <f ca="1">IFERROR(IF(0=LEN(ReferenceData!$W$145),"",ReferenceData!$W$145),"")</f>
        <v>20982.507000000001</v>
      </c>
      <c r="X145">
        <f ca="1">IFERROR(IF(0=LEN(ReferenceData!$X$145),"",ReferenceData!$X$145),"")</f>
        <v>19018.858</v>
      </c>
      <c r="Y145">
        <f ca="1">IFERROR(IF(0=LEN(ReferenceData!$Y$145),"",ReferenceData!$Y$145),"")</f>
        <v>20026.053</v>
      </c>
      <c r="Z145">
        <f ca="1">IFERROR(IF(0=LEN(ReferenceData!$Z$145),"",ReferenceData!$Z$145),"")</f>
        <v>17603.861000000001</v>
      </c>
      <c r="AA145">
        <f ca="1">IFERROR(IF(0=LEN(ReferenceData!$AA$145),"",ReferenceData!$AA$145),"")</f>
        <v>15819.625</v>
      </c>
      <c r="AB145">
        <f ca="1">IFERROR(IF(0=LEN(ReferenceData!$AB$145),"",ReferenceData!$AB$145),"")</f>
        <v>16393.400000000001</v>
      </c>
      <c r="AC145">
        <f ca="1">IFERROR(IF(0=LEN(ReferenceData!$AC$145),"",ReferenceData!$AC$145),"")</f>
        <v>16986.830999999998</v>
      </c>
      <c r="AD145" t="str">
        <f ca="1">IFERROR(IF(0=LEN(ReferenceData!$AD$145),"",ReferenceData!$AD$145),"")</f>
        <v/>
      </c>
      <c r="AE145" t="str">
        <f ca="1">IFERROR(IF(0=LEN(ReferenceData!$AE$145),"",ReferenceData!$AE$145),"")</f>
        <v/>
      </c>
      <c r="AF145" t="str">
        <f ca="1">IFERROR(IF(0=LEN(ReferenceData!$AF$145),"",ReferenceData!$AF$145),"")</f>
        <v/>
      </c>
      <c r="AG145" t="str">
        <f ca="1">IFERROR(IF(0=LEN(ReferenceData!$AG$145),"",ReferenceData!$AG$145),"")</f>
        <v/>
      </c>
      <c r="AH145" t="str">
        <f ca="1">IFERROR(IF(0=LEN(ReferenceData!$AH$145),"",ReferenceData!$AH$145),"")</f>
        <v/>
      </c>
      <c r="AI145" t="str">
        <f ca="1">IFERROR(IF(0=LEN(ReferenceData!$AI$145),"",ReferenceData!$AI$145),"")</f>
        <v/>
      </c>
      <c r="AJ145" t="str">
        <f ca="1">IFERROR(IF(0=LEN(ReferenceData!$AJ$145),"",ReferenceData!$AJ$145),"")</f>
        <v/>
      </c>
      <c r="AK145" t="str">
        <f ca="1">IFERROR(IF(0=LEN(ReferenceData!$AK$145),"",ReferenceData!$AK$145),"")</f>
        <v/>
      </c>
      <c r="AL145" t="str">
        <f ca="1">IFERROR(IF(0=LEN(ReferenceData!$AL$145),"",ReferenceData!$AL$145),"")</f>
        <v/>
      </c>
    </row>
    <row r="146" spans="1:38" x14ac:dyDescent="0.25">
      <c r="A146" t="str">
        <f>IFERROR(IF(0=LEN(ReferenceData!$A$146),"",ReferenceData!$A$146),"")</f>
        <v xml:space="preserve">        M&amp;T Bank Corp</v>
      </c>
      <c r="B146" t="str">
        <f>IFERROR(IF(0=LEN(ReferenceData!$B$146),"",ReferenceData!$B$146),"")</f>
        <v>MTB US Equity</v>
      </c>
      <c r="C146" t="str">
        <f>IFERROR(IF(0=LEN(ReferenceData!$C$146),"",ReferenceData!$C$146),"")</f>
        <v>F0090</v>
      </c>
      <c r="D146" t="str">
        <f>IFERROR(IF(0=LEN(ReferenceData!$D$146),"",ReferenceData!$D$146),"")</f>
        <v>FED_C&amp;I_LOANS_CONSOLIDATED</v>
      </c>
      <c r="E146" t="str">
        <f>IFERROR(IF(0=LEN(ReferenceData!$E$146),"",ReferenceData!$E$146),"")</f>
        <v>Dynamic</v>
      </c>
      <c r="F146">
        <f ca="1">IFERROR(IF(0=LEN(ReferenceData!$F$146),"",ReferenceData!$F$146),"")</f>
        <v>34222.269</v>
      </c>
      <c r="G146">
        <f ca="1">IFERROR(IF(0=LEN(ReferenceData!$G$146),"",ReferenceData!$G$146),"")</f>
        <v>32253.179</v>
      </c>
      <c r="H146">
        <f ca="1">IFERROR(IF(0=LEN(ReferenceData!$H$146),"",ReferenceData!$H$146),"")</f>
        <v>30117.152999999998</v>
      </c>
      <c r="I146">
        <f ca="1">IFERROR(IF(0=LEN(ReferenceData!$I$146),"",ReferenceData!$I$146),"")</f>
        <v>18072.280999999999</v>
      </c>
      <c r="J146">
        <f ca="1">IFERROR(IF(0=LEN(ReferenceData!$J$146),"",ReferenceData!$J$146),"")</f>
        <v>22431.38</v>
      </c>
      <c r="K146">
        <f ca="1">IFERROR(IF(0=LEN(ReferenceData!$K$146),"",ReferenceData!$K$146),"")</f>
        <v>19110.425999999999</v>
      </c>
      <c r="L146">
        <f ca="1">IFERROR(IF(0=LEN(ReferenceData!$L$146),"",ReferenceData!$L$146),"")</f>
        <v>18208.703000000001</v>
      </c>
      <c r="M146">
        <f ca="1">IFERROR(IF(0=LEN(ReferenceData!$M$146),"",ReferenceData!$M$146),"")</f>
        <v>16995.805</v>
      </c>
      <c r="N146">
        <f ca="1">IFERROR(IF(0=LEN(ReferenceData!$N$146),"",ReferenceData!$N$146),"")</f>
        <v>17866.157999999999</v>
      </c>
      <c r="O146">
        <f ca="1">IFERROR(IF(0=LEN(ReferenceData!$O$146),"",ReferenceData!$O$146),"")</f>
        <v>16635.322</v>
      </c>
      <c r="P146">
        <f ca="1">IFERROR(IF(0=LEN(ReferenceData!$P$146),"",ReferenceData!$P$146),"")</f>
        <v>15919.504999999999</v>
      </c>
      <c r="Q146">
        <f ca="1">IFERROR(IF(0=LEN(ReferenceData!$Q$146),"",ReferenceData!$Q$146),"")</f>
        <v>15264.999</v>
      </c>
      <c r="R146">
        <f ca="1">IFERROR(IF(0=LEN(ReferenceData!$R$146),"",ReferenceData!$R$146),"")</f>
        <v>14285.958000000001</v>
      </c>
      <c r="S146">
        <f ca="1">IFERROR(IF(0=LEN(ReferenceData!$S$146),"",ReferenceData!$S$146),"")</f>
        <v>12775.628000000001</v>
      </c>
      <c r="T146">
        <f ca="1">IFERROR(IF(0=LEN(ReferenceData!$T$146),"",ReferenceData!$T$146),"")</f>
        <v>10645.817999999999</v>
      </c>
      <c r="U146">
        <f ca="1">IFERROR(IF(0=LEN(ReferenceData!$U$146),"",ReferenceData!$U$146),"")</f>
        <v>10409.481</v>
      </c>
      <c r="V146">
        <f ca="1">IFERROR(IF(0=LEN(ReferenceData!$V$146),"",ReferenceData!$V$146),"")</f>
        <v>11162.627</v>
      </c>
      <c r="W146">
        <f ca="1">IFERROR(IF(0=LEN(ReferenceData!$W$146),"",ReferenceData!$W$146),"")</f>
        <v>10633.120999999999</v>
      </c>
      <c r="X146">
        <f ca="1">IFERROR(IF(0=LEN(ReferenceData!$X$146),"",ReferenceData!$X$146),"")</f>
        <v>9832.6039999999994</v>
      </c>
      <c r="Y146">
        <f ca="1">IFERROR(IF(0=LEN(ReferenceData!$Y$146),"",ReferenceData!$Y$146),"")</f>
        <v>9060.1</v>
      </c>
      <c r="Z146">
        <f ca="1">IFERROR(IF(0=LEN(ReferenceData!$Z$146),"",ReferenceData!$Z$146),"")</f>
        <v>8106.2020000000002</v>
      </c>
      <c r="AA146">
        <f ca="1">IFERROR(IF(0=LEN(ReferenceData!$AA$146),"",ReferenceData!$AA$146),"")</f>
        <v>7628.7240000000002</v>
      </c>
      <c r="AB146">
        <f ca="1">IFERROR(IF(0=LEN(ReferenceData!$AB$146),"",ReferenceData!$AB$146),"")</f>
        <v>4855.3549999999996</v>
      </c>
      <c r="AC146">
        <f ca="1">IFERROR(IF(0=LEN(ReferenceData!$AC$146),"",ReferenceData!$AC$146),"")</f>
        <v>4681.1670000000004</v>
      </c>
      <c r="AD146" t="str">
        <f ca="1">IFERROR(IF(0=LEN(ReferenceData!$AD$146),"",ReferenceData!$AD$146),"")</f>
        <v/>
      </c>
      <c r="AE146" t="str">
        <f ca="1">IFERROR(IF(0=LEN(ReferenceData!$AE$146),"",ReferenceData!$AE$146),"")</f>
        <v/>
      </c>
      <c r="AF146" t="str">
        <f ca="1">IFERROR(IF(0=LEN(ReferenceData!$AF$146),"",ReferenceData!$AF$146),"")</f>
        <v/>
      </c>
      <c r="AG146" t="str">
        <f ca="1">IFERROR(IF(0=LEN(ReferenceData!$AG$146),"",ReferenceData!$AG$146),"")</f>
        <v/>
      </c>
      <c r="AH146" t="str">
        <f ca="1">IFERROR(IF(0=LEN(ReferenceData!$AH$146),"",ReferenceData!$AH$146),"")</f>
        <v/>
      </c>
      <c r="AI146" t="str">
        <f ca="1">IFERROR(IF(0=LEN(ReferenceData!$AI$146),"",ReferenceData!$AI$146),"")</f>
        <v/>
      </c>
      <c r="AJ146" t="str">
        <f ca="1">IFERROR(IF(0=LEN(ReferenceData!$AJ$146),"",ReferenceData!$AJ$146),"")</f>
        <v/>
      </c>
      <c r="AK146" t="str">
        <f ca="1">IFERROR(IF(0=LEN(ReferenceData!$AK$146),"",ReferenceData!$AK$146),"")</f>
        <v/>
      </c>
      <c r="AL146" t="str">
        <f ca="1">IFERROR(IF(0=LEN(ReferenceData!$AL$146),"",ReferenceData!$AL$146),"")</f>
        <v/>
      </c>
    </row>
    <row r="147" spans="1:38" x14ac:dyDescent="0.25">
      <c r="A147" t="str">
        <f>IFERROR(IF(0=LEN(ReferenceData!$A$147),"",ReferenceData!$A$147),"")</f>
        <v xml:space="preserve">        PNC Financial Services Group I</v>
      </c>
      <c r="B147" t="str">
        <f>IFERROR(IF(0=LEN(ReferenceData!$B$147),"",ReferenceData!$B$147),"")</f>
        <v>PNC US Equity</v>
      </c>
      <c r="C147" t="str">
        <f>IFERROR(IF(0=LEN(ReferenceData!$C$147),"",ReferenceData!$C$147),"")</f>
        <v>F0090</v>
      </c>
      <c r="D147" t="str">
        <f>IFERROR(IF(0=LEN(ReferenceData!$D$147),"",ReferenceData!$D$147),"")</f>
        <v>FED_C&amp;I_LOANS_CONSOLIDATED</v>
      </c>
      <c r="E147" t="str">
        <f>IFERROR(IF(0=LEN(ReferenceData!$E$147),"",ReferenceData!$E$147),"")</f>
        <v>Dynamic</v>
      </c>
      <c r="F147" t="str">
        <f ca="1">IFERROR(IF(0=LEN(ReferenceData!$F$147),"",ReferenceData!$F$147),"")</f>
        <v/>
      </c>
      <c r="G147">
        <f ca="1">IFERROR(IF(0=LEN(ReferenceData!$G$147),"",ReferenceData!$G$147),"")</f>
        <v>125994.44500000001</v>
      </c>
      <c r="H147">
        <f ca="1">IFERROR(IF(0=LEN(ReferenceData!$H$147),"",ReferenceData!$H$147),"")</f>
        <v>132314.62899999999</v>
      </c>
      <c r="I147">
        <f ca="1">IFERROR(IF(0=LEN(ReferenceData!$I$147),"",ReferenceData!$I$147),"")</f>
        <v>106428.61900000001</v>
      </c>
      <c r="J147">
        <f ca="1">IFERROR(IF(0=LEN(ReferenceData!$J$147),"",ReferenceData!$J$147),"")</f>
        <v>95486.464999999997</v>
      </c>
      <c r="K147">
        <f ca="1">IFERROR(IF(0=LEN(ReferenceData!$K$147),"",ReferenceData!$K$147),"")</f>
        <v>93254.900999999998</v>
      </c>
      <c r="L147">
        <f ca="1">IFERROR(IF(0=LEN(ReferenceData!$L$147),"",ReferenceData!$L$147),"")</f>
        <v>85762.775999999998</v>
      </c>
      <c r="M147">
        <f ca="1">IFERROR(IF(0=LEN(ReferenceData!$M$147),"",ReferenceData!$M$147),"")</f>
        <v>77382.951000000001</v>
      </c>
      <c r="N147">
        <f ca="1">IFERROR(IF(0=LEN(ReferenceData!$N$147),"",ReferenceData!$N$147),"")</f>
        <v>70593.168999999994</v>
      </c>
      <c r="O147">
        <f ca="1">IFERROR(IF(0=LEN(ReferenceData!$O$147),"",ReferenceData!$O$147),"")</f>
        <v>66632.725999999995</v>
      </c>
      <c r="P147">
        <f ca="1">IFERROR(IF(0=LEN(ReferenceData!$P$147),"",ReferenceData!$P$147),"")</f>
        <v>65413.718999999997</v>
      </c>
      <c r="Q147">
        <f ca="1">IFERROR(IF(0=LEN(ReferenceData!$Q$147),"",ReferenceData!$Q$147),"")</f>
        <v>58732.574999999997</v>
      </c>
      <c r="R147">
        <f ca="1">IFERROR(IF(0=LEN(ReferenceData!$R$147),"",ReferenceData!$R$147),"")</f>
        <v>55374.694000000003</v>
      </c>
      <c r="S147">
        <f ca="1">IFERROR(IF(0=LEN(ReferenceData!$S$147),"",ReferenceData!$S$147),"")</f>
        <v>46823.828999999998</v>
      </c>
      <c r="T147">
        <f ca="1">IFERROR(IF(0=LEN(ReferenceData!$T$147),"",ReferenceData!$T$147),"")</f>
        <v>41165.542000000001</v>
      </c>
      <c r="U147">
        <f ca="1">IFERROR(IF(0=LEN(ReferenceData!$U$147),"",ReferenceData!$U$147),"")</f>
        <v>41526.555999999997</v>
      </c>
      <c r="V147">
        <f ca="1">IFERROR(IF(0=LEN(ReferenceData!$V$147),"",ReferenceData!$V$147),"")</f>
        <v>53163.866999999998</v>
      </c>
      <c r="W147">
        <f ca="1">IFERROR(IF(0=LEN(ReferenceData!$W$147),"",ReferenceData!$W$147),"")</f>
        <v>21373.972000000002</v>
      </c>
      <c r="X147">
        <f ca="1">IFERROR(IF(0=LEN(ReferenceData!$X$147),"",ReferenceData!$X$147),"")</f>
        <v>16803.666000000001</v>
      </c>
      <c r="Y147">
        <f ca="1">IFERROR(IF(0=LEN(ReferenceData!$Y$147),"",ReferenceData!$Y$147),"")</f>
        <v>14883.858</v>
      </c>
      <c r="Z147">
        <f ca="1">IFERROR(IF(0=LEN(ReferenceData!$Z$147),"",ReferenceData!$Z$147),"")</f>
        <v>14506.432000000001</v>
      </c>
      <c r="AA147">
        <f ca="1">IFERROR(IF(0=LEN(ReferenceData!$AA$147),"",ReferenceData!$AA$147),"")</f>
        <v>11833.71</v>
      </c>
      <c r="AB147">
        <f ca="1">IFERROR(IF(0=LEN(ReferenceData!$AB$147),"",ReferenceData!$AB$147),"")</f>
        <v>12741.907999999999</v>
      </c>
      <c r="AC147">
        <f ca="1">IFERROR(IF(0=LEN(ReferenceData!$AC$147),"",ReferenceData!$AC$147),"")</f>
        <v>14637.947</v>
      </c>
      <c r="AD147" t="str">
        <f ca="1">IFERROR(IF(0=LEN(ReferenceData!$AD$147),"",ReferenceData!$AD$147),"")</f>
        <v/>
      </c>
      <c r="AE147" t="str">
        <f ca="1">IFERROR(IF(0=LEN(ReferenceData!$AE$147),"",ReferenceData!$AE$147),"")</f>
        <v/>
      </c>
      <c r="AF147" t="str">
        <f ca="1">IFERROR(IF(0=LEN(ReferenceData!$AF$147),"",ReferenceData!$AF$147),"")</f>
        <v/>
      </c>
      <c r="AG147" t="str">
        <f ca="1">IFERROR(IF(0=LEN(ReferenceData!$AG$147),"",ReferenceData!$AG$147),"")</f>
        <v/>
      </c>
      <c r="AH147" t="str">
        <f ca="1">IFERROR(IF(0=LEN(ReferenceData!$AH$147),"",ReferenceData!$AH$147),"")</f>
        <v/>
      </c>
      <c r="AI147" t="str">
        <f ca="1">IFERROR(IF(0=LEN(ReferenceData!$AI$147),"",ReferenceData!$AI$147),"")</f>
        <v/>
      </c>
      <c r="AJ147" t="str">
        <f ca="1">IFERROR(IF(0=LEN(ReferenceData!$AJ$147),"",ReferenceData!$AJ$147),"")</f>
        <v/>
      </c>
      <c r="AK147" t="str">
        <f ca="1">IFERROR(IF(0=LEN(ReferenceData!$AK$147),"",ReferenceData!$AK$147),"")</f>
        <v/>
      </c>
      <c r="AL147" t="str">
        <f ca="1">IFERROR(IF(0=LEN(ReferenceData!$AL$147),"",ReferenceData!$AL$147),"")</f>
        <v/>
      </c>
    </row>
    <row r="148" spans="1:38" x14ac:dyDescent="0.25">
      <c r="A148" t="str">
        <f>IFERROR(IF(0=LEN(ReferenceData!$A$148),"",ReferenceData!$A$148),"")</f>
        <v xml:space="preserve">        Regions Financial Corp</v>
      </c>
      <c r="B148" t="str">
        <f>IFERROR(IF(0=LEN(ReferenceData!$B$148),"",ReferenceData!$B$148),"")</f>
        <v>RF US Equity</v>
      </c>
      <c r="C148" t="str">
        <f>IFERROR(IF(0=LEN(ReferenceData!$C$148),"",ReferenceData!$C$148),"")</f>
        <v>F0090</v>
      </c>
      <c r="D148" t="str">
        <f>IFERROR(IF(0=LEN(ReferenceData!$D$148),"",ReferenceData!$D$148),"")</f>
        <v>FED_C&amp;I_LOANS_CONSOLIDATED</v>
      </c>
      <c r="E148" t="str">
        <f>IFERROR(IF(0=LEN(ReferenceData!$E$148),"",ReferenceData!$E$148),"")</f>
        <v>Dynamic</v>
      </c>
      <c r="F148" t="str">
        <f ca="1">IFERROR(IF(0=LEN(ReferenceData!$F$148),"",ReferenceData!$F$148),"")</f>
        <v/>
      </c>
      <c r="G148">
        <f ca="1">IFERROR(IF(0=LEN(ReferenceData!$G$148),"",ReferenceData!$G$148),"")</f>
        <v>31885</v>
      </c>
      <c r="H148">
        <f ca="1">IFERROR(IF(0=LEN(ReferenceData!$H$148),"",ReferenceData!$H$148),"")</f>
        <v>32769</v>
      </c>
      <c r="I148">
        <f ca="1">IFERROR(IF(0=LEN(ReferenceData!$I$148),"",ReferenceData!$I$148),"")</f>
        <v>28262</v>
      </c>
      <c r="J148">
        <f ca="1">IFERROR(IF(0=LEN(ReferenceData!$J$148),"",ReferenceData!$J$148),"")</f>
        <v>27535</v>
      </c>
      <c r="K148">
        <f ca="1">IFERROR(IF(0=LEN(ReferenceData!$K$148),"",ReferenceData!$K$148),"")</f>
        <v>24694</v>
      </c>
      <c r="L148">
        <f ca="1">IFERROR(IF(0=LEN(ReferenceData!$L$148),"",ReferenceData!$L$148),"")</f>
        <v>24341.149000000001</v>
      </c>
      <c r="M148">
        <f ca="1">IFERROR(IF(0=LEN(ReferenceData!$M$148),"",ReferenceData!$M$148),"")</f>
        <v>22355.168000000001</v>
      </c>
      <c r="N148">
        <f ca="1">IFERROR(IF(0=LEN(ReferenceData!$N$148),"",ReferenceData!$N$148),"")</f>
        <v>22264.366000000002</v>
      </c>
      <c r="O148">
        <f ca="1">IFERROR(IF(0=LEN(ReferenceData!$O$148),"",ReferenceData!$O$148),"")</f>
        <v>24129.534</v>
      </c>
      <c r="P148">
        <f ca="1">IFERROR(IF(0=LEN(ReferenceData!$P$148),"",ReferenceData!$P$148),"")</f>
        <v>23025.473000000002</v>
      </c>
      <c r="Q148">
        <f ca="1">IFERROR(IF(0=LEN(ReferenceData!$Q$148),"",ReferenceData!$Q$148),"")</f>
        <v>20479.853999999999</v>
      </c>
      <c r="R148">
        <f ca="1">IFERROR(IF(0=LEN(ReferenceData!$R$148),"",ReferenceData!$R$148),"")</f>
        <v>18619.994999999999</v>
      </c>
      <c r="S148">
        <f ca="1">IFERROR(IF(0=LEN(ReferenceData!$S$148),"",ReferenceData!$S$148),"")</f>
        <v>16891.184000000001</v>
      </c>
      <c r="T148">
        <f ca="1">IFERROR(IF(0=LEN(ReferenceData!$T$148),"",ReferenceData!$T$148),"")</f>
        <v>15042.178</v>
      </c>
      <c r="U148">
        <f ca="1">IFERROR(IF(0=LEN(ReferenceData!$U$148),"",ReferenceData!$U$148),"")</f>
        <v>13600.87</v>
      </c>
      <c r="V148">
        <f ca="1">IFERROR(IF(0=LEN(ReferenceData!$V$148),"",ReferenceData!$V$148),"")</f>
        <v>16538.911</v>
      </c>
      <c r="W148">
        <f ca="1">IFERROR(IF(0=LEN(ReferenceData!$W$148),"",ReferenceData!$W$148),"")</f>
        <v>15742.521000000001</v>
      </c>
      <c r="X148">
        <f ca="1">IFERROR(IF(0=LEN(ReferenceData!$X$148),"",ReferenceData!$X$148),"")</f>
        <v>15510.133</v>
      </c>
      <c r="Y148">
        <f ca="1">IFERROR(IF(0=LEN(ReferenceData!$Y$148),"",ReferenceData!$Y$148),"")</f>
        <v>9745.3590000000004</v>
      </c>
      <c r="Z148">
        <f ca="1">IFERROR(IF(0=LEN(ReferenceData!$Z$148),"",ReferenceData!$Z$148),"")</f>
        <v>10144.789000000001</v>
      </c>
      <c r="AA148" t="str">
        <f ca="1">IFERROR(IF(0=LEN(ReferenceData!$AA$148),"",ReferenceData!$AA$148),"")</f>
        <v/>
      </c>
      <c r="AB148" t="str">
        <f ca="1">IFERROR(IF(0=LEN(ReferenceData!$AB$148),"",ReferenceData!$AB$148),"")</f>
        <v/>
      </c>
      <c r="AC148" t="str">
        <f ca="1">IFERROR(IF(0=LEN(ReferenceData!$AC$148),"",ReferenceData!$AC$148),"")</f>
        <v/>
      </c>
      <c r="AD148" t="str">
        <f ca="1">IFERROR(IF(0=LEN(ReferenceData!$AD$148),"",ReferenceData!$AD$148),"")</f>
        <v/>
      </c>
      <c r="AE148" t="str">
        <f ca="1">IFERROR(IF(0=LEN(ReferenceData!$AE$148),"",ReferenceData!$AE$148),"")</f>
        <v/>
      </c>
      <c r="AF148" t="str">
        <f ca="1">IFERROR(IF(0=LEN(ReferenceData!$AF$148),"",ReferenceData!$AF$148),"")</f>
        <v/>
      </c>
      <c r="AG148" t="str">
        <f ca="1">IFERROR(IF(0=LEN(ReferenceData!$AG$148),"",ReferenceData!$AG$148),"")</f>
        <v/>
      </c>
      <c r="AH148" t="str">
        <f ca="1">IFERROR(IF(0=LEN(ReferenceData!$AH$148),"",ReferenceData!$AH$148),"")</f>
        <v/>
      </c>
      <c r="AI148" t="str">
        <f ca="1">IFERROR(IF(0=LEN(ReferenceData!$AI$148),"",ReferenceData!$AI$148),"")</f>
        <v/>
      </c>
      <c r="AJ148" t="str">
        <f ca="1">IFERROR(IF(0=LEN(ReferenceData!$AJ$148),"",ReferenceData!$AJ$148),"")</f>
        <v/>
      </c>
      <c r="AK148" t="str">
        <f ca="1">IFERROR(IF(0=LEN(ReferenceData!$AK$148),"",ReferenceData!$AK$148),"")</f>
        <v/>
      </c>
      <c r="AL148" t="str">
        <f ca="1">IFERROR(IF(0=LEN(ReferenceData!$AL$148),"",ReferenceData!$AL$148),"")</f>
        <v/>
      </c>
    </row>
    <row r="149" spans="1:38" x14ac:dyDescent="0.25">
      <c r="A149" t="str">
        <f>IFERROR(IF(0=LEN(ReferenceData!$A$149),"",ReferenceData!$A$149),"")</f>
        <v xml:space="preserve">        Truist Financial Corp</v>
      </c>
      <c r="B149" t="str">
        <f>IFERROR(IF(0=LEN(ReferenceData!$B$149),"",ReferenceData!$B$149),"")</f>
        <v>TFC US Equity</v>
      </c>
      <c r="C149" t="str">
        <f>IFERROR(IF(0=LEN(ReferenceData!$C$149),"",ReferenceData!$C$149),"")</f>
        <v>F0090</v>
      </c>
      <c r="D149" t="str">
        <f>IFERROR(IF(0=LEN(ReferenceData!$D$149),"",ReferenceData!$D$149),"")</f>
        <v>FED_C&amp;I_LOANS_CONSOLIDATED</v>
      </c>
      <c r="E149" t="str">
        <f>IFERROR(IF(0=LEN(ReferenceData!$E$149),"",ReferenceData!$E$149),"")</f>
        <v>Dynamic</v>
      </c>
      <c r="F149">
        <f ca="1">IFERROR(IF(0=LEN(ReferenceData!$F$149),"",ReferenceData!$F$149),"")</f>
        <v>73044</v>
      </c>
      <c r="G149">
        <f ca="1">IFERROR(IF(0=LEN(ReferenceData!$G$149),"",ReferenceData!$G$149),"")</f>
        <v>84868</v>
      </c>
      <c r="H149">
        <f ca="1">IFERROR(IF(0=LEN(ReferenceData!$H$149),"",ReferenceData!$H$149),"")</f>
        <v>85975</v>
      </c>
      <c r="I149">
        <f ca="1">IFERROR(IF(0=LEN(ReferenceData!$I$149),"",ReferenceData!$I$149),"")</f>
        <v>67662</v>
      </c>
      <c r="J149">
        <f ca="1">IFERROR(IF(0=LEN(ReferenceData!$J$149),"",ReferenceData!$J$149),"")</f>
        <v>74317</v>
      </c>
      <c r="K149">
        <f ca="1">IFERROR(IF(0=LEN(ReferenceData!$K$149),"",ReferenceData!$K$149),"")</f>
        <v>72918</v>
      </c>
      <c r="L149">
        <f ca="1">IFERROR(IF(0=LEN(ReferenceData!$L$149),"",ReferenceData!$L$149),"")</f>
        <v>30585</v>
      </c>
      <c r="M149">
        <f ca="1">IFERROR(IF(0=LEN(ReferenceData!$M$149),"",ReferenceData!$M$149),"")</f>
        <v>27295</v>
      </c>
      <c r="N149">
        <f ca="1">IFERROR(IF(0=LEN(ReferenceData!$N$149),"",ReferenceData!$N$149),"")</f>
        <v>26347.428</v>
      </c>
      <c r="O149">
        <f ca="1">IFERROR(IF(0=LEN(ReferenceData!$O$149),"",ReferenceData!$O$149),"")</f>
        <v>23704.774000000001</v>
      </c>
      <c r="P149">
        <f ca="1">IFERROR(IF(0=LEN(ReferenceData!$P$149),"",ReferenceData!$P$149),"")</f>
        <v>19240.063999999998</v>
      </c>
      <c r="Q149">
        <f ca="1">IFERROR(IF(0=LEN(ReferenceData!$Q$149),"",ReferenceData!$Q$149),"")</f>
        <v>17216.150000000001</v>
      </c>
      <c r="R149">
        <f ca="1">IFERROR(IF(0=LEN(ReferenceData!$R$149),"",ReferenceData!$R$149),"")</f>
        <v>16377.409</v>
      </c>
      <c r="S149">
        <f ca="1">IFERROR(IF(0=LEN(ReferenceData!$S$149),"",ReferenceData!$S$149),"")</f>
        <v>15111.341</v>
      </c>
      <c r="T149">
        <f ca="1">IFERROR(IF(0=LEN(ReferenceData!$T$149),"",ReferenceData!$T$149),"")</f>
        <v>13657.004000000001</v>
      </c>
      <c r="U149">
        <f ca="1">IFERROR(IF(0=LEN(ReferenceData!$U$149),"",ReferenceData!$U$149),"")</f>
        <v>14351.191999999999</v>
      </c>
      <c r="V149">
        <f ca="1">IFERROR(IF(0=LEN(ReferenceData!$V$149),"",ReferenceData!$V$149),"")</f>
        <v>14575.347</v>
      </c>
      <c r="W149">
        <f ca="1">IFERROR(IF(0=LEN(ReferenceData!$W$149),"",ReferenceData!$W$149),"")</f>
        <v>12358.584999999999</v>
      </c>
      <c r="X149">
        <f ca="1">IFERROR(IF(0=LEN(ReferenceData!$X$149),"",ReferenceData!$X$149),"")</f>
        <v>9170.2209999999995</v>
      </c>
      <c r="Y149">
        <f ca="1">IFERROR(IF(0=LEN(ReferenceData!$Y$149),"",ReferenceData!$Y$149),"")</f>
        <v>8152.5309999999999</v>
      </c>
      <c r="Z149">
        <f ca="1">IFERROR(IF(0=LEN(ReferenceData!$Z$149),"",ReferenceData!$Z$149),"")</f>
        <v>7594.5249999999996</v>
      </c>
      <c r="AA149">
        <f ca="1">IFERROR(IF(0=LEN(ReferenceData!$AA$149),"",ReferenceData!$AA$149),"")</f>
        <v>7181.3829999999998</v>
      </c>
      <c r="AB149">
        <f ca="1">IFERROR(IF(0=LEN(ReferenceData!$AB$149),"",ReferenceData!$AB$149),"")</f>
        <v>6909.3459999999995</v>
      </c>
      <c r="AC149">
        <f ca="1">IFERROR(IF(0=LEN(ReferenceData!$AC$149),"",ReferenceData!$AC$149),"")</f>
        <v>6450.5479999999998</v>
      </c>
      <c r="AD149" t="str">
        <f ca="1">IFERROR(IF(0=LEN(ReferenceData!$AD$149),"",ReferenceData!$AD$149),"")</f>
        <v/>
      </c>
      <c r="AE149" t="str">
        <f ca="1">IFERROR(IF(0=LEN(ReferenceData!$AE$149),"",ReferenceData!$AE$149),"")</f>
        <v/>
      </c>
      <c r="AF149" t="str">
        <f ca="1">IFERROR(IF(0=LEN(ReferenceData!$AF$149),"",ReferenceData!$AF$149),"")</f>
        <v/>
      </c>
      <c r="AG149" t="str">
        <f ca="1">IFERROR(IF(0=LEN(ReferenceData!$AG$149),"",ReferenceData!$AG$149),"")</f>
        <v/>
      </c>
      <c r="AH149" t="str">
        <f ca="1">IFERROR(IF(0=LEN(ReferenceData!$AH$149),"",ReferenceData!$AH$149),"")</f>
        <v/>
      </c>
      <c r="AI149" t="str">
        <f ca="1">IFERROR(IF(0=LEN(ReferenceData!$AI$149),"",ReferenceData!$AI$149),"")</f>
        <v/>
      </c>
      <c r="AJ149" t="str">
        <f ca="1">IFERROR(IF(0=LEN(ReferenceData!$AJ$149),"",ReferenceData!$AJ$149),"")</f>
        <v/>
      </c>
      <c r="AK149" t="str">
        <f ca="1">IFERROR(IF(0=LEN(ReferenceData!$AK$149),"",ReferenceData!$AK$149),"")</f>
        <v/>
      </c>
      <c r="AL149" t="str">
        <f ca="1">IFERROR(IF(0=LEN(ReferenceData!$AL$149),"",ReferenceData!$AL$149),"")</f>
        <v/>
      </c>
    </row>
    <row r="150" spans="1:38" x14ac:dyDescent="0.25">
      <c r="A150" t="str">
        <f>IFERROR(IF(0=LEN(ReferenceData!$A$150),"",ReferenceData!$A$150),"")</f>
        <v xml:space="preserve">        US Bancorp</v>
      </c>
      <c r="B150" t="str">
        <f>IFERROR(IF(0=LEN(ReferenceData!$B$150),"",ReferenceData!$B$150),"")</f>
        <v>USB US Equity</v>
      </c>
      <c r="C150" t="str">
        <f>IFERROR(IF(0=LEN(ReferenceData!$C$150),"",ReferenceData!$C$150),"")</f>
        <v>F0090</v>
      </c>
      <c r="D150" t="str">
        <f>IFERROR(IF(0=LEN(ReferenceData!$D$150),"",ReferenceData!$D$150),"")</f>
        <v>FED_C&amp;I_LOANS_CONSOLIDATED</v>
      </c>
      <c r="E150" t="str">
        <f>IFERROR(IF(0=LEN(ReferenceData!$E$150),"",ReferenceData!$E$150),"")</f>
        <v>Dynamic</v>
      </c>
      <c r="F150">
        <f ca="1">IFERROR(IF(0=LEN(ReferenceData!$F$150),"",ReferenceData!$F$150),"")</f>
        <v>95678</v>
      </c>
      <c r="G150">
        <f ca="1">IFERROR(IF(0=LEN(ReferenceData!$G$150),"",ReferenceData!$G$150),"")</f>
        <v>97762</v>
      </c>
      <c r="H150">
        <f ca="1">IFERROR(IF(0=LEN(ReferenceData!$H$150),"",ReferenceData!$H$150),"")</f>
        <v>102781</v>
      </c>
      <c r="I150">
        <f ca="1">IFERROR(IF(0=LEN(ReferenceData!$I$150),"",ReferenceData!$I$150),"")</f>
        <v>81410</v>
      </c>
      <c r="J150">
        <f ca="1">IFERROR(IF(0=LEN(ReferenceData!$J$150),"",ReferenceData!$J$150),"")</f>
        <v>76481</v>
      </c>
      <c r="K150">
        <f ca="1">IFERROR(IF(0=LEN(ReferenceData!$K$150),"",ReferenceData!$K$150),"")</f>
        <v>78746</v>
      </c>
      <c r="L150">
        <f ca="1">IFERROR(IF(0=LEN(ReferenceData!$L$150),"",ReferenceData!$L$150),"")</f>
        <v>78395</v>
      </c>
      <c r="M150">
        <f ca="1">IFERROR(IF(0=LEN(ReferenceData!$M$150),"",ReferenceData!$M$150),"")</f>
        <v>72328</v>
      </c>
      <c r="N150">
        <f ca="1">IFERROR(IF(0=LEN(ReferenceData!$N$150),"",ReferenceData!$N$150),"")</f>
        <v>69077</v>
      </c>
      <c r="O150">
        <f ca="1">IFERROR(IF(0=LEN(ReferenceData!$O$150),"",ReferenceData!$O$150),"")</f>
        <v>66463</v>
      </c>
      <c r="P150">
        <f ca="1">IFERROR(IF(0=LEN(ReferenceData!$P$150),"",ReferenceData!$P$150),"")</f>
        <v>60541</v>
      </c>
      <c r="Q150">
        <f ca="1">IFERROR(IF(0=LEN(ReferenceData!$Q$150),"",ReferenceData!$Q$150),"")</f>
        <v>52220</v>
      </c>
      <c r="R150">
        <f ca="1">IFERROR(IF(0=LEN(ReferenceData!$R$150),"",ReferenceData!$R$150),"")</f>
        <v>48329</v>
      </c>
      <c r="S150">
        <f ca="1">IFERROR(IF(0=LEN(ReferenceData!$S$150),"",ReferenceData!$S$150),"")</f>
        <v>41648</v>
      </c>
      <c r="T150">
        <f ca="1">IFERROR(IF(0=LEN(ReferenceData!$T$150),"",ReferenceData!$T$150),"")</f>
        <v>35626</v>
      </c>
      <c r="U150">
        <f ca="1">IFERROR(IF(0=LEN(ReferenceData!$U$150),"",ReferenceData!$U$150),"")</f>
        <v>35985</v>
      </c>
      <c r="V150">
        <f ca="1">IFERROR(IF(0=LEN(ReferenceData!$V$150),"",ReferenceData!$V$150),"")</f>
        <v>41983</v>
      </c>
      <c r="W150">
        <f ca="1">IFERROR(IF(0=LEN(ReferenceData!$W$150),"",ReferenceData!$W$150),"")</f>
        <v>37337</v>
      </c>
      <c r="X150">
        <f ca="1">IFERROR(IF(0=LEN(ReferenceData!$X$150),"",ReferenceData!$X$150),"")</f>
        <v>33502</v>
      </c>
      <c r="Y150">
        <f ca="1">IFERROR(IF(0=LEN(ReferenceData!$Y$150),"",ReferenceData!$Y$150),"")</f>
        <v>31291</v>
      </c>
      <c r="Z150">
        <f ca="1">IFERROR(IF(0=LEN(ReferenceData!$Z$150),"",ReferenceData!$Z$150),"")</f>
        <v>29203</v>
      </c>
      <c r="AA150">
        <f ca="1">IFERROR(IF(0=LEN(ReferenceData!$AA$150),"",ReferenceData!$AA$150),"")</f>
        <v>27605</v>
      </c>
      <c r="AB150">
        <f ca="1">IFERROR(IF(0=LEN(ReferenceData!$AB$150),"",ReferenceData!$AB$150),"")</f>
        <v>29337</v>
      </c>
      <c r="AC150">
        <f ca="1">IFERROR(IF(0=LEN(ReferenceData!$AC$150),"",ReferenceData!$AC$150),"")</f>
        <v>34288</v>
      </c>
      <c r="AD150" t="str">
        <f ca="1">IFERROR(IF(0=LEN(ReferenceData!$AD$150),"",ReferenceData!$AD$150),"")</f>
        <v/>
      </c>
      <c r="AE150" t="str">
        <f ca="1">IFERROR(IF(0=LEN(ReferenceData!$AE$150),"",ReferenceData!$AE$150),"")</f>
        <v/>
      </c>
      <c r="AF150" t="str">
        <f ca="1">IFERROR(IF(0=LEN(ReferenceData!$AF$150),"",ReferenceData!$AF$150),"")</f>
        <v/>
      </c>
      <c r="AG150" t="str">
        <f ca="1">IFERROR(IF(0=LEN(ReferenceData!$AG$150),"",ReferenceData!$AG$150),"")</f>
        <v/>
      </c>
      <c r="AH150" t="str">
        <f ca="1">IFERROR(IF(0=LEN(ReferenceData!$AH$150),"",ReferenceData!$AH$150),"")</f>
        <v/>
      </c>
      <c r="AI150" t="str">
        <f ca="1">IFERROR(IF(0=LEN(ReferenceData!$AI$150),"",ReferenceData!$AI$150),"")</f>
        <v/>
      </c>
      <c r="AJ150" t="str">
        <f ca="1">IFERROR(IF(0=LEN(ReferenceData!$AJ$150),"",ReferenceData!$AJ$150),"")</f>
        <v/>
      </c>
      <c r="AK150" t="str">
        <f ca="1">IFERROR(IF(0=LEN(ReferenceData!$AK$150),"",ReferenceData!$AK$150),"")</f>
        <v/>
      </c>
      <c r="AL150" t="str">
        <f ca="1">IFERROR(IF(0=LEN(ReferenceData!$AL$150),"",ReferenceData!$AL$150),"")</f>
        <v/>
      </c>
    </row>
    <row r="151" spans="1:38" x14ac:dyDescent="0.25">
      <c r="A151" t="str">
        <f>IFERROR(IF(0=LEN(ReferenceData!$A$151),"",ReferenceData!$A$151),"")</f>
        <v xml:space="preserve">        Wells Fargo &amp; Co</v>
      </c>
      <c r="B151" t="str">
        <f>IFERROR(IF(0=LEN(ReferenceData!$B$151),"",ReferenceData!$B$151),"")</f>
        <v>WFC US Equity</v>
      </c>
      <c r="C151" t="str">
        <f>IFERROR(IF(0=LEN(ReferenceData!$C$151),"",ReferenceData!$C$151),"")</f>
        <v>F0090</v>
      </c>
      <c r="D151" t="str">
        <f>IFERROR(IF(0=LEN(ReferenceData!$D$151),"",ReferenceData!$D$151),"")</f>
        <v>FED_C&amp;I_LOANS_CONSOLIDATED</v>
      </c>
      <c r="E151" t="str">
        <f>IFERROR(IF(0=LEN(ReferenceData!$E$151),"",ReferenceData!$E$151),"")</f>
        <v>Dynamic</v>
      </c>
      <c r="F151">
        <f ca="1">IFERROR(IF(0=LEN(ReferenceData!$F$151),"",ReferenceData!$F$151),"")</f>
        <v>186842</v>
      </c>
      <c r="G151">
        <f ca="1">IFERROR(IF(0=LEN(ReferenceData!$G$151),"",ReferenceData!$G$151),"")</f>
        <v>191935</v>
      </c>
      <c r="H151">
        <f ca="1">IFERROR(IF(0=LEN(ReferenceData!$H$151),"",ReferenceData!$H$151),"")</f>
        <v>195014</v>
      </c>
      <c r="I151">
        <f ca="1">IFERROR(IF(0=LEN(ReferenceData!$I$151),"",ReferenceData!$I$151),"")</f>
        <v>167959</v>
      </c>
      <c r="J151">
        <f ca="1">IFERROR(IF(0=LEN(ReferenceData!$J$151),"",ReferenceData!$J$151),"")</f>
        <v>162803</v>
      </c>
      <c r="K151">
        <f ca="1">IFERROR(IF(0=LEN(ReferenceData!$K$151),"",ReferenceData!$K$151),"")</f>
        <v>188066</v>
      </c>
      <c r="L151">
        <f ca="1">IFERROR(IF(0=LEN(ReferenceData!$L$151),"",ReferenceData!$L$151),"")</f>
        <v>193655</v>
      </c>
      <c r="M151">
        <f ca="1">IFERROR(IF(0=LEN(ReferenceData!$M$151),"",ReferenceData!$M$151),"")</f>
        <v>185652</v>
      </c>
      <c r="N151">
        <f ca="1">IFERROR(IF(0=LEN(ReferenceData!$N$151),"",ReferenceData!$N$151),"")</f>
        <v>185552</v>
      </c>
      <c r="O151">
        <f ca="1">IFERROR(IF(0=LEN(ReferenceData!$O$151),"",ReferenceData!$O$151),"")</f>
        <v>165255</v>
      </c>
      <c r="P151">
        <f ca="1">IFERROR(IF(0=LEN(ReferenceData!$P$151),"",ReferenceData!$P$151),"")</f>
        <v>160499</v>
      </c>
      <c r="Q151">
        <f ca="1">IFERROR(IF(0=LEN(ReferenceData!$Q$151),"",ReferenceData!$Q$151),"")</f>
        <v>152748</v>
      </c>
      <c r="R151">
        <f ca="1">IFERROR(IF(0=LEN(ReferenceData!$R$151),"",ReferenceData!$R$151),"")</f>
        <v>155987</v>
      </c>
      <c r="S151">
        <f ca="1">IFERROR(IF(0=LEN(ReferenceData!$S$151),"",ReferenceData!$S$151),"")</f>
        <v>147906</v>
      </c>
      <c r="T151">
        <f ca="1">IFERROR(IF(0=LEN(ReferenceData!$T$151),"",ReferenceData!$T$151),"")</f>
        <v>127306</v>
      </c>
      <c r="U151">
        <f ca="1">IFERROR(IF(0=LEN(ReferenceData!$U$151),"",ReferenceData!$U$151),"")</f>
        <v>142755</v>
      </c>
      <c r="V151">
        <f ca="1">IFERROR(IF(0=LEN(ReferenceData!$V$151),"",ReferenceData!$V$151),"")</f>
        <v>184957</v>
      </c>
      <c r="W151">
        <f ca="1">IFERROR(IF(0=LEN(ReferenceData!$W$151),"",ReferenceData!$W$151),"")</f>
        <v>79462</v>
      </c>
      <c r="X151">
        <f ca="1">IFERROR(IF(0=LEN(ReferenceData!$X$151),"",ReferenceData!$X$151),"")</f>
        <v>60843</v>
      </c>
      <c r="Y151">
        <f ca="1">IFERROR(IF(0=LEN(ReferenceData!$Y$151),"",ReferenceData!$Y$151),"")</f>
        <v>52327</v>
      </c>
      <c r="Z151">
        <f ca="1">IFERROR(IF(0=LEN(ReferenceData!$Z$151),"",ReferenceData!$Z$151),"")</f>
        <v>46607</v>
      </c>
      <c r="AA151">
        <f ca="1">IFERROR(IF(0=LEN(ReferenceData!$AA$151),"",ReferenceData!$AA$151),"")</f>
        <v>42337</v>
      </c>
      <c r="AB151">
        <f ca="1">IFERROR(IF(0=LEN(ReferenceData!$AB$151),"",ReferenceData!$AB$151),"")</f>
        <v>40505</v>
      </c>
      <c r="AC151">
        <f ca="1">IFERROR(IF(0=LEN(ReferenceData!$AC$151),"",ReferenceData!$AC$151),"")</f>
        <v>41334</v>
      </c>
      <c r="AD151" t="str">
        <f ca="1">IFERROR(IF(0=LEN(ReferenceData!$AD$151),"",ReferenceData!$AD$151),"")</f>
        <v/>
      </c>
      <c r="AE151" t="str">
        <f ca="1">IFERROR(IF(0=LEN(ReferenceData!$AE$151),"",ReferenceData!$AE$151),"")</f>
        <v/>
      </c>
      <c r="AF151" t="str">
        <f ca="1">IFERROR(IF(0=LEN(ReferenceData!$AF$151),"",ReferenceData!$AF$151),"")</f>
        <v/>
      </c>
      <c r="AG151" t="str">
        <f ca="1">IFERROR(IF(0=LEN(ReferenceData!$AG$151),"",ReferenceData!$AG$151),"")</f>
        <v/>
      </c>
      <c r="AH151" t="str">
        <f ca="1">IFERROR(IF(0=LEN(ReferenceData!$AH$151),"",ReferenceData!$AH$151),"")</f>
        <v/>
      </c>
      <c r="AI151" t="str">
        <f ca="1">IFERROR(IF(0=LEN(ReferenceData!$AI$151),"",ReferenceData!$AI$151),"")</f>
        <v/>
      </c>
      <c r="AJ151" t="str">
        <f ca="1">IFERROR(IF(0=LEN(ReferenceData!$AJ$151),"",ReferenceData!$AJ$151),"")</f>
        <v/>
      </c>
      <c r="AK151" t="str">
        <f ca="1">IFERROR(IF(0=LEN(ReferenceData!$AK$151),"",ReferenceData!$AK$151),"")</f>
        <v/>
      </c>
      <c r="AL151" t="str">
        <f ca="1">IFERROR(IF(0=LEN(ReferenceData!$AL$151),"",ReferenceData!$AL$151),"")</f>
        <v/>
      </c>
    </row>
    <row r="152" spans="1:38" x14ac:dyDescent="0.25">
      <c r="A152" t="str">
        <f>IFERROR(IF(0=LEN(ReferenceData!$A$152),"",ReferenceData!$A$152),"")</f>
        <v xml:space="preserve">        Western Alliance Bancorp</v>
      </c>
      <c r="B152" t="str">
        <f>IFERROR(IF(0=LEN(ReferenceData!$B$152),"",ReferenceData!$B$152),"")</f>
        <v>WAL US Equity</v>
      </c>
      <c r="C152" t="str">
        <f>IFERROR(IF(0=LEN(ReferenceData!$C$152),"",ReferenceData!$C$152),"")</f>
        <v>F0090</v>
      </c>
      <c r="D152" t="str">
        <f>IFERROR(IF(0=LEN(ReferenceData!$D$152),"",ReferenceData!$D$152),"")</f>
        <v>FED_C&amp;I_LOANS_CONSOLIDATED</v>
      </c>
      <c r="E152" t="str">
        <f>IFERROR(IF(0=LEN(ReferenceData!$E$152),"",ReferenceData!$E$152),"")</f>
        <v>Dynamic</v>
      </c>
      <c r="F152" t="str">
        <f ca="1">IFERROR(IF(0=LEN(ReferenceData!$F$152),"",ReferenceData!$F$152),"")</f>
        <v/>
      </c>
      <c r="G152">
        <f ca="1">IFERROR(IF(0=LEN(ReferenceData!$G$152),"",ReferenceData!$G$152),"")</f>
        <v>8850.2970000000005</v>
      </c>
      <c r="H152">
        <f ca="1">IFERROR(IF(0=LEN(ReferenceData!$H$152),"",ReferenceData!$H$152),"")</f>
        <v>11976.007</v>
      </c>
      <c r="I152">
        <f ca="1">IFERROR(IF(0=LEN(ReferenceData!$I$152),"",ReferenceData!$I$152),"")</f>
        <v>10864.13</v>
      </c>
      <c r="J152">
        <f ca="1">IFERROR(IF(0=LEN(ReferenceData!$J$152),"",ReferenceData!$J$152),"")</f>
        <v>7635.7740000000003</v>
      </c>
      <c r="K152">
        <f ca="1">IFERROR(IF(0=LEN(ReferenceData!$K$152),"",ReferenceData!$K$152),"")</f>
        <v>5221.8320000000003</v>
      </c>
      <c r="L152">
        <f ca="1">IFERROR(IF(0=LEN(ReferenceData!$L$152),"",ReferenceData!$L$152),"")</f>
        <v>4358.5219999999999</v>
      </c>
      <c r="M152">
        <f ca="1">IFERROR(IF(0=LEN(ReferenceData!$M$152),"",ReferenceData!$M$152),"")</f>
        <v>4012.9029999999998</v>
      </c>
      <c r="N152">
        <f ca="1">IFERROR(IF(0=LEN(ReferenceData!$N$152),"",ReferenceData!$N$152),"")</f>
        <v>3378.41</v>
      </c>
      <c r="O152">
        <f ca="1">IFERROR(IF(0=LEN(ReferenceData!$O$152),"",ReferenceData!$O$152),"")</f>
        <v>3191.3890000000001</v>
      </c>
      <c r="P152">
        <f ca="1">IFERROR(IF(0=LEN(ReferenceData!$P$152),"",ReferenceData!$P$152),"")</f>
        <v>1922.2349999999999</v>
      </c>
      <c r="Q152">
        <f ca="1">IFERROR(IF(0=LEN(ReferenceData!$Q$152),"",ReferenceData!$Q$152),"")</f>
        <v>1305.894</v>
      </c>
      <c r="R152">
        <f ca="1">IFERROR(IF(0=LEN(ReferenceData!$R$152),"",ReferenceData!$R$152),"")</f>
        <v>1043.0719999999999</v>
      </c>
      <c r="S152">
        <f ca="1">IFERROR(IF(0=LEN(ReferenceData!$S$152),"",ReferenceData!$S$152),"")</f>
        <v>817.23400000000004</v>
      </c>
      <c r="T152">
        <f ca="1">IFERROR(IF(0=LEN(ReferenceData!$T$152),"",ReferenceData!$T$152),"")</f>
        <v>697.399</v>
      </c>
      <c r="U152">
        <f ca="1">IFERROR(IF(0=LEN(ReferenceData!$U$152),"",ReferenceData!$U$152),"")</f>
        <v>665.65499999999997</v>
      </c>
      <c r="V152">
        <f ca="1">IFERROR(IF(0=LEN(ReferenceData!$V$152),"",ReferenceData!$V$152),"")</f>
        <v>798.25199999999995</v>
      </c>
      <c r="W152">
        <f ca="1">IFERROR(IF(0=LEN(ReferenceData!$W$152),"",ReferenceData!$W$152),"")</f>
        <v>727.59900000000005</v>
      </c>
      <c r="X152">
        <f ca="1">IFERROR(IF(0=LEN(ReferenceData!$X$152),"",ReferenceData!$X$152),"")</f>
        <v>622.59199999999998</v>
      </c>
      <c r="Y152">
        <f ca="1">IFERROR(IF(0=LEN(ReferenceData!$Y$152),"",ReferenceData!$Y$152),"")</f>
        <v>338.47899999999998</v>
      </c>
      <c r="Z152">
        <f ca="1">IFERROR(IF(0=LEN(ReferenceData!$Z$152),"",ReferenceData!$Z$152),"")</f>
        <v>239.57599999999999</v>
      </c>
      <c r="AA152">
        <f ca="1">IFERROR(IF(0=LEN(ReferenceData!$AA$152),"",ReferenceData!$AA$152),"")</f>
        <v>158.71600000000001</v>
      </c>
      <c r="AB152">
        <f ca="1">IFERROR(IF(0=LEN(ReferenceData!$AB$152),"",ReferenceData!$AB$152),"")</f>
        <v>93.838999999999999</v>
      </c>
      <c r="AC152">
        <f ca="1">IFERROR(IF(0=LEN(ReferenceData!$AC$152),"",ReferenceData!$AC$152),"")</f>
        <v>85.05</v>
      </c>
      <c r="AD152" t="str">
        <f ca="1">IFERROR(IF(0=LEN(ReferenceData!$AD$152),"",ReferenceData!$AD$152),"")</f>
        <v/>
      </c>
      <c r="AE152" t="str">
        <f ca="1">IFERROR(IF(0=LEN(ReferenceData!$AE$152),"",ReferenceData!$AE$152),"")</f>
        <v/>
      </c>
      <c r="AF152" t="str">
        <f ca="1">IFERROR(IF(0=LEN(ReferenceData!$AF$152),"",ReferenceData!$AF$152),"")</f>
        <v/>
      </c>
      <c r="AG152" t="str">
        <f ca="1">IFERROR(IF(0=LEN(ReferenceData!$AG$152),"",ReferenceData!$AG$152),"")</f>
        <v/>
      </c>
      <c r="AH152" t="str">
        <f ca="1">IFERROR(IF(0=LEN(ReferenceData!$AH$152),"",ReferenceData!$AH$152),"")</f>
        <v/>
      </c>
      <c r="AI152" t="str">
        <f ca="1">IFERROR(IF(0=LEN(ReferenceData!$AI$152),"",ReferenceData!$AI$152),"")</f>
        <v/>
      </c>
      <c r="AJ152" t="str">
        <f ca="1">IFERROR(IF(0=LEN(ReferenceData!$AJ$152),"",ReferenceData!$AJ$152),"")</f>
        <v/>
      </c>
      <c r="AK152" t="str">
        <f ca="1">IFERROR(IF(0=LEN(ReferenceData!$AK$152),"",ReferenceData!$AK$152),"")</f>
        <v/>
      </c>
      <c r="AL152" t="str">
        <f ca="1">IFERROR(IF(0=LEN(ReferenceData!$AL$152),"",ReferenceData!$AL$152),"")</f>
        <v/>
      </c>
    </row>
    <row r="153" spans="1:38" x14ac:dyDescent="0.25">
      <c r="A153" t="str">
        <f>IFERROR(IF(0=LEN(ReferenceData!$A$153),"",ReferenceData!$A$153),"")</f>
        <v xml:space="preserve">        Zions Bancorp NA</v>
      </c>
      <c r="B153" t="str">
        <f>IFERROR(IF(0=LEN(ReferenceData!$B$153),"",ReferenceData!$B$153),"")</f>
        <v>ZION US Equity</v>
      </c>
      <c r="C153" t="str">
        <f>IFERROR(IF(0=LEN(ReferenceData!$C$153),"",ReferenceData!$C$153),"")</f>
        <v>F0090</v>
      </c>
      <c r="D153" t="str">
        <f>IFERROR(IF(0=LEN(ReferenceData!$D$153),"",ReferenceData!$D$153),"")</f>
        <v>FED_C&amp;I_LOANS_CONSOLIDATED</v>
      </c>
      <c r="E153" t="str">
        <f>IFERROR(IF(0=LEN(ReferenceData!$E$153),"",ReferenceData!$E$153),"")</f>
        <v>Dynamic</v>
      </c>
      <c r="F153" t="str">
        <f ca="1">IFERROR(IF(0=LEN(ReferenceData!$F$153),"",ReferenceData!$F$153),"")</f>
        <v/>
      </c>
      <c r="G153" t="str">
        <f ca="1">IFERROR(IF(0=LEN(ReferenceData!$G$153),"",ReferenceData!$G$153),"")</f>
        <v/>
      </c>
      <c r="H153" t="str">
        <f ca="1">IFERROR(IF(0=LEN(ReferenceData!$H$153),"",ReferenceData!$H$153),"")</f>
        <v/>
      </c>
      <c r="I153" t="str">
        <f ca="1">IFERROR(IF(0=LEN(ReferenceData!$I$153),"",ReferenceData!$I$153),"")</f>
        <v/>
      </c>
      <c r="J153" t="str">
        <f ca="1">IFERROR(IF(0=LEN(ReferenceData!$J$153),"",ReferenceData!$J$153),"")</f>
        <v/>
      </c>
      <c r="K153" t="str">
        <f ca="1">IFERROR(IF(0=LEN(ReferenceData!$K$153),"",ReferenceData!$K$153),"")</f>
        <v/>
      </c>
      <c r="L153" t="str">
        <f ca="1">IFERROR(IF(0=LEN(ReferenceData!$L$153),"",ReferenceData!$L$153),"")</f>
        <v/>
      </c>
      <c r="M153" t="str">
        <f ca="1">IFERROR(IF(0=LEN(ReferenceData!$M$153),"",ReferenceData!$M$153),"")</f>
        <v/>
      </c>
      <c r="N153" t="str">
        <f ca="1">IFERROR(IF(0=LEN(ReferenceData!$N$153),"",ReferenceData!$N$153),"")</f>
        <v/>
      </c>
      <c r="O153" t="str">
        <f ca="1">IFERROR(IF(0=LEN(ReferenceData!$O$153),"",ReferenceData!$O$153),"")</f>
        <v/>
      </c>
      <c r="P153" t="str">
        <f ca="1">IFERROR(IF(0=LEN(ReferenceData!$P$153),"",ReferenceData!$P$153),"")</f>
        <v/>
      </c>
      <c r="Q153" t="str">
        <f ca="1">IFERROR(IF(0=LEN(ReferenceData!$Q$153),"",ReferenceData!$Q$153),"")</f>
        <v/>
      </c>
      <c r="R153" t="str">
        <f ca="1">IFERROR(IF(0=LEN(ReferenceData!$R$153),"",ReferenceData!$R$153),"")</f>
        <v/>
      </c>
      <c r="S153" t="str">
        <f ca="1">IFERROR(IF(0=LEN(ReferenceData!$S$153),"",ReferenceData!$S$153),"")</f>
        <v/>
      </c>
      <c r="T153" t="str">
        <f ca="1">IFERROR(IF(0=LEN(ReferenceData!$T$153),"",ReferenceData!$T$153),"")</f>
        <v/>
      </c>
      <c r="U153" t="str">
        <f ca="1">IFERROR(IF(0=LEN(ReferenceData!$U$153),"",ReferenceData!$U$153),"")</f>
        <v/>
      </c>
      <c r="V153" t="str">
        <f ca="1">IFERROR(IF(0=LEN(ReferenceData!$V$153),"",ReferenceData!$V$153),"")</f>
        <v/>
      </c>
      <c r="W153" t="str">
        <f ca="1">IFERROR(IF(0=LEN(ReferenceData!$W$153),"",ReferenceData!$W$153),"")</f>
        <v/>
      </c>
      <c r="X153" t="str">
        <f ca="1">IFERROR(IF(0=LEN(ReferenceData!$X$153),"",ReferenceData!$X$153),"")</f>
        <v/>
      </c>
      <c r="Y153" t="str">
        <f ca="1">IFERROR(IF(0=LEN(ReferenceData!$Y$153),"",ReferenceData!$Y$153),"")</f>
        <v/>
      </c>
      <c r="Z153" t="str">
        <f ca="1">IFERROR(IF(0=LEN(ReferenceData!$Z$153),"",ReferenceData!$Z$153),"")</f>
        <v/>
      </c>
      <c r="AA153" t="str">
        <f ca="1">IFERROR(IF(0=LEN(ReferenceData!$AA$153),"",ReferenceData!$AA$153),"")</f>
        <v/>
      </c>
      <c r="AB153" t="str">
        <f ca="1">IFERROR(IF(0=LEN(ReferenceData!$AB$153),"",ReferenceData!$AB$153),"")</f>
        <v/>
      </c>
      <c r="AC153" t="str">
        <f ca="1">IFERROR(IF(0=LEN(ReferenceData!$AC$153),"",ReferenceData!$AC$153),"")</f>
        <v/>
      </c>
      <c r="AD153" t="str">
        <f ca="1">IFERROR(IF(0=LEN(ReferenceData!$AD$153),"",ReferenceData!$AD$153),"")</f>
        <v/>
      </c>
      <c r="AE153" t="str">
        <f ca="1">IFERROR(IF(0=LEN(ReferenceData!$AE$153),"",ReferenceData!$AE$153),"")</f>
        <v/>
      </c>
      <c r="AF153" t="str">
        <f ca="1">IFERROR(IF(0=LEN(ReferenceData!$AF$153),"",ReferenceData!$AF$153),"")</f>
        <v/>
      </c>
      <c r="AG153" t="str">
        <f ca="1">IFERROR(IF(0=LEN(ReferenceData!$AG$153),"",ReferenceData!$AG$153),"")</f>
        <v/>
      </c>
      <c r="AH153" t="str">
        <f ca="1">IFERROR(IF(0=LEN(ReferenceData!$AH$153),"",ReferenceData!$AH$153),"")</f>
        <v/>
      </c>
      <c r="AI153" t="str">
        <f ca="1">IFERROR(IF(0=LEN(ReferenceData!$AI$153),"",ReferenceData!$AI$153),"")</f>
        <v/>
      </c>
      <c r="AJ153" t="str">
        <f ca="1">IFERROR(IF(0=LEN(ReferenceData!$AJ$153),"",ReferenceData!$AJ$153),"")</f>
        <v/>
      </c>
      <c r="AK153" t="str">
        <f ca="1">IFERROR(IF(0=LEN(ReferenceData!$AK$153),"",ReferenceData!$AK$153),"")</f>
        <v/>
      </c>
      <c r="AL153" t="str">
        <f ca="1">IFERROR(IF(0=LEN(ReferenceData!$AL$153),"",ReferenceData!$AL$153),"")</f>
        <v/>
      </c>
    </row>
    <row r="154" spans="1:38" x14ac:dyDescent="0.25">
      <c r="A154" t="str">
        <f>IFERROR(IF(0=LEN(ReferenceData!$A$154),"",ReferenceData!$A$154),"")</f>
        <v>Consumer loans &amp; leases</v>
      </c>
      <c r="B154" t="str">
        <f>IFERROR(IF(0=LEN(ReferenceData!$B$154),"",ReferenceData!$B$154),"")</f>
        <v/>
      </c>
      <c r="C154" t="str">
        <f>IFERROR(IF(0=LEN(ReferenceData!$C$154),"",ReferenceData!$C$154),"")</f>
        <v/>
      </c>
      <c r="D154" t="str">
        <f>IFERROR(IF(0=LEN(ReferenceData!$D$154),"",ReferenceData!$D$154),"")</f>
        <v/>
      </c>
      <c r="E154" t="str">
        <f>IFERROR(IF(0=LEN(ReferenceData!$E$154),"",ReferenceData!$E$154),"")</f>
        <v>Expression</v>
      </c>
      <c r="F154">
        <f ca="1">IFERROR(IF(0=LEN(ReferenceData!$F$154),"",ReferenceData!$F$154),"")</f>
        <v>1227593.1499999999</v>
      </c>
      <c r="G154">
        <f ca="1">IFERROR(IF(0=LEN(ReferenceData!$G$154),"",ReferenceData!$G$154),"")</f>
        <v>1236870.74</v>
      </c>
      <c r="H154">
        <f ca="1">IFERROR(IF(0=LEN(ReferenceData!$H$154),"",ReferenceData!$H$154),"")</f>
        <v>1202860.2890000001</v>
      </c>
      <c r="I154">
        <f ca="1">IFERROR(IF(0=LEN(ReferenceData!$I$154),"",ReferenceData!$I$154),"")</f>
        <v>1134448.3959999999</v>
      </c>
      <c r="J154">
        <f ca="1">IFERROR(IF(0=LEN(ReferenceData!$J$154),"",ReferenceData!$J$154),"")</f>
        <v>1059079.6980000001</v>
      </c>
      <c r="K154">
        <f ca="1">IFERROR(IF(0=LEN(ReferenceData!$K$154),"",ReferenceData!$K$154),"")</f>
        <v>1133981.8910000001</v>
      </c>
      <c r="L154">
        <f ca="1">IFERROR(IF(0=LEN(ReferenceData!$L$154),"",ReferenceData!$L$154),"")</f>
        <v>1044406.723</v>
      </c>
      <c r="M154">
        <f ca="1">IFERROR(IF(0=LEN(ReferenceData!$M$154),"",ReferenceData!$M$154),"")</f>
        <v>1040221.652</v>
      </c>
      <c r="N154">
        <f ca="1">IFERROR(IF(0=LEN(ReferenceData!$N$154),"",ReferenceData!$N$154),"")</f>
        <v>1014389.939</v>
      </c>
      <c r="O154">
        <f ca="1">IFERROR(IF(0=LEN(ReferenceData!$O$154),"",ReferenceData!$O$154),"")</f>
        <v>959991.13399999996</v>
      </c>
      <c r="P154">
        <f ca="1">IFERROR(IF(0=LEN(ReferenceData!$P$154),"",ReferenceData!$P$154),"")</f>
        <v>944672.37399999995</v>
      </c>
      <c r="Q154">
        <f ca="1">IFERROR(IF(0=LEN(ReferenceData!$Q$154),"",ReferenceData!$Q$154),"")</f>
        <v>929920.93400000001</v>
      </c>
      <c r="R154">
        <f ca="1">IFERROR(IF(0=LEN(ReferenceData!$R$154),"",ReferenceData!$R$154),"")</f>
        <v>927456.05</v>
      </c>
      <c r="S154">
        <f ca="1">IFERROR(IF(0=LEN(ReferenceData!$S$154),"",ReferenceData!$S$154),"")</f>
        <v>912618.56799999997</v>
      </c>
      <c r="T154">
        <f ca="1">IFERROR(IF(0=LEN(ReferenceData!$T$154),"",ReferenceData!$T$154),"")</f>
        <v>969023.56200000003</v>
      </c>
      <c r="U154">
        <f ca="1">IFERROR(IF(0=LEN(ReferenceData!$U$154),"",ReferenceData!$U$154),"")</f>
        <v>754756.28200000001</v>
      </c>
      <c r="V154">
        <f ca="1">IFERROR(IF(0=LEN(ReferenceData!$V$154),"",ReferenceData!$V$154),"")</f>
        <v>818397.554</v>
      </c>
      <c r="W154">
        <f ca="1">IFERROR(IF(0=LEN(ReferenceData!$W$154),"",ReferenceData!$W$154),"")</f>
        <v>761306.64300000004</v>
      </c>
      <c r="X154">
        <f ca="1">IFERROR(IF(0=LEN(ReferenceData!$X$154),"",ReferenceData!$X$154),"")</f>
        <v>674646.51699999999</v>
      </c>
      <c r="Y154">
        <f ca="1">IFERROR(IF(0=LEN(ReferenceData!$Y$154),"",ReferenceData!$Y$154),"")</f>
        <v>604690.39199999999</v>
      </c>
      <c r="Z154">
        <f ca="1">IFERROR(IF(0=LEN(ReferenceData!$Z$154),"",ReferenceData!$Z$154),"")</f>
        <v>569598.598</v>
      </c>
      <c r="AA154">
        <f ca="1">IFERROR(IF(0=LEN(ReferenceData!$AA$154),"",ReferenceData!$AA$154),"")</f>
        <v>422881.80300000001</v>
      </c>
      <c r="AB154">
        <f ca="1">IFERROR(IF(0=LEN(ReferenceData!$AB$154),"",ReferenceData!$AB$154),"")</f>
        <v>361333.76799999998</v>
      </c>
      <c r="AC154">
        <f ca="1">IFERROR(IF(0=LEN(ReferenceData!$AC$154),"",ReferenceData!$AC$154),"")</f>
        <v>316197.34100000001</v>
      </c>
      <c r="AD154">
        <f ca="1">IFERROR(IF(0=LEN(ReferenceData!$AD$154),"",ReferenceData!$AD$154),"")</f>
        <v>204906.57800000001</v>
      </c>
      <c r="AE154">
        <f ca="1">IFERROR(IF(0=LEN(ReferenceData!$AE$154),"",ReferenceData!$AE$154),"")</f>
        <v>170158.04300000001</v>
      </c>
      <c r="AF154">
        <f ca="1">IFERROR(IF(0=LEN(ReferenceData!$AF$154),"",ReferenceData!$AF$154),"")</f>
        <v>178210.28200000001</v>
      </c>
      <c r="AG154">
        <f ca="1">IFERROR(IF(0=LEN(ReferenceData!$AG$154),"",ReferenceData!$AG$154),"")</f>
        <v>96305.251000000004</v>
      </c>
      <c r="AH154">
        <f ca="1">IFERROR(IF(0=LEN(ReferenceData!$AH$154),"",ReferenceData!$AH$154),"")</f>
        <v>54459.135999999999</v>
      </c>
      <c r="AI154">
        <f ca="1">IFERROR(IF(0=LEN(ReferenceData!$AI$154),"",ReferenceData!$AI$154),"")</f>
        <v>52067.508999999998</v>
      </c>
      <c r="AJ154">
        <f ca="1">IFERROR(IF(0=LEN(ReferenceData!$AJ$154),"",ReferenceData!$AJ$154),"")</f>
        <v>30674.562999999998</v>
      </c>
      <c r="AK154">
        <f ca="1">IFERROR(IF(0=LEN(ReferenceData!$AK$154),"",ReferenceData!$AK$154),"")</f>
        <v>20682.411</v>
      </c>
      <c r="AL154">
        <f ca="1">IFERROR(IF(0=LEN(ReferenceData!$AL$154),"",ReferenceData!$AL$154),"")</f>
        <v>18711.575000000001</v>
      </c>
    </row>
    <row r="155" spans="1:38" x14ac:dyDescent="0.25">
      <c r="A155" t="str">
        <f>IFERROR(IF(0=LEN(ReferenceData!$A$155),"",ReferenceData!$A$155),"")</f>
        <v xml:space="preserve">    Consumer Loans by Company</v>
      </c>
      <c r="B155" t="str">
        <f>IFERROR(IF(0=LEN(ReferenceData!$B$155),"",ReferenceData!$B$155),"")</f>
        <v/>
      </c>
      <c r="C155" t="str">
        <f>IFERROR(IF(0=LEN(ReferenceData!$C$155),"",ReferenceData!$C$155),"")</f>
        <v/>
      </c>
      <c r="D155" t="str">
        <f>IFERROR(IF(0=LEN(ReferenceData!$D$155),"",ReferenceData!$D$155),"")</f>
        <v/>
      </c>
      <c r="E155" t="str">
        <f>IFERROR(IF(0=LEN(ReferenceData!$E$155),"",ReferenceData!$E$155),"")</f>
        <v>Sum</v>
      </c>
      <c r="F155">
        <f ca="1">IFERROR(IF(0=LEN(ReferenceData!$F$155),"",ReferenceData!$F$155),"")</f>
        <v>1227593.1500000001</v>
      </c>
      <c r="G155">
        <f ca="1">IFERROR(IF(0=LEN(ReferenceData!$G$155),"",ReferenceData!$G$155),"")</f>
        <v>1236870.74</v>
      </c>
      <c r="H155">
        <f ca="1">IFERROR(IF(0=LEN(ReferenceData!$H$155),"",ReferenceData!$H$155),"")</f>
        <v>1202860.2890000001</v>
      </c>
      <c r="I155">
        <f ca="1">IFERROR(IF(0=LEN(ReferenceData!$I$155),"",ReferenceData!$I$155),"")</f>
        <v>1134448.3960000002</v>
      </c>
      <c r="J155">
        <f ca="1">IFERROR(IF(0=LEN(ReferenceData!$J$155),"",ReferenceData!$J$155),"")</f>
        <v>1059079.6979999999</v>
      </c>
      <c r="K155">
        <f ca="1">IFERROR(IF(0=LEN(ReferenceData!$K$155),"",ReferenceData!$K$155),"")</f>
        <v>1133981.8909999998</v>
      </c>
      <c r="L155">
        <f ca="1">IFERROR(IF(0=LEN(ReferenceData!$L$155),"",ReferenceData!$L$155),"")</f>
        <v>1044406.723</v>
      </c>
      <c r="M155">
        <f ca="1">IFERROR(IF(0=LEN(ReferenceData!$M$155),"",ReferenceData!$M$155),"")</f>
        <v>1040221.652</v>
      </c>
      <c r="N155">
        <f ca="1">IFERROR(IF(0=LEN(ReferenceData!$N$155),"",ReferenceData!$N$155),"")</f>
        <v>1014389.9390000001</v>
      </c>
      <c r="O155">
        <f ca="1">IFERROR(IF(0=LEN(ReferenceData!$O$155),"",ReferenceData!$O$155),"")</f>
        <v>959991.13400000008</v>
      </c>
      <c r="P155">
        <f ca="1">IFERROR(IF(0=LEN(ReferenceData!$P$155),"",ReferenceData!$P$155),"")</f>
        <v>944672.37399999995</v>
      </c>
      <c r="Q155">
        <f ca="1">IFERROR(IF(0=LEN(ReferenceData!$Q$155),"",ReferenceData!$Q$155),"")</f>
        <v>929920.93400000012</v>
      </c>
      <c r="R155">
        <f ca="1">IFERROR(IF(0=LEN(ReferenceData!$R$155),"",ReferenceData!$R$155),"")</f>
        <v>927456.04999999993</v>
      </c>
      <c r="S155">
        <f ca="1">IFERROR(IF(0=LEN(ReferenceData!$S$155),"",ReferenceData!$S$155),"")</f>
        <v>912618.56799999997</v>
      </c>
      <c r="T155">
        <f ca="1">IFERROR(IF(0=LEN(ReferenceData!$T$155),"",ReferenceData!$T$155),"")</f>
        <v>969023.56200000003</v>
      </c>
      <c r="U155">
        <f ca="1">IFERROR(IF(0=LEN(ReferenceData!$U$155),"",ReferenceData!$U$155),"")</f>
        <v>754756.28200000012</v>
      </c>
      <c r="V155">
        <f ca="1">IFERROR(IF(0=LEN(ReferenceData!$V$155),"",ReferenceData!$V$155),"")</f>
        <v>818397.554</v>
      </c>
      <c r="W155">
        <f ca="1">IFERROR(IF(0=LEN(ReferenceData!$W$155),"",ReferenceData!$W$155),"")</f>
        <v>761306.64299999992</v>
      </c>
      <c r="X155">
        <f ca="1">IFERROR(IF(0=LEN(ReferenceData!$X$155),"",ReferenceData!$X$155),"")</f>
        <v>674646.51700000011</v>
      </c>
      <c r="Y155">
        <f ca="1">IFERROR(IF(0=LEN(ReferenceData!$Y$155),"",ReferenceData!$Y$155),"")</f>
        <v>604690.39199999999</v>
      </c>
      <c r="Z155">
        <f ca="1">IFERROR(IF(0=LEN(ReferenceData!$Z$155),"",ReferenceData!$Z$155),"")</f>
        <v>569598.598</v>
      </c>
      <c r="AA155">
        <f ca="1">IFERROR(IF(0=LEN(ReferenceData!$AA$155),"",ReferenceData!$AA$155),"")</f>
        <v>422881.80299999996</v>
      </c>
      <c r="AB155">
        <f ca="1">IFERROR(IF(0=LEN(ReferenceData!$AB$155),"",ReferenceData!$AB$155),"")</f>
        <v>361333.76800000004</v>
      </c>
      <c r="AC155">
        <f ca="1">IFERROR(IF(0=LEN(ReferenceData!$AC$155),"",ReferenceData!$AC$155),"")</f>
        <v>316197.34099999996</v>
      </c>
      <c r="AD155">
        <f ca="1">IFERROR(IF(0=LEN(ReferenceData!$AD$155),"",ReferenceData!$AD$155),"")</f>
        <v>204906.57800000001</v>
      </c>
      <c r="AE155">
        <f ca="1">IFERROR(IF(0=LEN(ReferenceData!$AE$155),"",ReferenceData!$AE$155),"")</f>
        <v>170158.04299999998</v>
      </c>
      <c r="AF155">
        <f ca="1">IFERROR(IF(0=LEN(ReferenceData!$AF$155),"",ReferenceData!$AF$155),"")</f>
        <v>178210.28200000001</v>
      </c>
      <c r="AG155">
        <f ca="1">IFERROR(IF(0=LEN(ReferenceData!$AG$155),"",ReferenceData!$AG$155),"")</f>
        <v>96305.250999999975</v>
      </c>
      <c r="AH155">
        <f ca="1">IFERROR(IF(0=LEN(ReferenceData!$AH$155),"",ReferenceData!$AH$155),"")</f>
        <v>54459.135999999999</v>
      </c>
      <c r="AI155">
        <f ca="1">IFERROR(IF(0=LEN(ReferenceData!$AI$155),"",ReferenceData!$AI$155),"")</f>
        <v>52067.508999999998</v>
      </c>
      <c r="AJ155">
        <f ca="1">IFERROR(IF(0=LEN(ReferenceData!$AJ$155),"",ReferenceData!$AJ$155),"")</f>
        <v>30674.563000000002</v>
      </c>
      <c r="AK155">
        <f ca="1">IFERROR(IF(0=LEN(ReferenceData!$AK$155),"",ReferenceData!$AK$155),"")</f>
        <v>20682.411</v>
      </c>
      <c r="AL155">
        <f ca="1">IFERROR(IF(0=LEN(ReferenceData!$AL$155),"",ReferenceData!$AL$155),"")</f>
        <v>18711.575000000001</v>
      </c>
    </row>
    <row r="156" spans="1:38" x14ac:dyDescent="0.25">
      <c r="A156" t="str">
        <f>IFERROR(IF(0=LEN(ReferenceData!$A$156),"",ReferenceData!$A$156),"")</f>
        <v xml:space="preserve">        Bank of America Corp</v>
      </c>
      <c r="B156" t="str">
        <f>IFERROR(IF(0=LEN(ReferenceData!$B$156),"",ReferenceData!$B$156),"")</f>
        <v>BAC US Equity</v>
      </c>
      <c r="C156" t="str">
        <f>IFERROR(IF(0=LEN(ReferenceData!$C$156),"",ReferenceData!$C$156),"")</f>
        <v>F0091</v>
      </c>
      <c r="D156" t="str">
        <f>IFERROR(IF(0=LEN(ReferenceData!$D$156),"",ReferenceData!$D$156),"")</f>
        <v>FED_CONSUMER_LOANS_&amp;_LEASES_CONS</v>
      </c>
      <c r="E156" t="str">
        <f>IFERROR(IF(0=LEN(ReferenceData!$E$156),"",ReferenceData!$E$156),"")</f>
        <v>Dynamic</v>
      </c>
      <c r="F156">
        <f ca="1">IFERROR(IF(0=LEN(ReferenceData!$F$156),"",ReferenceData!$F$156),"")</f>
        <v>196347</v>
      </c>
      <c r="G156">
        <f ca="1">IFERROR(IF(0=LEN(ReferenceData!$G$156),"",ReferenceData!$G$156),"")</f>
        <v>192047</v>
      </c>
      <c r="H156">
        <f ca="1">IFERROR(IF(0=LEN(ReferenceData!$H$156),"",ReferenceData!$H$156),"")</f>
        <v>185463</v>
      </c>
      <c r="I156">
        <f ca="1">IFERROR(IF(0=LEN(ReferenceData!$I$156),"",ReferenceData!$I$156),"")</f>
        <v>170250</v>
      </c>
      <c r="J156">
        <f ca="1">IFERROR(IF(0=LEN(ReferenceData!$J$156),"",ReferenceData!$J$156),"")</f>
        <v>156120</v>
      </c>
      <c r="K156">
        <f ca="1">IFERROR(IF(0=LEN(ReferenceData!$K$156),"",ReferenceData!$K$156),"")</f>
        <v>175199</v>
      </c>
      <c r="L156">
        <f ca="1">IFERROR(IF(0=LEN(ReferenceData!$L$156),"",ReferenceData!$L$156),"")</f>
        <v>175785</v>
      </c>
      <c r="M156">
        <f ca="1">IFERROR(IF(0=LEN(ReferenceData!$M$156),"",ReferenceData!$M$156),"")</f>
        <v>177379</v>
      </c>
      <c r="N156">
        <f ca="1">IFERROR(IF(0=LEN(ReferenceData!$N$156),"",ReferenceData!$N$156),"")</f>
        <v>173943</v>
      </c>
      <c r="O156">
        <f ca="1">IFERROR(IF(0=LEN(ReferenceData!$O$156),"",ReferenceData!$O$156),"")</f>
        <v>177654</v>
      </c>
      <c r="P156">
        <f ca="1">IFERROR(IF(0=LEN(ReferenceData!$P$156),"",ReferenceData!$P$156),"")</f>
        <v>181496</v>
      </c>
      <c r="Q156">
        <f ca="1">IFERROR(IF(0=LEN(ReferenceData!$Q$156),"",ReferenceData!$Q$156),"")</f>
        <v>183282</v>
      </c>
      <c r="R156">
        <f ca="1">IFERROR(IF(0=LEN(ReferenceData!$R$156),"",ReferenceData!$R$156),"")</f>
        <v>187055.64799999999</v>
      </c>
      <c r="S156">
        <f ca="1">IFERROR(IF(0=LEN(ReferenceData!$S$156),"",ReferenceData!$S$156),"")</f>
        <v>203218.00099999999</v>
      </c>
      <c r="T156">
        <f ca="1">IFERROR(IF(0=LEN(ReferenceData!$T$156),"",ReferenceData!$T$156),"")</f>
        <v>238205.49900000001</v>
      </c>
      <c r="U156">
        <f ca="1">IFERROR(IF(0=LEN(ReferenceData!$U$156),"",ReferenceData!$U$156),"")</f>
        <v>175281.15700000001</v>
      </c>
      <c r="V156">
        <f ca="1">IFERROR(IF(0=LEN(ReferenceData!$V$156),"",ReferenceData!$V$156),"")</f>
        <v>171792.606</v>
      </c>
      <c r="W156">
        <f ca="1">IFERROR(IF(0=LEN(ReferenceData!$W$156),"",ReferenceData!$W$156),"")</f>
        <v>163817.25599999999</v>
      </c>
      <c r="X156">
        <f ca="1">IFERROR(IF(0=LEN(ReferenceData!$X$156),"",ReferenceData!$X$156),"")</f>
        <v>139868.99100000001</v>
      </c>
      <c r="Y156">
        <f ca="1">IFERROR(IF(0=LEN(ReferenceData!$Y$156),"",ReferenceData!$Y$156),"")</f>
        <v>102924.82799999999</v>
      </c>
      <c r="Z156">
        <f ca="1">IFERROR(IF(0=LEN(ReferenceData!$Z$156),"",ReferenceData!$Z$156),"")</f>
        <v>91181.926000000007</v>
      </c>
      <c r="AA156">
        <f ca="1">IFERROR(IF(0=LEN(ReferenceData!$AA$156),"",ReferenceData!$AA$156),"")</f>
        <v>68256.441000000006</v>
      </c>
      <c r="AB156">
        <f ca="1">IFERROR(IF(0=LEN(ReferenceData!$AB$156),"",ReferenceData!$AB$156),"")</f>
        <v>59435</v>
      </c>
      <c r="AC156">
        <f ca="1">IFERROR(IF(0=LEN(ReferenceData!$AC$156),"",ReferenceData!$AC$156),"")</f>
        <v>50727</v>
      </c>
      <c r="AD156" t="str">
        <f ca="1">IFERROR(IF(0=LEN(ReferenceData!$AD$156),"",ReferenceData!$AD$156),"")</f>
        <v/>
      </c>
      <c r="AE156" t="str">
        <f ca="1">IFERROR(IF(0=LEN(ReferenceData!$AE$156),"",ReferenceData!$AE$156),"")</f>
        <v/>
      </c>
      <c r="AF156" t="str">
        <f ca="1">IFERROR(IF(0=LEN(ReferenceData!$AF$156),"",ReferenceData!$AF$156),"")</f>
        <v/>
      </c>
      <c r="AG156" t="str">
        <f ca="1">IFERROR(IF(0=LEN(ReferenceData!$AG$156),"",ReferenceData!$AG$156),"")</f>
        <v/>
      </c>
      <c r="AH156" t="str">
        <f ca="1">IFERROR(IF(0=LEN(ReferenceData!$AH$156),"",ReferenceData!$AH$156),"")</f>
        <v/>
      </c>
      <c r="AI156" t="str">
        <f ca="1">IFERROR(IF(0=LEN(ReferenceData!$AI$156),"",ReferenceData!$AI$156),"")</f>
        <v/>
      </c>
      <c r="AJ156" t="str">
        <f ca="1">IFERROR(IF(0=LEN(ReferenceData!$AJ$156),"",ReferenceData!$AJ$156),"")</f>
        <v/>
      </c>
      <c r="AK156" t="str">
        <f ca="1">IFERROR(IF(0=LEN(ReferenceData!$AK$156),"",ReferenceData!$AK$156),"")</f>
        <v/>
      </c>
      <c r="AL156" t="str">
        <f ca="1">IFERROR(IF(0=LEN(ReferenceData!$AL$156),"",ReferenceData!$AL$156),"")</f>
        <v/>
      </c>
    </row>
    <row r="157" spans="1:38" x14ac:dyDescent="0.25">
      <c r="A157" t="str">
        <f>IFERROR(IF(0=LEN(ReferenceData!$A$157),"",ReferenceData!$A$157),"")</f>
        <v xml:space="preserve">        Citigroup Inc</v>
      </c>
      <c r="B157" t="str">
        <f>IFERROR(IF(0=LEN(ReferenceData!$B$157),"",ReferenceData!$B$157),"")</f>
        <v>C US Equity</v>
      </c>
      <c r="C157" t="str">
        <f>IFERROR(IF(0=LEN(ReferenceData!$C$157),"",ReferenceData!$C$157),"")</f>
        <v>F0091</v>
      </c>
      <c r="D157" t="str">
        <f>IFERROR(IF(0=LEN(ReferenceData!$D$157),"",ReferenceData!$D$157),"")</f>
        <v>FED_CONSUMER_LOANS_&amp;_LEASES_CONS</v>
      </c>
      <c r="E157" t="str">
        <f>IFERROR(IF(0=LEN(ReferenceData!$E$157),"",ReferenceData!$E$157),"")</f>
        <v>Dynamic</v>
      </c>
      <c r="F157">
        <f ca="1">IFERROR(IF(0=LEN(ReferenceData!$F$157),"",ReferenceData!$F$157),"")</f>
        <v>192090</v>
      </c>
      <c r="G157">
        <f ca="1">IFERROR(IF(0=LEN(ReferenceData!$G$157),"",ReferenceData!$G$157),"")</f>
        <v>187661</v>
      </c>
      <c r="H157">
        <f ca="1">IFERROR(IF(0=LEN(ReferenceData!$H$157),"",ReferenceData!$H$157),"")</f>
        <v>177382</v>
      </c>
      <c r="I157">
        <f ca="1">IFERROR(IF(0=LEN(ReferenceData!$I$157),"",ReferenceData!$I$157),"")</f>
        <v>172146</v>
      </c>
      <c r="J157">
        <f ca="1">IFERROR(IF(0=LEN(ReferenceData!$J$157),"",ReferenceData!$J$157),"")</f>
        <v>173176</v>
      </c>
      <c r="K157">
        <f ca="1">IFERROR(IF(0=LEN(ReferenceData!$K$157),"",ReferenceData!$K$157),"")</f>
        <v>200542</v>
      </c>
      <c r="L157">
        <f ca="1">IFERROR(IF(0=LEN(ReferenceData!$L$157),"",ReferenceData!$L$157),"")</f>
        <v>191199</v>
      </c>
      <c r="M157">
        <f ca="1">IFERROR(IF(0=LEN(ReferenceData!$M$157),"",ReferenceData!$M$157),"")</f>
        <v>189575</v>
      </c>
      <c r="N157">
        <f ca="1">IFERROR(IF(0=LEN(ReferenceData!$N$157),"",ReferenceData!$N$157),"")</f>
        <v>179420</v>
      </c>
      <c r="O157">
        <f ca="1">IFERROR(IF(0=LEN(ReferenceData!$O$157),"",ReferenceData!$O$157),"")</f>
        <v>166874</v>
      </c>
      <c r="P157">
        <f ca="1">IFERROR(IF(0=LEN(ReferenceData!$P$157),"",ReferenceData!$P$157),"")</f>
        <v>181395</v>
      </c>
      <c r="Q157">
        <f ca="1">IFERROR(IF(0=LEN(ReferenceData!$Q$157),"",ReferenceData!$Q$157),"")</f>
        <v>192047</v>
      </c>
      <c r="R157">
        <f ca="1">IFERROR(IF(0=LEN(ReferenceData!$R$157),"",ReferenceData!$R$157),"")</f>
        <v>195578</v>
      </c>
      <c r="S157">
        <f ca="1">IFERROR(IF(0=LEN(ReferenceData!$S$157),"",ReferenceData!$S$157),"")</f>
        <v>202924</v>
      </c>
      <c r="T157">
        <f ca="1">IFERROR(IF(0=LEN(ReferenceData!$T$157),"",ReferenceData!$T$157),"")</f>
        <v>227248</v>
      </c>
      <c r="U157">
        <f ca="1">IFERROR(IF(0=LEN(ReferenceData!$U$157),"",ReferenceData!$U$157),"")</f>
        <v>169691</v>
      </c>
      <c r="V157">
        <f ca="1">IFERROR(IF(0=LEN(ReferenceData!$V$157),"",ReferenceData!$V$157),"")</f>
        <v>198473</v>
      </c>
      <c r="W157">
        <f ca="1">IFERROR(IF(0=LEN(ReferenceData!$W$157),"",ReferenceData!$W$157),"")</f>
        <v>225839</v>
      </c>
      <c r="X157">
        <f ca="1">IFERROR(IF(0=LEN(ReferenceData!$X$157),"",ReferenceData!$X$157),"")</f>
        <v>186625</v>
      </c>
      <c r="Y157">
        <f ca="1">IFERROR(IF(0=LEN(ReferenceData!$Y$157),"",ReferenceData!$Y$157),"")</f>
        <v>173718</v>
      </c>
      <c r="Z157">
        <f ca="1">IFERROR(IF(0=LEN(ReferenceData!$Z$157),"",ReferenceData!$Z$157),"")</f>
        <v>186077</v>
      </c>
      <c r="AA157">
        <f ca="1">IFERROR(IF(0=LEN(ReferenceData!$AA$157),"",ReferenceData!$AA$157),"")</f>
        <v>178398</v>
      </c>
      <c r="AB157">
        <f ca="1">IFERROR(IF(0=LEN(ReferenceData!$AB$157),"",ReferenceData!$AB$157),"")</f>
        <v>147329</v>
      </c>
      <c r="AC157">
        <f ca="1">IFERROR(IF(0=LEN(ReferenceData!$AC$157),"",ReferenceData!$AC$157),"")</f>
        <v>127731</v>
      </c>
      <c r="AD157">
        <f ca="1">IFERROR(IF(0=LEN(ReferenceData!$AD$157),"",ReferenceData!$AD$157),"")</f>
        <v>100480.78200000001</v>
      </c>
      <c r="AE157">
        <f ca="1">IFERROR(IF(0=LEN(ReferenceData!$AE$157),"",ReferenceData!$AE$157),"")</f>
        <v>75604.313999999998</v>
      </c>
      <c r="AF157">
        <f ca="1">IFERROR(IF(0=LEN(ReferenceData!$AF$157),"",ReferenceData!$AF$157),"")</f>
        <v>72834.535000000003</v>
      </c>
      <c r="AG157" t="str">
        <f ca="1">IFERROR(IF(0=LEN(ReferenceData!$AG$157),"",ReferenceData!$AG$157),"")</f>
        <v/>
      </c>
      <c r="AH157" t="str">
        <f ca="1">IFERROR(IF(0=LEN(ReferenceData!$AH$157),"",ReferenceData!$AH$157),"")</f>
        <v/>
      </c>
      <c r="AI157" t="str">
        <f ca="1">IFERROR(IF(0=LEN(ReferenceData!$AI$157),"",ReferenceData!$AI$157),"")</f>
        <v/>
      </c>
      <c r="AJ157" t="str">
        <f ca="1">IFERROR(IF(0=LEN(ReferenceData!$AJ$157),"",ReferenceData!$AJ$157),"")</f>
        <v/>
      </c>
      <c r="AK157" t="str">
        <f ca="1">IFERROR(IF(0=LEN(ReferenceData!$AK$157),"",ReferenceData!$AK$157),"")</f>
        <v/>
      </c>
      <c r="AL157" t="str">
        <f ca="1">IFERROR(IF(0=LEN(ReferenceData!$AL$157),"",ReferenceData!$AL$157),"")</f>
        <v/>
      </c>
    </row>
    <row r="158" spans="1:38" x14ac:dyDescent="0.25">
      <c r="A158" t="str">
        <f>IFERROR(IF(0=LEN(ReferenceData!$A$158),"",ReferenceData!$A$158),"")</f>
        <v xml:space="preserve">        Citizens Financial Group Inc</v>
      </c>
      <c r="B158" t="str">
        <f>IFERROR(IF(0=LEN(ReferenceData!$B$158),"",ReferenceData!$B$158),"")</f>
        <v>CFG US Equity</v>
      </c>
      <c r="C158" t="str">
        <f>IFERROR(IF(0=LEN(ReferenceData!$C$158),"",ReferenceData!$C$158),"")</f>
        <v>F0091</v>
      </c>
      <c r="D158" t="str">
        <f>IFERROR(IF(0=LEN(ReferenceData!$D$158),"",ReferenceData!$D$158),"")</f>
        <v>FED_CONSUMER_LOANS_&amp;_LEASES_CONS</v>
      </c>
      <c r="E158" t="str">
        <f>IFERROR(IF(0=LEN(ReferenceData!$E$158),"",ReferenceData!$E$158),"")</f>
        <v>Dynamic</v>
      </c>
      <c r="F158">
        <f ca="1">IFERROR(IF(0=LEN(ReferenceData!$F$158),"",ReferenceData!$F$158),"")</f>
        <v>19643.289000000001</v>
      </c>
      <c r="G158">
        <f ca="1">IFERROR(IF(0=LEN(ReferenceData!$G$158),"",ReferenceData!$G$158),"")</f>
        <v>24180.834999999999</v>
      </c>
      <c r="H158">
        <f ca="1">IFERROR(IF(0=LEN(ReferenceData!$H$158),"",ReferenceData!$H$158),"")</f>
        <v>29205.897000000001</v>
      </c>
      <c r="I158">
        <f ca="1">IFERROR(IF(0=LEN(ReferenceData!$I$158),"",ReferenceData!$I$158),"")</f>
        <v>31590.168000000001</v>
      </c>
      <c r="J158">
        <f ca="1">IFERROR(IF(0=LEN(ReferenceData!$J$158),"",ReferenceData!$J$158),"")</f>
        <v>29061.32</v>
      </c>
      <c r="K158">
        <f ca="1">IFERROR(IF(0=LEN(ReferenceData!$K$158),"",ReferenceData!$K$158),"")</f>
        <v>27541.728999999999</v>
      </c>
      <c r="L158">
        <f ca="1">IFERROR(IF(0=LEN(ReferenceData!$L$158),"",ReferenceData!$L$158),"")</f>
        <v>24974.058000000001</v>
      </c>
      <c r="M158">
        <f ca="1">IFERROR(IF(0=LEN(ReferenceData!$M$158),"",ReferenceData!$M$158),"")</f>
        <v>24504.257000000001</v>
      </c>
      <c r="N158">
        <f ca="1">IFERROR(IF(0=LEN(ReferenceData!$N$158),"",ReferenceData!$N$158),"")</f>
        <v>22753.502</v>
      </c>
      <c r="O158">
        <f ca="1">IFERROR(IF(0=LEN(ReferenceData!$O$158),"",ReferenceData!$O$158),"")</f>
        <v>19948.776000000002</v>
      </c>
      <c r="P158">
        <f ca="1">IFERROR(IF(0=LEN(ReferenceData!$P$158),"",ReferenceData!$P$158),"")</f>
        <v>17542.13</v>
      </c>
      <c r="Q158">
        <f ca="1">IFERROR(IF(0=LEN(ReferenceData!$Q$158),"",ReferenceData!$Q$158),"")</f>
        <v>14503.466</v>
      </c>
      <c r="R158">
        <f ca="1">IFERROR(IF(0=LEN(ReferenceData!$R$158),"",ReferenceData!$R$158),"")</f>
        <v>14334.983</v>
      </c>
      <c r="S158">
        <f ca="1">IFERROR(IF(0=LEN(ReferenceData!$S$158),"",ReferenceData!$S$158),"")</f>
        <v>13364.541999999999</v>
      </c>
      <c r="T158">
        <f ca="1">IFERROR(IF(0=LEN(ReferenceData!$T$158),"",ReferenceData!$T$158),"")</f>
        <v>14974.453</v>
      </c>
      <c r="U158">
        <f ca="1">IFERROR(IF(0=LEN(ReferenceData!$U$158),"",ReferenceData!$U$158),"")</f>
        <v>18065.933000000001</v>
      </c>
      <c r="V158">
        <f ca="1">IFERROR(IF(0=LEN(ReferenceData!$V$158),"",ReferenceData!$V$158),"")</f>
        <v>21260.628000000001</v>
      </c>
      <c r="W158">
        <f ca="1">IFERROR(IF(0=LEN(ReferenceData!$W$158),"",ReferenceData!$W$158),"")</f>
        <v>22083.164000000001</v>
      </c>
      <c r="X158">
        <f ca="1">IFERROR(IF(0=LEN(ReferenceData!$X$158),"",ReferenceData!$X$158),"")</f>
        <v>23039.444</v>
      </c>
      <c r="Y158">
        <f ca="1">IFERROR(IF(0=LEN(ReferenceData!$Y$158),"",ReferenceData!$Y$158),"")</f>
        <v>24900.952000000001</v>
      </c>
      <c r="Z158">
        <f ca="1">IFERROR(IF(0=LEN(ReferenceData!$Z$158),"",ReferenceData!$Z$158),"")</f>
        <v>21500.097000000002</v>
      </c>
      <c r="AA158">
        <f ca="1">IFERROR(IF(0=LEN(ReferenceData!$AA$158),"",ReferenceData!$AA$158),"")</f>
        <v>10841.427</v>
      </c>
      <c r="AB158">
        <f ca="1">IFERROR(IF(0=LEN(ReferenceData!$AB$158),"",ReferenceData!$AB$158),"")</f>
        <v>8430.2209999999995</v>
      </c>
      <c r="AC158">
        <f ca="1">IFERROR(IF(0=LEN(ReferenceData!$AC$158),"",ReferenceData!$AC$158),"")</f>
        <v>6519.0029999999997</v>
      </c>
      <c r="AD158" t="str">
        <f ca="1">IFERROR(IF(0=LEN(ReferenceData!$AD$158),"",ReferenceData!$AD$158),"")</f>
        <v/>
      </c>
      <c r="AE158" t="str">
        <f ca="1">IFERROR(IF(0=LEN(ReferenceData!$AE$158),"",ReferenceData!$AE$158),"")</f>
        <v/>
      </c>
      <c r="AF158" t="str">
        <f ca="1">IFERROR(IF(0=LEN(ReferenceData!$AF$158),"",ReferenceData!$AF$158),"")</f>
        <v/>
      </c>
      <c r="AG158" t="str">
        <f ca="1">IFERROR(IF(0=LEN(ReferenceData!$AG$158),"",ReferenceData!$AG$158),"")</f>
        <v/>
      </c>
      <c r="AH158" t="str">
        <f ca="1">IFERROR(IF(0=LEN(ReferenceData!$AH$158),"",ReferenceData!$AH$158),"")</f>
        <v/>
      </c>
      <c r="AI158" t="str">
        <f ca="1">IFERROR(IF(0=LEN(ReferenceData!$AI$158),"",ReferenceData!$AI$158),"")</f>
        <v/>
      </c>
      <c r="AJ158" t="str">
        <f ca="1">IFERROR(IF(0=LEN(ReferenceData!$AJ$158),"",ReferenceData!$AJ$158),"")</f>
        <v/>
      </c>
      <c r="AK158" t="str">
        <f ca="1">IFERROR(IF(0=LEN(ReferenceData!$AK$158),"",ReferenceData!$AK$158),"")</f>
        <v/>
      </c>
      <c r="AL158" t="str">
        <f ca="1">IFERROR(IF(0=LEN(ReferenceData!$AL$158),"",ReferenceData!$AL$158),"")</f>
        <v/>
      </c>
    </row>
    <row r="159" spans="1:38" x14ac:dyDescent="0.25">
      <c r="A159" t="str">
        <f>IFERROR(IF(0=LEN(ReferenceData!$A$159),"",ReferenceData!$A$159),"")</f>
        <v xml:space="preserve">        Capital One Financial Corp</v>
      </c>
      <c r="B159" t="str">
        <f>IFERROR(IF(0=LEN(ReferenceData!$B$159),"",ReferenceData!$B$159),"")</f>
        <v>COF US Equity</v>
      </c>
      <c r="C159" t="str">
        <f>IFERROR(IF(0=LEN(ReferenceData!$C$159),"",ReferenceData!$C$159),"")</f>
        <v>F0091</v>
      </c>
      <c r="D159" t="str">
        <f>IFERROR(IF(0=LEN(ReferenceData!$D$159),"",ReferenceData!$D$159),"")</f>
        <v>FED_CONSUMER_LOANS_&amp;_LEASES_CONS</v>
      </c>
      <c r="E159" t="str">
        <f>IFERROR(IF(0=LEN(ReferenceData!$E$159),"",ReferenceData!$E$159),"")</f>
        <v>Dynamic</v>
      </c>
      <c r="F159">
        <f ca="1">IFERROR(IF(0=LEN(ReferenceData!$F$159),"",ReferenceData!$F$159),"")</f>
        <v>226221.94399999999</v>
      </c>
      <c r="G159">
        <f ca="1">IFERROR(IF(0=LEN(ReferenceData!$G$159),"",ReferenceData!$G$159),"")</f>
        <v>216460.851</v>
      </c>
      <c r="H159">
        <f ca="1">IFERROR(IF(0=LEN(ReferenceData!$H$159),"",ReferenceData!$H$159),"")</f>
        <v>204745.166</v>
      </c>
      <c r="I159">
        <f ca="1">IFERROR(IF(0=LEN(ReferenceData!$I$159),"",ReferenceData!$I$159),"")</f>
        <v>186091.73300000001</v>
      </c>
      <c r="J159">
        <f ca="1">IFERROR(IF(0=LEN(ReferenceData!$J$159),"",ReferenceData!$J$159),"")</f>
        <v>166963.49900000001</v>
      </c>
      <c r="K159">
        <f ca="1">IFERROR(IF(0=LEN(ReferenceData!$K$159),"",ReferenceData!$K$159),"")</f>
        <v>179655.829</v>
      </c>
      <c r="L159">
        <f ca="1">IFERROR(IF(0=LEN(ReferenceData!$L$159),"",ReferenceData!$L$159),"")</f>
        <v>164397.24799999999</v>
      </c>
      <c r="M159">
        <f ca="1">IFERROR(IF(0=LEN(ReferenceData!$M$159),"",ReferenceData!$M$159),"")</f>
        <v>161181.93400000001</v>
      </c>
      <c r="N159">
        <f ca="1">IFERROR(IF(0=LEN(ReferenceData!$N$159),"",ReferenceData!$N$159),"")</f>
        <v>146547.052</v>
      </c>
      <c r="O159">
        <f ca="1">IFERROR(IF(0=LEN(ReferenceData!$O$159),"",ReferenceData!$O$159),"")</f>
        <v>132135.774</v>
      </c>
      <c r="P159">
        <f ca="1">IFERROR(IF(0=LEN(ReferenceData!$P$159),"",ReferenceData!$P$159),"")</f>
        <v>119205.549</v>
      </c>
      <c r="Q159">
        <f ca="1">IFERROR(IF(0=LEN(ReferenceData!$Q$159),"",ReferenceData!$Q$159),"")</f>
        <v>108980.15399999999</v>
      </c>
      <c r="R159">
        <f ca="1">IFERROR(IF(0=LEN(ReferenceData!$R$159),"",ReferenceData!$R$159),"")</f>
        <v>114694.94899999999</v>
      </c>
      <c r="S159">
        <f ca="1">IFERROR(IF(0=LEN(ReferenceData!$S$159),"",ReferenceData!$S$159),"")</f>
        <v>82519.856</v>
      </c>
      <c r="T159">
        <f ca="1">IFERROR(IF(0=LEN(ReferenceData!$T$159),"",ReferenceData!$T$159),"")</f>
        <v>74359.021999999997</v>
      </c>
      <c r="U159">
        <f ca="1">IFERROR(IF(0=LEN(ReferenceData!$U$159),"",ReferenceData!$U$159),"")</f>
        <v>39289.472000000002</v>
      </c>
      <c r="V159">
        <f ca="1">IFERROR(IF(0=LEN(ReferenceData!$V$159),"",ReferenceData!$V$159),"")</f>
        <v>52181.635000000002</v>
      </c>
      <c r="W159">
        <f ca="1">IFERROR(IF(0=LEN(ReferenceData!$W$159),"",ReferenceData!$W$159),"")</f>
        <v>51639.686999999998</v>
      </c>
      <c r="X159">
        <f ca="1">IFERROR(IF(0=LEN(ReferenceData!$X$159),"",ReferenceData!$X$159),"")</f>
        <v>52165.614999999998</v>
      </c>
      <c r="Y159">
        <f ca="1">IFERROR(IF(0=LEN(ReferenceData!$Y$159),"",ReferenceData!$Y$159),"")</f>
        <v>44078.811000000002</v>
      </c>
      <c r="Z159">
        <f ca="1">IFERROR(IF(0=LEN(ReferenceData!$Z$159),"",ReferenceData!$Z$159),"")</f>
        <v>35522.764000000003</v>
      </c>
      <c r="AA159" t="str">
        <f ca="1">IFERROR(IF(0=LEN(ReferenceData!$AA$159),"",ReferenceData!$AA$159),"")</f>
        <v/>
      </c>
      <c r="AB159" t="str">
        <f ca="1">IFERROR(IF(0=LEN(ReferenceData!$AB$159),"",ReferenceData!$AB$159),"")</f>
        <v/>
      </c>
      <c r="AC159" t="str">
        <f ca="1">IFERROR(IF(0=LEN(ReferenceData!$AC$159),"",ReferenceData!$AC$159),"")</f>
        <v/>
      </c>
      <c r="AD159" t="str">
        <f ca="1">IFERROR(IF(0=LEN(ReferenceData!$AD$159),"",ReferenceData!$AD$159),"")</f>
        <v/>
      </c>
      <c r="AE159" t="str">
        <f ca="1">IFERROR(IF(0=LEN(ReferenceData!$AE$159),"",ReferenceData!$AE$159),"")</f>
        <v/>
      </c>
      <c r="AF159" t="str">
        <f ca="1">IFERROR(IF(0=LEN(ReferenceData!$AF$159),"",ReferenceData!$AF$159),"")</f>
        <v/>
      </c>
      <c r="AG159" t="str">
        <f ca="1">IFERROR(IF(0=LEN(ReferenceData!$AG$159),"",ReferenceData!$AG$159),"")</f>
        <v/>
      </c>
      <c r="AH159" t="str">
        <f ca="1">IFERROR(IF(0=LEN(ReferenceData!$AH$159),"",ReferenceData!$AH$159),"")</f>
        <v/>
      </c>
      <c r="AI159" t="str">
        <f ca="1">IFERROR(IF(0=LEN(ReferenceData!$AI$159),"",ReferenceData!$AI$159),"")</f>
        <v/>
      </c>
      <c r="AJ159" t="str">
        <f ca="1">IFERROR(IF(0=LEN(ReferenceData!$AJ$159),"",ReferenceData!$AJ$159),"")</f>
        <v/>
      </c>
      <c r="AK159" t="str">
        <f ca="1">IFERROR(IF(0=LEN(ReferenceData!$AK$159),"",ReferenceData!$AK$159),"")</f>
        <v/>
      </c>
      <c r="AL159" t="str">
        <f ca="1">IFERROR(IF(0=LEN(ReferenceData!$AL$159),"",ReferenceData!$AL$159),"")</f>
        <v/>
      </c>
    </row>
    <row r="160" spans="1:38" x14ac:dyDescent="0.25">
      <c r="A160" t="str">
        <f>IFERROR(IF(0=LEN(ReferenceData!$A$160),"",ReferenceData!$A$160),"")</f>
        <v xml:space="preserve">        Comerica Inc</v>
      </c>
      <c r="B160" t="str">
        <f>IFERROR(IF(0=LEN(ReferenceData!$B$160),"",ReferenceData!$B$160),"")</f>
        <v>CMA US Equity</v>
      </c>
      <c r="C160" t="str">
        <f>IFERROR(IF(0=LEN(ReferenceData!$C$160),"",ReferenceData!$C$160),"")</f>
        <v>F0091</v>
      </c>
      <c r="D160" t="str">
        <f>IFERROR(IF(0=LEN(ReferenceData!$D$160),"",ReferenceData!$D$160),"")</f>
        <v>FED_CONSUMER_LOANS_&amp;_LEASES_CONS</v>
      </c>
      <c r="E160" t="str">
        <f>IFERROR(IF(0=LEN(ReferenceData!$E$160),"",ReferenceData!$E$160),"")</f>
        <v>Dynamic</v>
      </c>
      <c r="F160" t="str">
        <f ca="1">IFERROR(IF(0=LEN(ReferenceData!$F$160),"",ReferenceData!$F$160),"")</f>
        <v/>
      </c>
      <c r="G160">
        <f ca="1">IFERROR(IF(0=LEN(ReferenceData!$G$160),"",ReferenceData!$G$160),"")</f>
        <v>503</v>
      </c>
      <c r="H160">
        <f ca="1">IFERROR(IF(0=LEN(ReferenceData!$H$160),"",ReferenceData!$H$160),"")</f>
        <v>533</v>
      </c>
      <c r="I160">
        <f ca="1">IFERROR(IF(0=LEN(ReferenceData!$I$160),"",ReferenceData!$I$160),"")</f>
        <v>563</v>
      </c>
      <c r="J160">
        <f ca="1">IFERROR(IF(0=LEN(ReferenceData!$J$160),"",ReferenceData!$J$160),"")</f>
        <v>609</v>
      </c>
      <c r="K160">
        <f ca="1">IFERROR(IF(0=LEN(ReferenceData!$K$160),"",ReferenceData!$K$160),"")</f>
        <v>558</v>
      </c>
      <c r="L160">
        <f ca="1">IFERROR(IF(0=LEN(ReferenceData!$L$160),"",ReferenceData!$L$160),"")</f>
        <v>576.73599999999999</v>
      </c>
      <c r="M160">
        <f ca="1">IFERROR(IF(0=LEN(ReferenceData!$M$160),"",ReferenceData!$M$160),"")</f>
        <v>597.1</v>
      </c>
      <c r="N160">
        <f ca="1">IFERROR(IF(0=LEN(ReferenceData!$N$160),"",ReferenceData!$N$160),"")</f>
        <v>602.596</v>
      </c>
      <c r="O160">
        <f ca="1">IFERROR(IF(0=LEN(ReferenceData!$O$160),"",ReferenceData!$O$160),"")</f>
        <v>659.97400000000005</v>
      </c>
      <c r="P160">
        <f ca="1">IFERROR(IF(0=LEN(ReferenceData!$P$160),"",ReferenceData!$P$160),"")</f>
        <v>640.37900000000002</v>
      </c>
      <c r="Q160">
        <f ca="1">IFERROR(IF(0=LEN(ReferenceData!$Q$160),"",ReferenceData!$Q$160),"")</f>
        <v>586.52499999999998</v>
      </c>
      <c r="R160">
        <f ca="1">IFERROR(IF(0=LEN(ReferenceData!$R$160),"",ReferenceData!$R$160),"")</f>
        <v>525.9</v>
      </c>
      <c r="S160">
        <f ca="1">IFERROR(IF(0=LEN(ReferenceData!$S$160),"",ReferenceData!$S$160),"")</f>
        <v>557.67499999999995</v>
      </c>
      <c r="T160">
        <f ca="1">IFERROR(IF(0=LEN(ReferenceData!$T$160),"",ReferenceData!$T$160),"")</f>
        <v>513.04999999999995</v>
      </c>
      <c r="U160">
        <f ca="1">IFERROR(IF(0=LEN(ReferenceData!$U$160),"",ReferenceData!$U$160),"")</f>
        <v>615.59799999999996</v>
      </c>
      <c r="V160">
        <f ca="1">IFERROR(IF(0=LEN(ReferenceData!$V$160),"",ReferenceData!$V$160),"")</f>
        <v>747.08199999999999</v>
      </c>
      <c r="W160">
        <f ca="1">IFERROR(IF(0=LEN(ReferenceData!$W$160),"",ReferenceData!$W$160),"")</f>
        <v>664.55799999999999</v>
      </c>
      <c r="X160">
        <f ca="1">IFERROR(IF(0=LEN(ReferenceData!$X$160),"",ReferenceData!$X$160),"")</f>
        <v>624.88800000000003</v>
      </c>
      <c r="Y160">
        <f ca="1">IFERROR(IF(0=LEN(ReferenceData!$Y$160),"",ReferenceData!$Y$160),"")</f>
        <v>711.96</v>
      </c>
      <c r="Z160">
        <f ca="1">IFERROR(IF(0=LEN(ReferenceData!$Z$160),"",ReferenceData!$Z$160),"")</f>
        <v>820.30600000000004</v>
      </c>
      <c r="AA160">
        <f ca="1">IFERROR(IF(0=LEN(ReferenceData!$AA$160),"",ReferenceData!$AA$160),"")</f>
        <v>785.90800000000002</v>
      </c>
      <c r="AB160">
        <f ca="1">IFERROR(IF(0=LEN(ReferenceData!$AB$160),"",ReferenceData!$AB$160),"")</f>
        <v>790.99199999999996</v>
      </c>
      <c r="AC160">
        <f ca="1">IFERROR(IF(0=LEN(ReferenceData!$AC$160),"",ReferenceData!$AC$160),"")</f>
        <v>835.01499999999999</v>
      </c>
      <c r="AD160">
        <f ca="1">IFERROR(IF(0=LEN(ReferenceData!$AD$160),"",ReferenceData!$AD$160),"")</f>
        <v>768.84400000000005</v>
      </c>
      <c r="AE160">
        <f ca="1">IFERROR(IF(0=LEN(ReferenceData!$AE$160),"",ReferenceData!$AE$160),"")</f>
        <v>1214.8030000000001</v>
      </c>
      <c r="AF160">
        <f ca="1">IFERROR(IF(0=LEN(ReferenceData!$AF$160),"",ReferenceData!$AF$160),"")</f>
        <v>1283.451</v>
      </c>
      <c r="AG160">
        <f ca="1">IFERROR(IF(0=LEN(ReferenceData!$AG$160),"",ReferenceData!$AG$160),"")</f>
        <v>3624.645</v>
      </c>
      <c r="AH160">
        <f ca="1">IFERROR(IF(0=LEN(ReferenceData!$AH$160),"",ReferenceData!$AH$160),"")</f>
        <v>3914.9749999999999</v>
      </c>
      <c r="AI160">
        <f ca="1">IFERROR(IF(0=LEN(ReferenceData!$AI$160),"",ReferenceData!$AI$160),"")</f>
        <v>3853.027</v>
      </c>
      <c r="AJ160">
        <f ca="1">IFERROR(IF(0=LEN(ReferenceData!$AJ$160),"",ReferenceData!$AJ$160),"")</f>
        <v>3581.33</v>
      </c>
      <c r="AK160">
        <f ca="1">IFERROR(IF(0=LEN(ReferenceData!$AK$160),"",ReferenceData!$AK$160),"")</f>
        <v>3105.2669999999998</v>
      </c>
      <c r="AL160">
        <f ca="1">IFERROR(IF(0=LEN(ReferenceData!$AL$160),"",ReferenceData!$AL$160),"")</f>
        <v>3140.779</v>
      </c>
    </row>
    <row r="161" spans="1:38" x14ac:dyDescent="0.25">
      <c r="A161" t="str">
        <f>IFERROR(IF(0=LEN(ReferenceData!$A$161),"",ReferenceData!$A$161),"")</f>
        <v xml:space="preserve">        East West Bancorp Inc</v>
      </c>
      <c r="B161" t="str">
        <f>IFERROR(IF(0=LEN(ReferenceData!$B$161),"",ReferenceData!$B$161),"")</f>
        <v>EWBC US Equity</v>
      </c>
      <c r="C161" t="str">
        <f>IFERROR(IF(0=LEN(ReferenceData!$C$161),"",ReferenceData!$C$161),"")</f>
        <v>F0091</v>
      </c>
      <c r="D161" t="str">
        <f>IFERROR(IF(0=LEN(ReferenceData!$D$161),"",ReferenceData!$D$161),"")</f>
        <v>FED_CONSUMER_LOANS_&amp;_LEASES_CONS</v>
      </c>
      <c r="E161" t="str">
        <f>IFERROR(IF(0=LEN(ReferenceData!$E$161),"",ReferenceData!$E$161),"")</f>
        <v>Dynamic</v>
      </c>
      <c r="F161" t="str">
        <f ca="1">IFERROR(IF(0=LEN(ReferenceData!$F$161),"",ReferenceData!$F$161),"")</f>
        <v/>
      </c>
      <c r="G161">
        <f ca="1">IFERROR(IF(0=LEN(ReferenceData!$G$161),"",ReferenceData!$G$161),"")</f>
        <v>11.468</v>
      </c>
      <c r="H161">
        <f ca="1">IFERROR(IF(0=LEN(ReferenceData!$H$161),"",ReferenceData!$H$161),"")</f>
        <v>10.89</v>
      </c>
      <c r="I161">
        <f ca="1">IFERROR(IF(0=LEN(ReferenceData!$I$161),"",ReferenceData!$I$161),"")</f>
        <v>9.89</v>
      </c>
      <c r="J161">
        <f ca="1">IFERROR(IF(0=LEN(ReferenceData!$J$161),"",ReferenceData!$J$161),"")</f>
        <v>13.879</v>
      </c>
      <c r="K161">
        <f ca="1">IFERROR(IF(0=LEN(ReferenceData!$K$161),"",ReferenceData!$K$161),"")</f>
        <v>27.187999999999999</v>
      </c>
      <c r="L161">
        <f ca="1">IFERROR(IF(0=LEN(ReferenceData!$L$161),"",ReferenceData!$L$161),"")</f>
        <v>46.15</v>
      </c>
      <c r="M161">
        <f ca="1">IFERROR(IF(0=LEN(ReferenceData!$M$161),"",ReferenceData!$M$161),"")</f>
        <v>66.778000000000006</v>
      </c>
      <c r="N161">
        <f ca="1">IFERROR(IF(0=LEN(ReferenceData!$N$161),"",ReferenceData!$N$161),"")</f>
        <v>87.876000000000005</v>
      </c>
      <c r="O161">
        <f ca="1">IFERROR(IF(0=LEN(ReferenceData!$O$161),"",ReferenceData!$O$161),"")</f>
        <v>80.495999999999995</v>
      </c>
      <c r="P161">
        <f ca="1">IFERROR(IF(0=LEN(ReferenceData!$P$161),"",ReferenceData!$P$161),"")</f>
        <v>51.844000000000001</v>
      </c>
      <c r="Q161">
        <f ca="1">IFERROR(IF(0=LEN(ReferenceData!$Q$161),"",ReferenceData!$Q$161),"")</f>
        <v>848.13900000000001</v>
      </c>
      <c r="R161">
        <f ca="1">IFERROR(IF(0=LEN(ReferenceData!$R$161),"",ReferenceData!$R$161),"")</f>
        <v>617.03800000000001</v>
      </c>
      <c r="S161">
        <f ca="1">IFERROR(IF(0=LEN(ReferenceData!$S$161),"",ReferenceData!$S$161),"")</f>
        <v>557.15</v>
      </c>
      <c r="T161">
        <f ca="1">IFERROR(IF(0=LEN(ReferenceData!$T$161),"",ReferenceData!$T$161),"")</f>
        <v>661.10599999999999</v>
      </c>
      <c r="U161">
        <f ca="1">IFERROR(IF(0=LEN(ReferenceData!$U$161),"",ReferenceData!$U$161),"")</f>
        <v>397.87900000000002</v>
      </c>
      <c r="V161">
        <f ca="1">IFERROR(IF(0=LEN(ReferenceData!$V$161),"",ReferenceData!$V$161),"")</f>
        <v>27.541</v>
      </c>
      <c r="W161">
        <f ca="1">IFERROR(IF(0=LEN(ReferenceData!$W$161),"",ReferenceData!$W$161),"")</f>
        <v>30.353999999999999</v>
      </c>
      <c r="X161">
        <f ca="1">IFERROR(IF(0=LEN(ReferenceData!$X$161),"",ReferenceData!$X$161),"")</f>
        <v>15.446999999999999</v>
      </c>
      <c r="Y161">
        <f ca="1">IFERROR(IF(0=LEN(ReferenceData!$Y$161),"",ReferenceData!$Y$161),"")</f>
        <v>18.873999999999999</v>
      </c>
      <c r="Z161">
        <f ca="1">IFERROR(IF(0=LEN(ReferenceData!$Z$161),"",ReferenceData!$Z$161),"")</f>
        <v>16.667000000000002</v>
      </c>
      <c r="AA161">
        <f ca="1">IFERROR(IF(0=LEN(ReferenceData!$AA$161),"",ReferenceData!$AA$161),"")</f>
        <v>19.387</v>
      </c>
      <c r="AB161">
        <f ca="1">IFERROR(IF(0=LEN(ReferenceData!$AB$161),"",ReferenceData!$AB$161),"")</f>
        <v>21.091000000000001</v>
      </c>
      <c r="AC161">
        <f ca="1">IFERROR(IF(0=LEN(ReferenceData!$AC$161),"",ReferenceData!$AC$161),"")</f>
        <v>19.887</v>
      </c>
      <c r="AD161">
        <f ca="1">IFERROR(IF(0=LEN(ReferenceData!$AD$161),"",ReferenceData!$AD$161),"")</f>
        <v>11.792</v>
      </c>
      <c r="AE161">
        <f ca="1">IFERROR(IF(0=LEN(ReferenceData!$AE$161),"",ReferenceData!$AE$161),"")</f>
        <v>8.2780000000000005</v>
      </c>
      <c r="AF161">
        <f ca="1">IFERROR(IF(0=LEN(ReferenceData!$AF$161),"",ReferenceData!$AF$161),"")</f>
        <v>8.08</v>
      </c>
      <c r="AG161" t="str">
        <f ca="1">IFERROR(IF(0=LEN(ReferenceData!$AG$161),"",ReferenceData!$AG$161),"")</f>
        <v/>
      </c>
      <c r="AH161" t="str">
        <f ca="1">IFERROR(IF(0=LEN(ReferenceData!$AH$161),"",ReferenceData!$AH$161),"")</f>
        <v/>
      </c>
      <c r="AI161" t="str">
        <f ca="1">IFERROR(IF(0=LEN(ReferenceData!$AI$161),"",ReferenceData!$AI$161),"")</f>
        <v/>
      </c>
      <c r="AJ161" t="str">
        <f ca="1">IFERROR(IF(0=LEN(ReferenceData!$AJ$161),"",ReferenceData!$AJ$161),"")</f>
        <v/>
      </c>
      <c r="AK161" t="str">
        <f ca="1">IFERROR(IF(0=LEN(ReferenceData!$AK$161),"",ReferenceData!$AK$161),"")</f>
        <v/>
      </c>
      <c r="AL161" t="str">
        <f ca="1">IFERROR(IF(0=LEN(ReferenceData!$AL$161),"",ReferenceData!$AL$161),"")</f>
        <v/>
      </c>
    </row>
    <row r="162" spans="1:38" x14ac:dyDescent="0.25">
      <c r="A162" t="str">
        <f>IFERROR(IF(0=LEN(ReferenceData!$A$162),"",ReferenceData!$A$162),"")</f>
        <v xml:space="preserve">        Fifth Third Bancorp</v>
      </c>
      <c r="B162" t="str">
        <f>IFERROR(IF(0=LEN(ReferenceData!$B$162),"",ReferenceData!$B$162),"")</f>
        <v>FITB US Equity</v>
      </c>
      <c r="C162" t="str">
        <f>IFERROR(IF(0=LEN(ReferenceData!$C$162),"",ReferenceData!$C$162),"")</f>
        <v>F0091</v>
      </c>
      <c r="D162" t="str">
        <f>IFERROR(IF(0=LEN(ReferenceData!$D$162),"",ReferenceData!$D$162),"")</f>
        <v>FED_CONSUMER_LOANS_&amp;_LEASES_CONS</v>
      </c>
      <c r="E162" t="str">
        <f>IFERROR(IF(0=LEN(ReferenceData!$E$162),"",ReferenceData!$E$162),"")</f>
        <v>Dynamic</v>
      </c>
      <c r="F162">
        <f ca="1">IFERROR(IF(0=LEN(ReferenceData!$F$162),"",ReferenceData!$F$162),"")</f>
        <v>24804</v>
      </c>
      <c r="G162">
        <f ca="1">IFERROR(IF(0=LEN(ReferenceData!$G$162),"",ReferenceData!$G$162),"")</f>
        <v>23595</v>
      </c>
      <c r="H162">
        <f ca="1">IFERROR(IF(0=LEN(ReferenceData!$H$162),"",ReferenceData!$H$162),"")</f>
        <v>23502.022000000001</v>
      </c>
      <c r="I162">
        <f ca="1">IFERROR(IF(0=LEN(ReferenceData!$I$162),"",ReferenceData!$I$162),"")</f>
        <v>21426.385999999999</v>
      </c>
      <c r="J162">
        <f ca="1">IFERROR(IF(0=LEN(ReferenceData!$J$162),"",ReferenceData!$J$162),"")</f>
        <v>18612.883000000002</v>
      </c>
      <c r="K162">
        <f ca="1">IFERROR(IF(0=LEN(ReferenceData!$K$162),"",ReferenceData!$K$162),"")</f>
        <v>16848.905999999999</v>
      </c>
      <c r="L162">
        <f ca="1">IFERROR(IF(0=LEN(ReferenceData!$L$162),"",ReferenceData!$L$162),"")</f>
        <v>13885.838</v>
      </c>
      <c r="M162">
        <f ca="1">IFERROR(IF(0=LEN(ReferenceData!$M$162),"",ReferenceData!$M$162),"")</f>
        <v>13010.075999999999</v>
      </c>
      <c r="N162">
        <f ca="1">IFERROR(IF(0=LEN(ReferenceData!$N$162),"",ReferenceData!$N$162),"")</f>
        <v>13060.368</v>
      </c>
      <c r="O162">
        <f ca="1">IFERROR(IF(0=LEN(ReferenceData!$O$162),"",ReferenceData!$O$162),"")</f>
        <v>14680.522000000001</v>
      </c>
      <c r="P162">
        <f ca="1">IFERROR(IF(0=LEN(ReferenceData!$P$162),"",ReferenceData!$P$162),"")</f>
        <v>15150.132</v>
      </c>
      <c r="Q162">
        <f ca="1">IFERROR(IF(0=LEN(ReferenceData!$Q$162),"",ReferenceData!$Q$162),"")</f>
        <v>14881.902</v>
      </c>
      <c r="R162">
        <f ca="1">IFERROR(IF(0=LEN(ReferenceData!$R$162),"",ReferenceData!$R$162),"")</f>
        <v>14528.058000000001</v>
      </c>
      <c r="S162">
        <f ca="1">IFERROR(IF(0=LEN(ReferenceData!$S$162),"",ReferenceData!$S$162),"")</f>
        <v>14172.093999999999</v>
      </c>
      <c r="T162">
        <f ca="1">IFERROR(IF(0=LEN(ReferenceData!$T$162),"",ReferenceData!$T$162),"")</f>
        <v>13532.089</v>
      </c>
      <c r="U162">
        <f ca="1">IFERROR(IF(0=LEN(ReferenceData!$U$162),"",ReferenceData!$U$162),"")</f>
        <v>11696.802</v>
      </c>
      <c r="V162">
        <f ca="1">IFERROR(IF(0=LEN(ReferenceData!$V$162),"",ReferenceData!$V$162),"")</f>
        <v>11564.503000000001</v>
      </c>
      <c r="W162">
        <f ca="1">IFERROR(IF(0=LEN(ReferenceData!$W$162),"",ReferenceData!$W$162),"")</f>
        <v>14291.134</v>
      </c>
      <c r="X162">
        <f ca="1">IFERROR(IF(0=LEN(ReferenceData!$X$162),"",ReferenceData!$X$162),"")</f>
        <v>11725.525</v>
      </c>
      <c r="Y162">
        <f ca="1">IFERROR(IF(0=LEN(ReferenceData!$Y$162),"",ReferenceData!$Y$162),"")</f>
        <v>11020.308000000001</v>
      </c>
      <c r="Z162">
        <f ca="1">IFERROR(IF(0=LEN(ReferenceData!$Z$162),"",ReferenceData!$Z$162),"")</f>
        <v>9181.7819999999992</v>
      </c>
      <c r="AA162">
        <f ca="1">IFERROR(IF(0=LEN(ReferenceData!$AA$162),"",ReferenceData!$AA$162),"")</f>
        <v>9893.1270000000004</v>
      </c>
      <c r="AB162">
        <f ca="1">IFERROR(IF(0=LEN(ReferenceData!$AB$162),"",ReferenceData!$AB$162),"")</f>
        <v>7038.8249999999998</v>
      </c>
      <c r="AC162">
        <f ca="1">IFERROR(IF(0=LEN(ReferenceData!$AC$162),"",ReferenceData!$AC$162),"")</f>
        <v>5355.2749999999996</v>
      </c>
      <c r="AD162">
        <f ca="1">IFERROR(IF(0=LEN(ReferenceData!$AD$162),"",ReferenceData!$AD$162),"")</f>
        <v>3184.4520000000002</v>
      </c>
      <c r="AE162">
        <f ca="1">IFERROR(IF(0=LEN(ReferenceData!$AE$162),"",ReferenceData!$AE$162),"")</f>
        <v>3023.2440000000001</v>
      </c>
      <c r="AF162">
        <f ca="1">IFERROR(IF(0=LEN(ReferenceData!$AF$162),"",ReferenceData!$AF$162),"")</f>
        <v>2287.3649999999998</v>
      </c>
      <c r="AG162">
        <f ca="1">IFERROR(IF(0=LEN(ReferenceData!$AG$162),"",ReferenceData!$AG$162),"")</f>
        <v>2451.1759999999999</v>
      </c>
      <c r="AH162">
        <f ca="1">IFERROR(IF(0=LEN(ReferenceData!$AH$162),"",ReferenceData!$AH$162),"")</f>
        <v>2490.2570000000001</v>
      </c>
      <c r="AI162">
        <f ca="1">IFERROR(IF(0=LEN(ReferenceData!$AI$162),"",ReferenceData!$AI$162),"")</f>
        <v>2955.3989999999999</v>
      </c>
      <c r="AJ162">
        <f ca="1">IFERROR(IF(0=LEN(ReferenceData!$AJ$162),"",ReferenceData!$AJ$162),"")</f>
        <v>2473.0050000000001</v>
      </c>
      <c r="AK162">
        <f ca="1">IFERROR(IF(0=LEN(ReferenceData!$AK$162),"",ReferenceData!$AK$162),"")</f>
        <v>2295.3919999999998</v>
      </c>
      <c r="AL162">
        <f ca="1">IFERROR(IF(0=LEN(ReferenceData!$AL$162),"",ReferenceData!$AL$162),"")</f>
        <v>1875.8420000000001</v>
      </c>
    </row>
    <row r="163" spans="1:38" x14ac:dyDescent="0.25">
      <c r="A163" t="str">
        <f>IFERROR(IF(0=LEN(ReferenceData!$A$163),"",ReferenceData!$A$163),"")</f>
        <v xml:space="preserve">        First Citizens BancShares Inc/</v>
      </c>
      <c r="B163" t="str">
        <f>IFERROR(IF(0=LEN(ReferenceData!$B$163),"",ReferenceData!$B$163),"")</f>
        <v>FCNCA US Equity</v>
      </c>
      <c r="C163" t="str">
        <f>IFERROR(IF(0=LEN(ReferenceData!$C$163),"",ReferenceData!$C$163),"")</f>
        <v>F0091</v>
      </c>
      <c r="D163" t="str">
        <f>IFERROR(IF(0=LEN(ReferenceData!$D$163),"",ReferenceData!$D$163),"")</f>
        <v>FED_CONSUMER_LOANS_&amp;_LEASES_CONS</v>
      </c>
      <c r="E163" t="str">
        <f>IFERROR(IF(0=LEN(ReferenceData!$E$163),"",ReferenceData!$E$163),"")</f>
        <v>Dynamic</v>
      </c>
      <c r="F163">
        <f ca="1">IFERROR(IF(0=LEN(ReferenceData!$F$163),"",ReferenceData!$F$163),"")</f>
        <v>2706</v>
      </c>
      <c r="G163">
        <f ca="1">IFERROR(IF(0=LEN(ReferenceData!$G$163),"",ReferenceData!$G$163),"")</f>
        <v>2618.29</v>
      </c>
      <c r="H163">
        <f ca="1">IFERROR(IF(0=LEN(ReferenceData!$H$163),"",ReferenceData!$H$163),"")</f>
        <v>2066.86</v>
      </c>
      <c r="I163">
        <f ca="1">IFERROR(IF(0=LEN(ReferenceData!$I$163),"",ReferenceData!$I$163),"")</f>
        <v>1879.3979999999999</v>
      </c>
      <c r="J163">
        <f ca="1">IFERROR(IF(0=LEN(ReferenceData!$J$163),"",ReferenceData!$J$163),"")</f>
        <v>1808.7739999999999</v>
      </c>
      <c r="K163">
        <f ca="1">IFERROR(IF(0=LEN(ReferenceData!$K$163),"",ReferenceData!$K$163),"")</f>
        <v>1781.14</v>
      </c>
      <c r="L163">
        <f ca="1">IFERROR(IF(0=LEN(ReferenceData!$L$163),"",ReferenceData!$L$163),"")</f>
        <v>1715.364</v>
      </c>
      <c r="M163">
        <f ca="1">IFERROR(IF(0=LEN(ReferenceData!$M$163),"",ReferenceData!$M$163),"")</f>
        <v>1563.3630000000001</v>
      </c>
      <c r="N163">
        <f ca="1">IFERROR(IF(0=LEN(ReferenceData!$N$163),"",ReferenceData!$N$163),"")</f>
        <v>1447.91</v>
      </c>
      <c r="O163">
        <f ca="1">IFERROR(IF(0=LEN(ReferenceData!$O$163),"",ReferenceData!$O$163),"")</f>
        <v>1222.0940000000001</v>
      </c>
      <c r="P163">
        <f ca="1">IFERROR(IF(0=LEN(ReferenceData!$P$163),"",ReferenceData!$P$163),"")</f>
        <v>1120.4690000000001</v>
      </c>
      <c r="Q163">
        <f ca="1">IFERROR(IF(0=LEN(ReferenceData!$Q$163),"",ReferenceData!$Q$163),"")</f>
        <v>387.303</v>
      </c>
      <c r="R163">
        <f ca="1">IFERROR(IF(0=LEN(ReferenceData!$R$163),"",ReferenceData!$R$163),"")</f>
        <v>418.375</v>
      </c>
      <c r="S163">
        <f ca="1">IFERROR(IF(0=LEN(ReferenceData!$S$163),"",ReferenceData!$S$163),"")</f>
        <v>502.18099999999998</v>
      </c>
      <c r="T163">
        <f ca="1">IFERROR(IF(0=LEN(ReferenceData!$T$163),"",ReferenceData!$T$163),"")</f>
        <v>666.39200000000005</v>
      </c>
      <c r="U163">
        <f ca="1">IFERROR(IF(0=LEN(ReferenceData!$U$163),"",ReferenceData!$U$163),"")</f>
        <v>946.5</v>
      </c>
      <c r="V163">
        <f ca="1">IFERROR(IF(0=LEN(ReferenceData!$V$163),"",ReferenceData!$V$163),"")</f>
        <v>1233.075</v>
      </c>
      <c r="W163">
        <f ca="1">IFERROR(IF(0=LEN(ReferenceData!$W$163),"",ReferenceData!$W$163),"")</f>
        <v>1368.2280000000001</v>
      </c>
      <c r="X163">
        <f ca="1">IFERROR(IF(0=LEN(ReferenceData!$X$163),"",ReferenceData!$X$163),"")</f>
        <v>1356.8679999999999</v>
      </c>
      <c r="Y163">
        <f ca="1">IFERROR(IF(0=LEN(ReferenceData!$Y$163),"",ReferenceData!$Y$163),"")</f>
        <v>1315.1769999999999</v>
      </c>
      <c r="Z163">
        <f ca="1">IFERROR(IF(0=LEN(ReferenceData!$Z$163),"",ReferenceData!$Z$163),"")</f>
        <v>1391.962</v>
      </c>
      <c r="AA163">
        <f ca="1">IFERROR(IF(0=LEN(ReferenceData!$AA$163),"",ReferenceData!$AA$163),"")</f>
        <v>1303.3050000000001</v>
      </c>
      <c r="AB163">
        <f ca="1">IFERROR(IF(0=LEN(ReferenceData!$AB$163),"",ReferenceData!$AB$163),"")</f>
        <v>1153.9690000000001</v>
      </c>
      <c r="AC163">
        <f ca="1">IFERROR(IF(0=LEN(ReferenceData!$AC$163),"",ReferenceData!$AC$163),"")</f>
        <v>1074.2049999999999</v>
      </c>
      <c r="AD163">
        <f ca="1">IFERROR(IF(0=LEN(ReferenceData!$AD$163),"",ReferenceData!$AD$163),"")</f>
        <v>1389.633</v>
      </c>
      <c r="AE163">
        <f ca="1">IFERROR(IF(0=LEN(ReferenceData!$AE$163),"",ReferenceData!$AE$163),"")</f>
        <v>1554.3230000000001</v>
      </c>
      <c r="AF163">
        <f ca="1">IFERROR(IF(0=LEN(ReferenceData!$AF$163),"",ReferenceData!$AF$163),"")</f>
        <v>1674.588</v>
      </c>
      <c r="AG163">
        <f ca="1">IFERROR(IF(0=LEN(ReferenceData!$AG$163),"",ReferenceData!$AG$163),"")</f>
        <v>1525.327</v>
      </c>
      <c r="AH163">
        <f ca="1">IFERROR(IF(0=LEN(ReferenceData!$AH$163),"",ReferenceData!$AH$163),"")</f>
        <v>1250.1099999999999</v>
      </c>
      <c r="AI163">
        <f ca="1">IFERROR(IF(0=LEN(ReferenceData!$AI$163),"",ReferenceData!$AI$163),"")</f>
        <v>1201.29</v>
      </c>
      <c r="AJ163">
        <f ca="1">IFERROR(IF(0=LEN(ReferenceData!$AJ$163),"",ReferenceData!$AJ$163),"")</f>
        <v>1119.962</v>
      </c>
      <c r="AK163">
        <f ca="1">IFERROR(IF(0=LEN(ReferenceData!$AK$163),"",ReferenceData!$AK$163),"")</f>
        <v>888.67200000000003</v>
      </c>
      <c r="AL163">
        <f ca="1">IFERROR(IF(0=LEN(ReferenceData!$AL$163),"",ReferenceData!$AL$163),"")</f>
        <v>708.91399999999999</v>
      </c>
    </row>
    <row r="164" spans="1:38" x14ac:dyDescent="0.25">
      <c r="A164" t="str">
        <f>IFERROR(IF(0=LEN(ReferenceData!$A$164),"",ReferenceData!$A$164),"")</f>
        <v xml:space="preserve">        Flagstar Financial Inc</v>
      </c>
      <c r="B164" t="str">
        <f>IFERROR(IF(0=LEN(ReferenceData!$B$164),"",ReferenceData!$B$164),"")</f>
        <v>FLG US Equity</v>
      </c>
      <c r="C164" t="str">
        <f>IFERROR(IF(0=LEN(ReferenceData!$C$164),"",ReferenceData!$C$164),"")</f>
        <v>F0091</v>
      </c>
      <c r="D164" t="str">
        <f>IFERROR(IF(0=LEN(ReferenceData!$D$164),"",ReferenceData!$D$164),"")</f>
        <v>FED_CONSUMER_LOANS_&amp;_LEASES_CONS</v>
      </c>
      <c r="E164" t="str">
        <f>IFERROR(IF(0=LEN(ReferenceData!$E$164),"",ReferenceData!$E$164),"")</f>
        <v>Dynamic</v>
      </c>
      <c r="F164">
        <f ca="1">IFERROR(IF(0=LEN(ReferenceData!$F$164),"",ReferenceData!$F$164),"")</f>
        <v>207.018</v>
      </c>
      <c r="G164">
        <f ca="1">IFERROR(IF(0=LEN(ReferenceData!$G$164),"",ReferenceData!$G$164),"")</f>
        <v>1220.1690000000001</v>
      </c>
      <c r="H164">
        <f ca="1">IFERROR(IF(0=LEN(ReferenceData!$H$164),"",ReferenceData!$H$164),"")</f>
        <v>1361.2650000000001</v>
      </c>
      <c r="I164">
        <f ca="1">IFERROR(IF(0=LEN(ReferenceData!$I$164),"",ReferenceData!$I$164),"")</f>
        <v>1.774</v>
      </c>
      <c r="J164">
        <f ca="1">IFERROR(IF(0=LEN(ReferenceData!$J$164),"",ReferenceData!$J$164),"")</f>
        <v>2.0960000000000001</v>
      </c>
      <c r="K164">
        <f ca="1">IFERROR(IF(0=LEN(ReferenceData!$K$164),"",ReferenceData!$K$164),"")</f>
        <v>3.1459999999999999</v>
      </c>
      <c r="L164">
        <f ca="1">IFERROR(IF(0=LEN(ReferenceData!$L$164),"",ReferenceData!$L$164),"")</f>
        <v>3.4169999999999998</v>
      </c>
      <c r="M164">
        <f ca="1">IFERROR(IF(0=LEN(ReferenceData!$M$164),"",ReferenceData!$M$164),"")</f>
        <v>3.1859999999999999</v>
      </c>
      <c r="N164">
        <f ca="1">IFERROR(IF(0=LEN(ReferenceData!$N$164),"",ReferenceData!$N$164),"")</f>
        <v>3.976</v>
      </c>
      <c r="O164">
        <f ca="1">IFERROR(IF(0=LEN(ReferenceData!$O$164),"",ReferenceData!$O$164),"")</f>
        <v>4.2750000000000004</v>
      </c>
      <c r="P164">
        <f ca="1">IFERROR(IF(0=LEN(ReferenceData!$P$164),"",ReferenceData!$P$164),"")</f>
        <v>15.159000000000001</v>
      </c>
      <c r="Q164">
        <f ca="1">IFERROR(IF(0=LEN(ReferenceData!$Q$164),"",ReferenceData!$Q$164),"")</f>
        <v>17.248000000000001</v>
      </c>
      <c r="R164">
        <f ca="1">IFERROR(IF(0=LEN(ReferenceData!$R$164),"",ReferenceData!$R$164),"")</f>
        <v>19.446999999999999</v>
      </c>
      <c r="S164">
        <f ca="1">IFERROR(IF(0=LEN(ReferenceData!$S$164),"",ReferenceData!$S$164),"")</f>
        <v>22.079000000000001</v>
      </c>
      <c r="T164">
        <f ca="1">IFERROR(IF(0=LEN(ReferenceData!$T$164),"",ReferenceData!$T$164),"")</f>
        <v>22.847000000000001</v>
      </c>
      <c r="U164">
        <f ca="1">IFERROR(IF(0=LEN(ReferenceData!$U$164),"",ReferenceData!$U$164),"")</f>
        <v>20.555</v>
      </c>
      <c r="V164">
        <f ca="1">IFERROR(IF(0=LEN(ReferenceData!$V$164),"",ReferenceData!$V$164),"")</f>
        <v>34.213999999999999</v>
      </c>
      <c r="W164">
        <f ca="1">IFERROR(IF(0=LEN(ReferenceData!$W$164),"",ReferenceData!$W$164),"")</f>
        <v>85.587999999999994</v>
      </c>
      <c r="X164">
        <f ca="1">IFERROR(IF(0=LEN(ReferenceData!$X$164),"",ReferenceData!$X$164),"")</f>
        <v>30.61</v>
      </c>
      <c r="Y164">
        <f ca="1">IFERROR(IF(0=LEN(ReferenceData!$Y$164),"",ReferenceData!$Y$164),"")</f>
        <v>8.6470000000000002</v>
      </c>
      <c r="Z164">
        <f ca="1">IFERROR(IF(0=LEN(ReferenceData!$Z$164),"",ReferenceData!$Z$164),"")</f>
        <v>4.9340000000000002</v>
      </c>
      <c r="AA164">
        <f ca="1">IFERROR(IF(0=LEN(ReferenceData!$AA$164),"",ReferenceData!$AA$164),"")</f>
        <v>102.69199999999999</v>
      </c>
      <c r="AB164">
        <f ca="1">IFERROR(IF(0=LEN(ReferenceData!$AB$164),"",ReferenceData!$AB$164),"")</f>
        <v>15.414999999999999</v>
      </c>
      <c r="AC164">
        <f ca="1">IFERROR(IF(0=LEN(ReferenceData!$AC$164),"",ReferenceData!$AC$164),"")</f>
        <v>21.041</v>
      </c>
      <c r="AD164">
        <f ca="1">IFERROR(IF(0=LEN(ReferenceData!$AD$164),"",ReferenceData!$AD$164),"")</f>
        <v>10.749000000000001</v>
      </c>
      <c r="AE164">
        <f ca="1">IFERROR(IF(0=LEN(ReferenceData!$AE$164),"",ReferenceData!$AE$164),"")</f>
        <v>0.434</v>
      </c>
      <c r="AF164">
        <f ca="1">IFERROR(IF(0=LEN(ReferenceData!$AF$164),"",ReferenceData!$AF$164),"")</f>
        <v>0.51200000000000001</v>
      </c>
      <c r="AG164">
        <f ca="1">IFERROR(IF(0=LEN(ReferenceData!$AG$164),"",ReferenceData!$AG$164),"")</f>
        <v>0.54400000000000004</v>
      </c>
      <c r="AH164">
        <f ca="1">IFERROR(IF(0=LEN(ReferenceData!$AH$164),"",ReferenceData!$AH$164),"")</f>
        <v>0.61799999999999999</v>
      </c>
      <c r="AI164">
        <f ca="1">IFERROR(IF(0=LEN(ReferenceData!$AI$164),"",ReferenceData!$AI$164),"")</f>
        <v>0.872</v>
      </c>
      <c r="AJ164">
        <f ca="1">IFERROR(IF(0=LEN(ReferenceData!$AJ$164),"",ReferenceData!$AJ$164),"")</f>
        <v>1.054</v>
      </c>
      <c r="AK164">
        <f ca="1">IFERROR(IF(0=LEN(ReferenceData!$AK$164),"",ReferenceData!$AK$164),"")</f>
        <v>4.2169999999999996</v>
      </c>
      <c r="AL164" t="str">
        <f ca="1">IFERROR(IF(0=LEN(ReferenceData!$AL$164),"",ReferenceData!$AL$164),"")</f>
        <v/>
      </c>
    </row>
    <row r="165" spans="1:38" x14ac:dyDescent="0.25">
      <c r="A165" t="str">
        <f>IFERROR(IF(0=LEN(ReferenceData!$A$165),"",ReferenceData!$A$165),"")</f>
        <v xml:space="preserve">        Huntington Bancshares Inc/OH</v>
      </c>
      <c r="B165" t="str">
        <f>IFERROR(IF(0=LEN(ReferenceData!$B$165),"",ReferenceData!$B$165),"")</f>
        <v>HBAN US Equity</v>
      </c>
      <c r="C165" t="str">
        <f>IFERROR(IF(0=LEN(ReferenceData!$C$165),"",ReferenceData!$C$165),"")</f>
        <v>F0091</v>
      </c>
      <c r="D165" t="str">
        <f>IFERROR(IF(0=LEN(ReferenceData!$D$165),"",ReferenceData!$D$165),"")</f>
        <v>FED_CONSUMER_LOANS_&amp;_LEASES_CONS</v>
      </c>
      <c r="E165" t="str">
        <f>IFERROR(IF(0=LEN(ReferenceData!$E$165),"",ReferenceData!$E$165),"")</f>
        <v>Dynamic</v>
      </c>
      <c r="F165">
        <f ca="1">IFERROR(IF(0=LEN(ReferenceData!$F$165),"",ReferenceData!$F$165),"")</f>
        <v>22731.822</v>
      </c>
      <c r="G165">
        <f ca="1">IFERROR(IF(0=LEN(ReferenceData!$G$165),"",ReferenceData!$G$165),"")</f>
        <v>20265.987000000001</v>
      </c>
      <c r="H165">
        <f ca="1">IFERROR(IF(0=LEN(ReferenceData!$H$165),"",ReferenceData!$H$165),"")</f>
        <v>21115.134999999998</v>
      </c>
      <c r="I165">
        <f ca="1">IFERROR(IF(0=LEN(ReferenceData!$I$165),"",ReferenceData!$I$165),"")</f>
        <v>20853.848999999998</v>
      </c>
      <c r="J165">
        <f ca="1">IFERROR(IF(0=LEN(ReferenceData!$J$165),"",ReferenceData!$J$165),"")</f>
        <v>18384.258999999998</v>
      </c>
      <c r="K165">
        <f ca="1">IFERROR(IF(0=LEN(ReferenceData!$K$165),"",ReferenceData!$K$165),"")</f>
        <v>17891.636999999999</v>
      </c>
      <c r="L165">
        <f ca="1">IFERROR(IF(0=LEN(ReferenceData!$L$165),"",ReferenceData!$L$165),"")</f>
        <v>17273.179</v>
      </c>
      <c r="M165">
        <f ca="1">IFERROR(IF(0=LEN(ReferenceData!$M$165),"",ReferenceData!$M$165),"")</f>
        <v>16070.194</v>
      </c>
      <c r="N165">
        <f ca="1">IFERROR(IF(0=LEN(ReferenceData!$N$165),"",ReferenceData!$N$165),"")</f>
        <v>14163.602000000001</v>
      </c>
      <c r="O165">
        <f ca="1">IFERROR(IF(0=LEN(ReferenceData!$O$165),"",ReferenceData!$O$165),"")</f>
        <v>10226.071</v>
      </c>
      <c r="P165">
        <f ca="1">IFERROR(IF(0=LEN(ReferenceData!$P$165),"",ReferenceData!$P$165),"")</f>
        <v>9260.0810000000001</v>
      </c>
      <c r="Q165">
        <f ca="1">IFERROR(IF(0=LEN(ReferenceData!$Q$165),"",ReferenceData!$Q$165),"")</f>
        <v>7157.9470000000001</v>
      </c>
      <c r="R165">
        <f ca="1">IFERROR(IF(0=LEN(ReferenceData!$R$165),"",ReferenceData!$R$165),"")</f>
        <v>5436.8789999999999</v>
      </c>
      <c r="S165">
        <f ca="1">IFERROR(IF(0=LEN(ReferenceData!$S$165),"",ReferenceData!$S$165),"")</f>
        <v>6301.1610000000001</v>
      </c>
      <c r="T165">
        <f ca="1">IFERROR(IF(0=LEN(ReferenceData!$T$165),"",ReferenceData!$T$165),"")</f>
        <v>6335.6040000000003</v>
      </c>
      <c r="U165">
        <f ca="1">IFERROR(IF(0=LEN(ReferenceData!$U$165),"",ReferenceData!$U$165),"")</f>
        <v>4045.1709999999998</v>
      </c>
      <c r="V165">
        <f ca="1">IFERROR(IF(0=LEN(ReferenceData!$V$165),"",ReferenceData!$V$165),"")</f>
        <v>5272.3379999999997</v>
      </c>
      <c r="W165">
        <f ca="1">IFERROR(IF(0=LEN(ReferenceData!$W$165),"",ReferenceData!$W$165),"")</f>
        <v>5073.9440000000004</v>
      </c>
      <c r="X165">
        <f ca="1">IFERROR(IF(0=LEN(ReferenceData!$X$165),"",ReferenceData!$X$165),"")</f>
        <v>2996.6010000000001</v>
      </c>
      <c r="Y165">
        <f ca="1">IFERROR(IF(0=LEN(ReferenceData!$Y$165),"",ReferenceData!$Y$165),"")</f>
        <v>2776.3049999999998</v>
      </c>
      <c r="Z165">
        <f ca="1">IFERROR(IF(0=LEN(ReferenceData!$Z$165),"",ReferenceData!$Z$165),"")</f>
        <v>2594.08</v>
      </c>
      <c r="AA165">
        <f ca="1">IFERROR(IF(0=LEN(ReferenceData!$AA$165),"",ReferenceData!$AA$165),"")</f>
        <v>3654.1849999999999</v>
      </c>
      <c r="AB165">
        <f ca="1">IFERROR(IF(0=LEN(ReferenceData!$AB$165),"",ReferenceData!$AB$165),"")</f>
        <v>3611.7350000000001</v>
      </c>
      <c r="AC165">
        <f ca="1">IFERROR(IF(0=LEN(ReferenceData!$AC$165),"",ReferenceData!$AC$165),"")</f>
        <v>3484.8890000000001</v>
      </c>
      <c r="AD165">
        <f ca="1">IFERROR(IF(0=LEN(ReferenceData!$AD$165),"",ReferenceData!$AD$165),"")</f>
        <v>3140.5920000000001</v>
      </c>
      <c r="AE165">
        <f ca="1">IFERROR(IF(0=LEN(ReferenceData!$AE$165),"",ReferenceData!$AE$165),"")</f>
        <v>4205.0060000000003</v>
      </c>
      <c r="AF165">
        <f ca="1">IFERROR(IF(0=LEN(ReferenceData!$AF$165),"",ReferenceData!$AF$165),"")</f>
        <v>4679.8609999999999</v>
      </c>
      <c r="AG165">
        <f ca="1">IFERROR(IF(0=LEN(ReferenceData!$AG$165),"",ReferenceData!$AG$165),"")</f>
        <v>4509.97</v>
      </c>
      <c r="AH165">
        <f ca="1">IFERROR(IF(0=LEN(ReferenceData!$AH$165),"",ReferenceData!$AH$165),"")</f>
        <v>3988.0279999999998</v>
      </c>
      <c r="AI165">
        <f ca="1">IFERROR(IF(0=LEN(ReferenceData!$AI$165),"",ReferenceData!$AI$165),"")</f>
        <v>3870.2689999999998</v>
      </c>
      <c r="AJ165">
        <f ca="1">IFERROR(IF(0=LEN(ReferenceData!$AJ$165),"",ReferenceData!$AJ$165),"")</f>
        <v>3532.0120000000002</v>
      </c>
      <c r="AK165">
        <f ca="1">IFERROR(IF(0=LEN(ReferenceData!$AK$165),"",ReferenceData!$AK$165),"")</f>
        <v>3040.9609999999998</v>
      </c>
      <c r="AL165">
        <f ca="1">IFERROR(IF(0=LEN(ReferenceData!$AL$165),"",ReferenceData!$AL$165),"")</f>
        <v>2407.6410000000001</v>
      </c>
    </row>
    <row r="166" spans="1:38" x14ac:dyDescent="0.25">
      <c r="A166" t="str">
        <f>IFERROR(IF(0=LEN(ReferenceData!$A$166),"",ReferenceData!$A$166),"")</f>
        <v xml:space="preserve">        JPMorgan Chase &amp; Co</v>
      </c>
      <c r="B166" t="str">
        <f>IFERROR(IF(0=LEN(ReferenceData!$B$166),"",ReferenceData!$B$166),"")</f>
        <v>JPM US Equity</v>
      </c>
      <c r="C166" t="str">
        <f>IFERROR(IF(0=LEN(ReferenceData!$C$166),"",ReferenceData!$C$166),"")</f>
        <v>F0091</v>
      </c>
      <c r="D166" t="str">
        <f>IFERROR(IF(0=LEN(ReferenceData!$D$166),"",ReferenceData!$D$166),"")</f>
        <v>FED_CONSUMER_LOANS_&amp;_LEASES_CONS</v>
      </c>
      <c r="E166" t="str">
        <f>IFERROR(IF(0=LEN(ReferenceData!$E$166),"",ReferenceData!$E$166),"")</f>
        <v>Dynamic</v>
      </c>
      <c r="F166">
        <f ca="1">IFERROR(IF(0=LEN(ReferenceData!$F$166),"",ReferenceData!$F$166),"")</f>
        <v>285330</v>
      </c>
      <c r="G166">
        <f ca="1">IFERROR(IF(0=LEN(ReferenceData!$G$166),"",ReferenceData!$G$166),"")</f>
        <v>275548</v>
      </c>
      <c r="H166">
        <f ca="1">IFERROR(IF(0=LEN(ReferenceData!$H$166),"",ReferenceData!$H$166),"")</f>
        <v>246411</v>
      </c>
      <c r="I166">
        <f ca="1">IFERROR(IF(0=LEN(ReferenceData!$I$166),"",ReferenceData!$I$166),"")</f>
        <v>220532</v>
      </c>
      <c r="J166">
        <f ca="1">IFERROR(IF(0=LEN(ReferenceData!$J$166),"",ReferenceData!$J$166),"")</f>
        <v>199932</v>
      </c>
      <c r="K166">
        <f ca="1">IFERROR(IF(0=LEN(ReferenceData!$K$166),"",ReferenceData!$K$166),"")</f>
        <v>212966</v>
      </c>
      <c r="L166">
        <f ca="1">IFERROR(IF(0=LEN(ReferenceData!$L$166),"",ReferenceData!$L$166),"")</f>
        <v>203661</v>
      </c>
      <c r="M166">
        <f ca="1">IFERROR(IF(0=LEN(ReferenceData!$M$166),"",ReferenceData!$M$166),"")</f>
        <v>200963</v>
      </c>
      <c r="N166">
        <f ca="1">IFERROR(IF(0=LEN(ReferenceData!$N$166),"",ReferenceData!$N$166),"")</f>
        <v>201962</v>
      </c>
      <c r="O166">
        <f ca="1">IFERROR(IF(0=LEN(ReferenceData!$O$166),"",ReferenceData!$O$166),"")</f>
        <v>189481</v>
      </c>
      <c r="P166">
        <f ca="1">IFERROR(IF(0=LEN(ReferenceData!$P$166),"",ReferenceData!$P$166),"")</f>
        <v>187015</v>
      </c>
      <c r="Q166">
        <f ca="1">IFERROR(IF(0=LEN(ReferenceData!$Q$166),"",ReferenceData!$Q$166),"")</f>
        <v>181587</v>
      </c>
      <c r="R166">
        <f ca="1">IFERROR(IF(0=LEN(ReferenceData!$R$166),"",ReferenceData!$R$166),"")</f>
        <v>180720</v>
      </c>
      <c r="S166">
        <f ca="1">IFERROR(IF(0=LEN(ReferenceData!$S$166),"",ReferenceData!$S$166),"")</f>
        <v>182248</v>
      </c>
      <c r="T166">
        <f ca="1">IFERROR(IF(0=LEN(ReferenceData!$T$166),"",ReferenceData!$T$166),"")</f>
        <v>189783</v>
      </c>
      <c r="U166">
        <f ca="1">IFERROR(IF(0=LEN(ReferenceData!$U$166),"",ReferenceData!$U$166),"")</f>
        <v>129254</v>
      </c>
      <c r="V166">
        <f ca="1">IFERROR(IF(0=LEN(ReferenceData!$V$166),"",ReferenceData!$V$166),"")</f>
        <v>151425</v>
      </c>
      <c r="W166">
        <f ca="1">IFERROR(IF(0=LEN(ReferenceData!$W$166),"",ReferenceData!$W$166),"")</f>
        <v>126947</v>
      </c>
      <c r="X166">
        <f ca="1">IFERROR(IF(0=LEN(ReferenceData!$X$166),"",ReferenceData!$X$166),"")</f>
        <v>127458</v>
      </c>
      <c r="Y166">
        <f ca="1">IFERROR(IF(0=LEN(ReferenceData!$Y$166),"",ReferenceData!$Y$166),"")</f>
        <v>128845</v>
      </c>
      <c r="Z166">
        <f ca="1">IFERROR(IF(0=LEN(ReferenceData!$Z$166),"",ReferenceData!$Z$166),"")</f>
        <v>113756</v>
      </c>
      <c r="AA166">
        <f ca="1">IFERROR(IF(0=LEN(ReferenceData!$AA$166),"",ReferenceData!$AA$166),"")</f>
        <v>54252</v>
      </c>
      <c r="AB166">
        <f ca="1">IFERROR(IF(0=LEN(ReferenceData!$AB$166),"",ReferenceData!$AB$166),"")</f>
        <v>52445</v>
      </c>
      <c r="AC166">
        <f ca="1">IFERROR(IF(0=LEN(ReferenceData!$AC$166),"",ReferenceData!$AC$166),"")</f>
        <v>45823</v>
      </c>
      <c r="AD166">
        <f ca="1">IFERROR(IF(0=LEN(ReferenceData!$AD$166),"",ReferenceData!$AD$166),"")</f>
        <v>40436.999000000003</v>
      </c>
      <c r="AE166">
        <f ca="1">IFERROR(IF(0=LEN(ReferenceData!$AE$166),"",ReferenceData!$AE$166),"")</f>
        <v>35916.714999999997</v>
      </c>
      <c r="AF166">
        <f ca="1">IFERROR(IF(0=LEN(ReferenceData!$AF$166),"",ReferenceData!$AF$166),"")</f>
        <v>34290.548000000003</v>
      </c>
      <c r="AG166">
        <f ca="1">IFERROR(IF(0=LEN(ReferenceData!$AG$166),"",ReferenceData!$AG$166),"")</f>
        <v>33359.981</v>
      </c>
      <c r="AH166" t="str">
        <f ca="1">IFERROR(IF(0=LEN(ReferenceData!$AH$166),"",ReferenceData!$AH$166),"")</f>
        <v/>
      </c>
      <c r="AI166" t="str">
        <f ca="1">IFERROR(IF(0=LEN(ReferenceData!$AI$166),"",ReferenceData!$AI$166),"")</f>
        <v/>
      </c>
      <c r="AJ166" t="str">
        <f ca="1">IFERROR(IF(0=LEN(ReferenceData!$AJ$166),"",ReferenceData!$AJ$166),"")</f>
        <v/>
      </c>
      <c r="AK166" t="str">
        <f ca="1">IFERROR(IF(0=LEN(ReferenceData!$AK$166),"",ReferenceData!$AK$166),"")</f>
        <v/>
      </c>
      <c r="AL166" t="str">
        <f ca="1">IFERROR(IF(0=LEN(ReferenceData!$AL$166),"",ReferenceData!$AL$166),"")</f>
        <v/>
      </c>
    </row>
    <row r="167" spans="1:38" x14ac:dyDescent="0.25">
      <c r="A167" t="str">
        <f>IFERROR(IF(0=LEN(ReferenceData!$A$167),"",ReferenceData!$A$167),"")</f>
        <v xml:space="preserve">        KeyCorp</v>
      </c>
      <c r="B167" t="str">
        <f>IFERROR(IF(0=LEN(ReferenceData!$B$167),"",ReferenceData!$B$167),"")</f>
        <v>KEY US Equity</v>
      </c>
      <c r="C167" t="str">
        <f>IFERROR(IF(0=LEN(ReferenceData!$C$167),"",ReferenceData!$C$167),"")</f>
        <v>F0091</v>
      </c>
      <c r="D167" t="str">
        <f>IFERROR(IF(0=LEN(ReferenceData!$D$167),"",ReferenceData!$D$167),"")</f>
        <v>FED_CONSUMER_LOANS_&amp;_LEASES_CONS</v>
      </c>
      <c r="E167" t="str">
        <f>IFERROR(IF(0=LEN(ReferenceData!$E$167),"",ReferenceData!$E$167),"")</f>
        <v>Dynamic</v>
      </c>
      <c r="F167">
        <f ca="1">IFERROR(IF(0=LEN(ReferenceData!$F$167),"",ReferenceData!$F$167),"")</f>
        <v>6382.5140000000001</v>
      </c>
      <c r="G167">
        <f ca="1">IFERROR(IF(0=LEN(ReferenceData!$G$167),"",ReferenceData!$G$167),"")</f>
        <v>7255.43</v>
      </c>
      <c r="H167">
        <f ca="1">IFERROR(IF(0=LEN(ReferenceData!$H$167),"",ReferenceData!$H$167),"")</f>
        <v>8011.1480000000001</v>
      </c>
      <c r="I167">
        <f ca="1">IFERROR(IF(0=LEN(ReferenceData!$I$167),"",ReferenceData!$I$167),"")</f>
        <v>7361.8280000000004</v>
      </c>
      <c r="J167">
        <f ca="1">IFERROR(IF(0=LEN(ReferenceData!$J$167),"",ReferenceData!$J$167),"")</f>
        <v>11314.116</v>
      </c>
      <c r="K167">
        <f ca="1">IFERROR(IF(0=LEN(ReferenceData!$K$167),"",ReferenceData!$K$167),"")</f>
        <v>10234.895</v>
      </c>
      <c r="L167">
        <f ca="1">IFERROR(IF(0=LEN(ReferenceData!$L$167),"",ReferenceData!$L$167),"")</f>
        <v>7660.2610000000004</v>
      </c>
      <c r="M167">
        <f ca="1">IFERROR(IF(0=LEN(ReferenceData!$M$167),"",ReferenceData!$M$167),"")</f>
        <v>7474.7439999999997</v>
      </c>
      <c r="N167">
        <f ca="1">IFERROR(IF(0=LEN(ReferenceData!$N$167),"",ReferenceData!$N$167),"")</f>
        <v>7473.3590000000004</v>
      </c>
      <c r="O167">
        <f ca="1">IFERROR(IF(0=LEN(ReferenceData!$O$167),"",ReferenceData!$O$167),"")</f>
        <v>4854.3410000000003</v>
      </c>
      <c r="P167">
        <f ca="1">IFERROR(IF(0=LEN(ReferenceData!$P$167),"",ReferenceData!$P$167),"")</f>
        <v>5437.5069999999996</v>
      </c>
      <c r="Q167">
        <f ca="1">IFERROR(IF(0=LEN(ReferenceData!$Q$167),"",ReferenceData!$Q$167),"")</f>
        <v>7765.28</v>
      </c>
      <c r="R167">
        <f ca="1">IFERROR(IF(0=LEN(ReferenceData!$R$167),"",ReferenceData!$R$167),"")</f>
        <v>8731.0259999999998</v>
      </c>
      <c r="S167">
        <f ca="1">IFERROR(IF(0=LEN(ReferenceData!$S$167),"",ReferenceData!$S$167),"")</f>
        <v>8895.4940000000006</v>
      </c>
      <c r="T167">
        <f ca="1">IFERROR(IF(0=LEN(ReferenceData!$T$167),"",ReferenceData!$T$167),"")</f>
        <v>10027.853999999999</v>
      </c>
      <c r="U167">
        <f ca="1">IFERROR(IF(0=LEN(ReferenceData!$U$167),"",ReferenceData!$U$167),"")</f>
        <v>8140.4709999999995</v>
      </c>
      <c r="V167">
        <f ca="1">IFERROR(IF(0=LEN(ReferenceData!$V$167),"",ReferenceData!$V$167),"")</f>
        <v>8988.7759999999998</v>
      </c>
      <c r="W167">
        <f ca="1">IFERROR(IF(0=LEN(ReferenceData!$W$167),"",ReferenceData!$W$167),"")</f>
        <v>8790.8799999999992</v>
      </c>
      <c r="X167">
        <f ca="1">IFERROR(IF(0=LEN(ReferenceData!$X$167),"",ReferenceData!$X$167),"")</f>
        <v>7549.64</v>
      </c>
      <c r="Y167">
        <f ca="1">IFERROR(IF(0=LEN(ReferenceData!$Y$167),"",ReferenceData!$Y$167),"")</f>
        <v>7658.674</v>
      </c>
      <c r="Z167">
        <f ca="1">IFERROR(IF(0=LEN(ReferenceData!$Z$167),"",ReferenceData!$Z$167),"")</f>
        <v>9003</v>
      </c>
      <c r="AA167">
        <f ca="1">IFERROR(IF(0=LEN(ReferenceData!$AA$167),"",ReferenceData!$AA$167),"")</f>
        <v>9121.7489999999998</v>
      </c>
      <c r="AB167">
        <f ca="1">IFERROR(IF(0=LEN(ReferenceData!$AB$167),"",ReferenceData!$AB$167),"")</f>
        <v>8632.3389999999999</v>
      </c>
      <c r="AC167">
        <f ca="1">IFERROR(IF(0=LEN(ReferenceData!$AC$167),"",ReferenceData!$AC$167),"")</f>
        <v>9004.5239999999994</v>
      </c>
      <c r="AD167">
        <f ca="1">IFERROR(IF(0=LEN(ReferenceData!$AD$167),"",ReferenceData!$AD$167),"")</f>
        <v>9701.7729999999992</v>
      </c>
      <c r="AE167">
        <f ca="1">IFERROR(IF(0=LEN(ReferenceData!$AE$167),"",ReferenceData!$AE$167),"")</f>
        <v>11527.302</v>
      </c>
      <c r="AF167">
        <f ca="1">IFERROR(IF(0=LEN(ReferenceData!$AF$167),"",ReferenceData!$AF$167),"")</f>
        <v>13158.279</v>
      </c>
      <c r="AG167">
        <f ca="1">IFERROR(IF(0=LEN(ReferenceData!$AG$167),"",ReferenceData!$AG$167),"")</f>
        <v>11879.59</v>
      </c>
      <c r="AH167">
        <f ca="1">IFERROR(IF(0=LEN(ReferenceData!$AH$167),"",ReferenceData!$AH$167),"")</f>
        <v>13405.669</v>
      </c>
      <c r="AI167">
        <f ca="1">IFERROR(IF(0=LEN(ReferenceData!$AI$167),"",ReferenceData!$AI$167),"")</f>
        <v>12115.41</v>
      </c>
      <c r="AJ167">
        <f ca="1">IFERROR(IF(0=LEN(ReferenceData!$AJ$167),"",ReferenceData!$AJ$167),"")</f>
        <v>11999.71</v>
      </c>
      <c r="AK167">
        <f ca="1">IFERROR(IF(0=LEN(ReferenceData!$AK$167),"",ReferenceData!$AK$167),"")</f>
        <v>4915.9340000000002</v>
      </c>
      <c r="AL167">
        <f ca="1">IFERROR(IF(0=LEN(ReferenceData!$AL$167),"",ReferenceData!$AL$167),"")</f>
        <v>4316.5720000000001</v>
      </c>
    </row>
    <row r="168" spans="1:38" x14ac:dyDescent="0.25">
      <c r="A168" t="str">
        <f>IFERROR(IF(0=LEN(ReferenceData!$A$168),"",ReferenceData!$A$168),"")</f>
        <v xml:space="preserve">        M&amp;T Bank Corp</v>
      </c>
      <c r="B168" t="str">
        <f>IFERROR(IF(0=LEN(ReferenceData!$B$168),"",ReferenceData!$B$168),"")</f>
        <v>MTB US Equity</v>
      </c>
      <c r="C168" t="str">
        <f>IFERROR(IF(0=LEN(ReferenceData!$C$168),"",ReferenceData!$C$168),"")</f>
        <v>F0091</v>
      </c>
      <c r="D168" t="str">
        <f>IFERROR(IF(0=LEN(ReferenceData!$D$168),"",ReferenceData!$D$168),"")</f>
        <v>FED_CONSUMER_LOANS_&amp;_LEASES_CONS</v>
      </c>
      <c r="E168" t="str">
        <f>IFERROR(IF(0=LEN(ReferenceData!$E$168),"",ReferenceData!$E$168),"")</f>
        <v>Dynamic</v>
      </c>
      <c r="F168">
        <f ca="1">IFERROR(IF(0=LEN(ReferenceData!$F$168),"",ReferenceData!$F$168),"")</f>
        <v>19576.696</v>
      </c>
      <c r="G168">
        <f ca="1">IFERROR(IF(0=LEN(ReferenceData!$G$168),"",ReferenceData!$G$168),"")</f>
        <v>16141.504999999999</v>
      </c>
      <c r="H168">
        <f ca="1">IFERROR(IF(0=LEN(ReferenceData!$H$168),"",ReferenceData!$H$168),"")</f>
        <v>15583.188</v>
      </c>
      <c r="I168">
        <f ca="1">IFERROR(IF(0=LEN(ReferenceData!$I$168),"",ReferenceData!$I$168),"")</f>
        <v>14411.191999999999</v>
      </c>
      <c r="J168">
        <f ca="1">IFERROR(IF(0=LEN(ReferenceData!$J$168),"",ReferenceData!$J$168),"")</f>
        <v>12583.272000000001</v>
      </c>
      <c r="K168">
        <f ca="1">IFERROR(IF(0=LEN(ReferenceData!$K$168),"",ReferenceData!$K$168),"")</f>
        <v>10901.52</v>
      </c>
      <c r="L168">
        <f ca="1">IFERROR(IF(0=LEN(ReferenceData!$L$168),"",ReferenceData!$L$168),"")</f>
        <v>9105.3310000000001</v>
      </c>
      <c r="M168">
        <f ca="1">IFERROR(IF(0=LEN(ReferenceData!$M$168),"",ReferenceData!$M$168),"")</f>
        <v>7969.9830000000002</v>
      </c>
      <c r="N168">
        <f ca="1">IFERROR(IF(0=LEN(ReferenceData!$N$168),"",ReferenceData!$N$168),"")</f>
        <v>6500.4790000000003</v>
      </c>
      <c r="O168">
        <f ca="1">IFERROR(IF(0=LEN(ReferenceData!$O$168),"",ReferenceData!$O$168),"")</f>
        <v>5629.7380000000003</v>
      </c>
      <c r="P168">
        <f ca="1">IFERROR(IF(0=LEN(ReferenceData!$P$168),"",ReferenceData!$P$168),"")</f>
        <v>4943.1790000000001</v>
      </c>
      <c r="Q168">
        <f ca="1">IFERROR(IF(0=LEN(ReferenceData!$Q$168),"",ReferenceData!$Q$168),"")</f>
        <v>4152.5429999999997</v>
      </c>
      <c r="R168">
        <f ca="1">IFERROR(IF(0=LEN(ReferenceData!$R$168),"",ReferenceData!$R$168),"")</f>
        <v>5224.1729999999998</v>
      </c>
      <c r="S168">
        <f ca="1">IFERROR(IF(0=LEN(ReferenceData!$S$168),"",ReferenceData!$S$168),"")</f>
        <v>5336.4970000000003</v>
      </c>
      <c r="T168">
        <f ca="1">IFERROR(IF(0=LEN(ReferenceData!$T$168),"",ReferenceData!$T$168),"")</f>
        <v>4925.3209999999999</v>
      </c>
      <c r="U168">
        <f ca="1">IFERROR(IF(0=LEN(ReferenceData!$U$168),"",ReferenceData!$U$168),"")</f>
        <v>5203.43</v>
      </c>
      <c r="V168">
        <f ca="1">IFERROR(IF(0=LEN(ReferenceData!$V$168),"",ReferenceData!$V$168),"")</f>
        <v>5292.4889999999996</v>
      </c>
      <c r="W168">
        <f ca="1">IFERROR(IF(0=LEN(ReferenceData!$W$168),"",ReferenceData!$W$168),"")</f>
        <v>5772.87</v>
      </c>
      <c r="X168">
        <f ca="1">IFERROR(IF(0=LEN(ReferenceData!$X$168),"",ReferenceData!$X$168),"")</f>
        <v>4454.0720000000001</v>
      </c>
      <c r="Y168">
        <f ca="1">IFERROR(IF(0=LEN(ReferenceData!$Y$168),"",ReferenceData!$Y$168),"")</f>
        <v>5036.1809999999996</v>
      </c>
      <c r="Z168">
        <f ca="1">IFERROR(IF(0=LEN(ReferenceData!$Z$168),"",ReferenceData!$Z$168),"")</f>
        <v>5713.07</v>
      </c>
      <c r="AA168">
        <f ca="1">IFERROR(IF(0=LEN(ReferenceData!$AA$168),"",ReferenceData!$AA$168),"")</f>
        <v>5617.4620000000004</v>
      </c>
      <c r="AB168">
        <f ca="1">IFERROR(IF(0=LEN(ReferenceData!$AB$168),"",ReferenceData!$AB$168),"")</f>
        <v>4177.6170000000002</v>
      </c>
      <c r="AC168">
        <f ca="1">IFERROR(IF(0=LEN(ReferenceData!$AC$168),"",ReferenceData!$AC$168),"")</f>
        <v>3214.3739999999998</v>
      </c>
      <c r="AD168">
        <f ca="1">IFERROR(IF(0=LEN(ReferenceData!$AD$168),"",ReferenceData!$AD$168),"")</f>
        <v>2427.3180000000002</v>
      </c>
      <c r="AE168">
        <f ca="1">IFERROR(IF(0=LEN(ReferenceData!$AE$168),"",ReferenceData!$AE$168),"")</f>
        <v>1870.202</v>
      </c>
      <c r="AF168">
        <f ca="1">IFERROR(IF(0=LEN(ReferenceData!$AF$168),"",ReferenceData!$AF$168),"")</f>
        <v>1756.529</v>
      </c>
      <c r="AG168">
        <f ca="1">IFERROR(IF(0=LEN(ReferenceData!$AG$168),"",ReferenceData!$AG$168),"")</f>
        <v>1424.1869999999999</v>
      </c>
      <c r="AH168">
        <f ca="1">IFERROR(IF(0=LEN(ReferenceData!$AH$168),"",ReferenceData!$AH$168),"")</f>
        <v>1615.6379999999999</v>
      </c>
      <c r="AI168">
        <f ca="1">IFERROR(IF(0=LEN(ReferenceData!$AI$168),"",ReferenceData!$AI$168),"")</f>
        <v>1256.4839999999999</v>
      </c>
      <c r="AJ168">
        <f ca="1">IFERROR(IF(0=LEN(ReferenceData!$AJ$168),"",ReferenceData!$AJ$168),"")</f>
        <v>944.38300000000004</v>
      </c>
      <c r="AK168">
        <f ca="1">IFERROR(IF(0=LEN(ReferenceData!$AK$168),"",ReferenceData!$AK$168),"")</f>
        <v>638.923</v>
      </c>
      <c r="AL168">
        <f ca="1">IFERROR(IF(0=LEN(ReferenceData!$AL$168),"",ReferenceData!$AL$168),"")</f>
        <v>525.61099999999999</v>
      </c>
    </row>
    <row r="169" spans="1:38" x14ac:dyDescent="0.25">
      <c r="A169" t="str">
        <f>IFERROR(IF(0=LEN(ReferenceData!$A$169),"",ReferenceData!$A$169),"")</f>
        <v xml:space="preserve">        PNC Financial Services Group I</v>
      </c>
      <c r="B169" t="str">
        <f>IFERROR(IF(0=LEN(ReferenceData!$B$169),"",ReferenceData!$B$169),"")</f>
        <v>PNC US Equity</v>
      </c>
      <c r="C169" t="str">
        <f>IFERROR(IF(0=LEN(ReferenceData!$C$169),"",ReferenceData!$C$169),"")</f>
        <v>F0091</v>
      </c>
      <c r="D169" t="str">
        <f>IFERROR(IF(0=LEN(ReferenceData!$D$169),"",ReferenceData!$D$169),"")</f>
        <v>FED_CONSUMER_LOANS_&amp;_LEASES_CONS</v>
      </c>
      <c r="E169" t="str">
        <f>IFERROR(IF(0=LEN(ReferenceData!$E$169),"",ReferenceData!$E$169),"")</f>
        <v>Dynamic</v>
      </c>
      <c r="F169" t="str">
        <f ca="1">IFERROR(IF(0=LEN(ReferenceData!$F$169),"",ReferenceData!$F$169),"")</f>
        <v/>
      </c>
      <c r="G169">
        <f ca="1">IFERROR(IF(0=LEN(ReferenceData!$G$169),"",ReferenceData!$G$169),"")</f>
        <v>27248.600999999999</v>
      </c>
      <c r="H169">
        <f ca="1">IFERROR(IF(0=LEN(ReferenceData!$H$169),"",ReferenceData!$H$169),"")</f>
        <v>28137.191999999999</v>
      </c>
      <c r="I169">
        <f ca="1">IFERROR(IF(0=LEN(ReferenceData!$I$169),"",ReferenceData!$I$169),"")</f>
        <v>30569.559000000001</v>
      </c>
      <c r="J169">
        <f ca="1">IFERROR(IF(0=LEN(ReferenceData!$J$169),"",ReferenceData!$J$169),"")</f>
        <v>27137.172999999999</v>
      </c>
      <c r="K169">
        <f ca="1">IFERROR(IF(0=LEN(ReferenceData!$K$169),"",ReferenceData!$K$169),"")</f>
        <v>31303.918000000001</v>
      </c>
      <c r="L169">
        <f ca="1">IFERROR(IF(0=LEN(ReferenceData!$L$169),"",ReferenceData!$L$169),"")</f>
        <v>28244.774000000001</v>
      </c>
      <c r="M169">
        <f ca="1">IFERROR(IF(0=LEN(ReferenceData!$M$169),"",ReferenceData!$M$169),"")</f>
        <v>26609.723000000002</v>
      </c>
      <c r="N169">
        <f ca="1">IFERROR(IF(0=LEN(ReferenceData!$N$169),"",ReferenceData!$N$169),"")</f>
        <v>26602.742999999999</v>
      </c>
      <c r="O169">
        <f ca="1">IFERROR(IF(0=LEN(ReferenceData!$O$169),"",ReferenceData!$O$169),"")</f>
        <v>25855.166000000001</v>
      </c>
      <c r="P169">
        <f ca="1">IFERROR(IF(0=LEN(ReferenceData!$P$169),"",ReferenceData!$P$169),"")</f>
        <v>26647.733</v>
      </c>
      <c r="Q169">
        <f ca="1">IFERROR(IF(0=LEN(ReferenceData!$Q$169),"",ReferenceData!$Q$169),"")</f>
        <v>26382.263999999999</v>
      </c>
      <c r="R169">
        <f ca="1">IFERROR(IF(0=LEN(ReferenceData!$R$169),"",ReferenceData!$R$169),"")</f>
        <v>25108.159</v>
      </c>
      <c r="S169">
        <f ca="1">IFERROR(IF(0=LEN(ReferenceData!$S$169),"",ReferenceData!$S$169),"")</f>
        <v>22509.131000000001</v>
      </c>
      <c r="T169">
        <f ca="1">IFERROR(IF(0=LEN(ReferenceData!$T$169),"",ReferenceData!$T$169),"")</f>
        <v>20237.092000000001</v>
      </c>
      <c r="U169">
        <f ca="1">IFERROR(IF(0=LEN(ReferenceData!$U$169),"",ReferenceData!$U$169),"")</f>
        <v>17196.655999999999</v>
      </c>
      <c r="V169">
        <f ca="1">IFERROR(IF(0=LEN(ReferenceData!$V$169),"",ReferenceData!$V$169),"")</f>
        <v>13826.05</v>
      </c>
      <c r="W169">
        <f ca="1">IFERROR(IF(0=LEN(ReferenceData!$W$169),"",ReferenceData!$W$169),"")</f>
        <v>5331.8919999999998</v>
      </c>
      <c r="X169">
        <f ca="1">IFERROR(IF(0=LEN(ReferenceData!$X$169),"",ReferenceData!$X$169),"")</f>
        <v>3967.3359999999998</v>
      </c>
      <c r="Y169">
        <f ca="1">IFERROR(IF(0=LEN(ReferenceData!$Y$169),"",ReferenceData!$Y$169),"")</f>
        <v>4228.38</v>
      </c>
      <c r="Z169">
        <f ca="1">IFERROR(IF(0=LEN(ReferenceData!$Z$169),"",ReferenceData!$Z$169),"")</f>
        <v>3868.433</v>
      </c>
      <c r="AA169">
        <f ca="1">IFERROR(IF(0=LEN(ReferenceData!$AA$169),"",ReferenceData!$AA$169),"")</f>
        <v>2553.837</v>
      </c>
      <c r="AB169">
        <f ca="1">IFERROR(IF(0=LEN(ReferenceData!$AB$169),"",ReferenceData!$AB$169),"")</f>
        <v>2690.759</v>
      </c>
      <c r="AC169">
        <f ca="1">IFERROR(IF(0=LEN(ReferenceData!$AC$169),"",ReferenceData!$AC$169),"")</f>
        <v>3359.748</v>
      </c>
      <c r="AD169">
        <f ca="1">IFERROR(IF(0=LEN(ReferenceData!$AD$169),"",ReferenceData!$AD$169),"")</f>
        <v>3670.8589999999999</v>
      </c>
      <c r="AE169">
        <f ca="1">IFERROR(IF(0=LEN(ReferenceData!$AE$169),"",ReferenceData!$AE$169),"")</f>
        <v>4441.7659999999996</v>
      </c>
      <c r="AF169">
        <f ca="1">IFERROR(IF(0=LEN(ReferenceData!$AF$169),"",ReferenceData!$AF$169),"")</f>
        <v>10942.688</v>
      </c>
      <c r="AG169">
        <f ca="1">IFERROR(IF(0=LEN(ReferenceData!$AG$169),"",ReferenceData!$AG$169),"")</f>
        <v>13746.334000000001</v>
      </c>
      <c r="AH169">
        <f ca="1">IFERROR(IF(0=LEN(ReferenceData!$AH$169),"",ReferenceData!$AH$169),"")</f>
        <v>10021.629000000001</v>
      </c>
      <c r="AI169">
        <f ca="1">IFERROR(IF(0=LEN(ReferenceData!$AI$169),"",ReferenceData!$AI$169),"")</f>
        <v>8525.9879999999994</v>
      </c>
      <c r="AJ169">
        <f ca="1">IFERROR(IF(0=LEN(ReferenceData!$AJ$169),"",ReferenceData!$AJ$169),"")</f>
        <v>6326.393</v>
      </c>
      <c r="AK169">
        <f ca="1">IFERROR(IF(0=LEN(ReferenceData!$AK$169),"",ReferenceData!$AK$169),"")</f>
        <v>5422.5219999999999</v>
      </c>
      <c r="AL169">
        <f ca="1">IFERROR(IF(0=LEN(ReferenceData!$AL$169),"",ReferenceData!$AL$169),"")</f>
        <v>5396.3689999999997</v>
      </c>
    </row>
    <row r="170" spans="1:38" x14ac:dyDescent="0.25">
      <c r="A170" t="str">
        <f>IFERROR(IF(0=LEN(ReferenceData!$A$170),"",ReferenceData!$A$170),"")</f>
        <v xml:space="preserve">        Regions Financial Corp</v>
      </c>
      <c r="B170" t="str">
        <f>IFERROR(IF(0=LEN(ReferenceData!$B$170),"",ReferenceData!$B$170),"")</f>
        <v>RF US Equity</v>
      </c>
      <c r="C170" t="str">
        <f>IFERROR(IF(0=LEN(ReferenceData!$C$170),"",ReferenceData!$C$170),"")</f>
        <v>F0091</v>
      </c>
      <c r="D170" t="str">
        <f>IFERROR(IF(0=LEN(ReferenceData!$D$170),"",ReferenceData!$D$170),"")</f>
        <v>FED_CONSUMER_LOANS_&amp;_LEASES_CONS</v>
      </c>
      <c r="E170" t="str">
        <f>IFERROR(IF(0=LEN(ReferenceData!$E$170),"",ReferenceData!$E$170),"")</f>
        <v>Dynamic</v>
      </c>
      <c r="F170" t="str">
        <f ca="1">IFERROR(IF(0=LEN(ReferenceData!$F$170),"",ReferenceData!$F$170),"")</f>
        <v/>
      </c>
      <c r="G170">
        <f ca="1">IFERROR(IF(0=LEN(ReferenceData!$G$170),"",ReferenceData!$G$170),"")</f>
        <v>7873</v>
      </c>
      <c r="H170">
        <f ca="1">IFERROR(IF(0=LEN(ReferenceData!$H$170),"",ReferenceData!$H$170),"")</f>
        <v>7808</v>
      </c>
      <c r="I170">
        <f ca="1">IFERROR(IF(0=LEN(ReferenceData!$I$170),"",ReferenceData!$I$170),"")</f>
        <v>7960</v>
      </c>
      <c r="J170">
        <f ca="1">IFERROR(IF(0=LEN(ReferenceData!$J$170),"",ReferenceData!$J$170),"")</f>
        <v>5751</v>
      </c>
      <c r="K170">
        <f ca="1">IFERROR(IF(0=LEN(ReferenceData!$K$170),"",ReferenceData!$K$170),"")</f>
        <v>7692</v>
      </c>
      <c r="L170">
        <f ca="1">IFERROR(IF(0=LEN(ReferenceData!$L$170),"",ReferenceData!$L$170),"")</f>
        <v>7866.0119999999997</v>
      </c>
      <c r="M170">
        <f ca="1">IFERROR(IF(0=LEN(ReferenceData!$M$170),"",ReferenceData!$M$170),"")</f>
        <v>7148.4189999999999</v>
      </c>
      <c r="N170">
        <f ca="1">IFERROR(IF(0=LEN(ReferenceData!$N$170),"",ReferenceData!$N$170),"")</f>
        <v>7196.5129999999999</v>
      </c>
      <c r="O170">
        <f ca="1">IFERROR(IF(0=LEN(ReferenceData!$O$170),"",ReferenceData!$O$170),"")</f>
        <v>6553.5209999999997</v>
      </c>
      <c r="P170">
        <f ca="1">IFERROR(IF(0=LEN(ReferenceData!$P$170),"",ReferenceData!$P$170),"")</f>
        <v>5773.2190000000001</v>
      </c>
      <c r="Q170">
        <f ca="1">IFERROR(IF(0=LEN(ReferenceData!$Q$170),"",ReferenceData!$Q$170),"")</f>
        <v>5128.4139999999998</v>
      </c>
      <c r="R170">
        <f ca="1">IFERROR(IF(0=LEN(ReferenceData!$R$170),"",ReferenceData!$R$170),"")</f>
        <v>4368.143</v>
      </c>
      <c r="S170">
        <f ca="1">IFERROR(IF(0=LEN(ReferenceData!$S$170),"",ReferenceData!$S$170),"")</f>
        <v>3985.444</v>
      </c>
      <c r="T170">
        <f ca="1">IFERROR(IF(0=LEN(ReferenceData!$T$170),"",ReferenceData!$T$170),"")</f>
        <v>2703.3679999999999</v>
      </c>
      <c r="U170">
        <f ca="1">IFERROR(IF(0=LEN(ReferenceData!$U$170),"",ReferenceData!$U$170),"")</f>
        <v>3792.576</v>
      </c>
      <c r="V170">
        <f ca="1">IFERROR(IF(0=LEN(ReferenceData!$V$170),"",ReferenceData!$V$170),"")</f>
        <v>5151.4309999999996</v>
      </c>
      <c r="W170">
        <f ca="1">IFERROR(IF(0=LEN(ReferenceData!$W$170),"",ReferenceData!$W$170),"")</f>
        <v>5787.6419999999998</v>
      </c>
      <c r="X170">
        <f ca="1">IFERROR(IF(0=LEN(ReferenceData!$X$170),"",ReferenceData!$X$170),"")</f>
        <v>6371.9949999999999</v>
      </c>
      <c r="Y170">
        <f ca="1">IFERROR(IF(0=LEN(ReferenceData!$Y$170),"",ReferenceData!$Y$170),"")</f>
        <v>3390.538</v>
      </c>
      <c r="Z170">
        <f ca="1">IFERROR(IF(0=LEN(ReferenceData!$Z$170),"",ReferenceData!$Z$170),"")</f>
        <v>4064.1219999999998</v>
      </c>
      <c r="AA170" t="str">
        <f ca="1">IFERROR(IF(0=LEN(ReferenceData!$AA$170),"",ReferenceData!$AA$170),"")</f>
        <v/>
      </c>
      <c r="AB170" t="str">
        <f ca="1">IFERROR(IF(0=LEN(ReferenceData!$AB$170),"",ReferenceData!$AB$170),"")</f>
        <v/>
      </c>
      <c r="AC170" t="str">
        <f ca="1">IFERROR(IF(0=LEN(ReferenceData!$AC$170),"",ReferenceData!$AC$170),"")</f>
        <v/>
      </c>
      <c r="AD170" t="str">
        <f ca="1">IFERROR(IF(0=LEN(ReferenceData!$AD$170),"",ReferenceData!$AD$170),"")</f>
        <v/>
      </c>
      <c r="AE170" t="str">
        <f ca="1">IFERROR(IF(0=LEN(ReferenceData!$AE$170),"",ReferenceData!$AE$170),"")</f>
        <v/>
      </c>
      <c r="AF170" t="str">
        <f ca="1">IFERROR(IF(0=LEN(ReferenceData!$AF$170),"",ReferenceData!$AF$170),"")</f>
        <v/>
      </c>
      <c r="AG170" t="str">
        <f ca="1">IFERROR(IF(0=LEN(ReferenceData!$AG$170),"",ReferenceData!$AG$170),"")</f>
        <v/>
      </c>
      <c r="AH170" t="str">
        <f ca="1">IFERROR(IF(0=LEN(ReferenceData!$AH$170),"",ReferenceData!$AH$170),"")</f>
        <v/>
      </c>
      <c r="AI170" t="str">
        <f ca="1">IFERROR(IF(0=LEN(ReferenceData!$AI$170),"",ReferenceData!$AI$170),"")</f>
        <v/>
      </c>
      <c r="AJ170" t="str">
        <f ca="1">IFERROR(IF(0=LEN(ReferenceData!$AJ$170),"",ReferenceData!$AJ$170),"")</f>
        <v/>
      </c>
      <c r="AK170" t="str">
        <f ca="1">IFERROR(IF(0=LEN(ReferenceData!$AK$170),"",ReferenceData!$AK$170),"")</f>
        <v/>
      </c>
      <c r="AL170" t="str">
        <f ca="1">IFERROR(IF(0=LEN(ReferenceData!$AL$170),"",ReferenceData!$AL$170),"")</f>
        <v/>
      </c>
    </row>
    <row r="171" spans="1:38" x14ac:dyDescent="0.25">
      <c r="A171" t="str">
        <f>IFERROR(IF(0=LEN(ReferenceData!$A$171),"",ReferenceData!$A$171),"")</f>
        <v xml:space="preserve">        Truist Financial Corp</v>
      </c>
      <c r="B171" t="str">
        <f>IFERROR(IF(0=LEN(ReferenceData!$B$171),"",ReferenceData!$B$171),"")</f>
        <v>TFC US Equity</v>
      </c>
      <c r="C171" t="str">
        <f>IFERROR(IF(0=LEN(ReferenceData!$C$171),"",ReferenceData!$C$171),"")</f>
        <v>F0091</v>
      </c>
      <c r="D171" t="str">
        <f>IFERROR(IF(0=LEN(ReferenceData!$D$171),"",ReferenceData!$D$171),"")</f>
        <v>FED_CONSUMER_LOANS_&amp;_LEASES_CONS</v>
      </c>
      <c r="E171" t="str">
        <f>IFERROR(IF(0=LEN(ReferenceData!$E$171),"",ReferenceData!$E$171),"")</f>
        <v>Dynamic</v>
      </c>
      <c r="F171">
        <f ca="1">IFERROR(IF(0=LEN(ReferenceData!$F$171),"",ReferenceData!$F$171),"")</f>
        <v>55037</v>
      </c>
      <c r="G171">
        <f ca="1">IFERROR(IF(0=LEN(ReferenceData!$G$171),"",ReferenceData!$G$171),"")</f>
        <v>53982</v>
      </c>
      <c r="H171">
        <f ca="1">IFERROR(IF(0=LEN(ReferenceData!$H$171),"",ReferenceData!$H$171),"")</f>
        <v>63225</v>
      </c>
      <c r="I171">
        <f ca="1">IFERROR(IF(0=LEN(ReferenceData!$I$171),"",ReferenceData!$I$171),"")</f>
        <v>60232</v>
      </c>
      <c r="J171">
        <f ca="1">IFERROR(IF(0=LEN(ReferenceData!$J$171),"",ReferenceData!$J$171),"")</f>
        <v>60113</v>
      </c>
      <c r="K171">
        <f ca="1">IFERROR(IF(0=LEN(ReferenceData!$K$171),"",ReferenceData!$K$171),"")</f>
        <v>58636</v>
      </c>
      <c r="L171">
        <f ca="1">IFERROR(IF(0=LEN(ReferenceData!$L$171),"",ReferenceData!$L$171),"")</f>
        <v>21842</v>
      </c>
      <c r="M171">
        <f ca="1">IFERROR(IF(0=LEN(ReferenceData!$M$171),"",ReferenceData!$M$171),"")</f>
        <v>21076</v>
      </c>
      <c r="N171">
        <f ca="1">IFERROR(IF(0=LEN(ReferenceData!$N$171),"",ReferenceData!$N$171),"")</f>
        <v>21828.941999999999</v>
      </c>
      <c r="O171">
        <f ca="1">IFERROR(IF(0=LEN(ReferenceData!$O$171),"",ReferenceData!$O$171),"")</f>
        <v>20062.512999999999</v>
      </c>
      <c r="P171">
        <f ca="1">IFERROR(IF(0=LEN(ReferenceData!$P$171),"",ReferenceData!$P$171),"")</f>
        <v>18657.503000000001</v>
      </c>
      <c r="Q171">
        <f ca="1">IFERROR(IF(0=LEN(ReferenceData!$Q$171),"",ReferenceData!$Q$171),"")</f>
        <v>16508.792000000001</v>
      </c>
      <c r="R171">
        <f ca="1">IFERROR(IF(0=LEN(ReferenceData!$R$171),"",ReferenceData!$R$171),"")</f>
        <v>14913.244000000001</v>
      </c>
      <c r="S171">
        <f ca="1">IFERROR(IF(0=LEN(ReferenceData!$S$171),"",ReferenceData!$S$171),"")</f>
        <v>13987.009</v>
      </c>
      <c r="T171">
        <f ca="1">IFERROR(IF(0=LEN(ReferenceData!$T$171),"",ReferenceData!$T$171),"")</f>
        <v>13107.119000000001</v>
      </c>
      <c r="U171">
        <f ca="1">IFERROR(IF(0=LEN(ReferenceData!$U$171),"",ReferenceData!$U$171),"")</f>
        <v>11993.903</v>
      </c>
      <c r="V171">
        <f ca="1">IFERROR(IF(0=LEN(ReferenceData!$V$171),"",ReferenceData!$V$171),"")</f>
        <v>11093.455</v>
      </c>
      <c r="W171">
        <f ca="1">IFERROR(IF(0=LEN(ReferenceData!$W$171),"",ReferenceData!$W$171),"")</f>
        <v>10274.929</v>
      </c>
      <c r="X171">
        <f ca="1">IFERROR(IF(0=LEN(ReferenceData!$X$171),"",ReferenceData!$X$171),"")</f>
        <v>9596.6219999999994</v>
      </c>
      <c r="Y171">
        <f ca="1">IFERROR(IF(0=LEN(ReferenceData!$Y$171),"",ReferenceData!$Y$171),"")</f>
        <v>8804.3230000000003</v>
      </c>
      <c r="Z171">
        <f ca="1">IFERROR(IF(0=LEN(ReferenceData!$Z$171),"",ReferenceData!$Z$171),"")</f>
        <v>8518.7729999999992</v>
      </c>
      <c r="AA171">
        <f ca="1">IFERROR(IF(0=LEN(ReferenceData!$AA$171),"",ReferenceData!$AA$171),"")</f>
        <v>8335.4809999999998</v>
      </c>
      <c r="AB171">
        <f ca="1">IFERROR(IF(0=LEN(ReferenceData!$AB$171),"",ReferenceData!$AB$171),"")</f>
        <v>5855.5240000000003</v>
      </c>
      <c r="AC171">
        <f ca="1">IFERROR(IF(0=LEN(ReferenceData!$AC$171),"",ReferenceData!$AC$171),"")</f>
        <v>5495.6109999999999</v>
      </c>
      <c r="AD171">
        <f ca="1">IFERROR(IF(0=LEN(ReferenceData!$AD$171),"",ReferenceData!$AD$171),"")</f>
        <v>4371.7049999999999</v>
      </c>
      <c r="AE171">
        <f ca="1">IFERROR(IF(0=LEN(ReferenceData!$AE$171),"",ReferenceData!$AE$171),"")</f>
        <v>3251.55</v>
      </c>
      <c r="AF171">
        <f ca="1">IFERROR(IF(0=LEN(ReferenceData!$AF$171),"",ReferenceData!$AF$171),"")</f>
        <v>2517.9720000000002</v>
      </c>
      <c r="AG171">
        <f ca="1">IFERROR(IF(0=LEN(ReferenceData!$AG$171),"",ReferenceData!$AG$171),"")</f>
        <v>2454.0030000000002</v>
      </c>
      <c r="AH171">
        <f ca="1">IFERROR(IF(0=LEN(ReferenceData!$AH$171),"",ReferenceData!$AH$171),"")</f>
        <v>1617.2550000000001</v>
      </c>
      <c r="AI171">
        <f ca="1">IFERROR(IF(0=LEN(ReferenceData!$AI$171),"",ReferenceData!$AI$171),"")</f>
        <v>1540.251</v>
      </c>
      <c r="AJ171">
        <f ca="1">IFERROR(IF(0=LEN(ReferenceData!$AJ$171),"",ReferenceData!$AJ$171),"")</f>
        <v>696.71400000000006</v>
      </c>
      <c r="AK171">
        <f ca="1">IFERROR(IF(0=LEN(ReferenceData!$AK$171),"",ReferenceData!$AK$171),"")</f>
        <v>370.52300000000002</v>
      </c>
      <c r="AL171">
        <f ca="1">IFERROR(IF(0=LEN(ReferenceData!$AL$171),"",ReferenceData!$AL$171),"")</f>
        <v>339.84699999999998</v>
      </c>
    </row>
    <row r="172" spans="1:38" x14ac:dyDescent="0.25">
      <c r="A172" t="str">
        <f>IFERROR(IF(0=LEN(ReferenceData!$A$172),"",ReferenceData!$A$172),"")</f>
        <v xml:space="preserve">        US Bancorp</v>
      </c>
      <c r="B172" t="str">
        <f>IFERROR(IF(0=LEN(ReferenceData!$B$172),"",ReferenceData!$B$172),"")</f>
        <v>USB US Equity</v>
      </c>
      <c r="C172" t="str">
        <f>IFERROR(IF(0=LEN(ReferenceData!$C$172),"",ReferenceData!$C$172),"")</f>
        <v>F0091</v>
      </c>
      <c r="D172" t="str">
        <f>IFERROR(IF(0=LEN(ReferenceData!$D$172),"",ReferenceData!$D$172),"")</f>
        <v>FED_CONSUMER_LOANS_&amp;_LEASES_CONS</v>
      </c>
      <c r="E172" t="str">
        <f>IFERROR(IF(0=LEN(ReferenceData!$E$172),"",ReferenceData!$E$172),"")</f>
        <v>Dynamic</v>
      </c>
      <c r="F172">
        <f ca="1">IFERROR(IF(0=LEN(ReferenceData!$F$172),"",ReferenceData!$F$172),"")</f>
        <v>59383</v>
      </c>
      <c r="G172">
        <f ca="1">IFERROR(IF(0=LEN(ReferenceData!$G$172),"",ReferenceData!$G$172),"")</f>
        <v>60040</v>
      </c>
      <c r="H172">
        <f ca="1">IFERROR(IF(0=LEN(ReferenceData!$H$172),"",ReferenceData!$H$172),"")</f>
        <v>68307</v>
      </c>
      <c r="I172">
        <f ca="1">IFERROR(IF(0=LEN(ReferenceData!$I$172),"",ReferenceData!$I$172),"")</f>
        <v>75049</v>
      </c>
      <c r="J172">
        <f ca="1">IFERROR(IF(0=LEN(ReferenceData!$J$172),"",ReferenceData!$J$172),"")</f>
        <v>66895</v>
      </c>
      <c r="K172">
        <f ca="1">IFERROR(IF(0=LEN(ReferenceData!$K$172),"",ReferenceData!$K$172),"")</f>
        <v>66856</v>
      </c>
      <c r="L172">
        <f ca="1">IFERROR(IF(0=LEN(ReferenceData!$L$172),"",ReferenceData!$L$172),"")</f>
        <v>63668</v>
      </c>
      <c r="M172">
        <f ca="1">IFERROR(IF(0=LEN(ReferenceData!$M$172),"",ReferenceData!$M$172),"")</f>
        <v>63169</v>
      </c>
      <c r="N172">
        <f ca="1">IFERROR(IF(0=LEN(ReferenceData!$N$172),"",ReferenceData!$N$172),"")</f>
        <v>59211</v>
      </c>
      <c r="O172">
        <f ca="1">IFERROR(IF(0=LEN(ReferenceData!$O$172),"",ReferenceData!$O$172),"")</f>
        <v>55818</v>
      </c>
      <c r="P172">
        <f ca="1">IFERROR(IF(0=LEN(ReferenceData!$P$172),"",ReferenceData!$P$172),"")</f>
        <v>51853</v>
      </c>
      <c r="Q172">
        <f ca="1">IFERROR(IF(0=LEN(ReferenceData!$Q$172),"",ReferenceData!$Q$172),"")</f>
        <v>50252</v>
      </c>
      <c r="R172">
        <f ca="1">IFERROR(IF(0=LEN(ReferenceData!$R$172),"",ReferenceData!$R$172),"")</f>
        <v>48094</v>
      </c>
      <c r="S172">
        <f ca="1">IFERROR(IF(0=LEN(ReferenceData!$S$172),"",ReferenceData!$S$172),"")</f>
        <v>47522</v>
      </c>
      <c r="T172">
        <f ca="1">IFERROR(IF(0=LEN(ReferenceData!$T$172),"",ReferenceData!$T$172),"")</f>
        <v>46264</v>
      </c>
      <c r="U172">
        <f ca="1">IFERROR(IF(0=LEN(ReferenceData!$U$172),"",ReferenceData!$U$172),"")</f>
        <v>44846</v>
      </c>
      <c r="V172">
        <f ca="1">IFERROR(IF(0=LEN(ReferenceData!$V$172),"",ReferenceData!$V$172),"")</f>
        <v>41604</v>
      </c>
      <c r="W172">
        <f ca="1">IFERROR(IF(0=LEN(ReferenceData!$W$172),"",ReferenceData!$W$172),"")</f>
        <v>35760</v>
      </c>
      <c r="X172">
        <f ca="1">IFERROR(IF(0=LEN(ReferenceData!$X$172),"",ReferenceData!$X$172),"")</f>
        <v>26368</v>
      </c>
      <c r="Y172">
        <f ca="1">IFERROR(IF(0=LEN(ReferenceData!$Y$172),"",ReferenceData!$Y$172),"")</f>
        <v>23226</v>
      </c>
      <c r="Z172">
        <f ca="1">IFERROR(IF(0=LEN(ReferenceData!$Z$172),"",ReferenceData!$Z$172),"")</f>
        <v>21024</v>
      </c>
      <c r="AA172">
        <f ca="1">IFERROR(IF(0=LEN(ReferenceData!$AA$172),"",ReferenceData!$AA$172),"")</f>
        <v>19623</v>
      </c>
      <c r="AB172">
        <f ca="1">IFERROR(IF(0=LEN(ReferenceData!$AB$172),"",ReferenceData!$AB$172),"")</f>
        <v>18284</v>
      </c>
      <c r="AC172">
        <f ca="1">IFERROR(IF(0=LEN(ReferenceData!$AC$172),"",ReferenceData!$AC$172),"")</f>
        <v>17637</v>
      </c>
      <c r="AD172">
        <f ca="1">IFERROR(IF(0=LEN(ReferenceData!$AD$172),"",ReferenceData!$AD$172),"")</f>
        <v>8468.518</v>
      </c>
      <c r="AE172">
        <f ca="1">IFERROR(IF(0=LEN(ReferenceData!$AE$172),"",ReferenceData!$AE$172),"")</f>
        <v>8564.4060000000009</v>
      </c>
      <c r="AF172">
        <f ca="1">IFERROR(IF(0=LEN(ReferenceData!$AF$172),"",ReferenceData!$AF$172),"")</f>
        <v>11242.486999999999</v>
      </c>
      <c r="AG172">
        <f ca="1">IFERROR(IF(0=LEN(ReferenceData!$AG$172),"",ReferenceData!$AG$172),"")</f>
        <v>10758.132</v>
      </c>
      <c r="AH172">
        <f ca="1">IFERROR(IF(0=LEN(ReferenceData!$AH$172),"",ReferenceData!$AH$172),"")</f>
        <v>6624.2629999999999</v>
      </c>
      <c r="AI172">
        <f ca="1">IFERROR(IF(0=LEN(ReferenceData!$AI$172),"",ReferenceData!$AI$172),"")</f>
        <v>6095.0829999999996</v>
      </c>
      <c r="AJ172" t="str">
        <f ca="1">IFERROR(IF(0=LEN(ReferenceData!$AJ$172),"",ReferenceData!$AJ$172),"")</f>
        <v/>
      </c>
      <c r="AK172" t="str">
        <f ca="1">IFERROR(IF(0=LEN(ReferenceData!$AK$172),"",ReferenceData!$AK$172),"")</f>
        <v/>
      </c>
      <c r="AL172" t="str">
        <f ca="1">IFERROR(IF(0=LEN(ReferenceData!$AL$172),"",ReferenceData!$AL$172),"")</f>
        <v/>
      </c>
    </row>
    <row r="173" spans="1:38" x14ac:dyDescent="0.25">
      <c r="A173" t="str">
        <f>IFERROR(IF(0=LEN(ReferenceData!$A$173),"",ReferenceData!$A$173),"")</f>
        <v xml:space="preserve">        Wells Fargo &amp; Co</v>
      </c>
      <c r="B173" t="str">
        <f>IFERROR(IF(0=LEN(ReferenceData!$B$173),"",ReferenceData!$B$173),"")</f>
        <v>WFC US Equity</v>
      </c>
      <c r="C173" t="str">
        <f>IFERROR(IF(0=LEN(ReferenceData!$C$173),"",ReferenceData!$C$173),"")</f>
        <v>F0091</v>
      </c>
      <c r="D173" t="str">
        <f>IFERROR(IF(0=LEN(ReferenceData!$D$173),"",ReferenceData!$D$173),"")</f>
        <v>FED_CONSUMER_LOANS_&amp;_LEASES_CONS</v>
      </c>
      <c r="E173" t="str">
        <f>IFERROR(IF(0=LEN(ReferenceData!$E$173),"",ReferenceData!$E$173),"")</f>
        <v>Dynamic</v>
      </c>
      <c r="F173">
        <f ca="1">IFERROR(IF(0=LEN(ReferenceData!$F$173),"",ReferenceData!$F$173),"")</f>
        <v>117109</v>
      </c>
      <c r="G173">
        <f ca="1">IFERROR(IF(0=LEN(ReferenceData!$G$173),"",ReferenceData!$G$173),"")</f>
        <v>119667</v>
      </c>
      <c r="H173">
        <f ca="1">IFERROR(IF(0=LEN(ReferenceData!$H$173),"",ReferenceData!$H$173),"")</f>
        <v>119445</v>
      </c>
      <c r="I173">
        <f ca="1">IFERROR(IF(0=LEN(ReferenceData!$I$173),"",ReferenceData!$I$173),"")</f>
        <v>113060</v>
      </c>
      <c r="J173">
        <f ca="1">IFERROR(IF(0=LEN(ReferenceData!$J$173),"",ReferenceData!$J$173),"")</f>
        <v>110592</v>
      </c>
      <c r="K173">
        <f ca="1">IFERROR(IF(0=LEN(ReferenceData!$K$173),"",ReferenceData!$K$173),"")</f>
        <v>115332</v>
      </c>
      <c r="L173">
        <f ca="1">IFERROR(IF(0=LEN(ReferenceData!$L$173),"",ReferenceData!$L$173),"")</f>
        <v>112489</v>
      </c>
      <c r="M173">
        <f ca="1">IFERROR(IF(0=LEN(ReferenceData!$M$173),"",ReferenceData!$M$173),"")</f>
        <v>121843</v>
      </c>
      <c r="N173">
        <f ca="1">IFERROR(IF(0=LEN(ReferenceData!$N$173),"",ReferenceData!$N$173),"")</f>
        <v>131572</v>
      </c>
      <c r="O173">
        <f ca="1">IFERROR(IF(0=LEN(ReferenceData!$O$173),"",ReferenceData!$O$173),"")</f>
        <v>128236</v>
      </c>
      <c r="P173">
        <f ca="1">IFERROR(IF(0=LEN(ReferenceData!$P$173),"",ReferenceData!$P$173),"")</f>
        <v>118453</v>
      </c>
      <c r="Q173">
        <f ca="1">IFERROR(IF(0=LEN(ReferenceData!$Q$173),"",ReferenceData!$Q$173),"")</f>
        <v>115431</v>
      </c>
      <c r="R173">
        <f ca="1">IFERROR(IF(0=LEN(ReferenceData!$R$173),"",ReferenceData!$R$173),"")</f>
        <v>107044</v>
      </c>
      <c r="S173">
        <f ca="1">IFERROR(IF(0=LEN(ReferenceData!$S$173),"",ReferenceData!$S$173),"")</f>
        <v>103939</v>
      </c>
      <c r="T173">
        <f ca="1">IFERROR(IF(0=LEN(ReferenceData!$T$173),"",ReferenceData!$T$173),"")</f>
        <v>105389</v>
      </c>
      <c r="U173">
        <f ca="1">IFERROR(IF(0=LEN(ReferenceData!$U$173),"",ReferenceData!$U$173),"")</f>
        <v>114199</v>
      </c>
      <c r="V173">
        <f ca="1">IFERROR(IF(0=LEN(ReferenceData!$V$173),"",ReferenceData!$V$173),"")</f>
        <v>118349</v>
      </c>
      <c r="W173">
        <f ca="1">IFERROR(IF(0=LEN(ReferenceData!$W$173),"",ReferenceData!$W$173),"")</f>
        <v>77705</v>
      </c>
      <c r="X173">
        <f ca="1">IFERROR(IF(0=LEN(ReferenceData!$X$173),"",ReferenceData!$X$173),"")</f>
        <v>70403</v>
      </c>
      <c r="Y173">
        <f ca="1">IFERROR(IF(0=LEN(ReferenceData!$Y$173),"",ReferenceData!$Y$173),"")</f>
        <v>62007</v>
      </c>
      <c r="Z173">
        <f ca="1">IFERROR(IF(0=LEN(ReferenceData!$Z$173),"",ReferenceData!$Z$173),"")</f>
        <v>55342</v>
      </c>
      <c r="AA173">
        <f ca="1">IFERROR(IF(0=LEN(ReferenceData!$AA$173),"",ReferenceData!$AA$173),"")</f>
        <v>50112</v>
      </c>
      <c r="AB173">
        <f ca="1">IFERROR(IF(0=LEN(ReferenceData!$AB$173),"",ReferenceData!$AB$173),"")</f>
        <v>41412</v>
      </c>
      <c r="AC173">
        <f ca="1">IFERROR(IF(0=LEN(ReferenceData!$AC$173),"",ReferenceData!$AC$173),"")</f>
        <v>35883</v>
      </c>
      <c r="AD173">
        <f ca="1">IFERROR(IF(0=LEN(ReferenceData!$AD$173),"",ReferenceData!$AD$173),"")</f>
        <v>26842.562000000002</v>
      </c>
      <c r="AE173">
        <f ca="1">IFERROR(IF(0=LEN(ReferenceData!$AE$173),"",ReferenceData!$AE$173),"")</f>
        <v>18975.7</v>
      </c>
      <c r="AF173">
        <f ca="1">IFERROR(IF(0=LEN(ReferenceData!$AF$173),"",ReferenceData!$AF$173),"")</f>
        <v>21533.386999999999</v>
      </c>
      <c r="AG173">
        <f ca="1">IFERROR(IF(0=LEN(ReferenceData!$AG$173),"",ReferenceData!$AG$173),"")</f>
        <v>10571.361999999999</v>
      </c>
      <c r="AH173">
        <f ca="1">IFERROR(IF(0=LEN(ReferenceData!$AH$173),"",ReferenceData!$AH$173),"")</f>
        <v>9530.6939999999995</v>
      </c>
      <c r="AI173">
        <f ca="1">IFERROR(IF(0=LEN(ReferenceData!$AI$173),"",ReferenceData!$AI$173),"")</f>
        <v>10653.436</v>
      </c>
      <c r="AJ173" t="str">
        <f ca="1">IFERROR(IF(0=LEN(ReferenceData!$AJ$173),"",ReferenceData!$AJ$173),"")</f>
        <v/>
      </c>
      <c r="AK173" t="str">
        <f ca="1">IFERROR(IF(0=LEN(ReferenceData!$AK$173),"",ReferenceData!$AK$173),"")</f>
        <v/>
      </c>
      <c r="AL173" t="str">
        <f ca="1">IFERROR(IF(0=LEN(ReferenceData!$AL$173),"",ReferenceData!$AL$173),"")</f>
        <v/>
      </c>
    </row>
    <row r="174" spans="1:38" x14ac:dyDescent="0.25">
      <c r="A174" t="str">
        <f>IFERROR(IF(0=LEN(ReferenceData!$A$174),"",ReferenceData!$A$174),"")</f>
        <v xml:space="preserve">        Western Alliance Bancorp</v>
      </c>
      <c r="B174" t="str">
        <f>IFERROR(IF(0=LEN(ReferenceData!$B$174),"",ReferenceData!$B$174),"")</f>
        <v>WAL US Equity</v>
      </c>
      <c r="C174" t="str">
        <f>IFERROR(IF(0=LEN(ReferenceData!$C$174),"",ReferenceData!$C$174),"")</f>
        <v>F0091</v>
      </c>
      <c r="D174" t="str">
        <f>IFERROR(IF(0=LEN(ReferenceData!$D$174),"",ReferenceData!$D$174),"")</f>
        <v>FED_CONSUMER_LOANS_&amp;_LEASES_CONS</v>
      </c>
      <c r="E174" t="str">
        <f>IFERROR(IF(0=LEN(ReferenceData!$E$174),"",ReferenceData!$E$174),"")</f>
        <v>Dynamic</v>
      </c>
      <c r="F174">
        <f ca="1">IFERROR(IF(0=LEN(ReferenceData!$F$174),"",ReferenceData!$F$174),"")</f>
        <v>23.867000000000001</v>
      </c>
      <c r="G174">
        <f ca="1">IFERROR(IF(0=LEN(ReferenceData!$G$174),"",ReferenceData!$G$174),"")</f>
        <v>29.922999999999998</v>
      </c>
      <c r="H174">
        <f ca="1">IFERROR(IF(0=LEN(ReferenceData!$H$174),"",ReferenceData!$H$174),"")</f>
        <v>33.292999999999999</v>
      </c>
      <c r="I174">
        <f ca="1">IFERROR(IF(0=LEN(ReferenceData!$I$174),"",ReferenceData!$I$174),"")</f>
        <v>21.556999999999999</v>
      </c>
      <c r="J174">
        <f ca="1">IFERROR(IF(0=LEN(ReferenceData!$J$174),"",ReferenceData!$J$174),"")</f>
        <v>10.427</v>
      </c>
      <c r="K174">
        <f ca="1">IFERROR(IF(0=LEN(ReferenceData!$K$174),"",ReferenceData!$K$174),"")</f>
        <v>10.983000000000001</v>
      </c>
      <c r="L174">
        <f ca="1">IFERROR(IF(0=LEN(ReferenceData!$L$174),"",ReferenceData!$L$174),"")</f>
        <v>14.355</v>
      </c>
      <c r="M174">
        <f ca="1">IFERROR(IF(0=LEN(ReferenceData!$M$174),"",ReferenceData!$M$174),"")</f>
        <v>16.895</v>
      </c>
      <c r="N174">
        <f ca="1">IFERROR(IF(0=LEN(ReferenceData!$N$174),"",ReferenceData!$N$174),"")</f>
        <v>13.021000000000001</v>
      </c>
      <c r="O174">
        <f ca="1">IFERROR(IF(0=LEN(ReferenceData!$O$174),"",ReferenceData!$O$174),"")</f>
        <v>14.872999999999999</v>
      </c>
      <c r="P174">
        <f ca="1">IFERROR(IF(0=LEN(ReferenceData!$P$174),"",ReferenceData!$P$174),"")</f>
        <v>15.49</v>
      </c>
      <c r="Q174">
        <f ca="1">IFERROR(IF(0=LEN(ReferenceData!$Q$174),"",ReferenceData!$Q$174),"")</f>
        <v>21.957000000000001</v>
      </c>
      <c r="R174">
        <f ca="1">IFERROR(IF(0=LEN(ReferenceData!$R$174),"",ReferenceData!$R$174),"")</f>
        <v>44.027999999999999</v>
      </c>
      <c r="S174">
        <f ca="1">IFERROR(IF(0=LEN(ReferenceData!$S$174),"",ReferenceData!$S$174),"")</f>
        <v>57.253999999999998</v>
      </c>
      <c r="T174">
        <f ca="1">IFERROR(IF(0=LEN(ReferenceData!$T$174),"",ReferenceData!$T$174),"")</f>
        <v>68.745999999999995</v>
      </c>
      <c r="U174">
        <f ca="1">IFERROR(IF(0=LEN(ReferenceData!$U$174),"",ReferenceData!$U$174),"")</f>
        <v>80.179000000000002</v>
      </c>
      <c r="V174">
        <f ca="1">IFERROR(IF(0=LEN(ReferenceData!$V$174),"",ReferenceData!$V$174),"")</f>
        <v>80.730999999999995</v>
      </c>
      <c r="W174">
        <f ca="1">IFERROR(IF(0=LEN(ReferenceData!$W$174),"",ReferenceData!$W$174),"")</f>
        <v>43.517000000000003</v>
      </c>
      <c r="X174">
        <f ca="1">IFERROR(IF(0=LEN(ReferenceData!$X$174),"",ReferenceData!$X$174),"")</f>
        <v>28.863</v>
      </c>
      <c r="Y174">
        <f ca="1">IFERROR(IF(0=LEN(ReferenceData!$Y$174),"",ReferenceData!$Y$174),"")</f>
        <v>20.434000000000001</v>
      </c>
      <c r="Z174">
        <f ca="1">IFERROR(IF(0=LEN(ReferenceData!$Z$174),"",ReferenceData!$Z$174),"")</f>
        <v>17.681999999999999</v>
      </c>
      <c r="AA174">
        <f ca="1">IFERROR(IF(0=LEN(ReferenceData!$AA$174),"",ReferenceData!$AA$174),"")</f>
        <v>11.802</v>
      </c>
      <c r="AB174">
        <f ca="1">IFERROR(IF(0=LEN(ReferenceData!$AB$174),"",ReferenceData!$AB$174),"")</f>
        <v>10.281000000000001</v>
      </c>
      <c r="AC174">
        <f ca="1">IFERROR(IF(0=LEN(ReferenceData!$AC$174),"",ReferenceData!$AC$174),"")</f>
        <v>12.769</v>
      </c>
      <c r="AD174" t="str">
        <f ca="1">IFERROR(IF(0=LEN(ReferenceData!$AD$174),"",ReferenceData!$AD$174),"")</f>
        <v/>
      </c>
      <c r="AE174" t="str">
        <f ca="1">IFERROR(IF(0=LEN(ReferenceData!$AE$174),"",ReferenceData!$AE$174),"")</f>
        <v/>
      </c>
      <c r="AF174" t="str">
        <f ca="1">IFERROR(IF(0=LEN(ReferenceData!$AF$174),"",ReferenceData!$AF$174),"")</f>
        <v/>
      </c>
      <c r="AG174" t="str">
        <f ca="1">IFERROR(IF(0=LEN(ReferenceData!$AG$174),"",ReferenceData!$AG$174),"")</f>
        <v/>
      </c>
      <c r="AH174" t="str">
        <f ca="1">IFERROR(IF(0=LEN(ReferenceData!$AH$174),"",ReferenceData!$AH$174),"")</f>
        <v/>
      </c>
      <c r="AI174" t="str">
        <f ca="1">IFERROR(IF(0=LEN(ReferenceData!$AI$174),"",ReferenceData!$AI$174),"")</f>
        <v/>
      </c>
      <c r="AJ174" t="str">
        <f ca="1">IFERROR(IF(0=LEN(ReferenceData!$AJ$174),"",ReferenceData!$AJ$174),"")</f>
        <v/>
      </c>
      <c r="AK174" t="str">
        <f ca="1">IFERROR(IF(0=LEN(ReferenceData!$AK$174),"",ReferenceData!$AK$174),"")</f>
        <v/>
      </c>
      <c r="AL174" t="str">
        <f ca="1">IFERROR(IF(0=LEN(ReferenceData!$AL$174),"",ReferenceData!$AL$174),"")</f>
        <v/>
      </c>
    </row>
    <row r="175" spans="1:38" x14ac:dyDescent="0.25">
      <c r="A175" t="str">
        <f>IFERROR(IF(0=LEN(ReferenceData!$A$175),"",ReferenceData!$A$175),"")</f>
        <v xml:space="preserve">        Zions Bancorp NA</v>
      </c>
      <c r="B175" t="str">
        <f>IFERROR(IF(0=LEN(ReferenceData!$B$175),"",ReferenceData!$B$175),"")</f>
        <v>ZION US Equity</v>
      </c>
      <c r="C175" t="str">
        <f>IFERROR(IF(0=LEN(ReferenceData!$C$175),"",ReferenceData!$C$175),"")</f>
        <v>F0091</v>
      </c>
      <c r="D175" t="str">
        <f>IFERROR(IF(0=LEN(ReferenceData!$D$175),"",ReferenceData!$D$175),"")</f>
        <v>FED_CONSUMER_LOANS_&amp;_LEASES_CONS</v>
      </c>
      <c r="E175" t="str">
        <f>IFERROR(IF(0=LEN(ReferenceData!$E$175),"",ReferenceData!$E$175),"")</f>
        <v>Dynamic</v>
      </c>
      <c r="F175" t="str">
        <f ca="1">IFERROR(IF(0=LEN(ReferenceData!$F$175),"",ReferenceData!$F$175),"")</f>
        <v/>
      </c>
      <c r="G175">
        <f ca="1">IFERROR(IF(0=LEN(ReferenceData!$G$175),"",ReferenceData!$G$175),"")</f>
        <v>521.68100000000004</v>
      </c>
      <c r="H175">
        <f ca="1">IFERROR(IF(0=LEN(ReferenceData!$H$175),"",ReferenceData!$H$175),"")</f>
        <v>514.23299999999995</v>
      </c>
      <c r="I175">
        <f ca="1">IFERROR(IF(0=LEN(ReferenceData!$I$175),"",ReferenceData!$I$175),"")</f>
        <v>439.06200000000001</v>
      </c>
      <c r="J175" t="str">
        <f ca="1">IFERROR(IF(0=LEN(ReferenceData!$J$175),"",ReferenceData!$J$175),"")</f>
        <v/>
      </c>
      <c r="K175" t="str">
        <f ca="1">IFERROR(IF(0=LEN(ReferenceData!$K$175),"",ReferenceData!$K$175),"")</f>
        <v/>
      </c>
      <c r="L175" t="str">
        <f ca="1">IFERROR(IF(0=LEN(ReferenceData!$L$175),"",ReferenceData!$L$175),"")</f>
        <v/>
      </c>
      <c r="M175" t="str">
        <f ca="1">IFERROR(IF(0=LEN(ReferenceData!$M$175),"",ReferenceData!$M$175),"")</f>
        <v/>
      </c>
      <c r="N175" t="str">
        <f ca="1">IFERROR(IF(0=LEN(ReferenceData!$N$175),"",ReferenceData!$N$175),"")</f>
        <v/>
      </c>
      <c r="O175" t="str">
        <f ca="1">IFERROR(IF(0=LEN(ReferenceData!$O$175),"",ReferenceData!$O$175),"")</f>
        <v/>
      </c>
      <c r="P175" t="str">
        <f ca="1">IFERROR(IF(0=LEN(ReferenceData!$P$175),"",ReferenceData!$P$175),"")</f>
        <v/>
      </c>
      <c r="Q175" t="str">
        <f ca="1">IFERROR(IF(0=LEN(ReferenceData!$Q$175),"",ReferenceData!$Q$175),"")</f>
        <v/>
      </c>
      <c r="R175" t="str">
        <f ca="1">IFERROR(IF(0=LEN(ReferenceData!$R$175),"",ReferenceData!$R$175),"")</f>
        <v/>
      </c>
      <c r="S175" t="str">
        <f ca="1">IFERROR(IF(0=LEN(ReferenceData!$S$175),"",ReferenceData!$S$175),"")</f>
        <v/>
      </c>
      <c r="T175" t="str">
        <f ca="1">IFERROR(IF(0=LEN(ReferenceData!$T$175),"",ReferenceData!$T$175),"")</f>
        <v/>
      </c>
      <c r="U175" t="str">
        <f ca="1">IFERROR(IF(0=LEN(ReferenceData!$U$175),"",ReferenceData!$U$175),"")</f>
        <v/>
      </c>
      <c r="V175" t="str">
        <f ca="1">IFERROR(IF(0=LEN(ReferenceData!$V$175),"",ReferenceData!$V$175),"")</f>
        <v/>
      </c>
      <c r="W175" t="str">
        <f ca="1">IFERROR(IF(0=LEN(ReferenceData!$W$175),"",ReferenceData!$W$175),"")</f>
        <v/>
      </c>
      <c r="X175" t="str">
        <f ca="1">IFERROR(IF(0=LEN(ReferenceData!$X$175),"",ReferenceData!$X$175),"")</f>
        <v/>
      </c>
      <c r="Y175" t="str">
        <f ca="1">IFERROR(IF(0=LEN(ReferenceData!$Y$175),"",ReferenceData!$Y$175),"")</f>
        <v/>
      </c>
      <c r="Z175" t="str">
        <f ca="1">IFERROR(IF(0=LEN(ReferenceData!$Z$175),"",ReferenceData!$Z$175),"")</f>
        <v/>
      </c>
      <c r="AA175" t="str">
        <f ca="1">IFERROR(IF(0=LEN(ReferenceData!$AA$175),"",ReferenceData!$AA$175),"")</f>
        <v/>
      </c>
      <c r="AB175" t="str">
        <f ca="1">IFERROR(IF(0=LEN(ReferenceData!$AB$175),"",ReferenceData!$AB$175),"")</f>
        <v/>
      </c>
      <c r="AC175" t="str">
        <f ca="1">IFERROR(IF(0=LEN(ReferenceData!$AC$175),"",ReferenceData!$AC$175),"")</f>
        <v/>
      </c>
      <c r="AD175" t="str">
        <f ca="1">IFERROR(IF(0=LEN(ReferenceData!$AD$175),"",ReferenceData!$AD$175),"")</f>
        <v/>
      </c>
      <c r="AE175" t="str">
        <f ca="1">IFERROR(IF(0=LEN(ReferenceData!$AE$175),"",ReferenceData!$AE$175),"")</f>
        <v/>
      </c>
      <c r="AF175" t="str">
        <f ca="1">IFERROR(IF(0=LEN(ReferenceData!$AF$175),"",ReferenceData!$AF$175),"")</f>
        <v/>
      </c>
      <c r="AG175" t="str">
        <f ca="1">IFERROR(IF(0=LEN(ReferenceData!$AG$175),"",ReferenceData!$AG$175),"")</f>
        <v/>
      </c>
      <c r="AH175" t="str">
        <f ca="1">IFERROR(IF(0=LEN(ReferenceData!$AH$175),"",ReferenceData!$AH$175),"")</f>
        <v/>
      </c>
      <c r="AI175" t="str">
        <f ca="1">IFERROR(IF(0=LEN(ReferenceData!$AI$175),"",ReferenceData!$AI$175),"")</f>
        <v/>
      </c>
      <c r="AJ175" t="str">
        <f ca="1">IFERROR(IF(0=LEN(ReferenceData!$AJ$175),"",ReferenceData!$AJ$175),"")</f>
        <v/>
      </c>
      <c r="AK175" t="str">
        <f ca="1">IFERROR(IF(0=LEN(ReferenceData!$AK$175),"",ReferenceData!$AK$175),"")</f>
        <v/>
      </c>
      <c r="AL175" t="str">
        <f ca="1">IFERROR(IF(0=LEN(ReferenceData!$AL$175),"",ReferenceData!$AL$175),"")</f>
        <v/>
      </c>
    </row>
    <row r="176" spans="1:38" x14ac:dyDescent="0.25">
      <c r="A176" t="str">
        <f>IFERROR(IF(0=LEN(ReferenceData!$A$176),"",ReferenceData!$A$176),"")</f>
        <v>Loan Mix</v>
      </c>
      <c r="B176" t="str">
        <f>IFERROR(IF(0=LEN(ReferenceData!$B$176),"",ReferenceData!$B$176),"")</f>
        <v/>
      </c>
      <c r="C176" t="str">
        <f>IFERROR(IF(0=LEN(ReferenceData!$C$176),"",ReferenceData!$C$176),"")</f>
        <v/>
      </c>
      <c r="D176" t="str">
        <f>IFERROR(IF(0=LEN(ReferenceData!$D$176),"",ReferenceData!$D$176),"")</f>
        <v/>
      </c>
      <c r="E176" t="str">
        <f>IFERROR(IF(0=LEN(ReferenceData!$E$176),"",ReferenceData!$E$176),"")</f>
        <v>Heading</v>
      </c>
      <c r="F176" t="str">
        <f>IFERROR(IF(0=LEN(ReferenceData!$F$176),"",ReferenceData!$F$176),"")</f>
        <v/>
      </c>
      <c r="G176" t="str">
        <f>IFERROR(IF(0=LEN(ReferenceData!$G$176),"",ReferenceData!$G$176),"")</f>
        <v/>
      </c>
      <c r="H176" t="str">
        <f>IFERROR(IF(0=LEN(ReferenceData!$H$176),"",ReferenceData!$H$176),"")</f>
        <v/>
      </c>
      <c r="I176" t="str">
        <f>IFERROR(IF(0=LEN(ReferenceData!$I$176),"",ReferenceData!$I$176),"")</f>
        <v/>
      </c>
      <c r="J176" t="str">
        <f>IFERROR(IF(0=LEN(ReferenceData!$J$176),"",ReferenceData!$J$176),"")</f>
        <v/>
      </c>
      <c r="K176" t="str">
        <f>IFERROR(IF(0=LEN(ReferenceData!$K$176),"",ReferenceData!$K$176),"")</f>
        <v/>
      </c>
      <c r="L176" t="str">
        <f>IFERROR(IF(0=LEN(ReferenceData!$L$176),"",ReferenceData!$L$176),"")</f>
        <v/>
      </c>
      <c r="M176" t="str">
        <f>IFERROR(IF(0=LEN(ReferenceData!$M$176),"",ReferenceData!$M$176),"")</f>
        <v/>
      </c>
      <c r="N176" t="str">
        <f>IFERROR(IF(0=LEN(ReferenceData!$N$176),"",ReferenceData!$N$176),"")</f>
        <v/>
      </c>
      <c r="O176" t="str">
        <f>IFERROR(IF(0=LEN(ReferenceData!$O$176),"",ReferenceData!$O$176),"")</f>
        <v/>
      </c>
      <c r="P176" t="str">
        <f>IFERROR(IF(0=LEN(ReferenceData!$P$176),"",ReferenceData!$P$176),"")</f>
        <v/>
      </c>
      <c r="Q176" t="str">
        <f>IFERROR(IF(0=LEN(ReferenceData!$Q$176),"",ReferenceData!$Q$176),"")</f>
        <v/>
      </c>
      <c r="R176" t="str">
        <f>IFERROR(IF(0=LEN(ReferenceData!$R$176),"",ReferenceData!$R$176),"")</f>
        <v/>
      </c>
      <c r="S176" t="str">
        <f>IFERROR(IF(0=LEN(ReferenceData!$S$176),"",ReferenceData!$S$176),"")</f>
        <v/>
      </c>
      <c r="T176" t="str">
        <f>IFERROR(IF(0=LEN(ReferenceData!$T$176),"",ReferenceData!$T$176),"")</f>
        <v/>
      </c>
      <c r="U176" t="str">
        <f>IFERROR(IF(0=LEN(ReferenceData!$U$176),"",ReferenceData!$U$176),"")</f>
        <v/>
      </c>
      <c r="V176" t="str">
        <f>IFERROR(IF(0=LEN(ReferenceData!$V$176),"",ReferenceData!$V$176),"")</f>
        <v/>
      </c>
      <c r="W176" t="str">
        <f>IFERROR(IF(0=LEN(ReferenceData!$W$176),"",ReferenceData!$W$176),"")</f>
        <v/>
      </c>
      <c r="X176" t="str">
        <f>IFERROR(IF(0=LEN(ReferenceData!$X$176),"",ReferenceData!$X$176),"")</f>
        <v/>
      </c>
      <c r="Y176" t="str">
        <f>IFERROR(IF(0=LEN(ReferenceData!$Y$176),"",ReferenceData!$Y$176),"")</f>
        <v/>
      </c>
      <c r="Z176" t="str">
        <f>IFERROR(IF(0=LEN(ReferenceData!$Z$176),"",ReferenceData!$Z$176),"")</f>
        <v/>
      </c>
      <c r="AA176" t="str">
        <f>IFERROR(IF(0=LEN(ReferenceData!$AA$176),"",ReferenceData!$AA$176),"")</f>
        <v/>
      </c>
      <c r="AB176" t="str">
        <f>IFERROR(IF(0=LEN(ReferenceData!$AB$176),"",ReferenceData!$AB$176),"")</f>
        <v/>
      </c>
      <c r="AC176" t="str">
        <f>IFERROR(IF(0=LEN(ReferenceData!$AC$176),"",ReferenceData!$AC$176),"")</f>
        <v/>
      </c>
      <c r="AD176" t="str">
        <f>IFERROR(IF(0=LEN(ReferenceData!$AD$176),"",ReferenceData!$AD$176),"")</f>
        <v/>
      </c>
      <c r="AE176" t="str">
        <f>IFERROR(IF(0=LEN(ReferenceData!$AE$176),"",ReferenceData!$AE$176),"")</f>
        <v/>
      </c>
      <c r="AF176" t="str">
        <f>IFERROR(IF(0=LEN(ReferenceData!$AF$176),"",ReferenceData!$AF$176),"")</f>
        <v/>
      </c>
      <c r="AG176" t="str">
        <f>IFERROR(IF(0=LEN(ReferenceData!$AG$176),"",ReferenceData!$AG$176),"")</f>
        <v/>
      </c>
      <c r="AH176" t="str">
        <f>IFERROR(IF(0=LEN(ReferenceData!$AH$176),"",ReferenceData!$AH$176),"")</f>
        <v/>
      </c>
      <c r="AI176" t="str">
        <f>IFERROR(IF(0=LEN(ReferenceData!$AI$176),"",ReferenceData!$AI$176),"")</f>
        <v/>
      </c>
      <c r="AJ176" t="str">
        <f>IFERROR(IF(0=LEN(ReferenceData!$AJ$176),"",ReferenceData!$AJ$176),"")</f>
        <v/>
      </c>
      <c r="AK176" t="str">
        <f>IFERROR(IF(0=LEN(ReferenceData!$AK$176),"",ReferenceData!$AK$176),"")</f>
        <v/>
      </c>
      <c r="AL176" t="str">
        <f>IFERROR(IF(0=LEN(ReferenceData!$AL$176),"",ReferenceData!$AL$176),"")</f>
        <v/>
      </c>
    </row>
    <row r="177" spans="1:38" x14ac:dyDescent="0.25">
      <c r="A177" t="str">
        <f>IFERROR(IF(0=LEN(ReferenceData!$A$177),"",ReferenceData!$A$177),"")</f>
        <v>US Real Estate Loans</v>
      </c>
      <c r="B177" t="str">
        <f>IFERROR(IF(0=LEN(ReferenceData!$B$177),"",ReferenceData!$B$177),"")</f>
        <v/>
      </c>
      <c r="C177" t="str">
        <f>IFERROR(IF(0=LEN(ReferenceData!$C$177),"",ReferenceData!$C$177),"")</f>
        <v/>
      </c>
      <c r="D177" t="str">
        <f>IFERROR(IF(0=LEN(ReferenceData!$D$177),"",ReferenceData!$D$177),"")</f>
        <v/>
      </c>
      <c r="E177" t="str">
        <f>IFERROR(IF(0=LEN(ReferenceData!$E$177),"",ReferenceData!$E$177),"")</f>
        <v>Expression</v>
      </c>
      <c r="F177">
        <f ca="1">IFERROR(IF(0=LEN(ReferenceData!$F$177),"",ReferenceData!$F$177),"")</f>
        <v>41.015469000000003</v>
      </c>
      <c r="G177">
        <f ca="1">IFERROR(IF(0=LEN(ReferenceData!$G$177),"",ReferenceData!$G$177),"")</f>
        <v>42.454867</v>
      </c>
      <c r="H177">
        <f ca="1">IFERROR(IF(0=LEN(ReferenceData!$H$177),"",ReferenceData!$H$177),"")</f>
        <v>40.338172</v>
      </c>
      <c r="I177">
        <f ca="1">IFERROR(IF(0=LEN(ReferenceData!$I$177),"",ReferenceData!$I$177),"")</f>
        <v>40.970222</v>
      </c>
      <c r="J177">
        <f ca="1">IFERROR(IF(0=LEN(ReferenceData!$J$177),"",ReferenceData!$J$177),"")</f>
        <v>40.364887000000003</v>
      </c>
      <c r="K177">
        <f ca="1">IFERROR(IF(0=LEN(ReferenceData!$K$177),"",ReferenceData!$K$177),"")</f>
        <v>42.425497</v>
      </c>
      <c r="L177">
        <f ca="1">IFERROR(IF(0=LEN(ReferenceData!$L$177),"",ReferenceData!$L$177),"")</f>
        <v>41.762416000000002</v>
      </c>
      <c r="M177">
        <f ca="1">IFERROR(IF(0=LEN(ReferenceData!$M$177),"",ReferenceData!$M$177),"")</f>
        <v>42.531348000000001</v>
      </c>
      <c r="N177">
        <f ca="1">IFERROR(IF(0=LEN(ReferenceData!$N$177),"",ReferenceData!$N$177),"")</f>
        <v>44.052390000000003</v>
      </c>
      <c r="O177">
        <f ca="1">IFERROR(IF(0=LEN(ReferenceData!$O$177),"",ReferenceData!$O$177),"")</f>
        <v>44.149642</v>
      </c>
      <c r="P177">
        <f ca="1">IFERROR(IF(0=LEN(ReferenceData!$P$177),"",ReferenceData!$P$177),"")</f>
        <v>46.322395</v>
      </c>
      <c r="Q177">
        <f ca="1">IFERROR(IF(0=LEN(ReferenceData!$Q$177),"",ReferenceData!$Q$177),"")</f>
        <v>49.324680999999998</v>
      </c>
      <c r="R177">
        <f ca="1">IFERROR(IF(0=LEN(ReferenceData!$R$177),"",ReferenceData!$R$177),"")</f>
        <v>52.504998000000001</v>
      </c>
      <c r="S177">
        <f ca="1">IFERROR(IF(0=LEN(ReferenceData!$S$177),"",ReferenceData!$S$177),"")</f>
        <v>55.903683000000001</v>
      </c>
      <c r="T177">
        <f ca="1">IFERROR(IF(0=LEN(ReferenceData!$T$177),"",ReferenceData!$T$177),"")</f>
        <v>58.658937999999999</v>
      </c>
      <c r="U177">
        <f ca="1">IFERROR(IF(0=LEN(ReferenceData!$U$177),"",ReferenceData!$U$177),"")</f>
        <v>60.480891</v>
      </c>
      <c r="V177">
        <f ca="1">IFERROR(IF(0=LEN(ReferenceData!$V$177),"",ReferenceData!$V$177),"")</f>
        <v>57.954723999999999</v>
      </c>
      <c r="W177">
        <f ca="1">IFERROR(IF(0=LEN(ReferenceData!$W$177),"",ReferenceData!$W$177),"")</f>
        <v>55.887920000000001</v>
      </c>
      <c r="X177">
        <f ca="1">IFERROR(IF(0=LEN(ReferenceData!$X$177),"",ReferenceData!$X$177),"")</f>
        <v>31.626778000000002</v>
      </c>
      <c r="Y177">
        <f ca="1">IFERROR(IF(0=LEN(ReferenceData!$Y$177),"",ReferenceData!$Y$177),"")</f>
        <v>30.901160000000001</v>
      </c>
      <c r="Z177">
        <f ca="1">IFERROR(IF(0=LEN(ReferenceData!$Z$177),"",ReferenceData!$Z$177),"")</f>
        <v>31.443639000000001</v>
      </c>
      <c r="AA177">
        <f ca="1">IFERROR(IF(0=LEN(ReferenceData!$AA$177),"",ReferenceData!$AA$177),"")</f>
        <v>32.765819</v>
      </c>
      <c r="AB177">
        <f ca="1">IFERROR(IF(0=LEN(ReferenceData!$AB$177),"",ReferenceData!$AB$177),"")</f>
        <v>30.159998999999999</v>
      </c>
      <c r="AC177">
        <f ca="1">IFERROR(IF(0=LEN(ReferenceData!$AC$177),"",ReferenceData!$AC$177),"")</f>
        <v>31.330860000000001</v>
      </c>
      <c r="AD177" t="str">
        <f ca="1">IFERROR(IF(0=LEN(ReferenceData!$AD$177),"",ReferenceData!$AD$177),"")</f>
        <v/>
      </c>
      <c r="AE177" t="str">
        <f ca="1">IFERROR(IF(0=LEN(ReferenceData!$AE$177),"",ReferenceData!$AE$177),"")</f>
        <v/>
      </c>
      <c r="AF177" t="str">
        <f ca="1">IFERROR(IF(0=LEN(ReferenceData!$AF$177),"",ReferenceData!$AF$177),"")</f>
        <v/>
      </c>
      <c r="AG177" t="str">
        <f ca="1">IFERROR(IF(0=LEN(ReferenceData!$AG$177),"",ReferenceData!$AG$177),"")</f>
        <v/>
      </c>
      <c r="AH177" t="str">
        <f ca="1">IFERROR(IF(0=LEN(ReferenceData!$AH$177),"",ReferenceData!$AH$177),"")</f>
        <v/>
      </c>
      <c r="AI177" t="str">
        <f ca="1">IFERROR(IF(0=LEN(ReferenceData!$AI$177),"",ReferenceData!$AI$177),"")</f>
        <v/>
      </c>
      <c r="AJ177" t="str">
        <f ca="1">IFERROR(IF(0=LEN(ReferenceData!$AJ$177),"",ReferenceData!$AJ$177),"")</f>
        <v/>
      </c>
      <c r="AK177" t="str">
        <f ca="1">IFERROR(IF(0=LEN(ReferenceData!$AK$177),"",ReferenceData!$AK$177),"")</f>
        <v/>
      </c>
      <c r="AL177" t="str">
        <f ca="1">IFERROR(IF(0=LEN(ReferenceData!$AL$177),"",ReferenceData!$AL$177),"")</f>
        <v/>
      </c>
    </row>
    <row r="178" spans="1:38" x14ac:dyDescent="0.25">
      <c r="A178" t="str">
        <f>IFERROR(IF(0=LEN(ReferenceData!$A$178),"",ReferenceData!$A$178),"")</f>
        <v xml:space="preserve">    US Real Estate Loans by Company</v>
      </c>
      <c r="B178" t="str">
        <f>IFERROR(IF(0=LEN(ReferenceData!$B$178),"",ReferenceData!$B$178),"")</f>
        <v/>
      </c>
      <c r="C178" t="str">
        <f>IFERROR(IF(0=LEN(ReferenceData!$C$178),"",ReferenceData!$C$178),"")</f>
        <v/>
      </c>
      <c r="D178" t="str">
        <f>IFERROR(IF(0=LEN(ReferenceData!$D$178),"",ReferenceData!$D$178),"")</f>
        <v/>
      </c>
      <c r="E178" t="str">
        <f>IFERROR(IF(0=LEN(ReferenceData!$E$178),"",ReferenceData!$E$178),"")</f>
        <v>Median</v>
      </c>
      <c r="F178">
        <f ca="1">IFERROR(IF(0=LEN(ReferenceData!$F$178),"",ReferenceData!$F$178),"")</f>
        <v>41.015468540000001</v>
      </c>
      <c r="G178">
        <f ca="1">IFERROR(IF(0=LEN(ReferenceData!$G$178),"",ReferenceData!$G$178),"")</f>
        <v>42.454866750000001</v>
      </c>
      <c r="H178">
        <f ca="1">IFERROR(IF(0=LEN(ReferenceData!$H$178),"",ReferenceData!$H$178),"")</f>
        <v>40.338171699999997</v>
      </c>
      <c r="I178">
        <f ca="1">IFERROR(IF(0=LEN(ReferenceData!$I$178),"",ReferenceData!$I$178),"")</f>
        <v>40.970222290000002</v>
      </c>
      <c r="J178">
        <f ca="1">IFERROR(IF(0=LEN(ReferenceData!$J$178),"",ReferenceData!$J$178),"")</f>
        <v>40.364887359999997</v>
      </c>
      <c r="K178">
        <f ca="1">IFERROR(IF(0=LEN(ReferenceData!$K$178),"",ReferenceData!$K$178),"")</f>
        <v>42.425497049999997</v>
      </c>
      <c r="L178">
        <f ca="1">IFERROR(IF(0=LEN(ReferenceData!$L$178),"",ReferenceData!$L$178),"")</f>
        <v>41.762416279999997</v>
      </c>
      <c r="M178">
        <f ca="1">IFERROR(IF(0=LEN(ReferenceData!$M$178),"",ReferenceData!$M$178),"")</f>
        <v>42.531347740000001</v>
      </c>
      <c r="N178">
        <f ca="1">IFERROR(IF(0=LEN(ReferenceData!$N$178),"",ReferenceData!$N$178),"")</f>
        <v>44.052389900000001</v>
      </c>
      <c r="O178">
        <f ca="1">IFERROR(IF(0=LEN(ReferenceData!$O$178),"",ReferenceData!$O$178),"")</f>
        <v>44.149642020000002</v>
      </c>
      <c r="P178">
        <f ca="1">IFERROR(IF(0=LEN(ReferenceData!$P$178),"",ReferenceData!$P$178),"")</f>
        <v>46.322394899999999</v>
      </c>
      <c r="Q178">
        <f ca="1">IFERROR(IF(0=LEN(ReferenceData!$Q$178),"",ReferenceData!$Q$178),"")</f>
        <v>49.324680739999998</v>
      </c>
      <c r="R178">
        <f ca="1">IFERROR(IF(0=LEN(ReferenceData!$R$178),"",ReferenceData!$R$178),"")</f>
        <v>52.504997520000003</v>
      </c>
      <c r="S178">
        <f ca="1">IFERROR(IF(0=LEN(ReferenceData!$S$178),"",ReferenceData!$S$178),"")</f>
        <v>55.903683209999997</v>
      </c>
      <c r="T178">
        <f ca="1">IFERROR(IF(0=LEN(ReferenceData!$T$178),"",ReferenceData!$T$178),"")</f>
        <v>58.658938460000002</v>
      </c>
      <c r="U178">
        <f ca="1">IFERROR(IF(0=LEN(ReferenceData!$U$178),"",ReferenceData!$U$178),"")</f>
        <v>60.480890649999999</v>
      </c>
      <c r="V178">
        <f ca="1">IFERROR(IF(0=LEN(ReferenceData!$V$178),"",ReferenceData!$V$178),"")</f>
        <v>57.954723979999997</v>
      </c>
      <c r="W178">
        <f ca="1">IFERROR(IF(0=LEN(ReferenceData!$W$178),"",ReferenceData!$W$178),"")</f>
        <v>55.887920229999999</v>
      </c>
      <c r="X178">
        <f ca="1">IFERROR(IF(0=LEN(ReferenceData!$X$178),"",ReferenceData!$X$178),"")</f>
        <v>31.626778460000001</v>
      </c>
      <c r="Y178">
        <f ca="1">IFERROR(IF(0=LEN(ReferenceData!$Y$178),"",ReferenceData!$Y$178),"")</f>
        <v>30.9011605</v>
      </c>
      <c r="Z178">
        <f ca="1">IFERROR(IF(0=LEN(ReferenceData!$Z$178),"",ReferenceData!$Z$178),"")</f>
        <v>31.443638880000002</v>
      </c>
      <c r="AA178">
        <f ca="1">IFERROR(IF(0=LEN(ReferenceData!$AA$178),"",ReferenceData!$AA$178),"")</f>
        <v>32.76581865</v>
      </c>
      <c r="AB178">
        <f ca="1">IFERROR(IF(0=LEN(ReferenceData!$AB$178),"",ReferenceData!$AB$178),"")</f>
        <v>30.159998519999998</v>
      </c>
      <c r="AC178">
        <f ca="1">IFERROR(IF(0=LEN(ReferenceData!$AC$178),"",ReferenceData!$AC$178),"")</f>
        <v>31.330860000000001</v>
      </c>
      <c r="AD178" t="str">
        <f ca="1">IFERROR(IF(0=LEN(ReferenceData!$AD$178),"",ReferenceData!$AD$178),"")</f>
        <v/>
      </c>
      <c r="AE178" t="str">
        <f ca="1">IFERROR(IF(0=LEN(ReferenceData!$AE$178),"",ReferenceData!$AE$178),"")</f>
        <v/>
      </c>
      <c r="AF178" t="str">
        <f ca="1">IFERROR(IF(0=LEN(ReferenceData!$AF$178),"",ReferenceData!$AF$178),"")</f>
        <v/>
      </c>
      <c r="AG178" t="str">
        <f ca="1">IFERROR(IF(0=LEN(ReferenceData!$AG$178),"",ReferenceData!$AG$178),"")</f>
        <v/>
      </c>
      <c r="AH178" t="str">
        <f ca="1">IFERROR(IF(0=LEN(ReferenceData!$AH$178),"",ReferenceData!$AH$178),"")</f>
        <v/>
      </c>
      <c r="AI178" t="str">
        <f ca="1">IFERROR(IF(0=LEN(ReferenceData!$AI$178),"",ReferenceData!$AI$178),"")</f>
        <v/>
      </c>
      <c r="AJ178" t="str">
        <f ca="1">IFERROR(IF(0=LEN(ReferenceData!$AJ$178),"",ReferenceData!$AJ$178),"")</f>
        <v/>
      </c>
      <c r="AK178" t="str">
        <f ca="1">IFERROR(IF(0=LEN(ReferenceData!$AK$178),"",ReferenceData!$AK$178),"")</f>
        <v/>
      </c>
      <c r="AL178" t="str">
        <f ca="1">IFERROR(IF(0=LEN(ReferenceData!$AL$178),"",ReferenceData!$AL$178),"")</f>
        <v/>
      </c>
    </row>
    <row r="179" spans="1:38" x14ac:dyDescent="0.25">
      <c r="A179" t="str">
        <f>IFERROR(IF(0=LEN(ReferenceData!$A$179),"",ReferenceData!$A$179),"")</f>
        <v xml:space="preserve">        Bank of America Corp</v>
      </c>
      <c r="B179" t="str">
        <f>IFERROR(IF(0=LEN(ReferenceData!$B$179),"",ReferenceData!$B$179),"")</f>
        <v>BAC US Equity</v>
      </c>
      <c r="C179" t="str">
        <f>IFERROR(IF(0=LEN(ReferenceData!$C$179),"",ReferenceData!$C$179),"")</f>
        <v>F0109</v>
      </c>
      <c r="D179" t="str">
        <f>IFERROR(IF(0=LEN(ReferenceData!$D$179),"",ReferenceData!$D$179),"")</f>
        <v>FED_RE_LNS_DOM_%_TOT_LNS_LEAS</v>
      </c>
      <c r="E179" t="str">
        <f>IFERROR(IF(0=LEN(ReferenceData!$E$179),"",ReferenceData!$E$179),"")</f>
        <v>Dynamic</v>
      </c>
      <c r="F179">
        <f ca="1">IFERROR(IF(0=LEN(ReferenceData!$F$179),"",ReferenceData!$F$179),"")</f>
        <v>28.68745088</v>
      </c>
      <c r="G179">
        <f ca="1">IFERROR(IF(0=LEN(ReferenceData!$G$179),"",ReferenceData!$G$179),"")</f>
        <v>30.509508010000001</v>
      </c>
      <c r="H179">
        <f ca="1">IFERROR(IF(0=LEN(ReferenceData!$H$179),"",ReferenceData!$H$179),"")</f>
        <v>31.042841930000002</v>
      </c>
      <c r="I179">
        <f ca="1">IFERROR(IF(0=LEN(ReferenceData!$I$179),"",ReferenceData!$I$179),"")</f>
        <v>31.739278930000001</v>
      </c>
      <c r="J179">
        <f ca="1">IFERROR(IF(0=LEN(ReferenceData!$J$179),"",ReferenceData!$J$179),"")</f>
        <v>34.363638979999998</v>
      </c>
      <c r="K179">
        <f ca="1">IFERROR(IF(0=LEN(ReferenceData!$K$179),"",ReferenceData!$K$179),"")</f>
        <v>34.650828850000003</v>
      </c>
      <c r="L179">
        <f ca="1">IFERROR(IF(0=LEN(ReferenceData!$L$179),"",ReferenceData!$L$179),"")</f>
        <v>33.85034374</v>
      </c>
      <c r="M179">
        <f ca="1">IFERROR(IF(0=LEN(ReferenceData!$M$179),"",ReferenceData!$M$179),"")</f>
        <v>33.990201460000002</v>
      </c>
      <c r="N179">
        <f ca="1">IFERROR(IF(0=LEN(ReferenceData!$N$179),"",ReferenceData!$N$179),"")</f>
        <v>35.438997039999997</v>
      </c>
      <c r="O179">
        <f ca="1">IFERROR(IF(0=LEN(ReferenceData!$O$179),"",ReferenceData!$O$179),"")</f>
        <v>36.826132450000003</v>
      </c>
      <c r="P179">
        <f ca="1">IFERROR(IF(0=LEN(ReferenceData!$P$179),"",ReferenceData!$P$179),"")</f>
        <v>40.174568239999999</v>
      </c>
      <c r="Q179">
        <f ca="1">IFERROR(IF(0=LEN(ReferenceData!$Q$179),"",ReferenceData!$Q$179),"")</f>
        <v>42.858483919999998</v>
      </c>
      <c r="R179">
        <f ca="1">IFERROR(IF(0=LEN(ReferenceData!$R$179),"",ReferenceData!$R$179),"")</f>
        <v>45.687917290000001</v>
      </c>
      <c r="S179">
        <f ca="1">IFERROR(IF(0=LEN(ReferenceData!$S$179),"",ReferenceData!$S$179),"")</f>
        <v>49.543470800000001</v>
      </c>
      <c r="T179">
        <f ca="1">IFERROR(IF(0=LEN(ReferenceData!$T$179),"",ReferenceData!$T$179),"")</f>
        <v>51.528527359999998</v>
      </c>
      <c r="U179">
        <f ca="1">IFERROR(IF(0=LEN(ReferenceData!$U$179),"",ReferenceData!$U$179),"")</f>
        <v>56.403032400000001</v>
      </c>
      <c r="V179">
        <f ca="1">IFERROR(IF(0=LEN(ReferenceData!$V$179),"",ReferenceData!$V$179),"")</f>
        <v>55.571142450000004</v>
      </c>
      <c r="W179">
        <f ca="1">IFERROR(IF(0=LEN(ReferenceData!$W$179),"",ReferenceData!$W$179),"")</f>
        <v>54.856006979999997</v>
      </c>
      <c r="X179">
        <f ca="1">IFERROR(IF(0=LEN(ReferenceData!$X$179),"",ReferenceData!$X$179),"")</f>
        <v>44.879941250000002</v>
      </c>
      <c r="Y179">
        <f ca="1">IFERROR(IF(0=LEN(ReferenceData!$Y$179),"",ReferenceData!$Y$179),"")</f>
        <v>43.837005259999998</v>
      </c>
      <c r="Z179">
        <f ca="1">IFERROR(IF(0=LEN(ReferenceData!$Z$179),"",ReferenceData!$Z$179),"")</f>
        <v>45.285600160000001</v>
      </c>
      <c r="AA179">
        <f ca="1">IFERROR(IF(0=LEN(ReferenceData!$AA$179),"",ReferenceData!$AA$179),"")</f>
        <v>45.832623900000002</v>
      </c>
      <c r="AB179">
        <f ca="1">IFERROR(IF(0=LEN(ReferenceData!$AB$179),"",ReferenceData!$AB$179),"")</f>
        <v>41.450028889999999</v>
      </c>
      <c r="AC179">
        <f ca="1">IFERROR(IF(0=LEN(ReferenceData!$AC$179),"",ReferenceData!$AC$179),"")</f>
        <v>31.330860000000001</v>
      </c>
      <c r="AD179" t="str">
        <f ca="1">IFERROR(IF(0=LEN(ReferenceData!$AD$179),"",ReferenceData!$AD$179),"")</f>
        <v/>
      </c>
      <c r="AE179" t="str">
        <f ca="1">IFERROR(IF(0=LEN(ReferenceData!$AE$179),"",ReferenceData!$AE$179),"")</f>
        <v/>
      </c>
      <c r="AF179" t="str">
        <f ca="1">IFERROR(IF(0=LEN(ReferenceData!$AF$179),"",ReferenceData!$AF$179),"")</f>
        <v/>
      </c>
      <c r="AG179" t="str">
        <f ca="1">IFERROR(IF(0=LEN(ReferenceData!$AG$179),"",ReferenceData!$AG$179),"")</f>
        <v/>
      </c>
      <c r="AH179" t="str">
        <f ca="1">IFERROR(IF(0=LEN(ReferenceData!$AH$179),"",ReferenceData!$AH$179),"")</f>
        <v/>
      </c>
      <c r="AI179" t="str">
        <f ca="1">IFERROR(IF(0=LEN(ReferenceData!$AI$179),"",ReferenceData!$AI$179),"")</f>
        <v/>
      </c>
      <c r="AJ179" t="str">
        <f ca="1">IFERROR(IF(0=LEN(ReferenceData!$AJ$179),"",ReferenceData!$AJ$179),"")</f>
        <v/>
      </c>
      <c r="AK179" t="str">
        <f ca="1">IFERROR(IF(0=LEN(ReferenceData!$AK$179),"",ReferenceData!$AK$179),"")</f>
        <v/>
      </c>
      <c r="AL179" t="str">
        <f ca="1">IFERROR(IF(0=LEN(ReferenceData!$AL$179),"",ReferenceData!$AL$179),"")</f>
        <v/>
      </c>
    </row>
    <row r="180" spans="1:38" x14ac:dyDescent="0.25">
      <c r="A180" t="str">
        <f>IFERROR(IF(0=LEN(ReferenceData!$A$180),"",ReferenceData!$A$180),"")</f>
        <v xml:space="preserve">        Citigroup Inc</v>
      </c>
      <c r="B180" t="str">
        <f>IFERROR(IF(0=LEN(ReferenceData!$B$180),"",ReferenceData!$B$180),"")</f>
        <v>C US Equity</v>
      </c>
      <c r="C180" t="str">
        <f>IFERROR(IF(0=LEN(ReferenceData!$C$180),"",ReferenceData!$C$180),"")</f>
        <v>F0109</v>
      </c>
      <c r="D180" t="str">
        <f>IFERROR(IF(0=LEN(ReferenceData!$D$180),"",ReferenceData!$D$180),"")</f>
        <v>FED_RE_LNS_DOM_%_TOT_LNS_LEAS</v>
      </c>
      <c r="E180" t="str">
        <f>IFERROR(IF(0=LEN(ReferenceData!$E$180),"",ReferenceData!$E$180),"")</f>
        <v>Dynamic</v>
      </c>
      <c r="F180">
        <f ca="1">IFERROR(IF(0=LEN(ReferenceData!$F$180),"",ReferenceData!$F$180),"")</f>
        <v>20.296247390000001</v>
      </c>
      <c r="G180">
        <f ca="1">IFERROR(IF(0=LEN(ReferenceData!$G$180),"",ReferenceData!$G$180),"")</f>
        <v>19.915986759999999</v>
      </c>
      <c r="H180">
        <f ca="1">IFERROR(IF(0=LEN(ReferenceData!$H$180),"",ReferenceData!$H$180),"")</f>
        <v>18.898189139999999</v>
      </c>
      <c r="I180">
        <f ca="1">IFERROR(IF(0=LEN(ReferenceData!$I$180),"",ReferenceData!$I$180),"")</f>
        <v>17.016379489999998</v>
      </c>
      <c r="J180">
        <f ca="1">IFERROR(IF(0=LEN(ReferenceData!$J$180),"",ReferenceData!$J$180),"")</f>
        <v>17.246520090000001</v>
      </c>
      <c r="K180">
        <f ca="1">IFERROR(IF(0=LEN(ReferenceData!$K$180),"",ReferenceData!$K$180),"")</f>
        <v>16.142950559999999</v>
      </c>
      <c r="L180">
        <f ca="1">IFERROR(IF(0=LEN(ReferenceData!$L$180),"",ReferenceData!$L$180),"")</f>
        <v>16.206756939999998</v>
      </c>
      <c r="M180">
        <f ca="1">IFERROR(IF(0=LEN(ReferenceData!$M$180),"",ReferenceData!$M$180),"")</f>
        <v>16.226297299999999</v>
      </c>
      <c r="N180">
        <f ca="1">IFERROR(IF(0=LEN(ReferenceData!$N$180),"",ReferenceData!$N$180),"")</f>
        <v>17.954080730000001</v>
      </c>
      <c r="O180">
        <f ca="1">IFERROR(IF(0=LEN(ReferenceData!$O$180),"",ReferenceData!$O$180),"")</f>
        <v>18.902575200000001</v>
      </c>
      <c r="P180">
        <f ca="1">IFERROR(IF(0=LEN(ReferenceData!$P$180),"",ReferenceData!$P$180),"")</f>
        <v>19.494128409999998</v>
      </c>
      <c r="Q180">
        <f ca="1">IFERROR(IF(0=LEN(ReferenceData!$Q$180),"",ReferenceData!$Q$180),"")</f>
        <v>20.258545170000001</v>
      </c>
      <c r="R180">
        <f ca="1">IFERROR(IF(0=LEN(ReferenceData!$R$180),"",ReferenceData!$R$180),"")</f>
        <v>23.277669370000002</v>
      </c>
      <c r="S180">
        <f ca="1">IFERROR(IF(0=LEN(ReferenceData!$S$180),"",ReferenceData!$S$180),"")</f>
        <v>24.677073669999999</v>
      </c>
      <c r="T180">
        <f ca="1">IFERROR(IF(0=LEN(ReferenceData!$T$180),"",ReferenceData!$T$180),"")</f>
        <v>26.40265965</v>
      </c>
      <c r="U180">
        <f ca="1">IFERROR(IF(0=LEN(ReferenceData!$U$180),"",ReferenceData!$U$180),"")</f>
        <v>34.087911599999998</v>
      </c>
      <c r="V180">
        <f ca="1">IFERROR(IF(0=LEN(ReferenceData!$V$180),"",ReferenceData!$V$180),"")</f>
        <v>33.465789800000003</v>
      </c>
      <c r="W180">
        <f ca="1">IFERROR(IF(0=LEN(ReferenceData!$W$180),"",ReferenceData!$W$180),"")</f>
        <v>30.676990809999999</v>
      </c>
      <c r="X180">
        <f ca="1">IFERROR(IF(0=LEN(ReferenceData!$X$180),"",ReferenceData!$X$180),"")</f>
        <v>31.626778460000001</v>
      </c>
      <c r="Y180">
        <f ca="1">IFERROR(IF(0=LEN(ReferenceData!$Y$180),"",ReferenceData!$Y$180),"")</f>
        <v>30.9011605</v>
      </c>
      <c r="Z180">
        <f ca="1">IFERROR(IF(0=LEN(ReferenceData!$Z$180),"",ReferenceData!$Z$180),"")</f>
        <v>28.084771920000001</v>
      </c>
      <c r="AA180">
        <f ca="1">IFERROR(IF(0=LEN(ReferenceData!$AA$180),"",ReferenceData!$AA$180),"")</f>
        <v>26.32153383</v>
      </c>
      <c r="AB180">
        <f ca="1">IFERROR(IF(0=LEN(ReferenceData!$AB$180),"",ReferenceData!$AB$180),"")</f>
        <v>26.186682860000001</v>
      </c>
      <c r="AC180">
        <f ca="1">IFERROR(IF(0=LEN(ReferenceData!$AC$180),"",ReferenceData!$AC$180),"")</f>
        <v>19.841922109999999</v>
      </c>
      <c r="AD180" t="str">
        <f ca="1">IFERROR(IF(0=LEN(ReferenceData!$AD$180),"",ReferenceData!$AD$180),"")</f>
        <v/>
      </c>
      <c r="AE180" t="str">
        <f ca="1">IFERROR(IF(0=LEN(ReferenceData!$AE$180),"",ReferenceData!$AE$180),"")</f>
        <v/>
      </c>
      <c r="AF180" t="str">
        <f ca="1">IFERROR(IF(0=LEN(ReferenceData!$AF$180),"",ReferenceData!$AF$180),"")</f>
        <v/>
      </c>
      <c r="AG180" t="str">
        <f ca="1">IFERROR(IF(0=LEN(ReferenceData!$AG$180),"",ReferenceData!$AG$180),"")</f>
        <v/>
      </c>
      <c r="AH180" t="str">
        <f ca="1">IFERROR(IF(0=LEN(ReferenceData!$AH$180),"",ReferenceData!$AH$180),"")</f>
        <v/>
      </c>
      <c r="AI180" t="str">
        <f ca="1">IFERROR(IF(0=LEN(ReferenceData!$AI$180),"",ReferenceData!$AI$180),"")</f>
        <v/>
      </c>
      <c r="AJ180" t="str">
        <f ca="1">IFERROR(IF(0=LEN(ReferenceData!$AJ$180),"",ReferenceData!$AJ$180),"")</f>
        <v/>
      </c>
      <c r="AK180" t="str">
        <f ca="1">IFERROR(IF(0=LEN(ReferenceData!$AK$180),"",ReferenceData!$AK$180),"")</f>
        <v/>
      </c>
      <c r="AL180" t="str">
        <f ca="1">IFERROR(IF(0=LEN(ReferenceData!$AL$180),"",ReferenceData!$AL$180),"")</f>
        <v/>
      </c>
    </row>
    <row r="181" spans="1:38" x14ac:dyDescent="0.25">
      <c r="A181" t="str">
        <f>IFERROR(IF(0=LEN(ReferenceData!$A$181),"",ReferenceData!$A$181),"")</f>
        <v xml:space="preserve">        Citizens Financial Group Inc</v>
      </c>
      <c r="B181" t="str">
        <f>IFERROR(IF(0=LEN(ReferenceData!$B$181),"",ReferenceData!$B$181),"")</f>
        <v>CFG US Equity</v>
      </c>
      <c r="C181" t="str">
        <f>IFERROR(IF(0=LEN(ReferenceData!$C$181),"",ReferenceData!$C$181),"")</f>
        <v>F0109</v>
      </c>
      <c r="D181" t="str">
        <f>IFERROR(IF(0=LEN(ReferenceData!$D$181),"",ReferenceData!$D$181),"")</f>
        <v>FED_RE_LNS_DOM_%_TOT_LNS_LEAS</v>
      </c>
      <c r="E181" t="str">
        <f>IFERROR(IF(0=LEN(ReferenceData!$E$181),"",ReferenceData!$E$181),"")</f>
        <v>Dynamic</v>
      </c>
      <c r="F181">
        <f ca="1">IFERROR(IF(0=LEN(ReferenceData!$F$181),"",ReferenceData!$F$181),"")</f>
        <v>57.083322539999998</v>
      </c>
      <c r="G181">
        <f ca="1">IFERROR(IF(0=LEN(ReferenceData!$G$181),"",ReferenceData!$G$181),"")</f>
        <v>53.813888990000002</v>
      </c>
      <c r="H181">
        <f ca="1">IFERROR(IF(0=LEN(ReferenceData!$H$181),"",ReferenceData!$H$181),"")</f>
        <v>48.621270889999998</v>
      </c>
      <c r="I181">
        <f ca="1">IFERROR(IF(0=LEN(ReferenceData!$I$181),"",ReferenceData!$I$181),"")</f>
        <v>40.99736103</v>
      </c>
      <c r="J181">
        <f ca="1">IFERROR(IF(0=LEN(ReferenceData!$J$181),"",ReferenceData!$J$181),"")</f>
        <v>41.892493229999999</v>
      </c>
      <c r="K181">
        <f ca="1">IFERROR(IF(0=LEN(ReferenceData!$K$181),"",ReferenceData!$K$181),"")</f>
        <v>42.425497049999997</v>
      </c>
      <c r="L181">
        <f ca="1">IFERROR(IF(0=LEN(ReferenceData!$L$181),"",ReferenceData!$L$181),"")</f>
        <v>42.824070769999999</v>
      </c>
      <c r="M181">
        <f ca="1">IFERROR(IF(0=LEN(ReferenceData!$M$181),"",ReferenceData!$M$181),"")</f>
        <v>42.909896349999997</v>
      </c>
      <c r="N181">
        <f ca="1">IFERROR(IF(0=LEN(ReferenceData!$N$181),"",ReferenceData!$N$181),"")</f>
        <v>42.13652158</v>
      </c>
      <c r="O181">
        <f ca="1">IFERROR(IF(0=LEN(ReferenceData!$O$181),"",ReferenceData!$O$181),"")</f>
        <v>44.031039309999997</v>
      </c>
      <c r="P181">
        <f ca="1">IFERROR(IF(0=LEN(ReferenceData!$P$181),"",ReferenceData!$P$181),"")</f>
        <v>45.756406429999998</v>
      </c>
      <c r="Q181">
        <f ca="1">IFERROR(IF(0=LEN(ReferenceData!$Q$181),"",ReferenceData!$Q$181),"")</f>
        <v>49.324680739999998</v>
      </c>
      <c r="R181">
        <f ca="1">IFERROR(IF(0=LEN(ReferenceData!$R$181),"",ReferenceData!$R$181),"")</f>
        <v>52.504997520000003</v>
      </c>
      <c r="S181">
        <f ca="1">IFERROR(IF(0=LEN(ReferenceData!$S$181),"",ReferenceData!$S$181),"")</f>
        <v>57.537876349999998</v>
      </c>
      <c r="T181">
        <f ca="1">IFERROR(IF(0=LEN(ReferenceData!$T$181),"",ReferenceData!$T$181),"")</f>
        <v>60.190101540000001</v>
      </c>
      <c r="U181">
        <f ca="1">IFERROR(IF(0=LEN(ReferenceData!$U$181),"",ReferenceData!$U$181),"")</f>
        <v>60.480890649999999</v>
      </c>
      <c r="V181">
        <f ca="1">IFERROR(IF(0=LEN(ReferenceData!$V$181),"",ReferenceData!$V$181),"")</f>
        <v>59.012274249999997</v>
      </c>
      <c r="W181">
        <f ca="1">IFERROR(IF(0=LEN(ReferenceData!$W$181),"",ReferenceData!$W$181),"")</f>
        <v>59.050540030000001</v>
      </c>
      <c r="X181">
        <f ca="1">IFERROR(IF(0=LEN(ReferenceData!$X$181),"",ReferenceData!$X$181),"")</f>
        <v>51.115223469999997</v>
      </c>
      <c r="Y181">
        <f ca="1">IFERROR(IF(0=LEN(ReferenceData!$Y$181),"",ReferenceData!$Y$181),"")</f>
        <v>51.379368329999998</v>
      </c>
      <c r="Z181">
        <f ca="1">IFERROR(IF(0=LEN(ReferenceData!$Z$181),"",ReferenceData!$Z$181),"")</f>
        <v>48.477302109999997</v>
      </c>
      <c r="AA181">
        <f ca="1">IFERROR(IF(0=LEN(ReferenceData!$AA$181),"",ReferenceData!$AA$181),"")</f>
        <v>40.384392290000001</v>
      </c>
      <c r="AB181">
        <f ca="1">IFERROR(IF(0=LEN(ReferenceData!$AB$181),"",ReferenceData!$AB$181),"")</f>
        <v>29.796123990000002</v>
      </c>
      <c r="AC181">
        <f ca="1">IFERROR(IF(0=LEN(ReferenceData!$AC$181),"",ReferenceData!$AC$181),"")</f>
        <v>22.873213960000001</v>
      </c>
      <c r="AD181" t="str">
        <f ca="1">IFERROR(IF(0=LEN(ReferenceData!$AD$181),"",ReferenceData!$AD$181),"")</f>
        <v/>
      </c>
      <c r="AE181" t="str">
        <f ca="1">IFERROR(IF(0=LEN(ReferenceData!$AE$181),"",ReferenceData!$AE$181),"")</f>
        <v/>
      </c>
      <c r="AF181" t="str">
        <f ca="1">IFERROR(IF(0=LEN(ReferenceData!$AF$181),"",ReferenceData!$AF$181),"")</f>
        <v/>
      </c>
      <c r="AG181" t="str">
        <f ca="1">IFERROR(IF(0=LEN(ReferenceData!$AG$181),"",ReferenceData!$AG$181),"")</f>
        <v/>
      </c>
      <c r="AH181" t="str">
        <f ca="1">IFERROR(IF(0=LEN(ReferenceData!$AH$181),"",ReferenceData!$AH$181),"")</f>
        <v/>
      </c>
      <c r="AI181" t="str">
        <f ca="1">IFERROR(IF(0=LEN(ReferenceData!$AI$181),"",ReferenceData!$AI$181),"")</f>
        <v/>
      </c>
      <c r="AJ181" t="str">
        <f ca="1">IFERROR(IF(0=LEN(ReferenceData!$AJ$181),"",ReferenceData!$AJ$181),"")</f>
        <v/>
      </c>
      <c r="AK181" t="str">
        <f ca="1">IFERROR(IF(0=LEN(ReferenceData!$AK$181),"",ReferenceData!$AK$181),"")</f>
        <v/>
      </c>
      <c r="AL181" t="str">
        <f ca="1">IFERROR(IF(0=LEN(ReferenceData!$AL$181),"",ReferenceData!$AL$181),"")</f>
        <v/>
      </c>
    </row>
    <row r="182" spans="1:38" x14ac:dyDescent="0.25">
      <c r="A182" t="str">
        <f>IFERROR(IF(0=LEN(ReferenceData!$A$182),"",ReferenceData!$A$182),"")</f>
        <v xml:space="preserve">        Capital One Financial Corp</v>
      </c>
      <c r="B182" t="str">
        <f>IFERROR(IF(0=LEN(ReferenceData!$B$182),"",ReferenceData!$B$182),"")</f>
        <v>COF US Equity</v>
      </c>
      <c r="C182" t="str">
        <f>IFERROR(IF(0=LEN(ReferenceData!$C$182),"",ReferenceData!$C$182),"")</f>
        <v>F0109</v>
      </c>
      <c r="D182" t="str">
        <f>IFERROR(IF(0=LEN(ReferenceData!$D$182),"",ReferenceData!$D$182),"")</f>
        <v>FED_RE_LNS_DOM_%_TOT_LNS_LEAS</v>
      </c>
      <c r="E182" t="str">
        <f>IFERROR(IF(0=LEN(ReferenceData!$E$182),"",ReferenceData!$E$182),"")</f>
        <v>Dynamic</v>
      </c>
      <c r="F182">
        <f ca="1">IFERROR(IF(0=LEN(ReferenceData!$F$182),"",ReferenceData!$F$182),"")</f>
        <v>8.0803691900000008</v>
      </c>
      <c r="G182">
        <f ca="1">IFERROR(IF(0=LEN(ReferenceData!$G$182),"",ReferenceData!$G$182),"")</f>
        <v>9.0498325340000001</v>
      </c>
      <c r="H182">
        <f ca="1">IFERROR(IF(0=LEN(ReferenceData!$H$182),"",ReferenceData!$H$182),"")</f>
        <v>9.7476686570000002</v>
      </c>
      <c r="I182">
        <f ca="1">IFERROR(IF(0=LEN(ReferenceData!$I$182),"",ReferenceData!$I$182),"")</f>
        <v>11.36523103</v>
      </c>
      <c r="J182">
        <f ca="1">IFERROR(IF(0=LEN(ReferenceData!$J$182),"",ReferenceData!$J$182),"")</f>
        <v>12.682086630000001</v>
      </c>
      <c r="K182">
        <f ca="1">IFERROR(IF(0=LEN(ReferenceData!$K$182),"",ReferenceData!$K$182),"")</f>
        <v>11.759815359999999</v>
      </c>
      <c r="L182">
        <f ca="1">IFERROR(IF(0=LEN(ReferenceData!$L$182),"",ReferenceData!$L$182),"")</f>
        <v>12.562812750000001</v>
      </c>
      <c r="M182">
        <f ca="1">IFERROR(IF(0=LEN(ReferenceData!$M$182),"",ReferenceData!$M$182),"")</f>
        <v>18.808813220000001</v>
      </c>
      <c r="N182">
        <f ca="1">IFERROR(IF(0=LEN(ReferenceData!$N$182),"",ReferenceData!$N$182),"")</f>
        <v>21.3774227</v>
      </c>
      <c r="O182">
        <f ca="1">IFERROR(IF(0=LEN(ReferenceData!$O$182),"",ReferenceData!$O$182),"")</f>
        <v>23.555144179999999</v>
      </c>
      <c r="P182">
        <f ca="1">IFERROR(IF(0=LEN(ReferenceData!$P$182),"",ReferenceData!$P$182),"")</f>
        <v>25.931410419999999</v>
      </c>
      <c r="Q182">
        <f ca="1">IFERROR(IF(0=LEN(ReferenceData!$Q$182),"",ReferenceData!$Q$182),"")</f>
        <v>29.53952426</v>
      </c>
      <c r="R182">
        <f ca="1">IFERROR(IF(0=LEN(ReferenceData!$R$182),"",ReferenceData!$R$182),"")</f>
        <v>31.622801809999999</v>
      </c>
      <c r="S182">
        <f ca="1">IFERROR(IF(0=LEN(ReferenceData!$S$182),"",ReferenceData!$S$182),"")</f>
        <v>22.70156733</v>
      </c>
      <c r="T182">
        <f ca="1">IFERROR(IF(0=LEN(ReferenceData!$T$182),"",ReferenceData!$T$182),"")</f>
        <v>24.90261448</v>
      </c>
      <c r="U182">
        <f ca="1">IFERROR(IF(0=LEN(ReferenceData!$U$182),"",ReferenceData!$U$182),"")</f>
        <v>38.827616300000003</v>
      </c>
      <c r="V182">
        <f ca="1">IFERROR(IF(0=LEN(ReferenceData!$V$182),"",ReferenceData!$V$182),"")</f>
        <v>30.402589729999999</v>
      </c>
      <c r="W182">
        <f ca="1">IFERROR(IF(0=LEN(ReferenceData!$W$182),"",ReferenceData!$W$182),"")</f>
        <v>31.125199769999998</v>
      </c>
      <c r="X182">
        <f ca="1">IFERROR(IF(0=LEN(ReferenceData!$X$182),"",ReferenceData!$X$182),"")</f>
        <v>26.916851359999999</v>
      </c>
      <c r="Y182">
        <f ca="1">IFERROR(IF(0=LEN(ReferenceData!$Y$182),"",ReferenceData!$Y$182),"")</f>
        <v>10.199838720000001</v>
      </c>
      <c r="Z182">
        <f ca="1">IFERROR(IF(0=LEN(ReferenceData!$Z$182),"",ReferenceData!$Z$182),"")</f>
        <v>0.103568216</v>
      </c>
      <c r="AA182" t="str">
        <f ca="1">IFERROR(IF(0=LEN(ReferenceData!$AA$182),"",ReferenceData!$AA$182),"")</f>
        <v/>
      </c>
      <c r="AB182" t="str">
        <f ca="1">IFERROR(IF(0=LEN(ReferenceData!$AB$182),"",ReferenceData!$AB$182),"")</f>
        <v/>
      </c>
      <c r="AC182" t="str">
        <f ca="1">IFERROR(IF(0=LEN(ReferenceData!$AC$182),"",ReferenceData!$AC$182),"")</f>
        <v/>
      </c>
      <c r="AD182" t="str">
        <f ca="1">IFERROR(IF(0=LEN(ReferenceData!$AD$182),"",ReferenceData!$AD$182),"")</f>
        <v/>
      </c>
      <c r="AE182" t="str">
        <f ca="1">IFERROR(IF(0=LEN(ReferenceData!$AE$182),"",ReferenceData!$AE$182),"")</f>
        <v/>
      </c>
      <c r="AF182" t="str">
        <f ca="1">IFERROR(IF(0=LEN(ReferenceData!$AF$182),"",ReferenceData!$AF$182),"")</f>
        <v/>
      </c>
      <c r="AG182" t="str">
        <f ca="1">IFERROR(IF(0=LEN(ReferenceData!$AG$182),"",ReferenceData!$AG$182),"")</f>
        <v/>
      </c>
      <c r="AH182" t="str">
        <f ca="1">IFERROR(IF(0=LEN(ReferenceData!$AH$182),"",ReferenceData!$AH$182),"")</f>
        <v/>
      </c>
      <c r="AI182" t="str">
        <f ca="1">IFERROR(IF(0=LEN(ReferenceData!$AI$182),"",ReferenceData!$AI$182),"")</f>
        <v/>
      </c>
      <c r="AJ182" t="str">
        <f ca="1">IFERROR(IF(0=LEN(ReferenceData!$AJ$182),"",ReferenceData!$AJ$182),"")</f>
        <v/>
      </c>
      <c r="AK182" t="str">
        <f ca="1">IFERROR(IF(0=LEN(ReferenceData!$AK$182),"",ReferenceData!$AK$182),"")</f>
        <v/>
      </c>
      <c r="AL182" t="str">
        <f ca="1">IFERROR(IF(0=LEN(ReferenceData!$AL$182),"",ReferenceData!$AL$182),"")</f>
        <v/>
      </c>
    </row>
    <row r="183" spans="1:38" x14ac:dyDescent="0.25">
      <c r="A183" t="str">
        <f>IFERROR(IF(0=LEN(ReferenceData!$A$183),"",ReferenceData!$A$183),"")</f>
        <v xml:space="preserve">        Comerica Inc</v>
      </c>
      <c r="B183" t="str">
        <f>IFERROR(IF(0=LEN(ReferenceData!$B$183),"",ReferenceData!$B$183),"")</f>
        <v>CMA US Equity</v>
      </c>
      <c r="C183" t="str">
        <f>IFERROR(IF(0=LEN(ReferenceData!$C$183),"",ReferenceData!$C$183),"")</f>
        <v>F0109</v>
      </c>
      <c r="D183" t="str">
        <f>IFERROR(IF(0=LEN(ReferenceData!$D$183),"",ReferenceData!$D$183),"")</f>
        <v>FED_RE_LNS_DOM_%_TOT_LNS_LEAS</v>
      </c>
      <c r="E183" t="str">
        <f>IFERROR(IF(0=LEN(ReferenceData!$E$183),"",ReferenceData!$E$183),"")</f>
        <v>Dynamic</v>
      </c>
      <c r="F183" t="str">
        <f ca="1">IFERROR(IF(0=LEN(ReferenceData!$F$183),"",ReferenceData!$F$183),"")</f>
        <v/>
      </c>
      <c r="G183">
        <f ca="1">IFERROR(IF(0=LEN(ReferenceData!$G$183),"",ReferenceData!$G$183),"")</f>
        <v>42.454866750000001</v>
      </c>
      <c r="H183">
        <f ca="1">IFERROR(IF(0=LEN(ReferenceData!$H$183),"",ReferenceData!$H$183),"")</f>
        <v>36.844372040000003</v>
      </c>
      <c r="I183">
        <f ca="1">IFERROR(IF(0=LEN(ReferenceData!$I$183),"",ReferenceData!$I$183),"")</f>
        <v>34.888722080000001</v>
      </c>
      <c r="J183">
        <f ca="1">IFERROR(IF(0=LEN(ReferenceData!$J$183),"",ReferenceData!$J$183),"")</f>
        <v>32.76350008</v>
      </c>
      <c r="K183">
        <f ca="1">IFERROR(IF(0=LEN(ReferenceData!$K$183),"",ReferenceData!$K$183),"")</f>
        <v>32.382483720000003</v>
      </c>
      <c r="L183">
        <f ca="1">IFERROR(IF(0=LEN(ReferenceData!$L$183),"",ReferenceData!$L$183),"")</f>
        <v>31.340422759999999</v>
      </c>
      <c r="M183">
        <f ca="1">IFERROR(IF(0=LEN(ReferenceData!$M$183),"",ReferenceData!$M$183),"")</f>
        <v>32.110950619999997</v>
      </c>
      <c r="N183">
        <f ca="1">IFERROR(IF(0=LEN(ReferenceData!$N$183),"",ReferenceData!$N$183),"")</f>
        <v>31.61569879</v>
      </c>
      <c r="O183">
        <f ca="1">IFERROR(IF(0=LEN(ReferenceData!$O$183),"",ReferenceData!$O$183),"")</f>
        <v>29.718426409999999</v>
      </c>
      <c r="P183">
        <f ca="1">IFERROR(IF(0=LEN(ReferenceData!$P$183),"",ReferenceData!$P$183),"")</f>
        <v>28.822840710000001</v>
      </c>
      <c r="Q183">
        <f ca="1">IFERROR(IF(0=LEN(ReferenceData!$Q$183),"",ReferenceData!$Q$183),"")</f>
        <v>30.033815489999999</v>
      </c>
      <c r="R183">
        <f ca="1">IFERROR(IF(0=LEN(ReferenceData!$R$183),"",ReferenceData!$R$183),"")</f>
        <v>29.77124384</v>
      </c>
      <c r="S183">
        <f ca="1">IFERROR(IF(0=LEN(ReferenceData!$S$183),"",ReferenceData!$S$183),"")</f>
        <v>34.599086569999997</v>
      </c>
      <c r="T183">
        <f ca="1">IFERROR(IF(0=LEN(ReferenceData!$T$183),"",ReferenceData!$T$183),"")</f>
        <v>38.188141440000003</v>
      </c>
      <c r="U183">
        <f ca="1">IFERROR(IF(0=LEN(ReferenceData!$U$183),"",ReferenceData!$U$183),"")</f>
        <v>42.62904262</v>
      </c>
      <c r="V183">
        <f ca="1">IFERROR(IF(0=LEN(ReferenceData!$V$183),"",ReferenceData!$V$183),"")</f>
        <v>43.049026529999999</v>
      </c>
      <c r="W183">
        <f ca="1">IFERROR(IF(0=LEN(ReferenceData!$W$183),"",ReferenceData!$W$183),"")</f>
        <v>43.298915280000003</v>
      </c>
      <c r="X183">
        <f ca="1">IFERROR(IF(0=LEN(ReferenceData!$X$183),"",ReferenceData!$X$183),"")</f>
        <v>7.2875382899999996</v>
      </c>
      <c r="Y183">
        <f ca="1">IFERROR(IF(0=LEN(ReferenceData!$Y$183),"",ReferenceData!$Y$183),"")</f>
        <v>7.9405321769999997</v>
      </c>
      <c r="Z183">
        <f ca="1">IFERROR(IF(0=LEN(ReferenceData!$Z$183),"",ReferenceData!$Z$183),"")</f>
        <v>7.8278438140000004</v>
      </c>
      <c r="AA183">
        <f ca="1">IFERROR(IF(0=LEN(ReferenceData!$AA$183),"",ReferenceData!$AA$183),"")</f>
        <v>7.3718149540000004</v>
      </c>
      <c r="AB183">
        <f ca="1">IFERROR(IF(0=LEN(ReferenceData!$AB$183),"",ReferenceData!$AB$183),"")</f>
        <v>6.6375922340000004</v>
      </c>
      <c r="AC183">
        <f ca="1">IFERROR(IF(0=LEN(ReferenceData!$AC$183),"",ReferenceData!$AC$183),"")</f>
        <v>6.1991346810000003</v>
      </c>
      <c r="AD183" t="str">
        <f ca="1">IFERROR(IF(0=LEN(ReferenceData!$AD$183),"",ReferenceData!$AD$183),"")</f>
        <v/>
      </c>
      <c r="AE183" t="str">
        <f ca="1">IFERROR(IF(0=LEN(ReferenceData!$AE$183),"",ReferenceData!$AE$183),"")</f>
        <v/>
      </c>
      <c r="AF183" t="str">
        <f ca="1">IFERROR(IF(0=LEN(ReferenceData!$AF$183),"",ReferenceData!$AF$183),"")</f>
        <v/>
      </c>
      <c r="AG183" t="str">
        <f ca="1">IFERROR(IF(0=LEN(ReferenceData!$AG$183),"",ReferenceData!$AG$183),"")</f>
        <v/>
      </c>
      <c r="AH183" t="str">
        <f ca="1">IFERROR(IF(0=LEN(ReferenceData!$AH$183),"",ReferenceData!$AH$183),"")</f>
        <v/>
      </c>
      <c r="AI183" t="str">
        <f ca="1">IFERROR(IF(0=LEN(ReferenceData!$AI$183),"",ReferenceData!$AI$183),"")</f>
        <v/>
      </c>
      <c r="AJ183" t="str">
        <f ca="1">IFERROR(IF(0=LEN(ReferenceData!$AJ$183),"",ReferenceData!$AJ$183),"")</f>
        <v/>
      </c>
      <c r="AK183" t="str">
        <f ca="1">IFERROR(IF(0=LEN(ReferenceData!$AK$183),"",ReferenceData!$AK$183),"")</f>
        <v/>
      </c>
      <c r="AL183" t="str">
        <f ca="1">IFERROR(IF(0=LEN(ReferenceData!$AL$183),"",ReferenceData!$AL$183),"")</f>
        <v/>
      </c>
    </row>
    <row r="184" spans="1:38" x14ac:dyDescent="0.25">
      <c r="A184" t="str">
        <f>IFERROR(IF(0=LEN(ReferenceData!$A$184),"",ReferenceData!$A$184),"")</f>
        <v xml:space="preserve">        East West Bancorp Inc</v>
      </c>
      <c r="B184" t="str">
        <f>IFERROR(IF(0=LEN(ReferenceData!$B$184),"",ReferenceData!$B$184),"")</f>
        <v>EWBC US Equity</v>
      </c>
      <c r="C184" t="str">
        <f>IFERROR(IF(0=LEN(ReferenceData!$C$184),"",ReferenceData!$C$184),"")</f>
        <v>F0109</v>
      </c>
      <c r="D184" t="str">
        <f>IFERROR(IF(0=LEN(ReferenceData!$D$184),"",ReferenceData!$D$184),"")</f>
        <v>FED_RE_LNS_DOM_%_TOT_LNS_LEAS</v>
      </c>
      <c r="E184" t="str">
        <f>IFERROR(IF(0=LEN(ReferenceData!$E$184),"",ReferenceData!$E$184),"")</f>
        <v>Dynamic</v>
      </c>
      <c r="F184" t="str">
        <f ca="1">IFERROR(IF(0=LEN(ReferenceData!$F$184),"",ReferenceData!$F$184),"")</f>
        <v/>
      </c>
      <c r="G184">
        <f ca="1">IFERROR(IF(0=LEN(ReferenceData!$G$184),"",ReferenceData!$G$184),"")</f>
        <v>69.364987749999997</v>
      </c>
      <c r="H184">
        <f ca="1">IFERROR(IF(0=LEN(ReferenceData!$H$184),"",ReferenceData!$H$184),"")</f>
        <v>68.476883240000006</v>
      </c>
      <c r="I184">
        <f ca="1">IFERROR(IF(0=LEN(ReferenceData!$I$184),"",ReferenceData!$I$184),"")</f>
        <v>65.798368870000004</v>
      </c>
      <c r="J184">
        <f ca="1">IFERROR(IF(0=LEN(ReferenceData!$J$184),"",ReferenceData!$J$184),"")</f>
        <v>65.080020300000001</v>
      </c>
      <c r="K184">
        <f ca="1">IFERROR(IF(0=LEN(ReferenceData!$K$184),"",ReferenceData!$K$184),"")</f>
        <v>66.07741695</v>
      </c>
      <c r="L184">
        <f ca="1">IFERROR(IF(0=LEN(ReferenceData!$L$184),"",ReferenceData!$L$184),"")</f>
        <v>63.644580769999997</v>
      </c>
      <c r="M184">
        <f ca="1">IFERROR(IF(0=LEN(ReferenceData!$M$184),"",ReferenceData!$M$184),"")</f>
        <v>64.108926710000006</v>
      </c>
      <c r="N184">
        <f ca="1">IFERROR(IF(0=LEN(ReferenceData!$N$184),"",ReferenceData!$N$184),"")</f>
        <v>62.972559230000002</v>
      </c>
      <c r="O184">
        <f ca="1">IFERROR(IF(0=LEN(ReferenceData!$O$184),"",ReferenceData!$O$184),"")</f>
        <v>63.008398700000001</v>
      </c>
      <c r="P184">
        <f ca="1">IFERROR(IF(0=LEN(ReferenceData!$P$184),"",ReferenceData!$P$184),"")</f>
        <v>62.191580369999997</v>
      </c>
      <c r="Q184">
        <f ca="1">IFERROR(IF(0=LEN(ReferenceData!$Q$184),"",ReferenceData!$Q$184),"")</f>
        <v>61.769849010000001</v>
      </c>
      <c r="R184">
        <f ca="1">IFERROR(IF(0=LEN(ReferenceData!$R$184),"",ReferenceData!$R$184),"")</f>
        <v>63.611683829999997</v>
      </c>
      <c r="S184">
        <f ca="1">IFERROR(IF(0=LEN(ReferenceData!$S$184),"",ReferenceData!$S$184),"")</f>
        <v>66.652589019999994</v>
      </c>
      <c r="T184">
        <f ca="1">IFERROR(IF(0=LEN(ReferenceData!$T$184),"",ReferenceData!$T$184),"")</f>
        <v>73.351454050000001</v>
      </c>
      <c r="U184">
        <f ca="1">IFERROR(IF(0=LEN(ReferenceData!$U$184),"",ReferenceData!$U$184),"")</f>
        <v>77.590133519999995</v>
      </c>
      <c r="V184">
        <f ca="1">IFERROR(IF(0=LEN(ReferenceData!$V$184),"",ReferenceData!$V$184),"")</f>
        <v>80.445482650000002</v>
      </c>
      <c r="W184">
        <f ca="1">IFERROR(IF(0=LEN(ReferenceData!$W$184),"",ReferenceData!$W$184),"")</f>
        <v>78.840549949999996</v>
      </c>
      <c r="X184">
        <f ca="1">IFERROR(IF(0=LEN(ReferenceData!$X$184),"",ReferenceData!$X$184),"")</f>
        <v>25.299630260000001</v>
      </c>
      <c r="Y184">
        <f ca="1">IFERROR(IF(0=LEN(ReferenceData!$Y$184),"",ReferenceData!$Y$184),"")</f>
        <v>28.428756150000002</v>
      </c>
      <c r="Z184">
        <f ca="1">IFERROR(IF(0=LEN(ReferenceData!$Z$184),"",ReferenceData!$Z$184),"")</f>
        <v>31.443638880000002</v>
      </c>
      <c r="AA184">
        <f ca="1">IFERROR(IF(0=LEN(ReferenceData!$AA$184),"",ReferenceData!$AA$184),"")</f>
        <v>32.993826560000002</v>
      </c>
      <c r="AB184">
        <f ca="1">IFERROR(IF(0=LEN(ReferenceData!$AB$184),"",ReferenceData!$AB$184),"")</f>
        <v>35.187664220000002</v>
      </c>
      <c r="AC184">
        <f ca="1">IFERROR(IF(0=LEN(ReferenceData!$AC$184),"",ReferenceData!$AC$184),"")</f>
        <v>34.530978259999998</v>
      </c>
      <c r="AD184" t="str">
        <f ca="1">IFERROR(IF(0=LEN(ReferenceData!$AD$184),"",ReferenceData!$AD$184),"")</f>
        <v/>
      </c>
      <c r="AE184" t="str">
        <f ca="1">IFERROR(IF(0=LEN(ReferenceData!$AE$184),"",ReferenceData!$AE$184),"")</f>
        <v/>
      </c>
      <c r="AF184" t="str">
        <f ca="1">IFERROR(IF(0=LEN(ReferenceData!$AF$184),"",ReferenceData!$AF$184),"")</f>
        <v/>
      </c>
      <c r="AG184" t="str">
        <f ca="1">IFERROR(IF(0=LEN(ReferenceData!$AG$184),"",ReferenceData!$AG$184),"")</f>
        <v/>
      </c>
      <c r="AH184" t="str">
        <f ca="1">IFERROR(IF(0=LEN(ReferenceData!$AH$184),"",ReferenceData!$AH$184),"")</f>
        <v/>
      </c>
      <c r="AI184" t="str">
        <f ca="1">IFERROR(IF(0=LEN(ReferenceData!$AI$184),"",ReferenceData!$AI$184),"")</f>
        <v/>
      </c>
      <c r="AJ184" t="str">
        <f ca="1">IFERROR(IF(0=LEN(ReferenceData!$AJ$184),"",ReferenceData!$AJ$184),"")</f>
        <v/>
      </c>
      <c r="AK184" t="str">
        <f ca="1">IFERROR(IF(0=LEN(ReferenceData!$AK$184),"",ReferenceData!$AK$184),"")</f>
        <v/>
      </c>
      <c r="AL184" t="str">
        <f ca="1">IFERROR(IF(0=LEN(ReferenceData!$AL$184),"",ReferenceData!$AL$184),"")</f>
        <v/>
      </c>
    </row>
    <row r="185" spans="1:38" x14ac:dyDescent="0.25">
      <c r="A185" t="str">
        <f>IFERROR(IF(0=LEN(ReferenceData!$A$185),"",ReferenceData!$A$185),"")</f>
        <v xml:space="preserve">        Fifth Third Bancorp</v>
      </c>
      <c r="B185" t="str">
        <f>IFERROR(IF(0=LEN(ReferenceData!$B$185),"",ReferenceData!$B$185),"")</f>
        <v>FITB US Equity</v>
      </c>
      <c r="C185" t="str">
        <f>IFERROR(IF(0=LEN(ReferenceData!$C$185),"",ReferenceData!$C$185),"")</f>
        <v>F0109</v>
      </c>
      <c r="D185" t="str">
        <f>IFERROR(IF(0=LEN(ReferenceData!$D$185),"",ReferenceData!$D$185),"")</f>
        <v>FED_RE_LNS_DOM_%_TOT_LNS_LEAS</v>
      </c>
      <c r="E185" t="str">
        <f>IFERROR(IF(0=LEN(ReferenceData!$E$185),"",ReferenceData!$E$185),"")</f>
        <v>Dynamic</v>
      </c>
      <c r="F185">
        <f ca="1">IFERROR(IF(0=LEN(ReferenceData!$F$185),"",ReferenceData!$F$185),"")</f>
        <v>32.095556790000003</v>
      </c>
      <c r="G185">
        <f ca="1">IFERROR(IF(0=LEN(ReferenceData!$G$185),"",ReferenceData!$G$185),"")</f>
        <v>31.42111349</v>
      </c>
      <c r="H185">
        <f ca="1">IFERROR(IF(0=LEN(ReferenceData!$H$185),"",ReferenceData!$H$185),"")</f>
        <v>30.644382480000001</v>
      </c>
      <c r="I185">
        <f ca="1">IFERROR(IF(0=LEN(ReferenceData!$I$185),"",ReferenceData!$I$185),"")</f>
        <v>33.435703060000002</v>
      </c>
      <c r="J185">
        <f ca="1">IFERROR(IF(0=LEN(ReferenceData!$J$185),"",ReferenceData!$J$185),"")</f>
        <v>35.8684911</v>
      </c>
      <c r="K185">
        <f ca="1">IFERROR(IF(0=LEN(ReferenceData!$K$185),"",ReferenceData!$K$185),"")</f>
        <v>35.102744020000003</v>
      </c>
      <c r="L185">
        <f ca="1">IFERROR(IF(0=LEN(ReferenceData!$L$185),"",ReferenceData!$L$185),"")</f>
        <v>34.517583190000003</v>
      </c>
      <c r="M185">
        <f ca="1">IFERROR(IF(0=LEN(ReferenceData!$M$185),"",ReferenceData!$M$185),"")</f>
        <v>36.045339470000002</v>
      </c>
      <c r="N185">
        <f ca="1">IFERROR(IF(0=LEN(ReferenceData!$N$185),"",ReferenceData!$N$185),"")</f>
        <v>36.514841990000001</v>
      </c>
      <c r="O185">
        <f ca="1">IFERROR(IF(0=LEN(ReferenceData!$O$185),"",ReferenceData!$O$185),"")</f>
        <v>34.747469129999999</v>
      </c>
      <c r="P185">
        <f ca="1">IFERROR(IF(0=LEN(ReferenceData!$P$185),"",ReferenceData!$P$185),"")</f>
        <v>34.613156940000003</v>
      </c>
      <c r="Q185">
        <f ca="1">IFERROR(IF(0=LEN(ReferenceData!$Q$185),"",ReferenceData!$Q$185),"")</f>
        <v>35.651065240000001</v>
      </c>
      <c r="R185">
        <f ca="1">IFERROR(IF(0=LEN(ReferenceData!$R$185),"",ReferenceData!$R$185),"")</f>
        <v>39.579667350000001</v>
      </c>
      <c r="S185">
        <f ca="1">IFERROR(IF(0=LEN(ReferenceData!$S$185),"",ReferenceData!$S$185),"")</f>
        <v>43.603847340000002</v>
      </c>
      <c r="T185">
        <f ca="1">IFERROR(IF(0=LEN(ReferenceData!$T$185),"",ReferenceData!$T$185),"")</f>
        <v>46.627025439999997</v>
      </c>
      <c r="U185">
        <f ca="1">IFERROR(IF(0=LEN(ReferenceData!$U$185),"",ReferenceData!$U$185),"")</f>
        <v>50.567448319999997</v>
      </c>
      <c r="V185">
        <f ca="1">IFERROR(IF(0=LEN(ReferenceData!$V$185),"",ReferenceData!$V$185),"")</f>
        <v>50.859334629999999</v>
      </c>
      <c r="W185">
        <f ca="1">IFERROR(IF(0=LEN(ReferenceData!$W$185),"",ReferenceData!$W$185),"")</f>
        <v>51.66296036</v>
      </c>
      <c r="X185">
        <f ca="1">IFERROR(IF(0=LEN(ReferenceData!$X$185),"",ReferenceData!$X$185),"")</f>
        <v>29.845296220000002</v>
      </c>
      <c r="Y185">
        <f ca="1">IFERROR(IF(0=LEN(ReferenceData!$Y$185),"",ReferenceData!$Y$185),"")</f>
        <v>29.59939078</v>
      </c>
      <c r="Z185">
        <f ca="1">IFERROR(IF(0=LEN(ReferenceData!$Z$185),"",ReferenceData!$Z$185),"")</f>
        <v>31.45610508</v>
      </c>
      <c r="AA185">
        <f ca="1">IFERROR(IF(0=LEN(ReferenceData!$AA$185),"",ReferenceData!$AA$185),"")</f>
        <v>28.379773400000001</v>
      </c>
      <c r="AB185">
        <f ca="1">IFERROR(IF(0=LEN(ReferenceData!$AB$185),"",ReferenceData!$AB$185),"")</f>
        <v>32.580901859999997</v>
      </c>
      <c r="AC185">
        <f ca="1">IFERROR(IF(0=LEN(ReferenceData!$AC$185),"",ReferenceData!$AC$185),"")</f>
        <v>34.348680369999997</v>
      </c>
      <c r="AD185" t="str">
        <f ca="1">IFERROR(IF(0=LEN(ReferenceData!$AD$185),"",ReferenceData!$AD$185),"")</f>
        <v/>
      </c>
      <c r="AE185" t="str">
        <f ca="1">IFERROR(IF(0=LEN(ReferenceData!$AE$185),"",ReferenceData!$AE$185),"")</f>
        <v/>
      </c>
      <c r="AF185" t="str">
        <f ca="1">IFERROR(IF(0=LEN(ReferenceData!$AF$185),"",ReferenceData!$AF$185),"")</f>
        <v/>
      </c>
      <c r="AG185" t="str">
        <f ca="1">IFERROR(IF(0=LEN(ReferenceData!$AG$185),"",ReferenceData!$AG$185),"")</f>
        <v/>
      </c>
      <c r="AH185" t="str">
        <f ca="1">IFERROR(IF(0=LEN(ReferenceData!$AH$185),"",ReferenceData!$AH$185),"")</f>
        <v/>
      </c>
      <c r="AI185" t="str">
        <f ca="1">IFERROR(IF(0=LEN(ReferenceData!$AI$185),"",ReferenceData!$AI$185),"")</f>
        <v/>
      </c>
      <c r="AJ185" t="str">
        <f ca="1">IFERROR(IF(0=LEN(ReferenceData!$AJ$185),"",ReferenceData!$AJ$185),"")</f>
        <v/>
      </c>
      <c r="AK185" t="str">
        <f ca="1">IFERROR(IF(0=LEN(ReferenceData!$AK$185),"",ReferenceData!$AK$185),"")</f>
        <v/>
      </c>
      <c r="AL185" t="str">
        <f ca="1">IFERROR(IF(0=LEN(ReferenceData!$AL$185),"",ReferenceData!$AL$185),"")</f>
        <v/>
      </c>
    </row>
    <row r="186" spans="1:38" x14ac:dyDescent="0.25">
      <c r="A186" t="str">
        <f>IFERROR(IF(0=LEN(ReferenceData!$A$186),"",ReferenceData!$A$186),"")</f>
        <v xml:space="preserve">        First Citizens BancShares Inc/</v>
      </c>
      <c r="B186" t="str">
        <f>IFERROR(IF(0=LEN(ReferenceData!$B$186),"",ReferenceData!$B$186),"")</f>
        <v>FCNCA US Equity</v>
      </c>
      <c r="C186" t="str">
        <f>IFERROR(IF(0=LEN(ReferenceData!$C$186),"",ReferenceData!$C$186),"")</f>
        <v>F0109</v>
      </c>
      <c r="D186" t="str">
        <f>IFERROR(IF(0=LEN(ReferenceData!$D$186),"",ReferenceData!$D$186),"")</f>
        <v>FED_RE_LNS_DOM_%_TOT_LNS_LEAS</v>
      </c>
      <c r="E186" t="str">
        <f>IFERROR(IF(0=LEN(ReferenceData!$E$186),"",ReferenceData!$E$186),"")</f>
        <v>Dynamic</v>
      </c>
      <c r="F186">
        <f ca="1">IFERROR(IF(0=LEN(ReferenceData!$F$186),"",ReferenceData!$F$186),"")</f>
        <v>45.558541159999997</v>
      </c>
      <c r="G186">
        <f ca="1">IFERROR(IF(0=LEN(ReferenceData!$G$186),"",ReferenceData!$G$186),"")</f>
        <v>44.507351380000003</v>
      </c>
      <c r="H186">
        <f ca="1">IFERROR(IF(0=LEN(ReferenceData!$H$186),"",ReferenceData!$H$186),"")</f>
        <v>59.89224445</v>
      </c>
      <c r="I186">
        <f ca="1">IFERROR(IF(0=LEN(ReferenceData!$I$186),"",ReferenceData!$I$186),"")</f>
        <v>75.093755790000003</v>
      </c>
      <c r="J186">
        <f ca="1">IFERROR(IF(0=LEN(ReferenceData!$J$186),"",ReferenceData!$J$186),"")</f>
        <v>71.948094490000003</v>
      </c>
      <c r="K186">
        <f ca="1">IFERROR(IF(0=LEN(ReferenceData!$K$186),"",ReferenceData!$K$186),"")</f>
        <v>77.532830169999997</v>
      </c>
      <c r="L186">
        <f ca="1">IFERROR(IF(0=LEN(ReferenceData!$L$186),"",ReferenceData!$L$186),"")</f>
        <v>76.705185909999997</v>
      </c>
      <c r="M186">
        <f ca="1">IFERROR(IF(0=LEN(ReferenceData!$M$186),"",ReferenceData!$M$186),"")</f>
        <v>76.747280660000001</v>
      </c>
      <c r="N186">
        <f ca="1">IFERROR(IF(0=LEN(ReferenceData!$N$186),"",ReferenceData!$N$186),"")</f>
        <v>76.180888760000002</v>
      </c>
      <c r="O186">
        <f ca="1">IFERROR(IF(0=LEN(ReferenceData!$O$186),"",ReferenceData!$O$186),"")</f>
        <v>77.074345129999998</v>
      </c>
      <c r="P186">
        <f ca="1">IFERROR(IF(0=LEN(ReferenceData!$P$186),"",ReferenceData!$P$186),"")</f>
        <v>78.413151139999997</v>
      </c>
      <c r="Q186">
        <f ca="1">IFERROR(IF(0=LEN(ReferenceData!$Q$186),"",ReferenceData!$Q$186),"")</f>
        <v>84.49525362</v>
      </c>
      <c r="R186">
        <f ca="1">IFERROR(IF(0=LEN(ReferenceData!$R$186),"",ReferenceData!$R$186),"")</f>
        <v>80.076015740000003</v>
      </c>
      <c r="S186">
        <f ca="1">IFERROR(IF(0=LEN(ReferenceData!$S$186),"",ReferenceData!$S$186),"")</f>
        <v>79.678631050000007</v>
      </c>
      <c r="T186">
        <f ca="1">IFERROR(IF(0=LEN(ReferenceData!$T$186),"",ReferenceData!$T$186),"")</f>
        <v>77.24368509</v>
      </c>
      <c r="U186">
        <f ca="1">IFERROR(IF(0=LEN(ReferenceData!$U$186),"",ReferenceData!$U$186),"")</f>
        <v>73.715592839999999</v>
      </c>
      <c r="V186">
        <f ca="1">IFERROR(IF(0=LEN(ReferenceData!$V$186),"",ReferenceData!$V$186),"")</f>
        <v>69.52488142</v>
      </c>
      <c r="W186">
        <f ca="1">IFERROR(IF(0=LEN(ReferenceData!$W$186),"",ReferenceData!$W$186),"")</f>
        <v>68.062680959999994</v>
      </c>
      <c r="X186">
        <f ca="1">IFERROR(IF(0=LEN(ReferenceData!$X$186),"",ReferenceData!$X$186),"")</f>
        <v>24.57979847</v>
      </c>
      <c r="Y186">
        <f ca="1">IFERROR(IF(0=LEN(ReferenceData!$Y$186),"",ReferenceData!$Y$186),"")</f>
        <v>26.52847238</v>
      </c>
      <c r="Z186">
        <f ca="1">IFERROR(IF(0=LEN(ReferenceData!$Z$186),"",ReferenceData!$Z$186),"")</f>
        <v>30.63162771</v>
      </c>
      <c r="AA186">
        <f ca="1">IFERROR(IF(0=LEN(ReferenceData!$AA$186),"",ReferenceData!$AA$186),"")</f>
        <v>32.76581865</v>
      </c>
      <c r="AB186">
        <f ca="1">IFERROR(IF(0=LEN(ReferenceData!$AB$186),"",ReferenceData!$AB$186),"")</f>
        <v>34.452472309999997</v>
      </c>
      <c r="AC186">
        <f ca="1">IFERROR(IF(0=LEN(ReferenceData!$AC$186),"",ReferenceData!$AC$186),"")</f>
        <v>34.725382660000001</v>
      </c>
      <c r="AD186" t="str">
        <f ca="1">IFERROR(IF(0=LEN(ReferenceData!$AD$186),"",ReferenceData!$AD$186),"")</f>
        <v/>
      </c>
      <c r="AE186" t="str">
        <f ca="1">IFERROR(IF(0=LEN(ReferenceData!$AE$186),"",ReferenceData!$AE$186),"")</f>
        <v/>
      </c>
      <c r="AF186" t="str">
        <f ca="1">IFERROR(IF(0=LEN(ReferenceData!$AF$186),"",ReferenceData!$AF$186),"")</f>
        <v/>
      </c>
      <c r="AG186" t="str">
        <f ca="1">IFERROR(IF(0=LEN(ReferenceData!$AG$186),"",ReferenceData!$AG$186),"")</f>
        <v/>
      </c>
      <c r="AH186" t="str">
        <f ca="1">IFERROR(IF(0=LEN(ReferenceData!$AH$186),"",ReferenceData!$AH$186),"")</f>
        <v/>
      </c>
      <c r="AI186" t="str">
        <f ca="1">IFERROR(IF(0=LEN(ReferenceData!$AI$186),"",ReferenceData!$AI$186),"")</f>
        <v/>
      </c>
      <c r="AJ186" t="str">
        <f ca="1">IFERROR(IF(0=LEN(ReferenceData!$AJ$186),"",ReferenceData!$AJ$186),"")</f>
        <v/>
      </c>
      <c r="AK186" t="str">
        <f ca="1">IFERROR(IF(0=LEN(ReferenceData!$AK$186),"",ReferenceData!$AK$186),"")</f>
        <v/>
      </c>
      <c r="AL186" t="str">
        <f ca="1">IFERROR(IF(0=LEN(ReferenceData!$AL$186),"",ReferenceData!$AL$186),"")</f>
        <v/>
      </c>
    </row>
    <row r="187" spans="1:38" x14ac:dyDescent="0.25">
      <c r="A187" t="str">
        <f>IFERROR(IF(0=LEN(ReferenceData!$A$187),"",ReferenceData!$A$187),"")</f>
        <v xml:space="preserve">        Flagstar Financial Inc</v>
      </c>
      <c r="B187" t="str">
        <f>IFERROR(IF(0=LEN(ReferenceData!$B$187),"",ReferenceData!$B$187),"")</f>
        <v>FLG US Equity</v>
      </c>
      <c r="C187" t="str">
        <f>IFERROR(IF(0=LEN(ReferenceData!$C$187),"",ReferenceData!$C$187),"")</f>
        <v>F0109</v>
      </c>
      <c r="D187" t="str">
        <f>IFERROR(IF(0=LEN(ReferenceData!$D$187),"",ReferenceData!$D$187),"")</f>
        <v>FED_RE_LNS_DOM_%_TOT_LNS_LEAS</v>
      </c>
      <c r="E187" t="str">
        <f>IFERROR(IF(0=LEN(ReferenceData!$E$187),"",ReferenceData!$E$187),"")</f>
        <v>Dynamic</v>
      </c>
      <c r="F187">
        <f ca="1">IFERROR(IF(0=LEN(ReferenceData!$F$187),"",ReferenceData!$F$187),"")</f>
        <v>77.391010800000004</v>
      </c>
      <c r="G187">
        <f ca="1">IFERROR(IF(0=LEN(ReferenceData!$G$187),"",ReferenceData!$G$187),"")</f>
        <v>68.883678840000002</v>
      </c>
      <c r="H187">
        <f ca="1">IFERROR(IF(0=LEN(ReferenceData!$H$187),"",ReferenceData!$H$187),"")</f>
        <v>80.55069263</v>
      </c>
      <c r="I187">
        <f ca="1">IFERROR(IF(0=LEN(ReferenceData!$I$187),"",ReferenceData!$I$187),"")</f>
        <v>91.165972550000006</v>
      </c>
      <c r="J187">
        <f ca="1">IFERROR(IF(0=LEN(ReferenceData!$J$187),"",ReferenceData!$J$187),"")</f>
        <v>91.687239570000003</v>
      </c>
      <c r="K187">
        <f ca="1">IFERROR(IF(0=LEN(ReferenceData!$K$187),"",ReferenceData!$K$187),"")</f>
        <v>92.728272000000004</v>
      </c>
      <c r="L187">
        <f ca="1">IFERROR(IF(0=LEN(ReferenceData!$L$187),"",ReferenceData!$L$187),"")</f>
        <v>94.008431229999999</v>
      </c>
      <c r="M187">
        <f ca="1">IFERROR(IF(0=LEN(ReferenceData!$M$187),"",ReferenceData!$M$187),"")</f>
        <v>94.643630810000005</v>
      </c>
      <c r="N187">
        <f ca="1">IFERROR(IF(0=LEN(ReferenceData!$N$187),"",ReferenceData!$N$187),"")</f>
        <v>95.134759029999998</v>
      </c>
      <c r="O187">
        <f ca="1">IFERROR(IF(0=LEN(ReferenceData!$O$187),"",ReferenceData!$O$187),"")</f>
        <v>96.154673279999997</v>
      </c>
      <c r="P187">
        <f ca="1">IFERROR(IF(0=LEN(ReferenceData!$P$187),"",ReferenceData!$P$187),"")</f>
        <v>96.382942270000001</v>
      </c>
      <c r="Q187">
        <f ca="1">IFERROR(IF(0=LEN(ReferenceData!$Q$187),"",ReferenceData!$Q$187),"")</f>
        <v>97.411388560000006</v>
      </c>
      <c r="R187">
        <f ca="1">IFERROR(IF(0=LEN(ReferenceData!$R$187),"",ReferenceData!$R$187),"")</f>
        <v>97.972940300000005</v>
      </c>
      <c r="S187">
        <f ca="1">IFERROR(IF(0=LEN(ReferenceData!$S$187),"",ReferenceData!$S$187),"")</f>
        <v>97.727829150000005</v>
      </c>
      <c r="T187">
        <f ca="1">IFERROR(IF(0=LEN(ReferenceData!$T$187),"",ReferenceData!$T$187),"")</f>
        <v>97.406565279999995</v>
      </c>
      <c r="U187">
        <f ca="1">IFERROR(IF(0=LEN(ReferenceData!$U$187),"",ReferenceData!$U$187),"")</f>
        <v>97.560015460000002</v>
      </c>
      <c r="V187">
        <f ca="1">IFERROR(IF(0=LEN(ReferenceData!$V$187),"",ReferenceData!$V$187),"")</f>
        <v>96.587569939999995</v>
      </c>
      <c r="W187">
        <f ca="1">IFERROR(IF(0=LEN(ReferenceData!$W$187),"",ReferenceData!$W$187),"")</f>
        <v>96.066849189999999</v>
      </c>
      <c r="X187">
        <f ca="1">IFERROR(IF(0=LEN(ReferenceData!$X$187),"",ReferenceData!$X$187),"")</f>
        <v>75.072959100000006</v>
      </c>
      <c r="Y187">
        <f ca="1">IFERROR(IF(0=LEN(ReferenceData!$Y$187),"",ReferenceData!$Y$187),"")</f>
        <v>77.052881650000003</v>
      </c>
      <c r="Z187">
        <f ca="1">IFERROR(IF(0=LEN(ReferenceData!$Z$187),"",ReferenceData!$Z$187),"")</f>
        <v>77.260873340000003</v>
      </c>
      <c r="AA187">
        <f ca="1">IFERROR(IF(0=LEN(ReferenceData!$AA$187),"",ReferenceData!$AA$187),"")</f>
        <v>78.446910529999997</v>
      </c>
      <c r="AB187">
        <f ca="1">IFERROR(IF(0=LEN(ReferenceData!$AB$187),"",ReferenceData!$AB$187),"")</f>
        <v>86.665399120000004</v>
      </c>
      <c r="AC187">
        <f ca="1">IFERROR(IF(0=LEN(ReferenceData!$AC$187),"",ReferenceData!$AC$187),"")</f>
        <v>86.373685620000003</v>
      </c>
      <c r="AD187" t="str">
        <f ca="1">IFERROR(IF(0=LEN(ReferenceData!$AD$187),"",ReferenceData!$AD$187),"")</f>
        <v/>
      </c>
      <c r="AE187" t="str">
        <f ca="1">IFERROR(IF(0=LEN(ReferenceData!$AE$187),"",ReferenceData!$AE$187),"")</f>
        <v/>
      </c>
      <c r="AF187" t="str">
        <f ca="1">IFERROR(IF(0=LEN(ReferenceData!$AF$187),"",ReferenceData!$AF$187),"")</f>
        <v/>
      </c>
      <c r="AG187" t="str">
        <f ca="1">IFERROR(IF(0=LEN(ReferenceData!$AG$187),"",ReferenceData!$AG$187),"")</f>
        <v/>
      </c>
      <c r="AH187" t="str">
        <f ca="1">IFERROR(IF(0=LEN(ReferenceData!$AH$187),"",ReferenceData!$AH$187),"")</f>
        <v/>
      </c>
      <c r="AI187" t="str">
        <f ca="1">IFERROR(IF(0=LEN(ReferenceData!$AI$187),"",ReferenceData!$AI$187),"")</f>
        <v/>
      </c>
      <c r="AJ187" t="str">
        <f ca="1">IFERROR(IF(0=LEN(ReferenceData!$AJ$187),"",ReferenceData!$AJ$187),"")</f>
        <v/>
      </c>
      <c r="AK187" t="str">
        <f ca="1">IFERROR(IF(0=LEN(ReferenceData!$AK$187),"",ReferenceData!$AK$187),"")</f>
        <v/>
      </c>
      <c r="AL187" t="str">
        <f ca="1">IFERROR(IF(0=LEN(ReferenceData!$AL$187),"",ReferenceData!$AL$187),"")</f>
        <v/>
      </c>
    </row>
    <row r="188" spans="1:38" x14ac:dyDescent="0.25">
      <c r="A188" t="str">
        <f>IFERROR(IF(0=LEN(ReferenceData!$A$188),"",ReferenceData!$A$188),"")</f>
        <v xml:space="preserve">        Huntington Bancshares Inc/OH</v>
      </c>
      <c r="B188" t="str">
        <f>IFERROR(IF(0=LEN(ReferenceData!$B$188),"",ReferenceData!$B$188),"")</f>
        <v>HBAN US Equity</v>
      </c>
      <c r="C188" t="str">
        <f>IFERROR(IF(0=LEN(ReferenceData!$C$188),"",ReferenceData!$C$188),"")</f>
        <v>F0109</v>
      </c>
      <c r="D188" t="str">
        <f>IFERROR(IF(0=LEN(ReferenceData!$D$188),"",ReferenceData!$D$188),"")</f>
        <v>FED_RE_LNS_DOM_%_TOT_LNS_LEAS</v>
      </c>
      <c r="E188" t="str">
        <f>IFERROR(IF(0=LEN(ReferenceData!$E$188),"",ReferenceData!$E$188),"")</f>
        <v>Dynamic</v>
      </c>
      <c r="F188">
        <f ca="1">IFERROR(IF(0=LEN(ReferenceData!$F$188),"",ReferenceData!$F$188),"")</f>
        <v>40.922491399999998</v>
      </c>
      <c r="G188">
        <f ca="1">IFERROR(IF(0=LEN(ReferenceData!$G$188),"",ReferenceData!$G$188),"")</f>
        <v>43.594377000000001</v>
      </c>
      <c r="H188">
        <f ca="1">IFERROR(IF(0=LEN(ReferenceData!$H$188),"",ReferenceData!$H$188),"")</f>
        <v>44.007891809999997</v>
      </c>
      <c r="I188">
        <f ca="1">IFERROR(IF(0=LEN(ReferenceData!$I$188),"",ReferenceData!$I$188),"")</f>
        <v>44.716898989999997</v>
      </c>
      <c r="J188">
        <f ca="1">IFERROR(IF(0=LEN(ReferenceData!$J$188),"",ReferenceData!$J$188),"")</f>
        <v>39.122360649999997</v>
      </c>
      <c r="K188">
        <f ca="1">IFERROR(IF(0=LEN(ReferenceData!$K$188),"",ReferenceData!$K$188),"")</f>
        <v>40.538278290000001</v>
      </c>
      <c r="L188">
        <f ca="1">IFERROR(IF(0=LEN(ReferenceData!$L$188),"",ReferenceData!$L$188),"")</f>
        <v>41.044836789999998</v>
      </c>
      <c r="M188">
        <f ca="1">IFERROR(IF(0=LEN(ReferenceData!$M$188),"",ReferenceData!$M$188),"")</f>
        <v>42.531347740000001</v>
      </c>
      <c r="N188">
        <f ca="1">IFERROR(IF(0=LEN(ReferenceData!$N$188),"",ReferenceData!$N$188),"")</f>
        <v>44.14472524</v>
      </c>
      <c r="O188">
        <f ca="1">IFERROR(IF(0=LEN(ReferenceData!$O$188),"",ReferenceData!$O$188),"")</f>
        <v>44.494243949999998</v>
      </c>
      <c r="P188">
        <f ca="1">IFERROR(IF(0=LEN(ReferenceData!$P$188),"",ReferenceData!$P$188),"")</f>
        <v>47.69502086</v>
      </c>
      <c r="Q188">
        <f ca="1">IFERROR(IF(0=LEN(ReferenceData!$Q$188),"",ReferenceData!$Q$188),"")</f>
        <v>50.565757589999997</v>
      </c>
      <c r="R188">
        <f ca="1">IFERROR(IF(0=LEN(ReferenceData!$R$188),"",ReferenceData!$R$188),"")</f>
        <v>53.13423804</v>
      </c>
      <c r="S188">
        <f ca="1">IFERROR(IF(0=LEN(ReferenceData!$S$188),"",ReferenceData!$S$188),"")</f>
        <v>55.903683209999997</v>
      </c>
      <c r="T188">
        <f ca="1">IFERROR(IF(0=LEN(ReferenceData!$T$188),"",ReferenceData!$T$188),"")</f>
        <v>58.658938460000002</v>
      </c>
      <c r="U188">
        <f ca="1">IFERROR(IF(0=LEN(ReferenceData!$U$188),"",ReferenceData!$U$188),"")</f>
        <v>64.578855279999999</v>
      </c>
      <c r="V188">
        <f ca="1">IFERROR(IF(0=LEN(ReferenceData!$V$188),"",ReferenceData!$V$188),"")</f>
        <v>62.596640919999999</v>
      </c>
      <c r="W188">
        <f ca="1">IFERROR(IF(0=LEN(ReferenceData!$W$188),"",ReferenceData!$W$188),"")</f>
        <v>63.700400719999998</v>
      </c>
      <c r="X188">
        <f ca="1">IFERROR(IF(0=LEN(ReferenceData!$X$188),"",ReferenceData!$X$188),"")</f>
        <v>38.621438910000002</v>
      </c>
      <c r="Y188">
        <f ca="1">IFERROR(IF(0=LEN(ReferenceData!$Y$188),"",ReferenceData!$Y$188),"")</f>
        <v>38.897270839999997</v>
      </c>
      <c r="Z188">
        <f ca="1">IFERROR(IF(0=LEN(ReferenceData!$Z$188),"",ReferenceData!$Z$188),"")</f>
        <v>38.800549060000002</v>
      </c>
      <c r="AA188">
        <f ca="1">IFERROR(IF(0=LEN(ReferenceData!$AA$188),"",ReferenceData!$AA$188),"")</f>
        <v>31.140314149999998</v>
      </c>
      <c r="AB188">
        <f ca="1">IFERROR(IF(0=LEN(ReferenceData!$AB$188),"",ReferenceData!$AB$188),"")</f>
        <v>30.159998519999998</v>
      </c>
      <c r="AC188">
        <f ca="1">IFERROR(IF(0=LEN(ReferenceData!$AC$188),"",ReferenceData!$AC$188),"")</f>
        <v>29.41065017</v>
      </c>
      <c r="AD188" t="str">
        <f ca="1">IFERROR(IF(0=LEN(ReferenceData!$AD$188),"",ReferenceData!$AD$188),"")</f>
        <v/>
      </c>
      <c r="AE188" t="str">
        <f ca="1">IFERROR(IF(0=LEN(ReferenceData!$AE$188),"",ReferenceData!$AE$188),"")</f>
        <v/>
      </c>
      <c r="AF188" t="str">
        <f ca="1">IFERROR(IF(0=LEN(ReferenceData!$AF$188),"",ReferenceData!$AF$188),"")</f>
        <v/>
      </c>
      <c r="AG188" t="str">
        <f ca="1">IFERROR(IF(0=LEN(ReferenceData!$AG$188),"",ReferenceData!$AG$188),"")</f>
        <v/>
      </c>
      <c r="AH188" t="str">
        <f ca="1">IFERROR(IF(0=LEN(ReferenceData!$AH$188),"",ReferenceData!$AH$188),"")</f>
        <v/>
      </c>
      <c r="AI188" t="str">
        <f ca="1">IFERROR(IF(0=LEN(ReferenceData!$AI$188),"",ReferenceData!$AI$188),"")</f>
        <v/>
      </c>
      <c r="AJ188" t="str">
        <f ca="1">IFERROR(IF(0=LEN(ReferenceData!$AJ$188),"",ReferenceData!$AJ$188),"")</f>
        <v/>
      </c>
      <c r="AK188" t="str">
        <f ca="1">IFERROR(IF(0=LEN(ReferenceData!$AK$188),"",ReferenceData!$AK$188),"")</f>
        <v/>
      </c>
      <c r="AL188" t="str">
        <f ca="1">IFERROR(IF(0=LEN(ReferenceData!$AL$188),"",ReferenceData!$AL$188),"")</f>
        <v/>
      </c>
    </row>
    <row r="189" spans="1:38" x14ac:dyDescent="0.25">
      <c r="A189" t="str">
        <f>IFERROR(IF(0=LEN(ReferenceData!$A$189),"",ReferenceData!$A$189),"")</f>
        <v xml:space="preserve">        JPMorgan Chase &amp; Co</v>
      </c>
      <c r="B189" t="str">
        <f>IFERROR(IF(0=LEN(ReferenceData!$B$189),"",ReferenceData!$B$189),"")</f>
        <v>JPM US Equity</v>
      </c>
      <c r="C189" t="str">
        <f>IFERROR(IF(0=LEN(ReferenceData!$C$189),"",ReferenceData!$C$189),"")</f>
        <v>F0109</v>
      </c>
      <c r="D189" t="str">
        <f>IFERROR(IF(0=LEN(ReferenceData!$D$189),"",ReferenceData!$D$189),"")</f>
        <v>FED_RE_LNS_DOM_%_TOT_LNS_LEAS</v>
      </c>
      <c r="E189" t="str">
        <f>IFERROR(IF(0=LEN(ReferenceData!$E$189),"",ReferenceData!$E$189),"")</f>
        <v>Dynamic</v>
      </c>
      <c r="F189">
        <f ca="1">IFERROR(IF(0=LEN(ReferenceData!$F$189),"",ReferenceData!$F$189),"")</f>
        <v>35.106081289999999</v>
      </c>
      <c r="G189">
        <f ca="1">IFERROR(IF(0=LEN(ReferenceData!$G$189),"",ReferenceData!$G$189),"")</f>
        <v>36.767627570000002</v>
      </c>
      <c r="H189">
        <f ca="1">IFERROR(IF(0=LEN(ReferenceData!$H$189),"",ReferenceData!$H$189),"")</f>
        <v>32.043803509999996</v>
      </c>
      <c r="I189">
        <f ca="1">IFERROR(IF(0=LEN(ReferenceData!$I$189),"",ReferenceData!$I$189),"")</f>
        <v>33.182840079999998</v>
      </c>
      <c r="J189">
        <f ca="1">IFERROR(IF(0=LEN(ReferenceData!$J$189),"",ReferenceData!$J$189),"")</f>
        <v>34.603866949999997</v>
      </c>
      <c r="K189">
        <f ca="1">IFERROR(IF(0=LEN(ReferenceData!$K$189),"",ReferenceData!$K$189),"")</f>
        <v>37.231853829999999</v>
      </c>
      <c r="L189">
        <f ca="1">IFERROR(IF(0=LEN(ReferenceData!$L$189),"",ReferenceData!$L$189),"")</f>
        <v>39.67785645</v>
      </c>
      <c r="M189">
        <f ca="1">IFERROR(IF(0=LEN(ReferenceData!$M$189),"",ReferenceData!$M$189),"")</f>
        <v>41.49424819</v>
      </c>
      <c r="N189">
        <f ca="1">IFERROR(IF(0=LEN(ReferenceData!$N$189),"",ReferenceData!$N$189),"")</f>
        <v>41.326649189999998</v>
      </c>
      <c r="O189">
        <f ca="1">IFERROR(IF(0=LEN(ReferenceData!$O$189),"",ReferenceData!$O$189),"")</f>
        <v>40.943916530000003</v>
      </c>
      <c r="P189">
        <f ca="1">IFERROR(IF(0=LEN(ReferenceData!$P$189),"",ReferenceData!$P$189),"")</f>
        <v>37.256879490000003</v>
      </c>
      <c r="Q189">
        <f ca="1">IFERROR(IF(0=LEN(ReferenceData!$Q$189),"",ReferenceData!$Q$189),"")</f>
        <v>37.167365480000001</v>
      </c>
      <c r="R189">
        <f ca="1">IFERROR(IF(0=LEN(ReferenceData!$R$189),"",ReferenceData!$R$189),"")</f>
        <v>37.477790259999999</v>
      </c>
      <c r="S189">
        <f ca="1">IFERROR(IF(0=LEN(ReferenceData!$S$189),"",ReferenceData!$S$189),"")</f>
        <v>39.692041600000003</v>
      </c>
      <c r="T189">
        <f ca="1">IFERROR(IF(0=LEN(ReferenceData!$T$189),"",ReferenceData!$T$189),"")</f>
        <v>42.625343569999998</v>
      </c>
      <c r="U189">
        <f ca="1">IFERROR(IF(0=LEN(ReferenceData!$U$189),"",ReferenceData!$U$189),"")</f>
        <v>51.286156589999997</v>
      </c>
      <c r="V189">
        <f ca="1">IFERROR(IF(0=LEN(ReferenceData!$V$189),"",ReferenceData!$V$189),"")</f>
        <v>48.142635310000003</v>
      </c>
      <c r="W189">
        <f ca="1">IFERROR(IF(0=LEN(ReferenceData!$W$189),"",ReferenceData!$W$189),"")</f>
        <v>35.62816368</v>
      </c>
      <c r="X189">
        <f ca="1">IFERROR(IF(0=LEN(ReferenceData!$X$189),"",ReferenceData!$X$189),"")</f>
        <v>33.297041980000003</v>
      </c>
      <c r="Y189">
        <f ca="1">IFERROR(IF(0=LEN(ReferenceData!$Y$189),"",ReferenceData!$Y$189),"")</f>
        <v>32.969248450000002</v>
      </c>
      <c r="Z189">
        <f ca="1">IFERROR(IF(0=LEN(ReferenceData!$Z$189),"",ReferenceData!$Z$189),"")</f>
        <v>30.957781279999999</v>
      </c>
      <c r="AA189">
        <f ca="1">IFERROR(IF(0=LEN(ReferenceData!$AA$189),"",ReferenceData!$AA$189),"")</f>
        <v>33.364006600000003</v>
      </c>
      <c r="AB189">
        <f ca="1">IFERROR(IF(0=LEN(ReferenceData!$AB$189),"",ReferenceData!$AB$189),"")</f>
        <v>29.384563450000002</v>
      </c>
      <c r="AC189">
        <f ca="1">IFERROR(IF(0=LEN(ReferenceData!$AC$189),"",ReferenceData!$AC$189),"")</f>
        <v>27.309484489999999</v>
      </c>
      <c r="AD189" t="str">
        <f ca="1">IFERROR(IF(0=LEN(ReferenceData!$AD$189),"",ReferenceData!$AD$189),"")</f>
        <v/>
      </c>
      <c r="AE189" t="str">
        <f ca="1">IFERROR(IF(0=LEN(ReferenceData!$AE$189),"",ReferenceData!$AE$189),"")</f>
        <v/>
      </c>
      <c r="AF189" t="str">
        <f ca="1">IFERROR(IF(0=LEN(ReferenceData!$AF$189),"",ReferenceData!$AF$189),"")</f>
        <v/>
      </c>
      <c r="AG189" t="str">
        <f ca="1">IFERROR(IF(0=LEN(ReferenceData!$AG$189),"",ReferenceData!$AG$189),"")</f>
        <v/>
      </c>
      <c r="AH189" t="str">
        <f ca="1">IFERROR(IF(0=LEN(ReferenceData!$AH$189),"",ReferenceData!$AH$189),"")</f>
        <v/>
      </c>
      <c r="AI189" t="str">
        <f ca="1">IFERROR(IF(0=LEN(ReferenceData!$AI$189),"",ReferenceData!$AI$189),"")</f>
        <v/>
      </c>
      <c r="AJ189" t="str">
        <f ca="1">IFERROR(IF(0=LEN(ReferenceData!$AJ$189),"",ReferenceData!$AJ$189),"")</f>
        <v/>
      </c>
      <c r="AK189" t="str">
        <f ca="1">IFERROR(IF(0=LEN(ReferenceData!$AK$189),"",ReferenceData!$AK$189),"")</f>
        <v/>
      </c>
      <c r="AL189" t="str">
        <f ca="1">IFERROR(IF(0=LEN(ReferenceData!$AL$189),"",ReferenceData!$AL$189),"")</f>
        <v/>
      </c>
    </row>
    <row r="190" spans="1:38" x14ac:dyDescent="0.25">
      <c r="A190" t="str">
        <f>IFERROR(IF(0=LEN(ReferenceData!$A$190),"",ReferenceData!$A$190),"")</f>
        <v xml:space="preserve">        KeyCorp</v>
      </c>
      <c r="B190" t="str">
        <f>IFERROR(IF(0=LEN(ReferenceData!$B$190),"",ReferenceData!$B$190),"")</f>
        <v>KEY US Equity</v>
      </c>
      <c r="C190" t="str">
        <f>IFERROR(IF(0=LEN(ReferenceData!$C$190),"",ReferenceData!$C$190),"")</f>
        <v>F0109</v>
      </c>
      <c r="D190" t="str">
        <f>IFERROR(IF(0=LEN(ReferenceData!$D$190),"",ReferenceData!$D$190),"")</f>
        <v>FED_RE_LNS_DOM_%_TOT_LNS_LEAS</v>
      </c>
      <c r="E190" t="str">
        <f>IFERROR(IF(0=LEN(ReferenceData!$E$190),"",ReferenceData!$E$190),"")</f>
        <v>Dynamic</v>
      </c>
      <c r="F190">
        <f ca="1">IFERROR(IF(0=LEN(ReferenceData!$F$190),"",ReferenceData!$F$190),"")</f>
        <v>41.015468540000001</v>
      </c>
      <c r="G190">
        <f ca="1">IFERROR(IF(0=LEN(ReferenceData!$G$190),"",ReferenceData!$G$190),"")</f>
        <v>41.245762300000003</v>
      </c>
      <c r="H190">
        <f ca="1">IFERROR(IF(0=LEN(ReferenceData!$H$190),"",ReferenceData!$H$190),"")</f>
        <v>40.30432347</v>
      </c>
      <c r="I190">
        <f ca="1">IFERROR(IF(0=LEN(ReferenceData!$I$190),"",ReferenceData!$I$190),"")</f>
        <v>39.709442709999998</v>
      </c>
      <c r="J190">
        <f ca="1">IFERROR(IF(0=LEN(ReferenceData!$J$190),"",ReferenceData!$J$190),"")</f>
        <v>33.445827899999998</v>
      </c>
      <c r="K190">
        <f ca="1">IFERROR(IF(0=LEN(ReferenceData!$K$190),"",ReferenceData!$K$190),"")</f>
        <v>34.341604109999999</v>
      </c>
      <c r="L190">
        <f ca="1">IFERROR(IF(0=LEN(ReferenceData!$L$190),"",ReferenceData!$L$190),"")</f>
        <v>36.541213200000001</v>
      </c>
      <c r="M190">
        <f ca="1">IFERROR(IF(0=LEN(ReferenceData!$M$190),"",ReferenceData!$M$190),"")</f>
        <v>38.834632599999999</v>
      </c>
      <c r="N190">
        <f ca="1">IFERROR(IF(0=LEN(ReferenceData!$N$190),"",ReferenceData!$N$190),"")</f>
        <v>41.417891359999999</v>
      </c>
      <c r="O190">
        <f ca="1">IFERROR(IF(0=LEN(ReferenceData!$O$190),"",ReferenceData!$O$190),"")</f>
        <v>35.497419999999998</v>
      </c>
      <c r="P190">
        <f ca="1">IFERROR(IF(0=LEN(ReferenceData!$P$190),"",ReferenceData!$P$190),"")</f>
        <v>37.512328779999997</v>
      </c>
      <c r="Q190">
        <f ca="1">IFERROR(IF(0=LEN(ReferenceData!$Q$190),"",ReferenceData!$Q$190),"")</f>
        <v>36.930828030000001</v>
      </c>
      <c r="R190">
        <f ca="1">IFERROR(IF(0=LEN(ReferenceData!$R$190),"",ReferenceData!$R$190),"")</f>
        <v>37.011832929999997</v>
      </c>
      <c r="S190">
        <f ca="1">IFERROR(IF(0=LEN(ReferenceData!$S$190),"",ReferenceData!$S$190),"")</f>
        <v>38.770454890000003</v>
      </c>
      <c r="T190">
        <f ca="1">IFERROR(IF(0=LEN(ReferenceData!$T$190),"",ReferenceData!$T$190),"")</f>
        <v>41.892953509999998</v>
      </c>
      <c r="U190">
        <f ca="1">IFERROR(IF(0=LEN(ReferenceData!$U$190),"",ReferenceData!$U$190),"")</f>
        <v>44.768231980000003</v>
      </c>
      <c r="V190">
        <f ca="1">IFERROR(IF(0=LEN(ReferenceData!$V$190),"",ReferenceData!$V$190),"")</f>
        <v>41.44613511</v>
      </c>
      <c r="W190">
        <f ca="1">IFERROR(IF(0=LEN(ReferenceData!$W$190),"",ReferenceData!$W$190),"")</f>
        <v>41.747884200000001</v>
      </c>
      <c r="X190">
        <f ca="1">IFERROR(IF(0=LEN(ReferenceData!$X$190),"",ReferenceData!$X$190),"")</f>
        <v>19.16747032</v>
      </c>
      <c r="Y190">
        <f ca="1">IFERROR(IF(0=LEN(ReferenceData!$Y$190),"",ReferenceData!$Y$190),"")</f>
        <v>22.506417209999999</v>
      </c>
      <c r="Z190">
        <f ca="1">IFERROR(IF(0=LEN(ReferenceData!$Z$190),"",ReferenceData!$Z$190),"")</f>
        <v>23.772908099999999</v>
      </c>
      <c r="AA190">
        <f ca="1">IFERROR(IF(0=LEN(ReferenceData!$AA$190),"",ReferenceData!$AA$190),"")</f>
        <v>27.449950009999998</v>
      </c>
      <c r="AB190">
        <f ca="1">IFERROR(IF(0=LEN(ReferenceData!$AB$190),"",ReferenceData!$AB$190),"")</f>
        <v>26.435229700000001</v>
      </c>
      <c r="AC190">
        <f ca="1">IFERROR(IF(0=LEN(ReferenceData!$AC$190),"",ReferenceData!$AC$190),"")</f>
        <v>22.272272019999999</v>
      </c>
      <c r="AD190" t="str">
        <f ca="1">IFERROR(IF(0=LEN(ReferenceData!$AD$190),"",ReferenceData!$AD$190),"")</f>
        <v/>
      </c>
      <c r="AE190" t="str">
        <f ca="1">IFERROR(IF(0=LEN(ReferenceData!$AE$190),"",ReferenceData!$AE$190),"")</f>
        <v/>
      </c>
      <c r="AF190" t="str">
        <f ca="1">IFERROR(IF(0=LEN(ReferenceData!$AF$190),"",ReferenceData!$AF$190),"")</f>
        <v/>
      </c>
      <c r="AG190" t="str">
        <f ca="1">IFERROR(IF(0=LEN(ReferenceData!$AG$190),"",ReferenceData!$AG$190),"")</f>
        <v/>
      </c>
      <c r="AH190" t="str">
        <f ca="1">IFERROR(IF(0=LEN(ReferenceData!$AH$190),"",ReferenceData!$AH$190),"")</f>
        <v/>
      </c>
      <c r="AI190" t="str">
        <f ca="1">IFERROR(IF(0=LEN(ReferenceData!$AI$190),"",ReferenceData!$AI$190),"")</f>
        <v/>
      </c>
      <c r="AJ190" t="str">
        <f ca="1">IFERROR(IF(0=LEN(ReferenceData!$AJ$190),"",ReferenceData!$AJ$190),"")</f>
        <v/>
      </c>
      <c r="AK190" t="str">
        <f ca="1">IFERROR(IF(0=LEN(ReferenceData!$AK$190),"",ReferenceData!$AK$190),"")</f>
        <v/>
      </c>
      <c r="AL190" t="str">
        <f ca="1">IFERROR(IF(0=LEN(ReferenceData!$AL$190),"",ReferenceData!$AL$190),"")</f>
        <v/>
      </c>
    </row>
    <row r="191" spans="1:38" x14ac:dyDescent="0.25">
      <c r="A191" t="str">
        <f>IFERROR(IF(0=LEN(ReferenceData!$A$191),"",ReferenceData!$A$191),"")</f>
        <v xml:space="preserve">        M&amp;T Bank Corp</v>
      </c>
      <c r="B191" t="str">
        <f>IFERROR(IF(0=LEN(ReferenceData!$B$191),"",ReferenceData!$B$191),"")</f>
        <v>MTB US Equity</v>
      </c>
      <c r="C191" t="str">
        <f>IFERROR(IF(0=LEN(ReferenceData!$C$191),"",ReferenceData!$C$191),"")</f>
        <v>F0109</v>
      </c>
      <c r="D191" t="str">
        <f>IFERROR(IF(0=LEN(ReferenceData!$D$191),"",ReferenceData!$D$191),"")</f>
        <v>FED_RE_LNS_DOM_%_TOT_LNS_LEAS</v>
      </c>
      <c r="E191" t="str">
        <f>IFERROR(IF(0=LEN(ReferenceData!$E$191),"",ReferenceData!$E$191),"")</f>
        <v>Dynamic</v>
      </c>
      <c r="F191">
        <f ca="1">IFERROR(IF(0=LEN(ReferenceData!$F$191),"",ReferenceData!$F$191),"")</f>
        <v>47.355129410000004</v>
      </c>
      <c r="G191">
        <f ca="1">IFERROR(IF(0=LEN(ReferenceData!$G$191),"",ReferenceData!$G$191),"")</f>
        <v>51.825317320000003</v>
      </c>
      <c r="H191">
        <f ca="1">IFERROR(IF(0=LEN(ReferenceData!$H$191),"",ReferenceData!$H$191),"")</f>
        <v>55.640250539999997</v>
      </c>
      <c r="I191">
        <f ca="1">IFERROR(IF(0=LEN(ReferenceData!$I$191),"",ReferenceData!$I$191),"")</f>
        <v>58.609892250000001</v>
      </c>
      <c r="J191">
        <f ca="1">IFERROR(IF(0=LEN(ReferenceData!$J$191),"",ReferenceData!$J$191),"")</f>
        <v>59.165279380000001</v>
      </c>
      <c r="K191">
        <f ca="1">IFERROR(IF(0=LEN(ReferenceData!$K$191),"",ReferenceData!$K$191),"")</f>
        <v>61.745801270000001</v>
      </c>
      <c r="L191">
        <f ca="1">IFERROR(IF(0=LEN(ReferenceData!$L$191),"",ReferenceData!$L$191),"")</f>
        <v>63.702977570000002</v>
      </c>
      <c r="M191">
        <f ca="1">IFERROR(IF(0=LEN(ReferenceData!$M$191),"",ReferenceData!$M$191),"")</f>
        <v>66.170886420000002</v>
      </c>
      <c r="N191">
        <f ca="1">IFERROR(IF(0=LEN(ReferenceData!$N$191),"",ReferenceData!$N$191),"")</f>
        <v>67.877881439999996</v>
      </c>
      <c r="O191">
        <f ca="1">IFERROR(IF(0=LEN(ReferenceData!$O$191),"",ReferenceData!$O$191),"")</f>
        <v>70.156433289999995</v>
      </c>
      <c r="P191">
        <f ca="1">IFERROR(IF(0=LEN(ReferenceData!$P$191),"",ReferenceData!$P$191),"")</f>
        <v>63.16256877</v>
      </c>
      <c r="Q191">
        <f ca="1">IFERROR(IF(0=LEN(ReferenceData!$Q$191),"",ReferenceData!$Q$191),"")</f>
        <v>64.263009100000005</v>
      </c>
      <c r="R191">
        <f ca="1">IFERROR(IF(0=LEN(ReferenceData!$R$191),"",ReferenceData!$R$191),"")</f>
        <v>65.345793360000002</v>
      </c>
      <c r="S191">
        <f ca="1">IFERROR(IF(0=LEN(ReferenceData!$S$191),"",ReferenceData!$S$191),"")</f>
        <v>64.808071679999998</v>
      </c>
      <c r="T191">
        <f ca="1">IFERROR(IF(0=LEN(ReferenceData!$T$191),"",ReferenceData!$T$191),"")</f>
        <v>64.59363003</v>
      </c>
      <c r="U191">
        <f ca="1">IFERROR(IF(0=LEN(ReferenceData!$U$191),"",ReferenceData!$U$191),"")</f>
        <v>63.835045229999999</v>
      </c>
      <c r="V191">
        <f ca="1">IFERROR(IF(0=LEN(ReferenceData!$V$191),"",ReferenceData!$V$191),"")</f>
        <v>59.869022049999998</v>
      </c>
      <c r="W191">
        <f ca="1">IFERROR(IF(0=LEN(ReferenceData!$W$191),"",ReferenceData!$W$191),"")</f>
        <v>60.40230845</v>
      </c>
      <c r="X191">
        <f ca="1">IFERROR(IF(0=LEN(ReferenceData!$X$191),"",ReferenceData!$X$191),"")</f>
        <v>29.75408208</v>
      </c>
      <c r="Y191">
        <f ca="1">IFERROR(IF(0=LEN(ReferenceData!$Y$191),"",ReferenceData!$Y$191),"")</f>
        <v>28.231383359999999</v>
      </c>
      <c r="Z191">
        <f ca="1">IFERROR(IF(0=LEN(ReferenceData!$Z$191),"",ReferenceData!$Z$191),"")</f>
        <v>27.506494589999999</v>
      </c>
      <c r="AA191">
        <f ca="1">IFERROR(IF(0=LEN(ReferenceData!$AA$191),"",ReferenceData!$AA$191),"")</f>
        <v>27.53748324</v>
      </c>
      <c r="AB191">
        <f ca="1">IFERROR(IF(0=LEN(ReferenceData!$AB$191),"",ReferenceData!$AB$191),"")</f>
        <v>29.586143140000001</v>
      </c>
      <c r="AC191">
        <f ca="1">IFERROR(IF(0=LEN(ReferenceData!$AC$191),"",ReferenceData!$AC$191),"")</f>
        <v>34.391450450000001</v>
      </c>
      <c r="AD191" t="str">
        <f ca="1">IFERROR(IF(0=LEN(ReferenceData!$AD$191),"",ReferenceData!$AD$191),"")</f>
        <v/>
      </c>
      <c r="AE191" t="str">
        <f ca="1">IFERROR(IF(0=LEN(ReferenceData!$AE$191),"",ReferenceData!$AE$191),"")</f>
        <v/>
      </c>
      <c r="AF191" t="str">
        <f ca="1">IFERROR(IF(0=LEN(ReferenceData!$AF$191),"",ReferenceData!$AF$191),"")</f>
        <v/>
      </c>
      <c r="AG191" t="str">
        <f ca="1">IFERROR(IF(0=LEN(ReferenceData!$AG$191),"",ReferenceData!$AG$191),"")</f>
        <v/>
      </c>
      <c r="AH191" t="str">
        <f ca="1">IFERROR(IF(0=LEN(ReferenceData!$AH$191),"",ReferenceData!$AH$191),"")</f>
        <v/>
      </c>
      <c r="AI191" t="str">
        <f ca="1">IFERROR(IF(0=LEN(ReferenceData!$AI$191),"",ReferenceData!$AI$191),"")</f>
        <v/>
      </c>
      <c r="AJ191" t="str">
        <f ca="1">IFERROR(IF(0=LEN(ReferenceData!$AJ$191),"",ReferenceData!$AJ$191),"")</f>
        <v/>
      </c>
      <c r="AK191" t="str">
        <f ca="1">IFERROR(IF(0=LEN(ReferenceData!$AK$191),"",ReferenceData!$AK$191),"")</f>
        <v/>
      </c>
      <c r="AL191" t="str">
        <f ca="1">IFERROR(IF(0=LEN(ReferenceData!$AL$191),"",ReferenceData!$AL$191),"")</f>
        <v/>
      </c>
    </row>
    <row r="192" spans="1:38" x14ac:dyDescent="0.25">
      <c r="A192" t="str">
        <f>IFERROR(IF(0=LEN(ReferenceData!$A$192),"",ReferenceData!$A$192),"")</f>
        <v xml:space="preserve">        PNC Financial Services Group I</v>
      </c>
      <c r="B192" t="str">
        <f>IFERROR(IF(0=LEN(ReferenceData!$B$192),"",ReferenceData!$B$192),"")</f>
        <v>PNC US Equity</v>
      </c>
      <c r="C192" t="str">
        <f>IFERROR(IF(0=LEN(ReferenceData!$C$192),"",ReferenceData!$C$192),"")</f>
        <v>F0109</v>
      </c>
      <c r="D192" t="str">
        <f>IFERROR(IF(0=LEN(ReferenceData!$D$192),"",ReferenceData!$D$192),"")</f>
        <v>FED_RE_LNS_DOM_%_TOT_LNS_LEAS</v>
      </c>
      <c r="E192" t="str">
        <f>IFERROR(IF(0=LEN(ReferenceData!$E$192),"",ReferenceData!$E$192),"")</f>
        <v>Dynamic</v>
      </c>
      <c r="F192" t="str">
        <f ca="1">IFERROR(IF(0=LEN(ReferenceData!$F$192),"",ReferenceData!$F$192),"")</f>
        <v/>
      </c>
      <c r="G192">
        <f ca="1">IFERROR(IF(0=LEN(ReferenceData!$G$192),"",ReferenceData!$G$192),"")</f>
        <v>37.008748300000001</v>
      </c>
      <c r="H192">
        <f ca="1">IFERROR(IF(0=LEN(ReferenceData!$H$192),"",ReferenceData!$H$192),"")</f>
        <v>36.444345499999997</v>
      </c>
      <c r="I192">
        <f ca="1">IFERROR(IF(0=LEN(ReferenceData!$I$192),"",ReferenceData!$I$192),"")</f>
        <v>38.119940649999997</v>
      </c>
      <c r="J192">
        <f ca="1">IFERROR(IF(0=LEN(ReferenceData!$J$192),"",ReferenceData!$J$192),"")</f>
        <v>34.408538399999998</v>
      </c>
      <c r="K192">
        <f ca="1">IFERROR(IF(0=LEN(ReferenceData!$K$192),"",ReferenceData!$K$192),"")</f>
        <v>34.530472609999997</v>
      </c>
      <c r="L192">
        <f ca="1">IFERROR(IF(0=LEN(ReferenceData!$L$192),"",ReferenceData!$L$192),"")</f>
        <v>35.258518889999998</v>
      </c>
      <c r="M192">
        <f ca="1">IFERROR(IF(0=LEN(ReferenceData!$M$192),"",ReferenceData!$M$192),"")</f>
        <v>37.225291599999998</v>
      </c>
      <c r="N192">
        <f ca="1">IFERROR(IF(0=LEN(ReferenceData!$N$192),"",ReferenceData!$N$192),"")</f>
        <v>39.250271650000002</v>
      </c>
      <c r="O192">
        <f ca="1">IFERROR(IF(0=LEN(ReferenceData!$O$192),"",ReferenceData!$O$192),"")</f>
        <v>39.900916530000003</v>
      </c>
      <c r="P192">
        <f ca="1">IFERROR(IF(0=LEN(ReferenceData!$P$192),"",ReferenceData!$P$192),"")</f>
        <v>40.536903879999997</v>
      </c>
      <c r="Q192">
        <f ca="1">IFERROR(IF(0=LEN(ReferenceData!$Q$192),"",ReferenceData!$Q$192),"")</f>
        <v>43.179275789999998</v>
      </c>
      <c r="R192">
        <f ca="1">IFERROR(IF(0=LEN(ReferenceData!$R$192),"",ReferenceData!$R$192),"")</f>
        <v>44.677137850000001</v>
      </c>
      <c r="S192">
        <f ca="1">IFERROR(IF(0=LEN(ReferenceData!$S$192),"",ReferenceData!$S$192),"")</f>
        <v>47.037288420000003</v>
      </c>
      <c r="T192">
        <f ca="1">IFERROR(IF(0=LEN(ReferenceData!$T$192),"",ReferenceData!$T$192),"")</f>
        <v>52.202906069999997</v>
      </c>
      <c r="U192">
        <f ca="1">IFERROR(IF(0=LEN(ReferenceData!$U$192),"",ReferenceData!$U$192),"")</f>
        <v>56.411979279999997</v>
      </c>
      <c r="V192">
        <f ca="1">IFERROR(IF(0=LEN(ReferenceData!$V$192),"",ReferenceData!$V$192),"")</f>
        <v>55.377623270000001</v>
      </c>
      <c r="W192">
        <f ca="1">IFERROR(IF(0=LEN(ReferenceData!$W$192),"",ReferenceData!$W$192),"")</f>
        <v>55.16277127</v>
      </c>
      <c r="X192">
        <f ca="1">IFERROR(IF(0=LEN(ReferenceData!$X$192),"",ReferenceData!$X$192),"")</f>
        <v>39.729593860000001</v>
      </c>
      <c r="Y192">
        <f ca="1">IFERROR(IF(0=LEN(ReferenceData!$Y$192),"",ReferenceData!$Y$192),"")</f>
        <v>42.425117890000003</v>
      </c>
      <c r="Z192">
        <f ca="1">IFERROR(IF(0=LEN(ReferenceData!$Z$192),"",ReferenceData!$Z$192),"")</f>
        <v>40.002667219999999</v>
      </c>
      <c r="AA192">
        <f ca="1">IFERROR(IF(0=LEN(ReferenceData!$AA$192),"",ReferenceData!$AA$192),"")</f>
        <v>36.909080359999997</v>
      </c>
      <c r="AB192">
        <f ca="1">IFERROR(IF(0=LEN(ReferenceData!$AB$192),"",ReferenceData!$AB$192),"")</f>
        <v>33.650275229999998</v>
      </c>
      <c r="AC192">
        <f ca="1">IFERROR(IF(0=LEN(ReferenceData!$AC$192),"",ReferenceData!$AC$192),"")</f>
        <v>33.350330499999998</v>
      </c>
      <c r="AD192" t="str">
        <f ca="1">IFERROR(IF(0=LEN(ReferenceData!$AD$192),"",ReferenceData!$AD$192),"")</f>
        <v/>
      </c>
      <c r="AE192" t="str">
        <f ca="1">IFERROR(IF(0=LEN(ReferenceData!$AE$192),"",ReferenceData!$AE$192),"")</f>
        <v/>
      </c>
      <c r="AF192" t="str">
        <f ca="1">IFERROR(IF(0=LEN(ReferenceData!$AF$192),"",ReferenceData!$AF$192),"")</f>
        <v/>
      </c>
      <c r="AG192" t="str">
        <f ca="1">IFERROR(IF(0=LEN(ReferenceData!$AG$192),"",ReferenceData!$AG$192),"")</f>
        <v/>
      </c>
      <c r="AH192" t="str">
        <f ca="1">IFERROR(IF(0=LEN(ReferenceData!$AH$192),"",ReferenceData!$AH$192),"")</f>
        <v/>
      </c>
      <c r="AI192" t="str">
        <f ca="1">IFERROR(IF(0=LEN(ReferenceData!$AI$192),"",ReferenceData!$AI$192),"")</f>
        <v/>
      </c>
      <c r="AJ192" t="str">
        <f ca="1">IFERROR(IF(0=LEN(ReferenceData!$AJ$192),"",ReferenceData!$AJ$192),"")</f>
        <v/>
      </c>
      <c r="AK192" t="str">
        <f ca="1">IFERROR(IF(0=LEN(ReferenceData!$AK$192),"",ReferenceData!$AK$192),"")</f>
        <v/>
      </c>
      <c r="AL192" t="str">
        <f ca="1">IFERROR(IF(0=LEN(ReferenceData!$AL$192),"",ReferenceData!$AL$192),"")</f>
        <v/>
      </c>
    </row>
    <row r="193" spans="1:38" x14ac:dyDescent="0.25">
      <c r="A193" t="str">
        <f>IFERROR(IF(0=LEN(ReferenceData!$A$193),"",ReferenceData!$A$193),"")</f>
        <v xml:space="preserve">        Regions Financial Corp</v>
      </c>
      <c r="B193" t="str">
        <f>IFERROR(IF(0=LEN(ReferenceData!$B$193),"",ReferenceData!$B$193),"")</f>
        <v>RF US Equity</v>
      </c>
      <c r="C193" t="str">
        <f>IFERROR(IF(0=LEN(ReferenceData!$C$193),"",ReferenceData!$C$193),"")</f>
        <v>F0109</v>
      </c>
      <c r="D193" t="str">
        <f>IFERROR(IF(0=LEN(ReferenceData!$D$193),"",ReferenceData!$D$193),"")</f>
        <v>FED_RE_LNS_DOM_%_TOT_LNS_LEAS</v>
      </c>
      <c r="E193" t="str">
        <f>IFERROR(IF(0=LEN(ReferenceData!$E$193),"",ReferenceData!$E$193),"")</f>
        <v>Dynamic</v>
      </c>
      <c r="F193" t="str">
        <f ca="1">IFERROR(IF(0=LEN(ReferenceData!$F$193),"",ReferenceData!$F$193),"")</f>
        <v/>
      </c>
      <c r="G193">
        <f ca="1">IFERROR(IF(0=LEN(ReferenceData!$G$193),"",ReferenceData!$G$193),"")</f>
        <v>41.180818530000003</v>
      </c>
      <c r="H193">
        <f ca="1">IFERROR(IF(0=LEN(ReferenceData!$H$193),"",ReferenceData!$H$193),"")</f>
        <v>40.338171699999997</v>
      </c>
      <c r="I193">
        <f ca="1">IFERROR(IF(0=LEN(ReferenceData!$I$193),"",ReferenceData!$I$193),"")</f>
        <v>42.475274290000002</v>
      </c>
      <c r="J193">
        <f ca="1">IFERROR(IF(0=LEN(ReferenceData!$J$193),"",ReferenceData!$J$193),"")</f>
        <v>44.906153920000001</v>
      </c>
      <c r="K193">
        <f ca="1">IFERROR(IF(0=LEN(ReferenceData!$K$193),"",ReferenceData!$K$193),"")</f>
        <v>43.955741629999999</v>
      </c>
      <c r="L193">
        <f ca="1">IFERROR(IF(0=LEN(ReferenceData!$L$193),"",ReferenceData!$L$193),"")</f>
        <v>44.192509860000001</v>
      </c>
      <c r="M193">
        <f ca="1">IFERROR(IF(0=LEN(ReferenceData!$M$193),"",ReferenceData!$M$193),"")</f>
        <v>46.688695469999999</v>
      </c>
      <c r="N193">
        <f ca="1">IFERROR(IF(0=LEN(ReferenceData!$N$193),"",ReferenceData!$N$193),"")</f>
        <v>48.388888100000003</v>
      </c>
      <c r="O193">
        <f ca="1">IFERROR(IF(0=LEN(ReferenceData!$O$193),"",ReferenceData!$O$193),"")</f>
        <v>48.525502090000003</v>
      </c>
      <c r="P193">
        <f ca="1">IFERROR(IF(0=LEN(ReferenceData!$P$193),"",ReferenceData!$P$193),"")</f>
        <v>50.612783219999997</v>
      </c>
      <c r="Q193">
        <f ca="1">IFERROR(IF(0=LEN(ReferenceData!$Q$193),"",ReferenceData!$Q$193),"")</f>
        <v>54.447656430000002</v>
      </c>
      <c r="R193">
        <f ca="1">IFERROR(IF(0=LEN(ReferenceData!$R$193),"",ReferenceData!$R$193),"")</f>
        <v>59.209509439999998</v>
      </c>
      <c r="S193">
        <f ca="1">IFERROR(IF(0=LEN(ReferenceData!$S$193),"",ReferenceData!$S$193),"")</f>
        <v>64.360841980000004</v>
      </c>
      <c r="T193">
        <f ca="1">IFERROR(IF(0=LEN(ReferenceData!$T$193),"",ReferenceData!$T$193),"")</f>
        <v>70.459110080000002</v>
      </c>
      <c r="U193">
        <f ca="1">IFERROR(IF(0=LEN(ReferenceData!$U$193),"",ReferenceData!$U$193),"")</f>
        <v>66.887258399999993</v>
      </c>
      <c r="V193">
        <f ca="1">IFERROR(IF(0=LEN(ReferenceData!$V$193),"",ReferenceData!$V$193),"")</f>
        <v>65.379991320000002</v>
      </c>
      <c r="W193">
        <f ca="1">IFERROR(IF(0=LEN(ReferenceData!$W$193),"",ReferenceData!$W$193),"")</f>
        <v>66.646453699999995</v>
      </c>
      <c r="X193">
        <f ca="1">IFERROR(IF(0=LEN(ReferenceData!$X$193),"",ReferenceData!$X$193),"")</f>
        <v>36.498407950000001</v>
      </c>
      <c r="Y193">
        <f ca="1">IFERROR(IF(0=LEN(ReferenceData!$Y$193),"",ReferenceData!$Y$193),"")</f>
        <v>34.827290580000003</v>
      </c>
      <c r="Z193">
        <f ca="1">IFERROR(IF(0=LEN(ReferenceData!$Z$193),"",ReferenceData!$Z$193),"")</f>
        <v>34.970141480000002</v>
      </c>
      <c r="AA193" t="str">
        <f ca="1">IFERROR(IF(0=LEN(ReferenceData!$AA$193),"",ReferenceData!$AA$193),"")</f>
        <v/>
      </c>
      <c r="AB193" t="str">
        <f ca="1">IFERROR(IF(0=LEN(ReferenceData!$AB$193),"",ReferenceData!$AB$193),"")</f>
        <v/>
      </c>
      <c r="AC193" t="str">
        <f ca="1">IFERROR(IF(0=LEN(ReferenceData!$AC$193),"",ReferenceData!$AC$193),"")</f>
        <v/>
      </c>
      <c r="AD193" t="str">
        <f ca="1">IFERROR(IF(0=LEN(ReferenceData!$AD$193),"",ReferenceData!$AD$193),"")</f>
        <v/>
      </c>
      <c r="AE193" t="str">
        <f ca="1">IFERROR(IF(0=LEN(ReferenceData!$AE$193),"",ReferenceData!$AE$193),"")</f>
        <v/>
      </c>
      <c r="AF193" t="str">
        <f ca="1">IFERROR(IF(0=LEN(ReferenceData!$AF$193),"",ReferenceData!$AF$193),"")</f>
        <v/>
      </c>
      <c r="AG193" t="str">
        <f ca="1">IFERROR(IF(0=LEN(ReferenceData!$AG$193),"",ReferenceData!$AG$193),"")</f>
        <v/>
      </c>
      <c r="AH193" t="str">
        <f ca="1">IFERROR(IF(0=LEN(ReferenceData!$AH$193),"",ReferenceData!$AH$193),"")</f>
        <v/>
      </c>
      <c r="AI193" t="str">
        <f ca="1">IFERROR(IF(0=LEN(ReferenceData!$AI$193),"",ReferenceData!$AI$193),"")</f>
        <v/>
      </c>
      <c r="AJ193" t="str">
        <f ca="1">IFERROR(IF(0=LEN(ReferenceData!$AJ$193),"",ReferenceData!$AJ$193),"")</f>
        <v/>
      </c>
      <c r="AK193" t="str">
        <f ca="1">IFERROR(IF(0=LEN(ReferenceData!$AK$193),"",ReferenceData!$AK$193),"")</f>
        <v/>
      </c>
      <c r="AL193" t="str">
        <f ca="1">IFERROR(IF(0=LEN(ReferenceData!$AL$193),"",ReferenceData!$AL$193),"")</f>
        <v/>
      </c>
    </row>
    <row r="194" spans="1:38" x14ac:dyDescent="0.25">
      <c r="A194" t="str">
        <f>IFERROR(IF(0=LEN(ReferenceData!$A$194),"",ReferenceData!$A$194),"")</f>
        <v xml:space="preserve">        Truist Financial Corp</v>
      </c>
      <c r="B194" t="str">
        <f>IFERROR(IF(0=LEN(ReferenceData!$B$194),"",ReferenceData!$B$194),"")</f>
        <v>TFC US Equity</v>
      </c>
      <c r="C194" t="str">
        <f>IFERROR(IF(0=LEN(ReferenceData!$C$194),"",ReferenceData!$C$194),"")</f>
        <v>F0109</v>
      </c>
      <c r="D194" t="str">
        <f>IFERROR(IF(0=LEN(ReferenceData!$D$194),"",ReferenceData!$D$194),"")</f>
        <v>FED_RE_LNS_DOM_%_TOT_LNS_LEAS</v>
      </c>
      <c r="E194" t="str">
        <f>IFERROR(IF(0=LEN(ReferenceData!$E$194),"",ReferenceData!$E$194),"")</f>
        <v>Dynamic</v>
      </c>
      <c r="F194">
        <f ca="1">IFERROR(IF(0=LEN(ReferenceData!$F$194),"",ReferenceData!$F$194),"")</f>
        <v>37.92592544</v>
      </c>
      <c r="G194">
        <f ca="1">IFERROR(IF(0=LEN(ReferenceData!$G$194),"",ReferenceData!$G$194),"")</f>
        <v>38.026303609999999</v>
      </c>
      <c r="H194">
        <f ca="1">IFERROR(IF(0=LEN(ReferenceData!$H$194),"",ReferenceData!$H$194),"")</f>
        <v>37.457510650000003</v>
      </c>
      <c r="I194">
        <f ca="1">IFERROR(IF(0=LEN(ReferenceData!$I$194),"",ReferenceData!$I$194),"")</f>
        <v>39.790367789999998</v>
      </c>
      <c r="J194">
        <f ca="1">IFERROR(IF(0=LEN(ReferenceData!$J$194),"",ReferenceData!$J$194),"")</f>
        <v>40.364887359999997</v>
      </c>
      <c r="K194">
        <f ca="1">IFERROR(IF(0=LEN(ReferenceData!$K$194),"",ReferenceData!$K$194),"")</f>
        <v>43.583861910000003</v>
      </c>
      <c r="L194">
        <f ca="1">IFERROR(IF(0=LEN(ReferenceData!$L$194),"",ReferenceData!$L$194),"")</f>
        <v>51.882320780000001</v>
      </c>
      <c r="M194">
        <f ca="1">IFERROR(IF(0=LEN(ReferenceData!$M$194),"",ReferenceData!$M$194),"")</f>
        <v>53.134668509999997</v>
      </c>
      <c r="N194">
        <f ca="1">IFERROR(IF(0=LEN(ReferenceData!$N$194),"",ReferenceData!$N$194),"")</f>
        <v>54.745726699999999</v>
      </c>
      <c r="O194">
        <f ca="1">IFERROR(IF(0=LEN(ReferenceData!$O$194),"",ReferenceData!$O$194),"")</f>
        <v>56.194772270000001</v>
      </c>
      <c r="P194">
        <f ca="1">IFERROR(IF(0=LEN(ReferenceData!$P$194),"",ReferenceData!$P$194),"")</f>
        <v>57.393425399999998</v>
      </c>
      <c r="Q194">
        <f ca="1">IFERROR(IF(0=LEN(ReferenceData!$Q$194),"",ReferenceData!$Q$194),"")</f>
        <v>60.899177199999997</v>
      </c>
      <c r="R194">
        <f ca="1">IFERROR(IF(0=LEN(ReferenceData!$R$194),"",ReferenceData!$R$194),"")</f>
        <v>63.719221689999998</v>
      </c>
      <c r="S194">
        <f ca="1">IFERROR(IF(0=LEN(ReferenceData!$S$194),"",ReferenceData!$S$194),"")</f>
        <v>64.989806310000006</v>
      </c>
      <c r="T194">
        <f ca="1">IFERROR(IF(0=LEN(ReferenceData!$T$194),"",ReferenceData!$T$194),"")</f>
        <v>67.182026629999996</v>
      </c>
      <c r="U194">
        <f ca="1">IFERROR(IF(0=LEN(ReferenceData!$U$194),"",ReferenceData!$U$194),"")</f>
        <v>69.275663179999995</v>
      </c>
      <c r="V194">
        <f ca="1">IFERROR(IF(0=LEN(ReferenceData!$V$194),"",ReferenceData!$V$194),"")</f>
        <v>69.037679920000002</v>
      </c>
      <c r="W194">
        <f ca="1">IFERROR(IF(0=LEN(ReferenceData!$W$194),"",ReferenceData!$W$194),"")</f>
        <v>70.792602200000005</v>
      </c>
      <c r="X194">
        <f ca="1">IFERROR(IF(0=LEN(ReferenceData!$X$194),"",ReferenceData!$X$194),"")</f>
        <v>36.240336739999996</v>
      </c>
      <c r="Y194">
        <f ca="1">IFERROR(IF(0=LEN(ReferenceData!$Y$194),"",ReferenceData!$Y$194),"")</f>
        <v>38.000882429999997</v>
      </c>
      <c r="Z194">
        <f ca="1">IFERROR(IF(0=LEN(ReferenceData!$Z$194),"",ReferenceData!$Z$194),"")</f>
        <v>38.141209809999999</v>
      </c>
      <c r="AA194">
        <f ca="1">IFERROR(IF(0=LEN(ReferenceData!$AA$194),"",ReferenceData!$AA$194),"")</f>
        <v>38.092453570000004</v>
      </c>
      <c r="AB194">
        <f ca="1">IFERROR(IF(0=LEN(ReferenceData!$AB$194),"",ReferenceData!$AB$194),"")</f>
        <v>37.68439987</v>
      </c>
      <c r="AC194">
        <f ca="1">IFERROR(IF(0=LEN(ReferenceData!$AC$194),"",ReferenceData!$AC$194),"")</f>
        <v>36.37981654</v>
      </c>
      <c r="AD194" t="str">
        <f ca="1">IFERROR(IF(0=LEN(ReferenceData!$AD$194),"",ReferenceData!$AD$194),"")</f>
        <v/>
      </c>
      <c r="AE194" t="str">
        <f ca="1">IFERROR(IF(0=LEN(ReferenceData!$AE$194),"",ReferenceData!$AE$194),"")</f>
        <v/>
      </c>
      <c r="AF194" t="str">
        <f ca="1">IFERROR(IF(0=LEN(ReferenceData!$AF$194),"",ReferenceData!$AF$194),"")</f>
        <v/>
      </c>
      <c r="AG194" t="str">
        <f ca="1">IFERROR(IF(0=LEN(ReferenceData!$AG$194),"",ReferenceData!$AG$194),"")</f>
        <v/>
      </c>
      <c r="AH194" t="str">
        <f ca="1">IFERROR(IF(0=LEN(ReferenceData!$AH$194),"",ReferenceData!$AH$194),"")</f>
        <v/>
      </c>
      <c r="AI194" t="str">
        <f ca="1">IFERROR(IF(0=LEN(ReferenceData!$AI$194),"",ReferenceData!$AI$194),"")</f>
        <v/>
      </c>
      <c r="AJ194" t="str">
        <f ca="1">IFERROR(IF(0=LEN(ReferenceData!$AJ$194),"",ReferenceData!$AJ$194),"")</f>
        <v/>
      </c>
      <c r="AK194" t="str">
        <f ca="1">IFERROR(IF(0=LEN(ReferenceData!$AK$194),"",ReferenceData!$AK$194),"")</f>
        <v/>
      </c>
      <c r="AL194" t="str">
        <f ca="1">IFERROR(IF(0=LEN(ReferenceData!$AL$194),"",ReferenceData!$AL$194),"")</f>
        <v/>
      </c>
    </row>
    <row r="195" spans="1:38" x14ac:dyDescent="0.25">
      <c r="A195" t="str">
        <f>IFERROR(IF(0=LEN(ReferenceData!$A$195),"",ReferenceData!$A$195),"")</f>
        <v xml:space="preserve">        US Bancorp</v>
      </c>
      <c r="B195" t="str">
        <f>IFERROR(IF(0=LEN(ReferenceData!$B$195),"",ReferenceData!$B$195),"")</f>
        <v>USB US Equity</v>
      </c>
      <c r="C195" t="str">
        <f>IFERROR(IF(0=LEN(ReferenceData!$C$195),"",ReferenceData!$C$195),"")</f>
        <v>F0109</v>
      </c>
      <c r="D195" t="str">
        <f>IFERROR(IF(0=LEN(ReferenceData!$D$195),"",ReferenceData!$D$195),"")</f>
        <v>FED_RE_LNS_DOM_%_TOT_LNS_LEAS</v>
      </c>
      <c r="E195" t="str">
        <f>IFERROR(IF(0=LEN(ReferenceData!$E$195),"",ReferenceData!$E$195),"")</f>
        <v>Dynamic</v>
      </c>
      <c r="F195">
        <f ca="1">IFERROR(IF(0=LEN(ReferenceData!$F$195),"",ReferenceData!$F$195),"")</f>
        <v>47.560832099999999</v>
      </c>
      <c r="G195">
        <f ca="1">IFERROR(IF(0=LEN(ReferenceData!$G$195),"",ReferenceData!$G$195),"")</f>
        <v>48.461849399999998</v>
      </c>
      <c r="H195">
        <f ca="1">IFERROR(IF(0=LEN(ReferenceData!$H$195),"",ReferenceData!$H$195),"")</f>
        <v>47.27967563</v>
      </c>
      <c r="I195">
        <f ca="1">IFERROR(IF(0=LEN(ReferenceData!$I$195),"",ReferenceData!$I$195),"")</f>
        <v>40.970222290000002</v>
      </c>
      <c r="J195">
        <f ca="1">IFERROR(IF(0=LEN(ReferenceData!$J$195),"",ReferenceData!$J$195),"")</f>
        <v>44.021235500000003</v>
      </c>
      <c r="K195">
        <f ca="1">IFERROR(IF(0=LEN(ReferenceData!$K$195),"",ReferenceData!$K$195),"")</f>
        <v>42.788716520000001</v>
      </c>
      <c r="L195">
        <f ca="1">IFERROR(IF(0=LEN(ReferenceData!$L$195),"",ReferenceData!$L$195),"")</f>
        <v>41.762416279999997</v>
      </c>
      <c r="M195">
        <f ca="1">IFERROR(IF(0=LEN(ReferenceData!$M$195),"",ReferenceData!$M$195),"")</f>
        <v>42.50285787</v>
      </c>
      <c r="N195">
        <f ca="1">IFERROR(IF(0=LEN(ReferenceData!$N$195),"",ReferenceData!$N$195),"")</f>
        <v>44.052389900000001</v>
      </c>
      <c r="O195">
        <f ca="1">IFERROR(IF(0=LEN(ReferenceData!$O$195),"",ReferenceData!$O$195),"")</f>
        <v>44.149642020000002</v>
      </c>
      <c r="P195">
        <f ca="1">IFERROR(IF(0=LEN(ReferenceData!$P$195),"",ReferenceData!$P$195),"")</f>
        <v>46.322394899999999</v>
      </c>
      <c r="Q195">
        <f ca="1">IFERROR(IF(0=LEN(ReferenceData!$Q$195),"",ReferenceData!$Q$195),"")</f>
        <v>48.002346950000003</v>
      </c>
      <c r="R195">
        <f ca="1">IFERROR(IF(0=LEN(ReferenceData!$R$195),"",ReferenceData!$R$195),"")</f>
        <v>49.01554179</v>
      </c>
      <c r="S195">
        <f ca="1">IFERROR(IF(0=LEN(ReferenceData!$S$195),"",ReferenceData!$S$195),"")</f>
        <v>50.111673230000001</v>
      </c>
      <c r="T195">
        <f ca="1">IFERROR(IF(0=LEN(ReferenceData!$T$195),"",ReferenceData!$T$195),"")</f>
        <v>51.707654660000003</v>
      </c>
      <c r="U195">
        <f ca="1">IFERROR(IF(0=LEN(ReferenceData!$U$195),"",ReferenceData!$U$195),"")</f>
        <v>49.81180492</v>
      </c>
      <c r="V195">
        <f ca="1">IFERROR(IF(0=LEN(ReferenceData!$V$195),"",ReferenceData!$V$195),"")</f>
        <v>45.528126909999997</v>
      </c>
      <c r="W195">
        <f ca="1">IFERROR(IF(0=LEN(ReferenceData!$W$195),"",ReferenceData!$W$195),"")</f>
        <v>44.200294999999997</v>
      </c>
      <c r="X195">
        <f ca="1">IFERROR(IF(0=LEN(ReferenceData!$X$195),"",ReferenceData!$X$195),"")</f>
        <v>28.020537539999999</v>
      </c>
      <c r="Y195">
        <f ca="1">IFERROR(IF(0=LEN(ReferenceData!$Y$195),"",ReferenceData!$Y$195),"")</f>
        <v>28.864020880000002</v>
      </c>
      <c r="Z195">
        <f ca="1">IFERROR(IF(0=LEN(ReferenceData!$Z$195),"",ReferenceData!$Z$195),"")</f>
        <v>27.04572851</v>
      </c>
      <c r="AA195">
        <f ca="1">IFERROR(IF(0=LEN(ReferenceData!$AA$195),"",ReferenceData!$AA$195),"")</f>
        <v>26.067954669999999</v>
      </c>
      <c r="AB195">
        <f ca="1">IFERROR(IF(0=LEN(ReferenceData!$AB$195),"",ReferenceData!$AB$195),"")</f>
        <v>25.467984390000002</v>
      </c>
      <c r="AC195">
        <f ca="1">IFERROR(IF(0=LEN(ReferenceData!$AC$195),"",ReferenceData!$AC$195),"")</f>
        <v>21.853700150000002</v>
      </c>
      <c r="AD195" t="str">
        <f ca="1">IFERROR(IF(0=LEN(ReferenceData!$AD$195),"",ReferenceData!$AD$195),"")</f>
        <v/>
      </c>
      <c r="AE195" t="str">
        <f ca="1">IFERROR(IF(0=LEN(ReferenceData!$AE$195),"",ReferenceData!$AE$195),"")</f>
        <v/>
      </c>
      <c r="AF195" t="str">
        <f ca="1">IFERROR(IF(0=LEN(ReferenceData!$AF$195),"",ReferenceData!$AF$195),"")</f>
        <v/>
      </c>
      <c r="AG195" t="str">
        <f ca="1">IFERROR(IF(0=LEN(ReferenceData!$AG$195),"",ReferenceData!$AG$195),"")</f>
        <v/>
      </c>
      <c r="AH195" t="str">
        <f ca="1">IFERROR(IF(0=LEN(ReferenceData!$AH$195),"",ReferenceData!$AH$195),"")</f>
        <v/>
      </c>
      <c r="AI195" t="str">
        <f ca="1">IFERROR(IF(0=LEN(ReferenceData!$AI$195),"",ReferenceData!$AI$195),"")</f>
        <v/>
      </c>
      <c r="AJ195" t="str">
        <f ca="1">IFERROR(IF(0=LEN(ReferenceData!$AJ$195),"",ReferenceData!$AJ$195),"")</f>
        <v/>
      </c>
      <c r="AK195" t="str">
        <f ca="1">IFERROR(IF(0=LEN(ReferenceData!$AK$195),"",ReferenceData!$AK$195),"")</f>
        <v/>
      </c>
      <c r="AL195" t="str">
        <f ca="1">IFERROR(IF(0=LEN(ReferenceData!$AL$195),"",ReferenceData!$AL$195),"")</f>
        <v/>
      </c>
    </row>
    <row r="196" spans="1:38" x14ac:dyDescent="0.25">
      <c r="A196" t="str">
        <f>IFERROR(IF(0=LEN(ReferenceData!$A$196),"",ReferenceData!$A$196),"")</f>
        <v xml:space="preserve">        Wells Fargo &amp; Co</v>
      </c>
      <c r="B196" t="str">
        <f>IFERROR(IF(0=LEN(ReferenceData!$B$196),"",ReferenceData!$B$196),"")</f>
        <v>WFC US Equity</v>
      </c>
      <c r="C196" t="str">
        <f>IFERROR(IF(0=LEN(ReferenceData!$C$196),"",ReferenceData!$C$196),"")</f>
        <v>F0109</v>
      </c>
      <c r="D196" t="str">
        <f>IFERROR(IF(0=LEN(ReferenceData!$D$196),"",ReferenceData!$D$196),"")</f>
        <v>FED_RE_LNS_DOM_%_TOT_LNS_LEAS</v>
      </c>
      <c r="E196" t="str">
        <f>IFERROR(IF(0=LEN(ReferenceData!$E$196),"",ReferenceData!$E$196),"")</f>
        <v>Dynamic</v>
      </c>
      <c r="F196">
        <f ca="1">IFERROR(IF(0=LEN(ReferenceData!$F$196),"",ReferenceData!$F$196),"")</f>
        <v>41.219748789999997</v>
      </c>
      <c r="G196">
        <f ca="1">IFERROR(IF(0=LEN(ReferenceData!$G$196),"",ReferenceData!$G$196),"")</f>
        <v>42.513021039999998</v>
      </c>
      <c r="H196">
        <f ca="1">IFERROR(IF(0=LEN(ReferenceData!$H$196),"",ReferenceData!$H$196),"")</f>
        <v>43.126377390000002</v>
      </c>
      <c r="I196">
        <f ca="1">IFERROR(IF(0=LEN(ReferenceData!$I$196),"",ReferenceData!$I$196),"")</f>
        <v>44.871119890000003</v>
      </c>
      <c r="J196">
        <f ca="1">IFERROR(IF(0=LEN(ReferenceData!$J$196),"",ReferenceData!$J$196),"")</f>
        <v>48.796299099999999</v>
      </c>
      <c r="K196">
        <f ca="1">IFERROR(IF(0=LEN(ReferenceData!$K$196),"",ReferenceData!$K$196),"")</f>
        <v>48.11992128</v>
      </c>
      <c r="L196">
        <f ca="1">IFERROR(IF(0=LEN(ReferenceData!$L$196),"",ReferenceData!$L$196),"")</f>
        <v>48.450837649999997</v>
      </c>
      <c r="M196">
        <f ca="1">IFERROR(IF(0=LEN(ReferenceData!$M$196),"",ReferenceData!$M$196),"")</f>
        <v>49.926709279999997</v>
      </c>
      <c r="N196">
        <f ca="1">IFERROR(IF(0=LEN(ReferenceData!$N$196),"",ReferenceData!$N$196),"")</f>
        <v>50.244545270000003</v>
      </c>
      <c r="O196">
        <f ca="1">IFERROR(IF(0=LEN(ReferenceData!$O$196),"",ReferenceData!$O$196),"")</f>
        <v>51.809601270000002</v>
      </c>
      <c r="P196">
        <f ca="1">IFERROR(IF(0=LEN(ReferenceData!$P$196),"",ReferenceData!$P$196),"")</f>
        <v>53.626781899999997</v>
      </c>
      <c r="Q196">
        <f ca="1">IFERROR(IF(0=LEN(ReferenceData!$Q$196),"",ReferenceData!$Q$196),"")</f>
        <v>55.444125390000004</v>
      </c>
      <c r="R196">
        <f ca="1">IFERROR(IF(0=LEN(ReferenceData!$R$196),"",ReferenceData!$R$196),"")</f>
        <v>58.752408260000003</v>
      </c>
      <c r="S196">
        <f ca="1">IFERROR(IF(0=LEN(ReferenceData!$S$196),"",ReferenceData!$S$196),"")</f>
        <v>59.531126800000003</v>
      </c>
      <c r="T196">
        <f ca="1">IFERROR(IF(0=LEN(ReferenceData!$T$196),"",ReferenceData!$T$196),"")</f>
        <v>61.918108760000003</v>
      </c>
      <c r="U196">
        <f ca="1">IFERROR(IF(0=LEN(ReferenceData!$U$196),"",ReferenceData!$U$196),"")</f>
        <v>61.157785730000001</v>
      </c>
      <c r="V196">
        <f ca="1">IFERROR(IF(0=LEN(ReferenceData!$V$196),"",ReferenceData!$V$196),"")</f>
        <v>57.954723979999997</v>
      </c>
      <c r="W196">
        <f ca="1">IFERROR(IF(0=LEN(ReferenceData!$W$196),"",ReferenceData!$W$196),"")</f>
        <v>55.887920229999999</v>
      </c>
      <c r="X196">
        <f ca="1">IFERROR(IF(0=LEN(ReferenceData!$X$196),"",ReferenceData!$X$196),"")</f>
        <v>44.901023850000001</v>
      </c>
      <c r="Y196">
        <f ca="1">IFERROR(IF(0=LEN(ReferenceData!$Y$196),"",ReferenceData!$Y$196),"")</f>
        <v>51.563853940000001</v>
      </c>
      <c r="Z196">
        <f ca="1">IFERROR(IF(0=LEN(ReferenceData!$Z$196),"",ReferenceData!$Z$196),"")</f>
        <v>53.201982530000002</v>
      </c>
      <c r="AA196">
        <f ca="1">IFERROR(IF(0=LEN(ReferenceData!$AA$196),"",ReferenceData!$AA$196),"")</f>
        <v>52.614495320000003</v>
      </c>
      <c r="AB196">
        <f ca="1">IFERROR(IF(0=LEN(ReferenceData!$AB$196),"",ReferenceData!$AB$196),"")</f>
        <v>49.710162580000002</v>
      </c>
      <c r="AC196">
        <f ca="1">IFERROR(IF(0=LEN(ReferenceData!$AC$196),"",ReferenceData!$AC$196),"")</f>
        <v>40.751460399999999</v>
      </c>
      <c r="AD196" t="str">
        <f ca="1">IFERROR(IF(0=LEN(ReferenceData!$AD$196),"",ReferenceData!$AD$196),"")</f>
        <v/>
      </c>
      <c r="AE196" t="str">
        <f ca="1">IFERROR(IF(0=LEN(ReferenceData!$AE$196),"",ReferenceData!$AE$196),"")</f>
        <v/>
      </c>
      <c r="AF196" t="str">
        <f ca="1">IFERROR(IF(0=LEN(ReferenceData!$AF$196),"",ReferenceData!$AF$196),"")</f>
        <v/>
      </c>
      <c r="AG196" t="str">
        <f ca="1">IFERROR(IF(0=LEN(ReferenceData!$AG$196),"",ReferenceData!$AG$196),"")</f>
        <v/>
      </c>
      <c r="AH196" t="str">
        <f ca="1">IFERROR(IF(0=LEN(ReferenceData!$AH$196),"",ReferenceData!$AH$196),"")</f>
        <v/>
      </c>
      <c r="AI196" t="str">
        <f ca="1">IFERROR(IF(0=LEN(ReferenceData!$AI$196),"",ReferenceData!$AI$196),"")</f>
        <v/>
      </c>
      <c r="AJ196" t="str">
        <f ca="1">IFERROR(IF(0=LEN(ReferenceData!$AJ$196),"",ReferenceData!$AJ$196),"")</f>
        <v/>
      </c>
      <c r="AK196" t="str">
        <f ca="1">IFERROR(IF(0=LEN(ReferenceData!$AK$196),"",ReferenceData!$AK$196),"")</f>
        <v/>
      </c>
      <c r="AL196" t="str">
        <f ca="1">IFERROR(IF(0=LEN(ReferenceData!$AL$196),"",ReferenceData!$AL$196),"")</f>
        <v/>
      </c>
    </row>
    <row r="197" spans="1:38" x14ac:dyDescent="0.25">
      <c r="A197" t="str">
        <f>IFERROR(IF(0=LEN(ReferenceData!$A$197),"",ReferenceData!$A$197),"")</f>
        <v xml:space="preserve">        Western Alliance Bancorp</v>
      </c>
      <c r="B197" t="str">
        <f>IFERROR(IF(0=LEN(ReferenceData!$B$197),"",ReferenceData!$B$197),"")</f>
        <v>WAL US Equity</v>
      </c>
      <c r="C197" t="str">
        <f>IFERROR(IF(0=LEN(ReferenceData!$C$197),"",ReferenceData!$C$197),"")</f>
        <v>F0109</v>
      </c>
      <c r="D197" t="str">
        <f>IFERROR(IF(0=LEN(ReferenceData!$D$197),"",ReferenceData!$D$197),"")</f>
        <v>FED_RE_LNS_DOM_%_TOT_LNS_LEAS</v>
      </c>
      <c r="E197" t="str">
        <f>IFERROR(IF(0=LEN(ReferenceData!$E$197),"",ReferenceData!$E$197),"")</f>
        <v>Dynamic</v>
      </c>
      <c r="F197">
        <f ca="1">IFERROR(IF(0=LEN(ReferenceData!$F$197),"",ReferenceData!$F$197),"")</f>
        <v>58.44719714</v>
      </c>
      <c r="G197">
        <f ca="1">IFERROR(IF(0=LEN(ReferenceData!$G$197),"",ReferenceData!$G$197),"")</f>
        <v>62.561144059999997</v>
      </c>
      <c r="H197">
        <f ca="1">IFERROR(IF(0=LEN(ReferenceData!$H$197),"",ReferenceData!$H$197),"")</f>
        <v>60.740013240000003</v>
      </c>
      <c r="I197">
        <f ca="1">IFERROR(IF(0=LEN(ReferenceData!$I$197),"",ReferenceData!$I$197),"")</f>
        <v>58.409343819999997</v>
      </c>
      <c r="J197">
        <f ca="1">IFERROR(IF(0=LEN(ReferenceData!$J$197),"",ReferenceData!$J$197),"")</f>
        <v>45.708419669999998</v>
      </c>
      <c r="K197">
        <f ca="1">IFERROR(IF(0=LEN(ReferenceData!$K$197),"",ReferenceData!$K$197),"")</f>
        <v>53.663145180000001</v>
      </c>
      <c r="L197">
        <f ca="1">IFERROR(IF(0=LEN(ReferenceData!$L$197),"",ReferenceData!$L$197),"")</f>
        <v>53.981284350000003</v>
      </c>
      <c r="M197">
        <f ca="1">IFERROR(IF(0=LEN(ReferenceData!$M$197),"",ReferenceData!$M$197),"")</f>
        <v>52.17350545</v>
      </c>
      <c r="N197">
        <f ca="1">IFERROR(IF(0=LEN(ReferenceData!$N$197),"",ReferenceData!$N$197),"")</f>
        <v>53.336125490000001</v>
      </c>
      <c r="O197">
        <f ca="1">IFERROR(IF(0=LEN(ReferenceData!$O$197),"",ReferenceData!$O$197),"")</f>
        <v>50.21035475</v>
      </c>
      <c r="P197">
        <f ca="1">IFERROR(IF(0=LEN(ReferenceData!$P$197),"",ReferenceData!$P$197),"")</f>
        <v>57.190360149999997</v>
      </c>
      <c r="Q197">
        <f ca="1">IFERROR(IF(0=LEN(ReferenceData!$Q$197),"",ReferenceData!$Q$197),"")</f>
        <v>62.793566290000001</v>
      </c>
      <c r="R197">
        <f ca="1">IFERROR(IF(0=LEN(ReferenceData!$R$197),"",ReferenceData!$R$197),"")</f>
        <v>64.819196120000001</v>
      </c>
      <c r="S197">
        <f ca="1">IFERROR(IF(0=LEN(ReferenceData!$S$197),"",ReferenceData!$S$197),"")</f>
        <v>70.565135400000003</v>
      </c>
      <c r="T197">
        <f ca="1">IFERROR(IF(0=LEN(ReferenceData!$T$197),"",ReferenceData!$T$197),"")</f>
        <v>76.306303819999997</v>
      </c>
      <c r="U197">
        <f ca="1">IFERROR(IF(0=LEN(ReferenceData!$U$197),"",ReferenceData!$U$197),"")</f>
        <v>78.604051179999999</v>
      </c>
      <c r="V197">
        <f ca="1">IFERROR(IF(0=LEN(ReferenceData!$V$197),"",ReferenceData!$V$197),"")</f>
        <v>77.334760180000004</v>
      </c>
      <c r="W197">
        <f ca="1">IFERROR(IF(0=LEN(ReferenceData!$W$197),"",ReferenceData!$W$197),"")</f>
        <v>77.274296230000004</v>
      </c>
      <c r="X197">
        <f ca="1">IFERROR(IF(0=LEN(ReferenceData!$X$197),"",ReferenceData!$X$197),"")</f>
        <v>13.883584450000001</v>
      </c>
      <c r="Y197">
        <f ca="1">IFERROR(IF(0=LEN(ReferenceData!$Y$197),"",ReferenceData!$Y$197),"")</f>
        <v>16.60882234</v>
      </c>
      <c r="Z197">
        <f ca="1">IFERROR(IF(0=LEN(ReferenceData!$Z$197),"",ReferenceData!$Z$197),"")</f>
        <v>11.228778139999999</v>
      </c>
      <c r="AA197">
        <f ca="1">IFERROR(IF(0=LEN(ReferenceData!$AA$197),"",ReferenceData!$AA$197),"")</f>
        <v>7.7240051369999998</v>
      </c>
      <c r="AB197">
        <f ca="1">IFERROR(IF(0=LEN(ReferenceData!$AB$197),"",ReferenceData!$AB$197),"")</f>
        <v>5.6260537949999998</v>
      </c>
      <c r="AC197">
        <f ca="1">IFERROR(IF(0=LEN(ReferenceData!$AC$197),"",ReferenceData!$AC$197),"")</f>
        <v>4.4329173429999997</v>
      </c>
      <c r="AD197" t="str">
        <f ca="1">IFERROR(IF(0=LEN(ReferenceData!$AD$197),"",ReferenceData!$AD$197),"")</f>
        <v/>
      </c>
      <c r="AE197" t="str">
        <f ca="1">IFERROR(IF(0=LEN(ReferenceData!$AE$197),"",ReferenceData!$AE$197),"")</f>
        <v/>
      </c>
      <c r="AF197" t="str">
        <f ca="1">IFERROR(IF(0=LEN(ReferenceData!$AF$197),"",ReferenceData!$AF$197),"")</f>
        <v/>
      </c>
      <c r="AG197" t="str">
        <f ca="1">IFERROR(IF(0=LEN(ReferenceData!$AG$197),"",ReferenceData!$AG$197),"")</f>
        <v/>
      </c>
      <c r="AH197" t="str">
        <f ca="1">IFERROR(IF(0=LEN(ReferenceData!$AH$197),"",ReferenceData!$AH$197),"")</f>
        <v/>
      </c>
      <c r="AI197" t="str">
        <f ca="1">IFERROR(IF(0=LEN(ReferenceData!$AI$197),"",ReferenceData!$AI$197),"")</f>
        <v/>
      </c>
      <c r="AJ197" t="str">
        <f ca="1">IFERROR(IF(0=LEN(ReferenceData!$AJ$197),"",ReferenceData!$AJ$197),"")</f>
        <v/>
      </c>
      <c r="AK197" t="str">
        <f ca="1">IFERROR(IF(0=LEN(ReferenceData!$AK$197),"",ReferenceData!$AK$197),"")</f>
        <v/>
      </c>
      <c r="AL197" t="str">
        <f ca="1">IFERROR(IF(0=LEN(ReferenceData!$AL$197),"",ReferenceData!$AL$197),"")</f>
        <v/>
      </c>
    </row>
    <row r="198" spans="1:38" x14ac:dyDescent="0.25">
      <c r="A198" t="str">
        <f>IFERROR(IF(0=LEN(ReferenceData!$A$198),"",ReferenceData!$A$198),"")</f>
        <v xml:space="preserve">        Zions Bancorp NA</v>
      </c>
      <c r="B198" t="str">
        <f>IFERROR(IF(0=LEN(ReferenceData!$B$198),"",ReferenceData!$B$198),"")</f>
        <v>ZION US Equity</v>
      </c>
      <c r="C198" t="str">
        <f>IFERROR(IF(0=LEN(ReferenceData!$C$198),"",ReferenceData!$C$198),"")</f>
        <v>F0109</v>
      </c>
      <c r="D198" t="str">
        <f>IFERROR(IF(0=LEN(ReferenceData!$D$198),"",ReferenceData!$D$198),"")</f>
        <v>FED_RE_LNS_DOM_%_TOT_LNS_LEAS</v>
      </c>
      <c r="E198" t="str">
        <f>IFERROR(IF(0=LEN(ReferenceData!$E$198),"",ReferenceData!$E$198),"")</f>
        <v>Dynamic</v>
      </c>
      <c r="F198" t="str">
        <f ca="1">IFERROR(IF(0=LEN(ReferenceData!$F$198),"",ReferenceData!$F$198),"")</f>
        <v/>
      </c>
      <c r="G198" t="str">
        <f ca="1">IFERROR(IF(0=LEN(ReferenceData!$G$198),"",ReferenceData!$G$198),"")</f>
        <v/>
      </c>
      <c r="H198" t="str">
        <f ca="1">IFERROR(IF(0=LEN(ReferenceData!$H$198),"",ReferenceData!$H$198),"")</f>
        <v/>
      </c>
      <c r="I198" t="str">
        <f ca="1">IFERROR(IF(0=LEN(ReferenceData!$I$198),"",ReferenceData!$I$198),"")</f>
        <v/>
      </c>
      <c r="J198" t="str">
        <f ca="1">IFERROR(IF(0=LEN(ReferenceData!$J$198),"",ReferenceData!$J$198),"")</f>
        <v/>
      </c>
      <c r="K198" t="str">
        <f ca="1">IFERROR(IF(0=LEN(ReferenceData!$K$198),"",ReferenceData!$K$198),"")</f>
        <v/>
      </c>
      <c r="L198" t="str">
        <f ca="1">IFERROR(IF(0=LEN(ReferenceData!$L$198),"",ReferenceData!$L$198),"")</f>
        <v/>
      </c>
      <c r="M198" t="str">
        <f ca="1">IFERROR(IF(0=LEN(ReferenceData!$M$198),"",ReferenceData!$M$198),"")</f>
        <v/>
      </c>
      <c r="N198" t="str">
        <f ca="1">IFERROR(IF(0=LEN(ReferenceData!$N$198),"",ReferenceData!$N$198),"")</f>
        <v/>
      </c>
      <c r="O198" t="str">
        <f ca="1">IFERROR(IF(0=LEN(ReferenceData!$O$198),"",ReferenceData!$O$198),"")</f>
        <v/>
      </c>
      <c r="P198" t="str">
        <f ca="1">IFERROR(IF(0=LEN(ReferenceData!$P$198),"",ReferenceData!$P$198),"")</f>
        <v/>
      </c>
      <c r="Q198" t="str">
        <f ca="1">IFERROR(IF(0=LEN(ReferenceData!$Q$198),"",ReferenceData!$Q$198),"")</f>
        <v/>
      </c>
      <c r="R198" t="str">
        <f ca="1">IFERROR(IF(0=LEN(ReferenceData!$R$198),"",ReferenceData!$R$198),"")</f>
        <v/>
      </c>
      <c r="S198" t="str">
        <f ca="1">IFERROR(IF(0=LEN(ReferenceData!$S$198),"",ReferenceData!$S$198),"")</f>
        <v/>
      </c>
      <c r="T198" t="str">
        <f ca="1">IFERROR(IF(0=LEN(ReferenceData!$T$198),"",ReferenceData!$T$198),"")</f>
        <v/>
      </c>
      <c r="U198" t="str">
        <f ca="1">IFERROR(IF(0=LEN(ReferenceData!$U$198),"",ReferenceData!$U$198),"")</f>
        <v/>
      </c>
      <c r="V198" t="str">
        <f ca="1">IFERROR(IF(0=LEN(ReferenceData!$V$198),"",ReferenceData!$V$198),"")</f>
        <v/>
      </c>
      <c r="W198" t="str">
        <f ca="1">IFERROR(IF(0=LEN(ReferenceData!$W$198),"",ReferenceData!$W$198),"")</f>
        <v/>
      </c>
      <c r="X198" t="str">
        <f ca="1">IFERROR(IF(0=LEN(ReferenceData!$X$198),"",ReferenceData!$X$198),"")</f>
        <v/>
      </c>
      <c r="Y198" t="str">
        <f ca="1">IFERROR(IF(0=LEN(ReferenceData!$Y$198),"",ReferenceData!$Y$198),"")</f>
        <v/>
      </c>
      <c r="Z198" t="str">
        <f ca="1">IFERROR(IF(0=LEN(ReferenceData!$Z$198),"",ReferenceData!$Z$198),"")</f>
        <v/>
      </c>
      <c r="AA198" t="str">
        <f ca="1">IFERROR(IF(0=LEN(ReferenceData!$AA$198),"",ReferenceData!$AA$198),"")</f>
        <v/>
      </c>
      <c r="AB198" t="str">
        <f ca="1">IFERROR(IF(0=LEN(ReferenceData!$AB$198),"",ReferenceData!$AB$198),"")</f>
        <v/>
      </c>
      <c r="AC198" t="str">
        <f ca="1">IFERROR(IF(0=LEN(ReferenceData!$AC$198),"",ReferenceData!$AC$198),"")</f>
        <v/>
      </c>
      <c r="AD198" t="str">
        <f ca="1">IFERROR(IF(0=LEN(ReferenceData!$AD$198),"",ReferenceData!$AD$198),"")</f>
        <v/>
      </c>
      <c r="AE198" t="str">
        <f ca="1">IFERROR(IF(0=LEN(ReferenceData!$AE$198),"",ReferenceData!$AE$198),"")</f>
        <v/>
      </c>
      <c r="AF198" t="str">
        <f ca="1">IFERROR(IF(0=LEN(ReferenceData!$AF$198),"",ReferenceData!$AF$198),"")</f>
        <v/>
      </c>
      <c r="AG198" t="str">
        <f ca="1">IFERROR(IF(0=LEN(ReferenceData!$AG$198),"",ReferenceData!$AG$198),"")</f>
        <v/>
      </c>
      <c r="AH198" t="str">
        <f ca="1">IFERROR(IF(0=LEN(ReferenceData!$AH$198),"",ReferenceData!$AH$198),"")</f>
        <v/>
      </c>
      <c r="AI198" t="str">
        <f ca="1">IFERROR(IF(0=LEN(ReferenceData!$AI$198),"",ReferenceData!$AI$198),"")</f>
        <v/>
      </c>
      <c r="AJ198" t="str">
        <f ca="1">IFERROR(IF(0=LEN(ReferenceData!$AJ$198),"",ReferenceData!$AJ$198),"")</f>
        <v/>
      </c>
      <c r="AK198" t="str">
        <f ca="1">IFERROR(IF(0=LEN(ReferenceData!$AK$198),"",ReferenceData!$AK$198),"")</f>
        <v/>
      </c>
      <c r="AL198" t="str">
        <f ca="1">IFERROR(IF(0=LEN(ReferenceData!$AL$198),"",ReferenceData!$AL$198),"")</f>
        <v/>
      </c>
    </row>
    <row r="199" spans="1:38" x14ac:dyDescent="0.25">
      <c r="A199" t="str">
        <f>IFERROR(IF(0=LEN(ReferenceData!$A$199),"",ReferenceData!$A$199),"")</f>
        <v>C&amp;I loans</v>
      </c>
      <c r="B199" t="str">
        <f>IFERROR(IF(0=LEN(ReferenceData!$B$199),"",ReferenceData!$B$199),"")</f>
        <v/>
      </c>
      <c r="C199" t="str">
        <f>IFERROR(IF(0=LEN(ReferenceData!$C$199),"",ReferenceData!$C$199),"")</f>
        <v/>
      </c>
      <c r="D199" t="str">
        <f>IFERROR(IF(0=LEN(ReferenceData!$D$199),"",ReferenceData!$D$199),"")</f>
        <v/>
      </c>
      <c r="E199" t="str">
        <f>IFERROR(IF(0=LEN(ReferenceData!$E$199),"",ReferenceData!$E$199),"")</f>
        <v>Expression</v>
      </c>
      <c r="F199">
        <f ca="1">IFERROR(IF(0=LEN(ReferenceData!$F$199),"",ReferenceData!$F$199),"")</f>
        <v>23.733229999999999</v>
      </c>
      <c r="G199">
        <f ca="1">IFERROR(IF(0=LEN(ReferenceData!$G$199),"",ReferenceData!$G$199),"")</f>
        <v>26.705959</v>
      </c>
      <c r="H199">
        <f ca="1">IFERROR(IF(0=LEN(ReferenceData!$H$199),"",ReferenceData!$H$199),"")</f>
        <v>26.326224</v>
      </c>
      <c r="I199">
        <f ca="1">IFERROR(IF(0=LEN(ReferenceData!$I$199),"",ReferenceData!$I$199),"")</f>
        <v>24.295380999999999</v>
      </c>
      <c r="J199">
        <f ca="1">IFERROR(IF(0=LEN(ReferenceData!$J$199),"",ReferenceData!$J$199),"")</f>
        <v>26.859912999999999</v>
      </c>
      <c r="K199">
        <f ca="1">IFERROR(IF(0=LEN(ReferenceData!$K$199),"",ReferenceData!$K$199),"")</f>
        <v>26.102492999999999</v>
      </c>
      <c r="L199">
        <f ca="1">IFERROR(IF(0=LEN(ReferenceData!$L$199),"",ReferenceData!$L$199),"")</f>
        <v>27.147527</v>
      </c>
      <c r="M199">
        <f ca="1">IFERROR(IF(0=LEN(ReferenceData!$M$199),"",ReferenceData!$M$199),"")</f>
        <v>26.586195</v>
      </c>
      <c r="N199">
        <f ca="1">IFERROR(IF(0=LEN(ReferenceData!$N$199),"",ReferenceData!$N$199),"")</f>
        <v>25.577669</v>
      </c>
      <c r="O199">
        <f ca="1">IFERROR(IF(0=LEN(ReferenceData!$O$199),"",ReferenceData!$O$199),"")</f>
        <v>25.271007000000001</v>
      </c>
      <c r="P199">
        <f ca="1">IFERROR(IF(0=LEN(ReferenceData!$P$199),"",ReferenceData!$P$199),"")</f>
        <v>23.877832999999999</v>
      </c>
      <c r="Q199">
        <f ca="1">IFERROR(IF(0=LEN(ReferenceData!$Q$199),"",ReferenceData!$Q$199),"")</f>
        <v>23.824327</v>
      </c>
      <c r="R199">
        <f ca="1">IFERROR(IF(0=LEN(ReferenceData!$R$199),"",ReferenceData!$R$199),"")</f>
        <v>21.459745999999999</v>
      </c>
      <c r="S199">
        <f ca="1">IFERROR(IF(0=LEN(ReferenceData!$S$199),"",ReferenceData!$S$199),"")</f>
        <v>19.419485999999999</v>
      </c>
      <c r="T199">
        <f ca="1">IFERROR(IF(0=LEN(ReferenceData!$T$199),"",ReferenceData!$T$199),"")</f>
        <v>17.610914999999999</v>
      </c>
      <c r="U199">
        <f ca="1">IFERROR(IF(0=LEN(ReferenceData!$U$199),"",ReferenceData!$U$199),"")</f>
        <v>17.249338000000002</v>
      </c>
      <c r="V199">
        <f ca="1">IFERROR(IF(0=LEN(ReferenceData!$V$199),"",ReferenceData!$V$199),"")</f>
        <v>19.655014000000001</v>
      </c>
      <c r="W199">
        <f ca="1">IFERROR(IF(0=LEN(ReferenceData!$W$199),"",ReferenceData!$W$199),"")</f>
        <v>19.979724000000001</v>
      </c>
      <c r="X199">
        <f ca="1">IFERROR(IF(0=LEN(ReferenceData!$X$199),"",ReferenceData!$X$199),"")</f>
        <v>17.303222000000002</v>
      </c>
      <c r="Y199">
        <f ca="1">IFERROR(IF(0=LEN(ReferenceData!$Y$199),"",ReferenceData!$Y$199),"")</f>
        <v>18.850216</v>
      </c>
      <c r="Z199">
        <f ca="1">IFERROR(IF(0=LEN(ReferenceData!$Z$199),"",ReferenceData!$Z$199),"")</f>
        <v>16.991505</v>
      </c>
      <c r="AA199">
        <f ca="1">IFERROR(IF(0=LEN(ReferenceData!$AA$199),"",ReferenceData!$AA$199),"")</f>
        <v>19.975490000000001</v>
      </c>
      <c r="AB199">
        <f ca="1">IFERROR(IF(0=LEN(ReferenceData!$AB$199),"",ReferenceData!$AB$199),"")</f>
        <v>22.273779999999999</v>
      </c>
      <c r="AC199">
        <f ca="1">IFERROR(IF(0=LEN(ReferenceData!$AC$199),"",ReferenceData!$AC$199),"")</f>
        <v>26.095435999999999</v>
      </c>
      <c r="AD199" t="str">
        <f ca="1">IFERROR(IF(0=LEN(ReferenceData!$AD$199),"",ReferenceData!$AD$199),"")</f>
        <v/>
      </c>
      <c r="AE199" t="str">
        <f ca="1">IFERROR(IF(0=LEN(ReferenceData!$AE$199),"",ReferenceData!$AE$199),"")</f>
        <v/>
      </c>
      <c r="AF199" t="str">
        <f ca="1">IFERROR(IF(0=LEN(ReferenceData!$AF$199),"",ReferenceData!$AF$199),"")</f>
        <v/>
      </c>
      <c r="AG199" t="str">
        <f ca="1">IFERROR(IF(0=LEN(ReferenceData!$AG$199),"",ReferenceData!$AG$199),"")</f>
        <v/>
      </c>
      <c r="AH199" t="str">
        <f ca="1">IFERROR(IF(0=LEN(ReferenceData!$AH$199),"",ReferenceData!$AH$199),"")</f>
        <v/>
      </c>
      <c r="AI199" t="str">
        <f ca="1">IFERROR(IF(0=LEN(ReferenceData!$AI$199),"",ReferenceData!$AI$199),"")</f>
        <v/>
      </c>
      <c r="AJ199" t="str">
        <f ca="1">IFERROR(IF(0=LEN(ReferenceData!$AJ$199),"",ReferenceData!$AJ$199),"")</f>
        <v/>
      </c>
      <c r="AK199" t="str">
        <f ca="1">IFERROR(IF(0=LEN(ReferenceData!$AK$199),"",ReferenceData!$AK$199),"")</f>
        <v/>
      </c>
      <c r="AL199" t="str">
        <f ca="1">IFERROR(IF(0=LEN(ReferenceData!$AL$199),"",ReferenceData!$AL$199),"")</f>
        <v/>
      </c>
    </row>
    <row r="200" spans="1:38" x14ac:dyDescent="0.25">
      <c r="A200" t="str">
        <f>IFERROR(IF(0=LEN(ReferenceData!$A$200),"",ReferenceData!$A$200),"")</f>
        <v xml:space="preserve">    C&amp;I Loans by Company</v>
      </c>
      <c r="B200" t="str">
        <f>IFERROR(IF(0=LEN(ReferenceData!$B$200),"",ReferenceData!$B$200),"")</f>
        <v/>
      </c>
      <c r="C200" t="str">
        <f>IFERROR(IF(0=LEN(ReferenceData!$C$200),"",ReferenceData!$C$200),"")</f>
        <v/>
      </c>
      <c r="D200" t="str">
        <f>IFERROR(IF(0=LEN(ReferenceData!$D$200),"",ReferenceData!$D$200),"")</f>
        <v/>
      </c>
      <c r="E200" t="str">
        <f>IFERROR(IF(0=LEN(ReferenceData!$E$200),"",ReferenceData!$E$200),"")</f>
        <v>Median</v>
      </c>
      <c r="F200">
        <f ca="1">IFERROR(IF(0=LEN(ReferenceData!$F$200),"",ReferenceData!$F$200),"")</f>
        <v>23.73323023</v>
      </c>
      <c r="G200">
        <f ca="1">IFERROR(IF(0=LEN(ReferenceData!$G$200),"",ReferenceData!$G$200),"")</f>
        <v>26.705959050000001</v>
      </c>
      <c r="H200">
        <f ca="1">IFERROR(IF(0=LEN(ReferenceData!$H$200),"",ReferenceData!$H$200),"")</f>
        <v>26.326223769999999</v>
      </c>
      <c r="I200">
        <f ca="1">IFERROR(IF(0=LEN(ReferenceData!$I$200),"",ReferenceData!$I$200),"")</f>
        <v>24.295380890000001</v>
      </c>
      <c r="J200">
        <f ca="1">IFERROR(IF(0=LEN(ReferenceData!$J$200),"",ReferenceData!$J$200),"")</f>
        <v>26.859912720000001</v>
      </c>
      <c r="K200">
        <f ca="1">IFERROR(IF(0=LEN(ReferenceData!$K$200),"",ReferenceData!$K$200),"")</f>
        <v>26.10249271</v>
      </c>
      <c r="L200">
        <f ca="1">IFERROR(IF(0=LEN(ReferenceData!$L$200),"",ReferenceData!$L$200),"")</f>
        <v>27.14752713</v>
      </c>
      <c r="M200">
        <f ca="1">IFERROR(IF(0=LEN(ReferenceData!$M$200),"",ReferenceData!$M$200),"")</f>
        <v>26.586195050000001</v>
      </c>
      <c r="N200">
        <f ca="1">IFERROR(IF(0=LEN(ReferenceData!$N$200),"",ReferenceData!$N$200),"")</f>
        <v>25.5776687</v>
      </c>
      <c r="O200">
        <f ca="1">IFERROR(IF(0=LEN(ReferenceData!$O$200),"",ReferenceData!$O$200),"")</f>
        <v>25.271006570000001</v>
      </c>
      <c r="P200">
        <f ca="1">IFERROR(IF(0=LEN(ReferenceData!$P$200),"",ReferenceData!$P$200),"")</f>
        <v>23.877832590000001</v>
      </c>
      <c r="Q200">
        <f ca="1">IFERROR(IF(0=LEN(ReferenceData!$Q$200),"",ReferenceData!$Q$200),"")</f>
        <v>23.82432713</v>
      </c>
      <c r="R200">
        <f ca="1">IFERROR(IF(0=LEN(ReferenceData!$R$200),"",ReferenceData!$R$200),"")</f>
        <v>21.45974558</v>
      </c>
      <c r="S200">
        <f ca="1">IFERROR(IF(0=LEN(ReferenceData!$S$200),"",ReferenceData!$S$200),"")</f>
        <v>19.419485699999999</v>
      </c>
      <c r="T200">
        <f ca="1">IFERROR(IF(0=LEN(ReferenceData!$T$200),"",ReferenceData!$T$200),"")</f>
        <v>17.610914749999999</v>
      </c>
      <c r="U200">
        <f ca="1">IFERROR(IF(0=LEN(ReferenceData!$U$200),"",ReferenceData!$U$200),"")</f>
        <v>17.249337539999999</v>
      </c>
      <c r="V200">
        <f ca="1">IFERROR(IF(0=LEN(ReferenceData!$V$200),"",ReferenceData!$V$200),"")</f>
        <v>19.655014080000001</v>
      </c>
      <c r="W200">
        <f ca="1">IFERROR(IF(0=LEN(ReferenceData!$W$200),"",ReferenceData!$W$200),"")</f>
        <v>19.979723679999999</v>
      </c>
      <c r="X200">
        <f ca="1">IFERROR(IF(0=LEN(ReferenceData!$X$200),"",ReferenceData!$X$200),"")</f>
        <v>17.303221929999999</v>
      </c>
      <c r="Y200">
        <f ca="1">IFERROR(IF(0=LEN(ReferenceData!$Y$200),"",ReferenceData!$Y$200),"")</f>
        <v>18.850215859999999</v>
      </c>
      <c r="Z200">
        <f ca="1">IFERROR(IF(0=LEN(ReferenceData!$Z$200),"",ReferenceData!$Z$200),"")</f>
        <v>16.99150539</v>
      </c>
      <c r="AA200">
        <f ca="1">IFERROR(IF(0=LEN(ReferenceData!$AA$200),"",ReferenceData!$AA$200),"")</f>
        <v>19.97548995</v>
      </c>
      <c r="AB200">
        <f ca="1">IFERROR(IF(0=LEN(ReferenceData!$AB$200),"",ReferenceData!$AB$200),"")</f>
        <v>22.27378045</v>
      </c>
      <c r="AC200">
        <f ca="1">IFERROR(IF(0=LEN(ReferenceData!$AC$200),"",ReferenceData!$AC$200),"")</f>
        <v>26.09543609</v>
      </c>
      <c r="AD200" t="str">
        <f ca="1">IFERROR(IF(0=LEN(ReferenceData!$AD$200),"",ReferenceData!$AD$200),"")</f>
        <v/>
      </c>
      <c r="AE200" t="str">
        <f ca="1">IFERROR(IF(0=LEN(ReferenceData!$AE$200),"",ReferenceData!$AE$200),"")</f>
        <v/>
      </c>
      <c r="AF200" t="str">
        <f ca="1">IFERROR(IF(0=LEN(ReferenceData!$AF$200),"",ReferenceData!$AF$200),"")</f>
        <v/>
      </c>
      <c r="AG200" t="str">
        <f ca="1">IFERROR(IF(0=LEN(ReferenceData!$AG$200),"",ReferenceData!$AG$200),"")</f>
        <v/>
      </c>
      <c r="AH200" t="str">
        <f ca="1">IFERROR(IF(0=LEN(ReferenceData!$AH$200),"",ReferenceData!$AH$200),"")</f>
        <v/>
      </c>
      <c r="AI200" t="str">
        <f ca="1">IFERROR(IF(0=LEN(ReferenceData!$AI$200),"",ReferenceData!$AI$200),"")</f>
        <v/>
      </c>
      <c r="AJ200" t="str">
        <f ca="1">IFERROR(IF(0=LEN(ReferenceData!$AJ$200),"",ReferenceData!$AJ$200),"")</f>
        <v/>
      </c>
      <c r="AK200" t="str">
        <f ca="1">IFERROR(IF(0=LEN(ReferenceData!$AK$200),"",ReferenceData!$AK$200),"")</f>
        <v/>
      </c>
      <c r="AL200" t="str">
        <f ca="1">IFERROR(IF(0=LEN(ReferenceData!$AL$200),"",ReferenceData!$AL$200),"")</f>
        <v/>
      </c>
    </row>
    <row r="201" spans="1:38" x14ac:dyDescent="0.25">
      <c r="A201" t="str">
        <f>IFERROR(IF(0=LEN(ReferenceData!$A$201),"",ReferenceData!$A$201),"")</f>
        <v xml:space="preserve">        Bank of America Corp</v>
      </c>
      <c r="B201" t="str">
        <f>IFERROR(IF(0=LEN(ReferenceData!$B$201),"",ReferenceData!$B$201),"")</f>
        <v>BAC US Equity</v>
      </c>
      <c r="C201" t="str">
        <f>IFERROR(IF(0=LEN(ReferenceData!$C$201),"",ReferenceData!$C$201),"")</f>
        <v>F0115</v>
      </c>
      <c r="D201" t="str">
        <f>IFERROR(IF(0=LEN(ReferenceData!$D$201),"",ReferenceData!$D$201),"")</f>
        <v>FED_C&amp;I_LNS_CONS_%_TOT_LNS_LEAS</v>
      </c>
      <c r="E201" t="str">
        <f>IFERROR(IF(0=LEN(ReferenceData!$E$201),"",ReferenceData!$E$201),"")</f>
        <v>Dynamic</v>
      </c>
      <c r="F201">
        <f ca="1">IFERROR(IF(0=LEN(ReferenceData!$F$201),"",ReferenceData!$F$201),"")</f>
        <v>28.742355499999999</v>
      </c>
      <c r="G201">
        <f ca="1">IFERROR(IF(0=LEN(ReferenceData!$G$201),"",ReferenceData!$G$201),"")</f>
        <v>28.9788304</v>
      </c>
      <c r="H201">
        <f ca="1">IFERROR(IF(0=LEN(ReferenceData!$H$201),"",ReferenceData!$H$201),"")</f>
        <v>30.441468950000001</v>
      </c>
      <c r="I201">
        <f ca="1">IFERROR(IF(0=LEN(ReferenceData!$I$201),"",ReferenceData!$I$201),"")</f>
        <v>28.68412824</v>
      </c>
      <c r="J201">
        <f ca="1">IFERROR(IF(0=LEN(ReferenceData!$J$201),"",ReferenceData!$J$201),"")</f>
        <v>29.914588760000001</v>
      </c>
      <c r="K201">
        <f ca="1">IFERROR(IF(0=LEN(ReferenceData!$K$201),"",ReferenceData!$K$201),"")</f>
        <v>28.918337959999999</v>
      </c>
      <c r="L201">
        <f ca="1">IFERROR(IF(0=LEN(ReferenceData!$L$201),"",ReferenceData!$L$201),"")</f>
        <v>28.528223749999999</v>
      </c>
      <c r="M201">
        <f ca="1">IFERROR(IF(0=LEN(ReferenceData!$M$201),"",ReferenceData!$M$201),"")</f>
        <v>27.3782043</v>
      </c>
      <c r="N201">
        <f ca="1">IFERROR(IF(0=LEN(ReferenceData!$N$201),"",ReferenceData!$N$201),"")</f>
        <v>26.68682956</v>
      </c>
      <c r="O201">
        <f ca="1">IFERROR(IF(0=LEN(ReferenceData!$O$201),"",ReferenceData!$O$201),"")</f>
        <v>25.223503480000002</v>
      </c>
      <c r="P201">
        <f ca="1">IFERROR(IF(0=LEN(ReferenceData!$P$201),"",ReferenceData!$P$201),"")</f>
        <v>23.496292029999999</v>
      </c>
      <c r="Q201">
        <f ca="1">IFERROR(IF(0=LEN(ReferenceData!$Q$201),"",ReferenceData!$Q$201),"")</f>
        <v>23.933726780000001</v>
      </c>
      <c r="R201">
        <f ca="1">IFERROR(IF(0=LEN(ReferenceData!$R$201),"",ReferenceData!$R$201),"")</f>
        <v>21.77040246</v>
      </c>
      <c r="S201">
        <f ca="1">IFERROR(IF(0=LEN(ReferenceData!$S$201),"",ReferenceData!$S$201),"")</f>
        <v>19.12452678</v>
      </c>
      <c r="T201">
        <f ca="1">IFERROR(IF(0=LEN(ReferenceData!$T$201),"",ReferenceData!$T$201),"")</f>
        <v>15.88573809</v>
      </c>
      <c r="U201">
        <f ca="1">IFERROR(IF(0=LEN(ReferenceData!$U$201),"",ReferenceData!$U$201),"")</f>
        <v>17.233314700000001</v>
      </c>
      <c r="V201">
        <f ca="1">IFERROR(IF(0=LEN(ReferenceData!$V$201),"",ReferenceData!$V$201),"")</f>
        <v>19.655014080000001</v>
      </c>
      <c r="W201">
        <f ca="1">IFERROR(IF(0=LEN(ReferenceData!$W$201),"",ReferenceData!$W$201),"")</f>
        <v>19.468891370000001</v>
      </c>
      <c r="X201">
        <f ca="1">IFERROR(IF(0=LEN(ReferenceData!$X$201),"",ReferenceData!$X$201),"")</f>
        <v>17.303221929999999</v>
      </c>
      <c r="Y201">
        <f ca="1">IFERROR(IF(0=LEN(ReferenceData!$Y$201),"",ReferenceData!$Y$201),"")</f>
        <v>19.153136570000001</v>
      </c>
      <c r="Z201">
        <f ca="1">IFERROR(IF(0=LEN(ReferenceData!$Z$201),"",ReferenceData!$Z$201),"")</f>
        <v>17.86603556</v>
      </c>
      <c r="AA201">
        <f ca="1">IFERROR(IF(0=LEN(ReferenceData!$AA$201),"",ReferenceData!$AA$201),"")</f>
        <v>18.55823874</v>
      </c>
      <c r="AB201">
        <f ca="1">IFERROR(IF(0=LEN(ReferenceData!$AB$201),"",ReferenceData!$AB$201),"")</f>
        <v>23.81164712</v>
      </c>
      <c r="AC201">
        <f ca="1">IFERROR(IF(0=LEN(ReferenceData!$AC$201),"",ReferenceData!$AC$201),"")</f>
        <v>30.796287629999998</v>
      </c>
      <c r="AD201" t="str">
        <f ca="1">IFERROR(IF(0=LEN(ReferenceData!$AD$201),"",ReferenceData!$AD$201),"")</f>
        <v/>
      </c>
      <c r="AE201" t="str">
        <f ca="1">IFERROR(IF(0=LEN(ReferenceData!$AE$201),"",ReferenceData!$AE$201),"")</f>
        <v/>
      </c>
      <c r="AF201" t="str">
        <f ca="1">IFERROR(IF(0=LEN(ReferenceData!$AF$201),"",ReferenceData!$AF$201),"")</f>
        <v/>
      </c>
      <c r="AG201" t="str">
        <f ca="1">IFERROR(IF(0=LEN(ReferenceData!$AG$201),"",ReferenceData!$AG$201),"")</f>
        <v/>
      </c>
      <c r="AH201" t="str">
        <f ca="1">IFERROR(IF(0=LEN(ReferenceData!$AH$201),"",ReferenceData!$AH$201),"")</f>
        <v/>
      </c>
      <c r="AI201" t="str">
        <f ca="1">IFERROR(IF(0=LEN(ReferenceData!$AI$201),"",ReferenceData!$AI$201),"")</f>
        <v/>
      </c>
      <c r="AJ201" t="str">
        <f ca="1">IFERROR(IF(0=LEN(ReferenceData!$AJ$201),"",ReferenceData!$AJ$201),"")</f>
        <v/>
      </c>
      <c r="AK201" t="str">
        <f ca="1">IFERROR(IF(0=LEN(ReferenceData!$AK$201),"",ReferenceData!$AK$201),"")</f>
        <v/>
      </c>
      <c r="AL201" t="str">
        <f ca="1">IFERROR(IF(0=LEN(ReferenceData!$AL$201),"",ReferenceData!$AL$201),"")</f>
        <v/>
      </c>
    </row>
    <row r="202" spans="1:38" x14ac:dyDescent="0.25">
      <c r="A202" t="str">
        <f>IFERROR(IF(0=LEN(ReferenceData!$A$202),"",ReferenceData!$A$202),"")</f>
        <v xml:space="preserve">        Citigroup Inc</v>
      </c>
      <c r="B202" t="str">
        <f>IFERROR(IF(0=LEN(ReferenceData!$B$202),"",ReferenceData!$B$202),"")</f>
        <v>C US Equity</v>
      </c>
      <c r="C202" t="str">
        <f>IFERROR(IF(0=LEN(ReferenceData!$C$202),"",ReferenceData!$C$202),"")</f>
        <v>F0115</v>
      </c>
      <c r="D202" t="str">
        <f>IFERROR(IF(0=LEN(ReferenceData!$D$202),"",ReferenceData!$D$202),"")</f>
        <v>FED_C&amp;I_LNS_CONS_%_TOT_LNS_LEAS</v>
      </c>
      <c r="E202" t="str">
        <f>IFERROR(IF(0=LEN(ReferenceData!$E$202),"",ReferenceData!$E$202),"")</f>
        <v>Dynamic</v>
      </c>
      <c r="F202">
        <f ca="1">IFERROR(IF(0=LEN(ReferenceData!$F$202),"",ReferenceData!$F$202),"")</f>
        <v>22.315758420000002</v>
      </c>
      <c r="G202">
        <f ca="1">IFERROR(IF(0=LEN(ReferenceData!$G$202),"",ReferenceData!$G$202),"")</f>
        <v>23.198065840000002</v>
      </c>
      <c r="H202">
        <f ca="1">IFERROR(IF(0=LEN(ReferenceData!$H$202),"",ReferenceData!$H$202),"")</f>
        <v>23.137616999999999</v>
      </c>
      <c r="I202">
        <f ca="1">IFERROR(IF(0=LEN(ReferenceData!$I$202),"",ReferenceData!$I$202),"")</f>
        <v>22.571651419999998</v>
      </c>
      <c r="J202">
        <f ca="1">IFERROR(IF(0=LEN(ReferenceData!$J$202),"",ReferenceData!$J$202),"")</f>
        <v>24.126190609999998</v>
      </c>
      <c r="K202">
        <f ca="1">IFERROR(IF(0=LEN(ReferenceData!$K$202),"",ReferenceData!$K$202),"")</f>
        <v>24.6324665</v>
      </c>
      <c r="L202">
        <f ca="1">IFERROR(IF(0=LEN(ReferenceData!$L$202),"",ReferenceData!$L$202),"")</f>
        <v>25.422771950000001</v>
      </c>
      <c r="M202">
        <f ca="1">IFERROR(IF(0=LEN(ReferenceData!$M$202),"",ReferenceData!$M$202),"")</f>
        <v>25.37212881</v>
      </c>
      <c r="N202">
        <f ca="1">IFERROR(IF(0=LEN(ReferenceData!$N$202),"",ReferenceData!$N$202),"")</f>
        <v>24.121312280000001</v>
      </c>
      <c r="O202">
        <f ca="1">IFERROR(IF(0=LEN(ReferenceData!$O$202),"",ReferenceData!$O$202),"")</f>
        <v>24.535256189999998</v>
      </c>
      <c r="P202">
        <f ca="1">IFERROR(IF(0=LEN(ReferenceData!$P$202),"",ReferenceData!$P$202),"")</f>
        <v>22.959915909999999</v>
      </c>
      <c r="Q202">
        <f ca="1">IFERROR(IF(0=LEN(ReferenceData!$Q$202),"",ReferenceData!$Q$202),"")</f>
        <v>22.15935275</v>
      </c>
      <c r="R202">
        <f ca="1">IFERROR(IF(0=LEN(ReferenceData!$R$202),"",ReferenceData!$R$202),"")</f>
        <v>20.790348219999998</v>
      </c>
      <c r="S202">
        <f ca="1">IFERROR(IF(0=LEN(ReferenceData!$S$202),"",ReferenceData!$S$202),"")</f>
        <v>19.098859640000001</v>
      </c>
      <c r="T202">
        <f ca="1">IFERROR(IF(0=LEN(ReferenceData!$T$202),"",ReferenceData!$T$202),"")</f>
        <v>16.427505759999999</v>
      </c>
      <c r="U202">
        <f ca="1">IFERROR(IF(0=LEN(ReferenceData!$U$202),"",ReferenceData!$U$202),"")</f>
        <v>18.706583609999999</v>
      </c>
      <c r="V202">
        <f ca="1">IFERROR(IF(0=LEN(ReferenceData!$V$202),"",ReferenceData!$V$202),"")</f>
        <v>20.786681389999998</v>
      </c>
      <c r="W202">
        <f ca="1">IFERROR(IF(0=LEN(ReferenceData!$W$202),"",ReferenceData!$W$202),"")</f>
        <v>23.71330206</v>
      </c>
      <c r="X202">
        <f ca="1">IFERROR(IF(0=LEN(ReferenceData!$X$202),"",ReferenceData!$X$202),"")</f>
        <v>22.009633099999999</v>
      </c>
      <c r="Y202">
        <f ca="1">IFERROR(IF(0=LEN(ReferenceData!$Y$202),"",ReferenceData!$Y$202),"")</f>
        <v>20.587312539999999</v>
      </c>
      <c r="Z202">
        <f ca="1">IFERROR(IF(0=LEN(ReferenceData!$Z$202),"",ReferenceData!$Z$202),"")</f>
        <v>19.561914430000002</v>
      </c>
      <c r="AA202">
        <f ca="1">IFERROR(IF(0=LEN(ReferenceData!$AA$202),"",ReferenceData!$AA$202),"")</f>
        <v>18.964837899999999</v>
      </c>
      <c r="AB202">
        <f ca="1">IFERROR(IF(0=LEN(ReferenceData!$AB$202),"",ReferenceData!$AB$202),"")</f>
        <v>22.27378045</v>
      </c>
      <c r="AC202">
        <f ca="1">IFERROR(IF(0=LEN(ReferenceData!$AC$202),"",ReferenceData!$AC$202),"")</f>
        <v>27.115806379999999</v>
      </c>
      <c r="AD202" t="str">
        <f ca="1">IFERROR(IF(0=LEN(ReferenceData!$AD$202),"",ReferenceData!$AD$202),"")</f>
        <v/>
      </c>
      <c r="AE202" t="str">
        <f ca="1">IFERROR(IF(0=LEN(ReferenceData!$AE$202),"",ReferenceData!$AE$202),"")</f>
        <v/>
      </c>
      <c r="AF202" t="str">
        <f ca="1">IFERROR(IF(0=LEN(ReferenceData!$AF$202),"",ReferenceData!$AF$202),"")</f>
        <v/>
      </c>
      <c r="AG202" t="str">
        <f ca="1">IFERROR(IF(0=LEN(ReferenceData!$AG$202),"",ReferenceData!$AG$202),"")</f>
        <v/>
      </c>
      <c r="AH202" t="str">
        <f ca="1">IFERROR(IF(0=LEN(ReferenceData!$AH$202),"",ReferenceData!$AH$202),"")</f>
        <v/>
      </c>
      <c r="AI202" t="str">
        <f ca="1">IFERROR(IF(0=LEN(ReferenceData!$AI$202),"",ReferenceData!$AI$202),"")</f>
        <v/>
      </c>
      <c r="AJ202" t="str">
        <f ca="1">IFERROR(IF(0=LEN(ReferenceData!$AJ$202),"",ReferenceData!$AJ$202),"")</f>
        <v/>
      </c>
      <c r="AK202" t="str">
        <f ca="1">IFERROR(IF(0=LEN(ReferenceData!$AK$202),"",ReferenceData!$AK$202),"")</f>
        <v/>
      </c>
      <c r="AL202" t="str">
        <f ca="1">IFERROR(IF(0=LEN(ReferenceData!$AL$202),"",ReferenceData!$AL$202),"")</f>
        <v/>
      </c>
    </row>
    <row r="203" spans="1:38" x14ac:dyDescent="0.25">
      <c r="A203" t="str">
        <f>IFERROR(IF(0=LEN(ReferenceData!$A$203),"",ReferenceData!$A$203),"")</f>
        <v xml:space="preserve">        Citizens Financial Group Inc</v>
      </c>
      <c r="B203" t="str">
        <f>IFERROR(IF(0=LEN(ReferenceData!$B$203),"",ReferenceData!$B$203),"")</f>
        <v>CFG US Equity</v>
      </c>
      <c r="C203" t="str">
        <f>IFERROR(IF(0=LEN(ReferenceData!$C$203),"",ReferenceData!$C$203),"")</f>
        <v>F0115</v>
      </c>
      <c r="D203" t="str">
        <f>IFERROR(IF(0=LEN(ReferenceData!$D$203),"",ReferenceData!$D$203),"")</f>
        <v>FED_C&amp;I_LNS_CONS_%_TOT_LNS_LEAS</v>
      </c>
      <c r="E203" t="str">
        <f>IFERROR(IF(0=LEN(ReferenceData!$E$203),"",ReferenceData!$E$203),"")</f>
        <v>Dynamic</v>
      </c>
      <c r="F203">
        <f ca="1">IFERROR(IF(0=LEN(ReferenceData!$F$203),"",ReferenceData!$F$203),"")</f>
        <v>18.43603899</v>
      </c>
      <c r="G203">
        <f ca="1">IFERROR(IF(0=LEN(ReferenceData!$G$203),"",ReferenceData!$G$203),"")</f>
        <v>26.705959050000001</v>
      </c>
      <c r="H203">
        <f ca="1">IFERROR(IF(0=LEN(ReferenceData!$H$203),"",ReferenceData!$H$203),"")</f>
        <v>29.755132509999999</v>
      </c>
      <c r="I203">
        <f ca="1">IFERROR(IF(0=LEN(ReferenceData!$I$203),"",ReferenceData!$I$203),"")</f>
        <v>31.32080663</v>
      </c>
      <c r="J203">
        <f ca="1">IFERROR(IF(0=LEN(ReferenceData!$J$203),"",ReferenceData!$J$203),"")</f>
        <v>31.126064629999998</v>
      </c>
      <c r="K203">
        <f ca="1">IFERROR(IF(0=LEN(ReferenceData!$K$203),"",ReferenceData!$K$203),"")</f>
        <v>29.878663499999998</v>
      </c>
      <c r="L203">
        <f ca="1">IFERROR(IF(0=LEN(ReferenceData!$L$203),"",ReferenceData!$L$203),"")</f>
        <v>30.549927449999998</v>
      </c>
      <c r="M203">
        <f ca="1">IFERROR(IF(0=LEN(ReferenceData!$M$203),"",ReferenceData!$M$203),"")</f>
        <v>28.787615760000001</v>
      </c>
      <c r="N203">
        <f ca="1">IFERROR(IF(0=LEN(ReferenceData!$N$203),"",ReferenceData!$N$203),"")</f>
        <v>29.358110459999999</v>
      </c>
      <c r="O203">
        <f ca="1">IFERROR(IF(0=LEN(ReferenceData!$O$203),"",ReferenceData!$O$203),"")</f>
        <v>27.422248150000001</v>
      </c>
      <c r="P203">
        <f ca="1">IFERROR(IF(0=LEN(ReferenceData!$P$203),"",ReferenceData!$P$203),"")</f>
        <v>26.960485349999999</v>
      </c>
      <c r="Q203">
        <f ca="1">IFERROR(IF(0=LEN(ReferenceData!$Q$203),"",ReferenceData!$Q$203),"")</f>
        <v>26.513473770000001</v>
      </c>
      <c r="R203">
        <f ca="1">IFERROR(IF(0=LEN(ReferenceData!$R$203),"",ReferenceData!$R$203),"")</f>
        <v>24.728529940000001</v>
      </c>
      <c r="S203">
        <f ca="1">IFERROR(IF(0=LEN(ReferenceData!$S$203),"",ReferenceData!$S$203),"")</f>
        <v>21.658870780000001</v>
      </c>
      <c r="T203">
        <f ca="1">IFERROR(IF(0=LEN(ReferenceData!$T$203),"",ReferenceData!$T$203),"")</f>
        <v>17.762949280000001</v>
      </c>
      <c r="U203">
        <f ca="1">IFERROR(IF(0=LEN(ReferenceData!$U$203),"",ReferenceData!$U$203),"")</f>
        <v>15.76918759</v>
      </c>
      <c r="V203">
        <f ca="1">IFERROR(IF(0=LEN(ReferenceData!$V$203),"",ReferenceData!$V$203),"")</f>
        <v>17.49847505</v>
      </c>
      <c r="W203">
        <f ca="1">IFERROR(IF(0=LEN(ReferenceData!$W$203),"",ReferenceData!$W$203),"")</f>
        <v>18.28904082</v>
      </c>
      <c r="X203">
        <f ca="1">IFERROR(IF(0=LEN(ReferenceData!$X$203),"",ReferenceData!$X$203),"")</f>
        <v>15.312031620000001</v>
      </c>
      <c r="Y203">
        <f ca="1">IFERROR(IF(0=LEN(ReferenceData!$Y$203),"",ReferenceData!$Y$203),"")</f>
        <v>12.01121305</v>
      </c>
      <c r="Z203">
        <f ca="1">IFERROR(IF(0=LEN(ReferenceData!$Z$203),"",ReferenceData!$Z$203),"")</f>
        <v>12.14028592</v>
      </c>
      <c r="AA203">
        <f ca="1">IFERROR(IF(0=LEN(ReferenceData!$AA$203),"",ReferenceData!$AA$203),"")</f>
        <v>19.97548995</v>
      </c>
      <c r="AB203">
        <f ca="1">IFERROR(IF(0=LEN(ReferenceData!$AB$203),"",ReferenceData!$AB$203),"")</f>
        <v>26.081984949999999</v>
      </c>
      <c r="AC203">
        <f ca="1">IFERROR(IF(0=LEN(ReferenceData!$AC$203),"",ReferenceData!$AC$203),"")</f>
        <v>32.860920110000002</v>
      </c>
      <c r="AD203" t="str">
        <f ca="1">IFERROR(IF(0=LEN(ReferenceData!$AD$203),"",ReferenceData!$AD$203),"")</f>
        <v/>
      </c>
      <c r="AE203" t="str">
        <f ca="1">IFERROR(IF(0=LEN(ReferenceData!$AE$203),"",ReferenceData!$AE$203),"")</f>
        <v/>
      </c>
      <c r="AF203" t="str">
        <f ca="1">IFERROR(IF(0=LEN(ReferenceData!$AF$203),"",ReferenceData!$AF$203),"")</f>
        <v/>
      </c>
      <c r="AG203" t="str">
        <f ca="1">IFERROR(IF(0=LEN(ReferenceData!$AG$203),"",ReferenceData!$AG$203),"")</f>
        <v/>
      </c>
      <c r="AH203" t="str">
        <f ca="1">IFERROR(IF(0=LEN(ReferenceData!$AH$203),"",ReferenceData!$AH$203),"")</f>
        <v/>
      </c>
      <c r="AI203" t="str">
        <f ca="1">IFERROR(IF(0=LEN(ReferenceData!$AI$203),"",ReferenceData!$AI$203),"")</f>
        <v/>
      </c>
      <c r="AJ203" t="str">
        <f ca="1">IFERROR(IF(0=LEN(ReferenceData!$AJ$203),"",ReferenceData!$AJ$203),"")</f>
        <v/>
      </c>
      <c r="AK203" t="str">
        <f ca="1">IFERROR(IF(0=LEN(ReferenceData!$AK$203),"",ReferenceData!$AK$203),"")</f>
        <v/>
      </c>
      <c r="AL203" t="str">
        <f ca="1">IFERROR(IF(0=LEN(ReferenceData!$AL$203),"",ReferenceData!$AL$203),"")</f>
        <v/>
      </c>
    </row>
    <row r="204" spans="1:38" x14ac:dyDescent="0.25">
      <c r="A204" t="str">
        <f>IFERROR(IF(0=LEN(ReferenceData!$A$204),"",ReferenceData!$A$204),"")</f>
        <v xml:space="preserve">        Capital One Financial Corp</v>
      </c>
      <c r="B204" t="str">
        <f>IFERROR(IF(0=LEN(ReferenceData!$B$204),"",ReferenceData!$B$204),"")</f>
        <v>COF US Equity</v>
      </c>
      <c r="C204" t="str">
        <f>IFERROR(IF(0=LEN(ReferenceData!$C$204),"",ReferenceData!$C$204),"")</f>
        <v>F0115</v>
      </c>
      <c r="D204" t="str">
        <f>IFERROR(IF(0=LEN(ReferenceData!$D$204),"",ReferenceData!$D$204),"")</f>
        <v>FED_C&amp;I_LNS_CONS_%_TOT_LNS_LEAS</v>
      </c>
      <c r="E204" t="str">
        <f>IFERROR(IF(0=LEN(ReferenceData!$E$204),"",ReferenceData!$E$204),"")</f>
        <v>Dynamic</v>
      </c>
      <c r="F204">
        <f ca="1">IFERROR(IF(0=LEN(ReferenceData!$F$204),"",ReferenceData!$F$204),"")</f>
        <v>13.732867519999999</v>
      </c>
      <c r="G204">
        <f ca="1">IFERROR(IF(0=LEN(ReferenceData!$G$204),"",ReferenceData!$G$204),"")</f>
        <v>14.39080877</v>
      </c>
      <c r="H204">
        <f ca="1">IFERROR(IF(0=LEN(ReferenceData!$H$204),"",ReferenceData!$H$204),"")</f>
        <v>15.226330259999999</v>
      </c>
      <c r="I204">
        <f ca="1">IFERROR(IF(0=LEN(ReferenceData!$I$204),"",ReferenceData!$I$204),"")</f>
        <v>14.30954365</v>
      </c>
      <c r="J204">
        <f ca="1">IFERROR(IF(0=LEN(ReferenceData!$J$204),"",ReferenceData!$J$204),"")</f>
        <v>13.82445772</v>
      </c>
      <c r="K204">
        <f ca="1">IFERROR(IF(0=LEN(ReferenceData!$K$204),"",ReferenceData!$K$204),"")</f>
        <v>14.02986026</v>
      </c>
      <c r="L204">
        <f ca="1">IFERROR(IF(0=LEN(ReferenceData!$L$204),"",ReferenceData!$L$204),"")</f>
        <v>13.692091380000001</v>
      </c>
      <c r="M204">
        <f ca="1">IFERROR(IF(0=LEN(ReferenceData!$M$204),"",ReferenceData!$M$204),"")</f>
        <v>11.389146480000001</v>
      </c>
      <c r="N204">
        <f ca="1">IFERROR(IF(0=LEN(ReferenceData!$N$204),"",ReferenceData!$N$204),"")</f>
        <v>11.94091491</v>
      </c>
      <c r="O204">
        <f ca="1">IFERROR(IF(0=LEN(ReferenceData!$O$204),"",ReferenceData!$O$204),"")</f>
        <v>11.61145264</v>
      </c>
      <c r="P204">
        <f ca="1">IFERROR(IF(0=LEN(ReferenceData!$P$204),"",ReferenceData!$P$204),"")</f>
        <v>10.604659959999999</v>
      </c>
      <c r="Q204">
        <f ca="1">IFERROR(IF(0=LEN(ReferenceData!$Q$204),"",ReferenceData!$Q$204),"")</f>
        <v>9.6921172640000002</v>
      </c>
      <c r="R204">
        <f ca="1">IFERROR(IF(0=LEN(ReferenceData!$R$204),"",ReferenceData!$R$204),"")</f>
        <v>8.7522071379999993</v>
      </c>
      <c r="S204">
        <f ca="1">IFERROR(IF(0=LEN(ReferenceData!$S$204),"",ReferenceData!$S$204),"")</f>
        <v>12.716961599999999</v>
      </c>
      <c r="T204">
        <f ca="1">IFERROR(IF(0=LEN(ReferenceData!$T$204),"",ReferenceData!$T$204),"")</f>
        <v>12.66444295</v>
      </c>
      <c r="U204">
        <f ca="1">IFERROR(IF(0=LEN(ReferenceData!$U$204),"",ReferenceData!$U$204),"")</f>
        <v>13.72656059</v>
      </c>
      <c r="V204">
        <f ca="1">IFERROR(IF(0=LEN(ReferenceData!$V$204),"",ReferenceData!$V$204),"")</f>
        <v>15.377176520000001</v>
      </c>
      <c r="W204">
        <f ca="1">IFERROR(IF(0=LEN(ReferenceData!$W$204),"",ReferenceData!$W$204),"")</f>
        <v>15.95691566</v>
      </c>
      <c r="X204">
        <f ca="1">IFERROR(IF(0=LEN(ReferenceData!$X$204),"",ReferenceData!$X$204),"")</f>
        <v>10.653799640000001</v>
      </c>
      <c r="Y204">
        <f ca="1">IFERROR(IF(0=LEN(ReferenceData!$Y$204),"",ReferenceData!$Y$204),"")</f>
        <v>9.3642868410000002</v>
      </c>
      <c r="Z204">
        <f ca="1">IFERROR(IF(0=LEN(ReferenceData!$Z$204),"",ReferenceData!$Z$204),"")</f>
        <v>6.944850067</v>
      </c>
      <c r="AA204" t="str">
        <f ca="1">IFERROR(IF(0=LEN(ReferenceData!$AA$204),"",ReferenceData!$AA$204),"")</f>
        <v/>
      </c>
      <c r="AB204" t="str">
        <f ca="1">IFERROR(IF(0=LEN(ReferenceData!$AB$204),"",ReferenceData!$AB$204),"")</f>
        <v/>
      </c>
      <c r="AC204" t="str">
        <f ca="1">IFERROR(IF(0=LEN(ReferenceData!$AC$204),"",ReferenceData!$AC$204),"")</f>
        <v/>
      </c>
      <c r="AD204" t="str">
        <f ca="1">IFERROR(IF(0=LEN(ReferenceData!$AD$204),"",ReferenceData!$AD$204),"")</f>
        <v/>
      </c>
      <c r="AE204" t="str">
        <f ca="1">IFERROR(IF(0=LEN(ReferenceData!$AE$204),"",ReferenceData!$AE$204),"")</f>
        <v/>
      </c>
      <c r="AF204" t="str">
        <f ca="1">IFERROR(IF(0=LEN(ReferenceData!$AF$204),"",ReferenceData!$AF$204),"")</f>
        <v/>
      </c>
      <c r="AG204" t="str">
        <f ca="1">IFERROR(IF(0=LEN(ReferenceData!$AG$204),"",ReferenceData!$AG$204),"")</f>
        <v/>
      </c>
      <c r="AH204" t="str">
        <f ca="1">IFERROR(IF(0=LEN(ReferenceData!$AH$204),"",ReferenceData!$AH$204),"")</f>
        <v/>
      </c>
      <c r="AI204" t="str">
        <f ca="1">IFERROR(IF(0=LEN(ReferenceData!$AI$204),"",ReferenceData!$AI$204),"")</f>
        <v/>
      </c>
      <c r="AJ204" t="str">
        <f ca="1">IFERROR(IF(0=LEN(ReferenceData!$AJ$204),"",ReferenceData!$AJ$204),"")</f>
        <v/>
      </c>
      <c r="AK204" t="str">
        <f ca="1">IFERROR(IF(0=LEN(ReferenceData!$AK$204),"",ReferenceData!$AK$204),"")</f>
        <v/>
      </c>
      <c r="AL204" t="str">
        <f ca="1">IFERROR(IF(0=LEN(ReferenceData!$AL$204),"",ReferenceData!$AL$204),"")</f>
        <v/>
      </c>
    </row>
    <row r="205" spans="1:38" x14ac:dyDescent="0.25">
      <c r="A205" t="str">
        <f>IFERROR(IF(0=LEN(ReferenceData!$A$205),"",ReferenceData!$A$205),"")</f>
        <v xml:space="preserve">        Comerica Inc</v>
      </c>
      <c r="B205" t="str">
        <f>IFERROR(IF(0=LEN(ReferenceData!$B$205),"",ReferenceData!$B$205),"")</f>
        <v>CMA US Equity</v>
      </c>
      <c r="C205" t="str">
        <f>IFERROR(IF(0=LEN(ReferenceData!$C$205),"",ReferenceData!$C$205),"")</f>
        <v>F0115</v>
      </c>
      <c r="D205" t="str">
        <f>IFERROR(IF(0=LEN(ReferenceData!$D$205),"",ReferenceData!$D$205),"")</f>
        <v>FED_C&amp;I_LNS_CONS_%_TOT_LNS_LEAS</v>
      </c>
      <c r="E205" t="str">
        <f>IFERROR(IF(0=LEN(ReferenceData!$E$205),"",ReferenceData!$E$205),"")</f>
        <v>Dynamic</v>
      </c>
      <c r="F205" t="str">
        <f ca="1">IFERROR(IF(0=LEN(ReferenceData!$F$205),"",ReferenceData!$F$205),"")</f>
        <v/>
      </c>
      <c r="G205">
        <f ca="1">IFERROR(IF(0=LEN(ReferenceData!$G$205),"",ReferenceData!$G$205),"")</f>
        <v>47.318750600000001</v>
      </c>
      <c r="H205">
        <f ca="1">IFERROR(IF(0=LEN(ReferenceData!$H$205),"",ReferenceData!$H$205),"")</f>
        <v>47.972960319999999</v>
      </c>
      <c r="I205">
        <f ca="1">IFERROR(IF(0=LEN(ReferenceData!$I$205),"",ReferenceData!$I$205),"")</f>
        <v>46.529792460000003</v>
      </c>
      <c r="J205">
        <f ca="1">IFERROR(IF(0=LEN(ReferenceData!$J$205),"",ReferenceData!$J$205),"")</f>
        <v>48.359339149999997</v>
      </c>
      <c r="K205">
        <f ca="1">IFERROR(IF(0=LEN(ReferenceData!$K$205),"",ReferenceData!$K$205),"")</f>
        <v>51.377640149999998</v>
      </c>
      <c r="L205">
        <f ca="1">IFERROR(IF(0=LEN(ReferenceData!$L$205),"",ReferenceData!$L$205),"")</f>
        <v>53.900947369999997</v>
      </c>
      <c r="M205">
        <f ca="1">IFERROR(IF(0=LEN(ReferenceData!$M$205),"",ReferenceData!$M$205),"")</f>
        <v>54.820890720000001</v>
      </c>
      <c r="N205">
        <f ca="1">IFERROR(IF(0=LEN(ReferenceData!$N$205),"",ReferenceData!$N$205),"")</f>
        <v>54.26372241</v>
      </c>
      <c r="O205">
        <f ca="1">IFERROR(IF(0=LEN(ReferenceData!$O$205),"",ReferenceData!$O$205),"")</f>
        <v>55.887925299999999</v>
      </c>
      <c r="P205">
        <f ca="1">IFERROR(IF(0=LEN(ReferenceData!$P$205),"",ReferenceData!$P$205),"")</f>
        <v>58.976974810000002</v>
      </c>
      <c r="Q205">
        <f ca="1">IFERROR(IF(0=LEN(ReferenceData!$Q$205),"",ReferenceData!$Q$205),"")</f>
        <v>58.584356069999998</v>
      </c>
      <c r="R205">
        <f ca="1">IFERROR(IF(0=LEN(ReferenceData!$R$205),"",ReferenceData!$R$205),"")</f>
        <v>56.613995420000002</v>
      </c>
      <c r="S205">
        <f ca="1">IFERROR(IF(0=LEN(ReferenceData!$S$205),"",ReferenceData!$S$205),"")</f>
        <v>54.785473799999998</v>
      </c>
      <c r="T205">
        <f ca="1">IFERROR(IF(0=LEN(ReferenceData!$T$205),"",ReferenceData!$T$205),"")</f>
        <v>52.788637860000001</v>
      </c>
      <c r="U205">
        <f ca="1">IFERROR(IF(0=LEN(ReferenceData!$U$205),"",ReferenceData!$U$205),"")</f>
        <v>48.730199059999997</v>
      </c>
      <c r="V205">
        <f ca="1">IFERROR(IF(0=LEN(ReferenceData!$V$205),"",ReferenceData!$V$205),"")</f>
        <v>48.37997867</v>
      </c>
      <c r="W205">
        <f ca="1">IFERROR(IF(0=LEN(ReferenceData!$W$205),"",ReferenceData!$W$205),"")</f>
        <v>48.63494438</v>
      </c>
      <c r="X205">
        <f ca="1">IFERROR(IF(0=LEN(ReferenceData!$X$205),"",ReferenceData!$X$205),"")</f>
        <v>49.356905320000003</v>
      </c>
      <c r="Y205">
        <f ca="1">IFERROR(IF(0=LEN(ReferenceData!$Y$205),"",ReferenceData!$Y$205),"")</f>
        <v>48.433324409999997</v>
      </c>
      <c r="Z205">
        <f ca="1">IFERROR(IF(0=LEN(ReferenceData!$Z$205),"",ReferenceData!$Z$205),"")</f>
        <v>53.960458289999998</v>
      </c>
      <c r="AA205">
        <f ca="1">IFERROR(IF(0=LEN(ReferenceData!$AA$205),"",ReferenceData!$AA$205),"")</f>
        <v>55.278024139999999</v>
      </c>
      <c r="AB205">
        <f ca="1">IFERROR(IF(0=LEN(ReferenceData!$AB$205),"",ReferenceData!$AB$205),"")</f>
        <v>57.240502159999998</v>
      </c>
      <c r="AC205">
        <f ca="1">IFERROR(IF(0=LEN(ReferenceData!$AC$205),"",ReferenceData!$AC$205),"")</f>
        <v>59.205198490000001</v>
      </c>
      <c r="AD205" t="str">
        <f ca="1">IFERROR(IF(0=LEN(ReferenceData!$AD$205),"",ReferenceData!$AD$205),"")</f>
        <v/>
      </c>
      <c r="AE205" t="str">
        <f ca="1">IFERROR(IF(0=LEN(ReferenceData!$AE$205),"",ReferenceData!$AE$205),"")</f>
        <v/>
      </c>
      <c r="AF205" t="str">
        <f ca="1">IFERROR(IF(0=LEN(ReferenceData!$AF$205),"",ReferenceData!$AF$205),"")</f>
        <v/>
      </c>
      <c r="AG205" t="str">
        <f ca="1">IFERROR(IF(0=LEN(ReferenceData!$AG$205),"",ReferenceData!$AG$205),"")</f>
        <v/>
      </c>
      <c r="AH205" t="str">
        <f ca="1">IFERROR(IF(0=LEN(ReferenceData!$AH$205),"",ReferenceData!$AH$205),"")</f>
        <v/>
      </c>
      <c r="AI205" t="str">
        <f ca="1">IFERROR(IF(0=LEN(ReferenceData!$AI$205),"",ReferenceData!$AI$205),"")</f>
        <v/>
      </c>
      <c r="AJ205" t="str">
        <f ca="1">IFERROR(IF(0=LEN(ReferenceData!$AJ$205),"",ReferenceData!$AJ$205),"")</f>
        <v/>
      </c>
      <c r="AK205" t="str">
        <f ca="1">IFERROR(IF(0=LEN(ReferenceData!$AK$205),"",ReferenceData!$AK$205),"")</f>
        <v/>
      </c>
      <c r="AL205" t="str">
        <f ca="1">IFERROR(IF(0=LEN(ReferenceData!$AL$205),"",ReferenceData!$AL$205),"")</f>
        <v/>
      </c>
    </row>
    <row r="206" spans="1:38" x14ac:dyDescent="0.25">
      <c r="A206" t="str">
        <f>IFERROR(IF(0=LEN(ReferenceData!$A$206),"",ReferenceData!$A$206),"")</f>
        <v xml:space="preserve">        East West Bancorp Inc</v>
      </c>
      <c r="B206" t="str">
        <f>IFERROR(IF(0=LEN(ReferenceData!$B$206),"",ReferenceData!$B$206),"")</f>
        <v>EWBC US Equity</v>
      </c>
      <c r="C206" t="str">
        <f>IFERROR(IF(0=LEN(ReferenceData!$C$206),"",ReferenceData!$C$206),"")</f>
        <v>F0115</v>
      </c>
      <c r="D206" t="str">
        <f>IFERROR(IF(0=LEN(ReferenceData!$D$206),"",ReferenceData!$D$206),"")</f>
        <v>FED_C&amp;I_LNS_CONS_%_TOT_LNS_LEAS</v>
      </c>
      <c r="E206" t="str">
        <f>IFERROR(IF(0=LEN(ReferenceData!$E$206),"",ReferenceData!$E$206),"")</f>
        <v>Dynamic</v>
      </c>
      <c r="F206" t="str">
        <f ca="1">IFERROR(IF(0=LEN(ReferenceData!$F$206),"",ReferenceData!$F$206),"")</f>
        <v/>
      </c>
      <c r="G206">
        <f ca="1">IFERROR(IF(0=LEN(ReferenceData!$G$206),"",ReferenceData!$G$206),"")</f>
        <v>19.606335829999999</v>
      </c>
      <c r="H206">
        <f ca="1">IFERROR(IF(0=LEN(ReferenceData!$H$206),"",ReferenceData!$H$206),"")</f>
        <v>20.50481031</v>
      </c>
      <c r="I206">
        <f ca="1">IFERROR(IF(0=LEN(ReferenceData!$I$206),"",ReferenceData!$I$206),"")</f>
        <v>22.841428839999999</v>
      </c>
      <c r="J206">
        <f ca="1">IFERROR(IF(0=LEN(ReferenceData!$J$206),"",ReferenceData!$J$206),"")</f>
        <v>26.859912720000001</v>
      </c>
      <c r="K206">
        <f ca="1">IFERROR(IF(0=LEN(ReferenceData!$K$206),"",ReferenceData!$K$206),"")</f>
        <v>28.024973599999999</v>
      </c>
      <c r="L206">
        <f ca="1">IFERROR(IF(0=LEN(ReferenceData!$L$206),"",ReferenceData!$L$206),"")</f>
        <v>29.259818930000002</v>
      </c>
      <c r="M206">
        <f ca="1">IFERROR(IF(0=LEN(ReferenceData!$M$206),"",ReferenceData!$M$206),"")</f>
        <v>29.908717500000002</v>
      </c>
      <c r="N206">
        <f ca="1">IFERROR(IF(0=LEN(ReferenceData!$N$206),"",ReferenceData!$N$206),"")</f>
        <v>30.69738954</v>
      </c>
      <c r="O206">
        <f ca="1">IFERROR(IF(0=LEN(ReferenceData!$O$206),"",ReferenceData!$O$206),"")</f>
        <v>31.558575810000001</v>
      </c>
      <c r="P206">
        <f ca="1">IFERROR(IF(0=LEN(ReferenceData!$P$206),"",ReferenceData!$P$206),"")</f>
        <v>32.345980390000001</v>
      </c>
      <c r="Q206">
        <f ca="1">IFERROR(IF(0=LEN(ReferenceData!$Q$206),"",ReferenceData!$Q$206),"")</f>
        <v>30.555985639999999</v>
      </c>
      <c r="R206">
        <f ca="1">IFERROR(IF(0=LEN(ReferenceData!$R$206),"",ReferenceData!$R$206),"")</f>
        <v>31.47172982</v>
      </c>
      <c r="S206">
        <f ca="1">IFERROR(IF(0=LEN(ReferenceData!$S$206),"",ReferenceData!$S$206),"")</f>
        <v>25.865579520000001</v>
      </c>
      <c r="T206">
        <f ca="1">IFERROR(IF(0=LEN(ReferenceData!$T$206),"",ReferenceData!$T$206),"")</f>
        <v>21.030095599999999</v>
      </c>
      <c r="U206">
        <f ca="1">IFERROR(IF(0=LEN(ReferenceData!$U$206),"",ReferenceData!$U$206),"")</f>
        <v>18.31555195</v>
      </c>
      <c r="V206">
        <f ca="1">IFERROR(IF(0=LEN(ReferenceData!$V$206),"",ReferenceData!$V$206),"")</f>
        <v>18.84709934</v>
      </c>
      <c r="W206">
        <f ca="1">IFERROR(IF(0=LEN(ReferenceData!$W$206),"",ReferenceData!$W$206),"")</f>
        <v>20.418442020000001</v>
      </c>
      <c r="X206">
        <f ca="1">IFERROR(IF(0=LEN(ReferenceData!$X$206),"",ReferenceData!$X$206),"")</f>
        <v>14.90782641</v>
      </c>
      <c r="Y206">
        <f ca="1">IFERROR(IF(0=LEN(ReferenceData!$Y$206),"",ReferenceData!$Y$206),"")</f>
        <v>12.78472019</v>
      </c>
      <c r="Z206">
        <f ca="1">IFERROR(IF(0=LEN(ReferenceData!$Z$206),"",ReferenceData!$Z$206),"")</f>
        <v>11.45537098</v>
      </c>
      <c r="AA206">
        <f ca="1">IFERROR(IF(0=LEN(ReferenceData!$AA$206),"",ReferenceData!$AA$206),"")</f>
        <v>12.954371220000001</v>
      </c>
      <c r="AB206">
        <f ca="1">IFERROR(IF(0=LEN(ReferenceData!$AB$206),"",ReferenceData!$AB$206),"")</f>
        <v>14.061802330000001</v>
      </c>
      <c r="AC206">
        <f ca="1">IFERROR(IF(0=LEN(ReferenceData!$AC$206),"",ReferenceData!$AC$206),"")</f>
        <v>16.443613559999999</v>
      </c>
      <c r="AD206" t="str">
        <f ca="1">IFERROR(IF(0=LEN(ReferenceData!$AD$206),"",ReferenceData!$AD$206),"")</f>
        <v/>
      </c>
      <c r="AE206" t="str">
        <f ca="1">IFERROR(IF(0=LEN(ReferenceData!$AE$206),"",ReferenceData!$AE$206),"")</f>
        <v/>
      </c>
      <c r="AF206" t="str">
        <f ca="1">IFERROR(IF(0=LEN(ReferenceData!$AF$206),"",ReferenceData!$AF$206),"")</f>
        <v/>
      </c>
      <c r="AG206" t="str">
        <f ca="1">IFERROR(IF(0=LEN(ReferenceData!$AG$206),"",ReferenceData!$AG$206),"")</f>
        <v/>
      </c>
      <c r="AH206" t="str">
        <f ca="1">IFERROR(IF(0=LEN(ReferenceData!$AH$206),"",ReferenceData!$AH$206),"")</f>
        <v/>
      </c>
      <c r="AI206" t="str">
        <f ca="1">IFERROR(IF(0=LEN(ReferenceData!$AI$206),"",ReferenceData!$AI$206),"")</f>
        <v/>
      </c>
      <c r="AJ206" t="str">
        <f ca="1">IFERROR(IF(0=LEN(ReferenceData!$AJ$206),"",ReferenceData!$AJ$206),"")</f>
        <v/>
      </c>
      <c r="AK206" t="str">
        <f ca="1">IFERROR(IF(0=LEN(ReferenceData!$AK$206),"",ReferenceData!$AK$206),"")</f>
        <v/>
      </c>
      <c r="AL206" t="str">
        <f ca="1">IFERROR(IF(0=LEN(ReferenceData!$AL$206),"",ReferenceData!$AL$206),"")</f>
        <v/>
      </c>
    </row>
    <row r="207" spans="1:38" x14ac:dyDescent="0.25">
      <c r="A207" t="str">
        <f>IFERROR(IF(0=LEN(ReferenceData!$A$207),"",ReferenceData!$A$207),"")</f>
        <v xml:space="preserve">        Fifth Third Bancorp</v>
      </c>
      <c r="B207" t="str">
        <f>IFERROR(IF(0=LEN(ReferenceData!$B$207),"",ReferenceData!$B$207),"")</f>
        <v>FITB US Equity</v>
      </c>
      <c r="C207" t="str">
        <f>IFERROR(IF(0=LEN(ReferenceData!$C$207),"",ReferenceData!$C$207),"")</f>
        <v>F0115</v>
      </c>
      <c r="D207" t="str">
        <f>IFERROR(IF(0=LEN(ReferenceData!$D$207),"",ReferenceData!$D$207),"")</f>
        <v>FED_C&amp;I_LNS_CONS_%_TOT_LNS_LEAS</v>
      </c>
      <c r="E207" t="str">
        <f>IFERROR(IF(0=LEN(ReferenceData!$E$207),"",ReferenceData!$E$207),"")</f>
        <v>Dynamic</v>
      </c>
      <c r="F207">
        <f ca="1">IFERROR(IF(0=LEN(ReferenceData!$F$207),"",ReferenceData!$F$207),"")</f>
        <v>36.262258060000001</v>
      </c>
      <c r="G207">
        <f ca="1">IFERROR(IF(0=LEN(ReferenceData!$G$207),"",ReferenceData!$G$207),"")</f>
        <v>38.144066930000001</v>
      </c>
      <c r="H207">
        <f ca="1">IFERROR(IF(0=LEN(ReferenceData!$H$207),"",ReferenceData!$H$207),"")</f>
        <v>39.999705929999998</v>
      </c>
      <c r="I207">
        <f ca="1">IFERROR(IF(0=LEN(ReferenceData!$I$207),"",ReferenceData!$I$207),"")</f>
        <v>37.353206249999999</v>
      </c>
      <c r="J207">
        <f ca="1">IFERROR(IF(0=LEN(ReferenceData!$J$207),"",ReferenceData!$J$207),"")</f>
        <v>39.685934930000002</v>
      </c>
      <c r="K207">
        <f ca="1">IFERROR(IF(0=LEN(ReferenceData!$K$207),"",ReferenceData!$K$207),"")</f>
        <v>41.202391179999999</v>
      </c>
      <c r="L207">
        <f ca="1">IFERROR(IF(0=LEN(ReferenceData!$L$207),"",ReferenceData!$L$207),"")</f>
        <v>39.880838769999997</v>
      </c>
      <c r="M207">
        <f ca="1">IFERROR(IF(0=LEN(ReferenceData!$M$207),"",ReferenceData!$M$207),"")</f>
        <v>39.031717139999998</v>
      </c>
      <c r="N207">
        <f ca="1">IFERROR(IF(0=LEN(ReferenceData!$N$207),"",ReferenceData!$N$207),"")</f>
        <v>38.672699260000002</v>
      </c>
      <c r="O207">
        <f ca="1">IFERROR(IF(0=LEN(ReferenceData!$O$207),"",ReferenceData!$O$207),"")</f>
        <v>38.570835459999998</v>
      </c>
      <c r="P207">
        <f ca="1">IFERROR(IF(0=LEN(ReferenceData!$P$207),"",ReferenceData!$P$207),"")</f>
        <v>37.738411429999999</v>
      </c>
      <c r="Q207">
        <f ca="1">IFERROR(IF(0=LEN(ReferenceData!$Q$207),"",ReferenceData!$Q$207),"")</f>
        <v>37.230960500000002</v>
      </c>
      <c r="R207">
        <f ca="1">IFERROR(IF(0=LEN(ReferenceData!$R$207),"",ReferenceData!$R$207),"")</f>
        <v>34.871430140000001</v>
      </c>
      <c r="S207">
        <f ca="1">IFERROR(IF(0=LEN(ReferenceData!$S$207),"",ReferenceData!$S$207),"")</f>
        <v>30.477877070000002</v>
      </c>
      <c r="T207">
        <f ca="1">IFERROR(IF(0=LEN(ReferenceData!$T$207),"",ReferenceData!$T$207),"")</f>
        <v>28.070435639999999</v>
      </c>
      <c r="U207">
        <f ca="1">IFERROR(IF(0=LEN(ReferenceData!$U$207),"",ReferenceData!$U$207),"")</f>
        <v>27.96754615</v>
      </c>
      <c r="V207">
        <f ca="1">IFERROR(IF(0=LEN(ReferenceData!$V$207),"",ReferenceData!$V$207),"")</f>
        <v>29.336338649999998</v>
      </c>
      <c r="W207">
        <f ca="1">IFERROR(IF(0=LEN(ReferenceData!$W$207),"",ReferenceData!$W$207),"")</f>
        <v>25.718138459999999</v>
      </c>
      <c r="X207">
        <f ca="1">IFERROR(IF(0=LEN(ReferenceData!$X$207),"",ReferenceData!$X$207),"")</f>
        <v>21.441846389999998</v>
      </c>
      <c r="Y207">
        <f ca="1">IFERROR(IF(0=LEN(ReferenceData!$Y$207),"",ReferenceData!$Y$207),"")</f>
        <v>29.248332619999999</v>
      </c>
      <c r="Z207">
        <f ca="1">IFERROR(IF(0=LEN(ReferenceData!$Z$207),"",ReferenceData!$Z$207),"")</f>
        <v>27.585945110000001</v>
      </c>
      <c r="AA207">
        <f ca="1">IFERROR(IF(0=LEN(ReferenceData!$AA$207),"",ReferenceData!$AA$207),"")</f>
        <v>24.614002760000002</v>
      </c>
      <c r="AB207">
        <f ca="1">IFERROR(IF(0=LEN(ReferenceData!$AB$207),"",ReferenceData!$AB$207),"")</f>
        <v>22.880257919999998</v>
      </c>
      <c r="AC207">
        <f ca="1">IFERROR(IF(0=LEN(ReferenceData!$AC$207),"",ReferenceData!$AC$207),"")</f>
        <v>21.238986310000001</v>
      </c>
      <c r="AD207" t="str">
        <f ca="1">IFERROR(IF(0=LEN(ReferenceData!$AD$207),"",ReferenceData!$AD$207),"")</f>
        <v/>
      </c>
      <c r="AE207" t="str">
        <f ca="1">IFERROR(IF(0=LEN(ReferenceData!$AE$207),"",ReferenceData!$AE$207),"")</f>
        <v/>
      </c>
      <c r="AF207" t="str">
        <f ca="1">IFERROR(IF(0=LEN(ReferenceData!$AF$207),"",ReferenceData!$AF$207),"")</f>
        <v/>
      </c>
      <c r="AG207" t="str">
        <f ca="1">IFERROR(IF(0=LEN(ReferenceData!$AG$207),"",ReferenceData!$AG$207),"")</f>
        <v/>
      </c>
      <c r="AH207" t="str">
        <f ca="1">IFERROR(IF(0=LEN(ReferenceData!$AH$207),"",ReferenceData!$AH$207),"")</f>
        <v/>
      </c>
      <c r="AI207" t="str">
        <f ca="1">IFERROR(IF(0=LEN(ReferenceData!$AI$207),"",ReferenceData!$AI$207),"")</f>
        <v/>
      </c>
      <c r="AJ207" t="str">
        <f ca="1">IFERROR(IF(0=LEN(ReferenceData!$AJ$207),"",ReferenceData!$AJ$207),"")</f>
        <v/>
      </c>
      <c r="AK207" t="str">
        <f ca="1">IFERROR(IF(0=LEN(ReferenceData!$AK$207),"",ReferenceData!$AK$207),"")</f>
        <v/>
      </c>
      <c r="AL207" t="str">
        <f ca="1">IFERROR(IF(0=LEN(ReferenceData!$AL$207),"",ReferenceData!$AL$207),"")</f>
        <v/>
      </c>
    </row>
    <row r="208" spans="1:38" x14ac:dyDescent="0.25">
      <c r="A208" t="str">
        <f>IFERROR(IF(0=LEN(ReferenceData!$A$208),"",ReferenceData!$A$208),"")</f>
        <v xml:space="preserve">        First Citizens BancShares Inc/</v>
      </c>
      <c r="B208" t="str">
        <f>IFERROR(IF(0=LEN(ReferenceData!$B$208),"",ReferenceData!$B$208),"")</f>
        <v>FCNCA US Equity</v>
      </c>
      <c r="C208" t="str">
        <f>IFERROR(IF(0=LEN(ReferenceData!$C$208),"",ReferenceData!$C$208),"")</f>
        <v>F0115</v>
      </c>
      <c r="D208" t="str">
        <f>IFERROR(IF(0=LEN(ReferenceData!$D$208),"",ReferenceData!$D$208),"")</f>
        <v>FED_C&amp;I_LNS_CONS_%_TOT_LNS_LEAS</v>
      </c>
      <c r="E208" t="str">
        <f>IFERROR(IF(0=LEN(ReferenceData!$E$208),"",ReferenceData!$E$208),"")</f>
        <v>Dynamic</v>
      </c>
      <c r="F208">
        <f ca="1">IFERROR(IF(0=LEN(ReferenceData!$F$208),"",ReferenceData!$F$208),"")</f>
        <v>26.747111610000001</v>
      </c>
      <c r="G208">
        <f ca="1">IFERROR(IF(0=LEN(ReferenceData!$G$208),"",ReferenceData!$G$208),"")</f>
        <v>28.341821710000001</v>
      </c>
      <c r="H208">
        <f ca="1">IFERROR(IF(0=LEN(ReferenceData!$H$208),"",ReferenceData!$H$208),"")</f>
        <v>27.769446380000002</v>
      </c>
      <c r="I208">
        <f ca="1">IFERROR(IF(0=LEN(ReferenceData!$I$208),"",ReferenceData!$I$208),"")</f>
        <v>15.278487269999999</v>
      </c>
      <c r="J208">
        <f ca="1">IFERROR(IF(0=LEN(ReferenceData!$J$208),"",ReferenceData!$J$208),"")</f>
        <v>18.72870313</v>
      </c>
      <c r="K208">
        <f ca="1">IFERROR(IF(0=LEN(ReferenceData!$K$208),"",ReferenceData!$K$208),"")</f>
        <v>11.95846265</v>
      </c>
      <c r="L208">
        <f ca="1">IFERROR(IF(0=LEN(ReferenceData!$L$208),"",ReferenceData!$L$208),"")</f>
        <v>11.214773989999999</v>
      </c>
      <c r="M208">
        <f ca="1">IFERROR(IF(0=LEN(ReferenceData!$M$208),"",ReferenceData!$M$208),"")</f>
        <v>9.7388769049999997</v>
      </c>
      <c r="N208">
        <f ca="1">IFERROR(IF(0=LEN(ReferenceData!$N$208),"",ReferenceData!$N$208),"")</f>
        <v>9.9411574550000008</v>
      </c>
      <c r="O208">
        <f ca="1">IFERROR(IF(0=LEN(ReferenceData!$O$208),"",ReferenceData!$O$208),"")</f>
        <v>9.7202252090000005</v>
      </c>
      <c r="P208">
        <f ca="1">IFERROR(IF(0=LEN(ReferenceData!$P$208),"",ReferenceData!$P$208),"")</f>
        <v>8.7655598549999993</v>
      </c>
      <c r="Q208">
        <f ca="1">IFERROR(IF(0=LEN(ReferenceData!$Q$208),"",ReferenceData!$Q$208),"")</f>
        <v>7.332458033</v>
      </c>
      <c r="R208">
        <f ca="1">IFERROR(IF(0=LEN(ReferenceData!$R$208),"",ReferenceData!$R$208),"")</f>
        <v>12.63050801</v>
      </c>
      <c r="S208">
        <f ca="1">IFERROR(IF(0=LEN(ReferenceData!$S$208),"",ReferenceData!$S$208),"")</f>
        <v>12.525526620000001</v>
      </c>
      <c r="T208">
        <f ca="1">IFERROR(IF(0=LEN(ReferenceData!$T$208),"",ReferenceData!$T$208),"")</f>
        <v>13.259410559999999</v>
      </c>
      <c r="U208">
        <f ca="1">IFERROR(IF(0=LEN(ReferenceData!$U$208),"",ReferenceData!$U$208),"")</f>
        <v>13.427693359999999</v>
      </c>
      <c r="V208">
        <f ca="1">IFERROR(IF(0=LEN(ReferenceData!$V$208),"",ReferenceData!$V$208),"")</f>
        <v>14.47165079</v>
      </c>
      <c r="W208">
        <f ca="1">IFERROR(IF(0=LEN(ReferenceData!$W$208),"",ReferenceData!$W$208),"")</f>
        <v>13.594573609999999</v>
      </c>
      <c r="X208">
        <f ca="1">IFERROR(IF(0=LEN(ReferenceData!$X$208),"",ReferenceData!$X$208),"")</f>
        <v>12.459091219999999</v>
      </c>
      <c r="Y208">
        <f ca="1">IFERROR(IF(0=LEN(ReferenceData!$Y$208),"",ReferenceData!$Y$208),"")</f>
        <v>10.8606829</v>
      </c>
      <c r="Z208">
        <f ca="1">IFERROR(IF(0=LEN(ReferenceData!$Z$208),"",ReferenceData!$Z$208),"")</f>
        <v>9.6273865940000007</v>
      </c>
      <c r="AA208">
        <f ca="1">IFERROR(IF(0=LEN(ReferenceData!$AA$208),"",ReferenceData!$AA$208),"")</f>
        <v>10.356810790000001</v>
      </c>
      <c r="AB208">
        <f ca="1">IFERROR(IF(0=LEN(ReferenceData!$AB$208),"",ReferenceData!$AB$208),"")</f>
        <v>11.249808570000001</v>
      </c>
      <c r="AC208">
        <f ca="1">IFERROR(IF(0=LEN(ReferenceData!$AC$208),"",ReferenceData!$AC$208),"")</f>
        <v>11.871942560000001</v>
      </c>
      <c r="AD208" t="str">
        <f ca="1">IFERROR(IF(0=LEN(ReferenceData!$AD$208),"",ReferenceData!$AD$208),"")</f>
        <v/>
      </c>
      <c r="AE208" t="str">
        <f ca="1">IFERROR(IF(0=LEN(ReferenceData!$AE$208),"",ReferenceData!$AE$208),"")</f>
        <v/>
      </c>
      <c r="AF208" t="str">
        <f ca="1">IFERROR(IF(0=LEN(ReferenceData!$AF$208),"",ReferenceData!$AF$208),"")</f>
        <v/>
      </c>
      <c r="AG208" t="str">
        <f ca="1">IFERROR(IF(0=LEN(ReferenceData!$AG$208),"",ReferenceData!$AG$208),"")</f>
        <v/>
      </c>
      <c r="AH208" t="str">
        <f ca="1">IFERROR(IF(0=LEN(ReferenceData!$AH$208),"",ReferenceData!$AH$208),"")</f>
        <v/>
      </c>
      <c r="AI208" t="str">
        <f ca="1">IFERROR(IF(0=LEN(ReferenceData!$AI$208),"",ReferenceData!$AI$208),"")</f>
        <v/>
      </c>
      <c r="AJ208" t="str">
        <f ca="1">IFERROR(IF(0=LEN(ReferenceData!$AJ$208),"",ReferenceData!$AJ$208),"")</f>
        <v/>
      </c>
      <c r="AK208" t="str">
        <f ca="1">IFERROR(IF(0=LEN(ReferenceData!$AK$208),"",ReferenceData!$AK$208),"")</f>
        <v/>
      </c>
      <c r="AL208" t="str">
        <f ca="1">IFERROR(IF(0=LEN(ReferenceData!$AL$208),"",ReferenceData!$AL$208),"")</f>
        <v/>
      </c>
    </row>
    <row r="209" spans="1:38" x14ac:dyDescent="0.25">
      <c r="A209" t="str">
        <f>IFERROR(IF(0=LEN(ReferenceData!$A$209),"",ReferenceData!$A$209),"")</f>
        <v xml:space="preserve">        Flagstar Financial Inc</v>
      </c>
      <c r="B209" t="str">
        <f>IFERROR(IF(0=LEN(ReferenceData!$B$209),"",ReferenceData!$B$209),"")</f>
        <v>FLG US Equity</v>
      </c>
      <c r="C209" t="str">
        <f>IFERROR(IF(0=LEN(ReferenceData!$C$209),"",ReferenceData!$C$209),"")</f>
        <v>F0115</v>
      </c>
      <c r="D209" t="str">
        <f>IFERROR(IF(0=LEN(ReferenceData!$D$209),"",ReferenceData!$D$209),"")</f>
        <v>FED_C&amp;I_LNS_CONS_%_TOT_LNS_LEAS</v>
      </c>
      <c r="E209" t="str">
        <f>IFERROR(IF(0=LEN(ReferenceData!$E$209),"",ReferenceData!$E$209),"")</f>
        <v>Dynamic</v>
      </c>
      <c r="F209">
        <f ca="1">IFERROR(IF(0=LEN(ReferenceData!$F$209),"",ReferenceData!$F$209),"")</f>
        <v>13.542247570000001</v>
      </c>
      <c r="G209">
        <f ca="1">IFERROR(IF(0=LEN(ReferenceData!$G$209),"",ReferenceData!$G$209),"")</f>
        <v>14.14549053</v>
      </c>
      <c r="H209">
        <f ca="1">IFERROR(IF(0=LEN(ReferenceData!$H$209),"",ReferenceData!$H$209),"")</f>
        <v>7.2971042370000001</v>
      </c>
      <c r="I209">
        <f ca="1">IFERROR(IF(0=LEN(ReferenceData!$I$209),"",ReferenceData!$I$209),"")</f>
        <v>4.4663419690000001</v>
      </c>
      <c r="J209">
        <f ca="1">IFERROR(IF(0=LEN(ReferenceData!$J$209),"",ReferenceData!$J$209),"")</f>
        <v>4.1886982670000004</v>
      </c>
      <c r="K209">
        <f ca="1">IFERROR(IF(0=LEN(ReferenceData!$K$209),"",ReferenceData!$K$209),"")</f>
        <v>4.1646334669999998</v>
      </c>
      <c r="L209">
        <f ca="1">IFERROR(IF(0=LEN(ReferenceData!$L$209),"",ReferenceData!$L$209),"")</f>
        <v>4.2466685929999999</v>
      </c>
      <c r="M209">
        <f ca="1">IFERROR(IF(0=LEN(ReferenceData!$M$209),"",ReferenceData!$M$209),"")</f>
        <v>3.5824474820000001</v>
      </c>
      <c r="N209">
        <f ca="1">IFERROR(IF(0=LEN(ReferenceData!$N$209),"",ReferenceData!$N$209),"")</f>
        <v>3.393615504</v>
      </c>
      <c r="O209">
        <f ca="1">IFERROR(IF(0=LEN(ReferenceData!$O$209),"",ReferenceData!$O$209),"")</f>
        <v>2.838432676</v>
      </c>
      <c r="P209">
        <f ca="1">IFERROR(IF(0=LEN(ReferenceData!$P$209),"",ReferenceData!$P$209),"")</f>
        <v>2.97324287</v>
      </c>
      <c r="Q209">
        <f ca="1">IFERROR(IF(0=LEN(ReferenceData!$Q$209),"",ReferenceData!$Q$209),"")</f>
        <v>2.2108043940000002</v>
      </c>
      <c r="R209">
        <f ca="1">IFERROR(IF(0=LEN(ReferenceData!$R$209),"",ReferenceData!$R$209),"")</f>
        <v>1.9501160070000001</v>
      </c>
      <c r="S209">
        <f ca="1">IFERROR(IF(0=LEN(ReferenceData!$S$209),"",ReferenceData!$S$209),"")</f>
        <v>2.1664211760000001</v>
      </c>
      <c r="T209">
        <f ca="1">IFERROR(IF(0=LEN(ReferenceData!$T$209),"",ReferenceData!$T$209),"")</f>
        <v>2.4371545399999999</v>
      </c>
      <c r="U209">
        <f ca="1">IFERROR(IF(0=LEN(ReferenceData!$U$209),"",ReferenceData!$U$209),"")</f>
        <v>2.3013841450000001</v>
      </c>
      <c r="V209">
        <f ca="1">IFERROR(IF(0=LEN(ReferenceData!$V$209),"",ReferenceData!$V$209),"")</f>
        <v>3.213147041</v>
      </c>
      <c r="W209">
        <f ca="1">IFERROR(IF(0=LEN(ReferenceData!$W$209),"",ReferenceData!$W$209),"")</f>
        <v>3.4674535290000001</v>
      </c>
      <c r="X209">
        <f ca="1">IFERROR(IF(0=LEN(ReferenceData!$X$209),"",ReferenceData!$X$209),"")</f>
        <v>3.2673637580000001</v>
      </c>
      <c r="Y209">
        <f ca="1">IFERROR(IF(0=LEN(ReferenceData!$Y$209),"",ReferenceData!$Y$209),"")</f>
        <v>0.95986359499999996</v>
      </c>
      <c r="Z209">
        <f ca="1">IFERROR(IF(0=LEN(ReferenceData!$Z$209),"",ReferenceData!$Z$209),"")</f>
        <v>0.66548998999999998</v>
      </c>
      <c r="AA209">
        <f ca="1">IFERROR(IF(0=LEN(ReferenceData!$AA$209),"",ReferenceData!$AA$209),"")</f>
        <v>0.62356031599999995</v>
      </c>
      <c r="AB209">
        <f ca="1">IFERROR(IF(0=LEN(ReferenceData!$AB$209),"",ReferenceData!$AB$209),"")</f>
        <v>1.094564205</v>
      </c>
      <c r="AC209">
        <f ca="1">IFERROR(IF(0=LEN(ReferenceData!$AC$209),"",ReferenceData!$AC$209),"")</f>
        <v>2.0648538000000001E-2</v>
      </c>
      <c r="AD209" t="str">
        <f ca="1">IFERROR(IF(0=LEN(ReferenceData!$AD$209),"",ReferenceData!$AD$209),"")</f>
        <v/>
      </c>
      <c r="AE209" t="str">
        <f ca="1">IFERROR(IF(0=LEN(ReferenceData!$AE$209),"",ReferenceData!$AE$209),"")</f>
        <v/>
      </c>
      <c r="AF209" t="str">
        <f ca="1">IFERROR(IF(0=LEN(ReferenceData!$AF$209),"",ReferenceData!$AF$209),"")</f>
        <v/>
      </c>
      <c r="AG209" t="str">
        <f ca="1">IFERROR(IF(0=LEN(ReferenceData!$AG$209),"",ReferenceData!$AG$209),"")</f>
        <v/>
      </c>
      <c r="AH209" t="str">
        <f ca="1">IFERROR(IF(0=LEN(ReferenceData!$AH$209),"",ReferenceData!$AH$209),"")</f>
        <v/>
      </c>
      <c r="AI209" t="str">
        <f ca="1">IFERROR(IF(0=LEN(ReferenceData!$AI$209),"",ReferenceData!$AI$209),"")</f>
        <v/>
      </c>
      <c r="AJ209" t="str">
        <f ca="1">IFERROR(IF(0=LEN(ReferenceData!$AJ$209),"",ReferenceData!$AJ$209),"")</f>
        <v/>
      </c>
      <c r="AK209" t="str">
        <f ca="1">IFERROR(IF(0=LEN(ReferenceData!$AK$209),"",ReferenceData!$AK$209),"")</f>
        <v/>
      </c>
      <c r="AL209" t="str">
        <f ca="1">IFERROR(IF(0=LEN(ReferenceData!$AL$209),"",ReferenceData!$AL$209),"")</f>
        <v/>
      </c>
    </row>
    <row r="210" spans="1:38" x14ac:dyDescent="0.25">
      <c r="A210" t="str">
        <f>IFERROR(IF(0=LEN(ReferenceData!$A$210),"",ReferenceData!$A$210),"")</f>
        <v xml:space="preserve">        Huntington Bancshares Inc/OH</v>
      </c>
      <c r="B210" t="str">
        <f>IFERROR(IF(0=LEN(ReferenceData!$B$210),"",ReferenceData!$B$210),"")</f>
        <v>HBAN US Equity</v>
      </c>
      <c r="C210" t="str">
        <f>IFERROR(IF(0=LEN(ReferenceData!$C$210),"",ReferenceData!$C$210),"")</f>
        <v>F0115</v>
      </c>
      <c r="D210" t="str">
        <f>IFERROR(IF(0=LEN(ReferenceData!$D$210),"",ReferenceData!$D$210),"")</f>
        <v>FED_C&amp;I_LNS_CONS_%_TOT_LNS_LEAS</v>
      </c>
      <c r="E210" t="str">
        <f>IFERROR(IF(0=LEN(ReferenceData!$E$210),"",ReferenceData!$E$210),"")</f>
        <v>Dynamic</v>
      </c>
      <c r="F210">
        <f ca="1">IFERROR(IF(0=LEN(ReferenceData!$F$210),"",ReferenceData!$F$210),"")</f>
        <v>28.684768529999999</v>
      </c>
      <c r="G210">
        <f ca="1">IFERROR(IF(0=LEN(ReferenceData!$G$210),"",ReferenceData!$G$210),"")</f>
        <v>28.567279939999999</v>
      </c>
      <c r="H210">
        <f ca="1">IFERROR(IF(0=LEN(ReferenceData!$H$210),"",ReferenceData!$H$210),"")</f>
        <v>27.23828468</v>
      </c>
      <c r="I210">
        <f ca="1">IFERROR(IF(0=LEN(ReferenceData!$I$210),"",ReferenceData!$I$210),"")</f>
        <v>28.644144270000002</v>
      </c>
      <c r="J210">
        <f ca="1">IFERROR(IF(0=LEN(ReferenceData!$J$210),"",ReferenceData!$J$210),"")</f>
        <v>31.867077630000001</v>
      </c>
      <c r="K210">
        <f ca="1">IFERROR(IF(0=LEN(ReferenceData!$K$210),"",ReferenceData!$K$210),"")</f>
        <v>29.70128613</v>
      </c>
      <c r="L210">
        <f ca="1">IFERROR(IF(0=LEN(ReferenceData!$L$210),"",ReferenceData!$L$210),"")</f>
        <v>29.85719143</v>
      </c>
      <c r="M210">
        <f ca="1">IFERROR(IF(0=LEN(ReferenceData!$M$210),"",ReferenceData!$M$210),"")</f>
        <v>28.205532340000001</v>
      </c>
      <c r="N210">
        <f ca="1">IFERROR(IF(0=LEN(ReferenceData!$N$210),"",ReferenceData!$N$210),"")</f>
        <v>28.639167430000001</v>
      </c>
      <c r="O210">
        <f ca="1">IFERROR(IF(0=LEN(ReferenceData!$O$210),"",ReferenceData!$O$210),"")</f>
        <v>28.210847650000002</v>
      </c>
      <c r="P210">
        <f ca="1">IFERROR(IF(0=LEN(ReferenceData!$P$210),"",ReferenceData!$P$210),"")</f>
        <v>26.891740949999999</v>
      </c>
      <c r="Q210">
        <f ca="1">IFERROR(IF(0=LEN(ReferenceData!$Q$210),"",ReferenceData!$Q$210),"")</f>
        <v>27.47336043</v>
      </c>
      <c r="R210">
        <f ca="1">IFERROR(IF(0=LEN(ReferenceData!$R$210),"",ReferenceData!$R$210),"")</f>
        <v>27.82081809</v>
      </c>
      <c r="S210">
        <f ca="1">IFERROR(IF(0=LEN(ReferenceData!$S$210),"",ReferenceData!$S$210),"")</f>
        <v>24.437508080000001</v>
      </c>
      <c r="T210">
        <f ca="1">IFERROR(IF(0=LEN(ReferenceData!$T$210),"",ReferenceData!$T$210),"")</f>
        <v>21.489399479999999</v>
      </c>
      <c r="U210">
        <f ca="1">IFERROR(IF(0=LEN(ReferenceData!$U$210),"",ReferenceData!$U$210),"")</f>
        <v>19.55376725</v>
      </c>
      <c r="V210">
        <f ca="1">IFERROR(IF(0=LEN(ReferenceData!$V$210),"",ReferenceData!$V$210),"")</f>
        <v>17.997097409999999</v>
      </c>
      <c r="W210">
        <f ca="1">IFERROR(IF(0=LEN(ReferenceData!$W$210),"",ReferenceData!$W$210),"")</f>
        <v>16.25828714</v>
      </c>
      <c r="X210">
        <f ca="1">IFERROR(IF(0=LEN(ReferenceData!$X$210),"",ReferenceData!$X$210),"")</f>
        <v>16.234777640000001</v>
      </c>
      <c r="Y210">
        <f ca="1">IFERROR(IF(0=LEN(ReferenceData!$Y$210),"",ReferenceData!$Y$210),"")</f>
        <v>15.42050248</v>
      </c>
      <c r="Z210">
        <f ca="1">IFERROR(IF(0=LEN(ReferenceData!$Z$210),"",ReferenceData!$Z$210),"")</f>
        <v>15.930988320000001</v>
      </c>
      <c r="AA210">
        <f ca="1">IFERROR(IF(0=LEN(ReferenceData!$AA$210),"",ReferenceData!$AA$210),"")</f>
        <v>18.371588809999999</v>
      </c>
      <c r="AB210">
        <f ca="1">IFERROR(IF(0=LEN(ReferenceData!$AB$210),"",ReferenceData!$AB$210),"")</f>
        <v>21.30006989</v>
      </c>
      <c r="AC210">
        <f ca="1">IFERROR(IF(0=LEN(ReferenceData!$AC$210),"",ReferenceData!$AC$210),"")</f>
        <v>26.09543609</v>
      </c>
      <c r="AD210" t="str">
        <f ca="1">IFERROR(IF(0=LEN(ReferenceData!$AD$210),"",ReferenceData!$AD$210),"")</f>
        <v/>
      </c>
      <c r="AE210" t="str">
        <f ca="1">IFERROR(IF(0=LEN(ReferenceData!$AE$210),"",ReferenceData!$AE$210),"")</f>
        <v/>
      </c>
      <c r="AF210" t="str">
        <f ca="1">IFERROR(IF(0=LEN(ReferenceData!$AF$210),"",ReferenceData!$AF$210),"")</f>
        <v/>
      </c>
      <c r="AG210" t="str">
        <f ca="1">IFERROR(IF(0=LEN(ReferenceData!$AG$210),"",ReferenceData!$AG$210),"")</f>
        <v/>
      </c>
      <c r="AH210" t="str">
        <f ca="1">IFERROR(IF(0=LEN(ReferenceData!$AH$210),"",ReferenceData!$AH$210),"")</f>
        <v/>
      </c>
      <c r="AI210" t="str">
        <f ca="1">IFERROR(IF(0=LEN(ReferenceData!$AI$210),"",ReferenceData!$AI$210),"")</f>
        <v/>
      </c>
      <c r="AJ210" t="str">
        <f ca="1">IFERROR(IF(0=LEN(ReferenceData!$AJ$210),"",ReferenceData!$AJ$210),"")</f>
        <v/>
      </c>
      <c r="AK210" t="str">
        <f ca="1">IFERROR(IF(0=LEN(ReferenceData!$AK$210),"",ReferenceData!$AK$210),"")</f>
        <v/>
      </c>
      <c r="AL210" t="str">
        <f ca="1">IFERROR(IF(0=LEN(ReferenceData!$AL$210),"",ReferenceData!$AL$210),"")</f>
        <v/>
      </c>
    </row>
    <row r="211" spans="1:38" x14ac:dyDescent="0.25">
      <c r="A211" t="str">
        <f>IFERROR(IF(0=LEN(ReferenceData!$A$211),"",ReferenceData!$A$211),"")</f>
        <v xml:space="preserve">        JPMorgan Chase &amp; Co</v>
      </c>
      <c r="B211" t="str">
        <f>IFERROR(IF(0=LEN(ReferenceData!$B$211),"",ReferenceData!$B$211),"")</f>
        <v>JPM US Equity</v>
      </c>
      <c r="C211" t="str">
        <f>IFERROR(IF(0=LEN(ReferenceData!$C$211),"",ReferenceData!$C$211),"")</f>
        <v>F0115</v>
      </c>
      <c r="D211" t="str">
        <f>IFERROR(IF(0=LEN(ReferenceData!$D$211),"",ReferenceData!$D$211),"")</f>
        <v>FED_C&amp;I_LNS_CONS_%_TOT_LNS_LEAS</v>
      </c>
      <c r="E211" t="str">
        <f>IFERROR(IF(0=LEN(ReferenceData!$E$211),"",ReferenceData!$E$211),"")</f>
        <v>Dynamic</v>
      </c>
      <c r="F211">
        <f ca="1">IFERROR(IF(0=LEN(ReferenceData!$F$211),"",ReferenceData!$F$211),"")</f>
        <v>14.951100670000001</v>
      </c>
      <c r="G211">
        <f ca="1">IFERROR(IF(0=LEN(ReferenceData!$G$211),"",ReferenceData!$G$211),"")</f>
        <v>14.834130099999999</v>
      </c>
      <c r="H211">
        <f ca="1">IFERROR(IF(0=LEN(ReferenceData!$H$211),"",ReferenceData!$H$211),"")</f>
        <v>17.14146345</v>
      </c>
      <c r="I211">
        <f ca="1">IFERROR(IF(0=LEN(ReferenceData!$I$211),"",ReferenceData!$I$211),"")</f>
        <v>16.18803363</v>
      </c>
      <c r="J211">
        <f ca="1">IFERROR(IF(0=LEN(ReferenceData!$J$211),"",ReferenceData!$J$211),"")</f>
        <v>18.320858999999999</v>
      </c>
      <c r="K211">
        <f ca="1">IFERROR(IF(0=LEN(ReferenceData!$K$211),"",ReferenceData!$K$211),"")</f>
        <v>17.124716150000001</v>
      </c>
      <c r="L211">
        <f ca="1">IFERROR(IF(0=LEN(ReferenceData!$L$211),"",ReferenceData!$L$211),"")</f>
        <v>18.497386089999999</v>
      </c>
      <c r="M211">
        <f ca="1">IFERROR(IF(0=LEN(ReferenceData!$M$211),"",ReferenceData!$M$211),"")</f>
        <v>17.13890361</v>
      </c>
      <c r="N211">
        <f ca="1">IFERROR(IF(0=LEN(ReferenceData!$N$211),"",ReferenceData!$N$211),"")</f>
        <v>17.44086875</v>
      </c>
      <c r="O211">
        <f ca="1">IFERROR(IF(0=LEN(ReferenceData!$O$211),"",ReferenceData!$O$211),"")</f>
        <v>16.75133885</v>
      </c>
      <c r="P211">
        <f ca="1">IFERROR(IF(0=LEN(ReferenceData!$P$211),"",ReferenceData!$P$211),"")</f>
        <v>16.821338770000001</v>
      </c>
      <c r="Q211">
        <f ca="1">IFERROR(IF(0=LEN(ReferenceData!$Q$211),"",ReferenceData!$Q$211),"")</f>
        <v>17.135971059999999</v>
      </c>
      <c r="R211">
        <f ca="1">IFERROR(IF(0=LEN(ReferenceData!$R$211),"",ReferenceData!$R$211),"")</f>
        <v>18.458736009999999</v>
      </c>
      <c r="S211">
        <f ca="1">IFERROR(IF(0=LEN(ReferenceData!$S$211),"",ReferenceData!$S$211),"")</f>
        <v>16.566604659999999</v>
      </c>
      <c r="T211">
        <f ca="1">IFERROR(IF(0=LEN(ReferenceData!$T$211),"",ReferenceData!$T$211),"")</f>
        <v>13.49979778</v>
      </c>
      <c r="U211">
        <f ca="1">IFERROR(IF(0=LEN(ReferenceData!$U$211),"",ReferenceData!$U$211),"")</f>
        <v>16.02421579</v>
      </c>
      <c r="V211">
        <f ca="1">IFERROR(IF(0=LEN(ReferenceData!$V$211),"",ReferenceData!$V$211),"")</f>
        <v>19.868599790000001</v>
      </c>
      <c r="W211">
        <f ca="1">IFERROR(IF(0=LEN(ReferenceData!$W$211),"",ReferenceData!$W$211),"")</f>
        <v>25.371541100000002</v>
      </c>
      <c r="X211">
        <f ca="1">IFERROR(IF(0=LEN(ReferenceData!$X$211),"",ReferenceData!$X$211),"")</f>
        <v>21.31054567</v>
      </c>
      <c r="Y211">
        <f ca="1">IFERROR(IF(0=LEN(ReferenceData!$Y$211),"",ReferenceData!$Y$211),"")</f>
        <v>21.343185829999999</v>
      </c>
      <c r="Z211">
        <f ca="1">IFERROR(IF(0=LEN(ReferenceData!$Z$211),"",ReferenceData!$Z$211),"")</f>
        <v>16.381996879999999</v>
      </c>
      <c r="AA211">
        <f ca="1">IFERROR(IF(0=LEN(ReferenceData!$AA$211),"",ReferenceData!$AA$211),"")</f>
        <v>20.730874010000001</v>
      </c>
      <c r="AB211">
        <f ca="1">IFERROR(IF(0=LEN(ReferenceData!$AB$211),"",ReferenceData!$AB$211),"")</f>
        <v>24.220242030000001</v>
      </c>
      <c r="AC211">
        <f ca="1">IFERROR(IF(0=LEN(ReferenceData!$AC$211),"",ReferenceData!$AC$211),"")</f>
        <v>28.615850259999998</v>
      </c>
      <c r="AD211" t="str">
        <f ca="1">IFERROR(IF(0=LEN(ReferenceData!$AD$211),"",ReferenceData!$AD$211),"")</f>
        <v/>
      </c>
      <c r="AE211" t="str">
        <f ca="1">IFERROR(IF(0=LEN(ReferenceData!$AE$211),"",ReferenceData!$AE$211),"")</f>
        <v/>
      </c>
      <c r="AF211" t="str">
        <f ca="1">IFERROR(IF(0=LEN(ReferenceData!$AF$211),"",ReferenceData!$AF$211),"")</f>
        <v/>
      </c>
      <c r="AG211" t="str">
        <f ca="1">IFERROR(IF(0=LEN(ReferenceData!$AG$211),"",ReferenceData!$AG$211),"")</f>
        <v/>
      </c>
      <c r="AH211" t="str">
        <f ca="1">IFERROR(IF(0=LEN(ReferenceData!$AH$211),"",ReferenceData!$AH$211),"")</f>
        <v/>
      </c>
      <c r="AI211" t="str">
        <f ca="1">IFERROR(IF(0=LEN(ReferenceData!$AI$211),"",ReferenceData!$AI$211),"")</f>
        <v/>
      </c>
      <c r="AJ211" t="str">
        <f ca="1">IFERROR(IF(0=LEN(ReferenceData!$AJ$211),"",ReferenceData!$AJ$211),"")</f>
        <v/>
      </c>
      <c r="AK211" t="str">
        <f ca="1">IFERROR(IF(0=LEN(ReferenceData!$AK$211),"",ReferenceData!$AK$211),"")</f>
        <v/>
      </c>
      <c r="AL211" t="str">
        <f ca="1">IFERROR(IF(0=LEN(ReferenceData!$AL$211),"",ReferenceData!$AL$211),"")</f>
        <v/>
      </c>
    </row>
    <row r="212" spans="1:38" x14ac:dyDescent="0.25">
      <c r="A212" t="str">
        <f>IFERROR(IF(0=LEN(ReferenceData!$A$212),"",ReferenceData!$A$212),"")</f>
        <v xml:space="preserve">        KeyCorp</v>
      </c>
      <c r="B212" t="str">
        <f>IFERROR(IF(0=LEN(ReferenceData!$B$212),"",ReferenceData!$B$212),"")</f>
        <v>KEY US Equity</v>
      </c>
      <c r="C212" t="str">
        <f>IFERROR(IF(0=LEN(ReferenceData!$C$212),"",ReferenceData!$C$212),"")</f>
        <v>F0115</v>
      </c>
      <c r="D212" t="str">
        <f>IFERROR(IF(0=LEN(ReferenceData!$D$212),"",ReferenceData!$D$212),"")</f>
        <v>FED_C&amp;I_LNS_CONS_%_TOT_LNS_LEAS</v>
      </c>
      <c r="E212" t="str">
        <f>IFERROR(IF(0=LEN(ReferenceData!$E$212),"",ReferenceData!$E$212),"")</f>
        <v>Dynamic</v>
      </c>
      <c r="F212">
        <f ca="1">IFERROR(IF(0=LEN(ReferenceData!$F$212),"",ReferenceData!$F$212),"")</f>
        <v>28.374250079999999</v>
      </c>
      <c r="G212">
        <f ca="1">IFERROR(IF(0=LEN(ReferenceData!$G$212),"",ReferenceData!$G$212),"")</f>
        <v>38.449004530000003</v>
      </c>
      <c r="H212">
        <f ca="1">IFERROR(IF(0=LEN(ReferenceData!$H$212),"",ReferenceData!$H$212),"")</f>
        <v>39.584122399999998</v>
      </c>
      <c r="I212">
        <f ca="1">IFERROR(IF(0=LEN(ReferenceData!$I$212),"",ReferenceData!$I$212),"")</f>
        <v>38.945353220000001</v>
      </c>
      <c r="J212">
        <f ca="1">IFERROR(IF(0=LEN(ReferenceData!$J$212),"",ReferenceData!$J$212),"")</f>
        <v>41.030935749999998</v>
      </c>
      <c r="K212">
        <f ca="1">IFERROR(IF(0=LEN(ReferenceData!$K$212),"",ReferenceData!$K$212),"")</f>
        <v>39.111194279999999</v>
      </c>
      <c r="L212">
        <f ca="1">IFERROR(IF(0=LEN(ReferenceData!$L$212),"",ReferenceData!$L$212),"")</f>
        <v>38.956442060000001</v>
      </c>
      <c r="M212">
        <f ca="1">IFERROR(IF(0=LEN(ReferenceData!$M$212),"",ReferenceData!$M$212),"")</f>
        <v>36.200929799999997</v>
      </c>
      <c r="N212">
        <f ca="1">IFERROR(IF(0=LEN(ReferenceData!$N$212),"",ReferenceData!$N$212),"")</f>
        <v>35.293542950000003</v>
      </c>
      <c r="O212">
        <f ca="1">IFERROR(IF(0=LEN(ReferenceData!$O$212),"",ReferenceData!$O$212),"")</f>
        <v>38.214829969999997</v>
      </c>
      <c r="P212">
        <f ca="1">IFERROR(IF(0=LEN(ReferenceData!$P$212),"",ReferenceData!$P$212),"")</f>
        <v>36.248301470000001</v>
      </c>
      <c r="Q212">
        <f ca="1">IFERROR(IF(0=LEN(ReferenceData!$Q$212),"",ReferenceData!$Q$212),"")</f>
        <v>33.082595269999999</v>
      </c>
      <c r="R212">
        <f ca="1">IFERROR(IF(0=LEN(ReferenceData!$R$212),"",ReferenceData!$R$212),"")</f>
        <v>30.894705259999999</v>
      </c>
      <c r="S212">
        <f ca="1">IFERROR(IF(0=LEN(ReferenceData!$S$212),"",ReferenceData!$S$212),"")</f>
        <v>26.92284347</v>
      </c>
      <c r="T212">
        <f ca="1">IFERROR(IF(0=LEN(ReferenceData!$T$212),"",ReferenceData!$T$212),"")</f>
        <v>22.946968349999999</v>
      </c>
      <c r="U212">
        <f ca="1">IFERROR(IF(0=LEN(ReferenceData!$U$212),"",ReferenceData!$U$212),"")</f>
        <v>24.491381619999999</v>
      </c>
      <c r="V212">
        <f ca="1">IFERROR(IF(0=LEN(ReferenceData!$V$212),"",ReferenceData!$V$212),"")</f>
        <v>28.43401179</v>
      </c>
      <c r="W212">
        <f ca="1">IFERROR(IF(0=LEN(ReferenceData!$W$212),"",ReferenceData!$W$212),"")</f>
        <v>27.76961979</v>
      </c>
      <c r="X212">
        <f ca="1">IFERROR(IF(0=LEN(ReferenceData!$X$212),"",ReferenceData!$X$212),"")</f>
        <v>27.379683140000001</v>
      </c>
      <c r="Y212">
        <f ca="1">IFERROR(IF(0=LEN(ReferenceData!$Y$212),"",ReferenceData!$Y$212),"")</f>
        <v>28.66669392</v>
      </c>
      <c r="Z212">
        <f ca="1">IFERROR(IF(0=LEN(ReferenceData!$Z$212),"",ReferenceData!$Z$212),"")</f>
        <v>25.712295659999999</v>
      </c>
      <c r="AA212">
        <f ca="1">IFERROR(IF(0=LEN(ReferenceData!$AA$212),"",ReferenceData!$AA$212),"")</f>
        <v>25.229510659999999</v>
      </c>
      <c r="AB212">
        <f ca="1">IFERROR(IF(0=LEN(ReferenceData!$AB$212),"",ReferenceData!$AB$212),"")</f>
        <v>26.244626610000001</v>
      </c>
      <c r="AC212">
        <f ca="1">IFERROR(IF(0=LEN(ReferenceData!$AC$212),"",ReferenceData!$AC$212),"")</f>
        <v>26.828068259999998</v>
      </c>
      <c r="AD212" t="str">
        <f ca="1">IFERROR(IF(0=LEN(ReferenceData!$AD$212),"",ReferenceData!$AD$212),"")</f>
        <v/>
      </c>
      <c r="AE212" t="str">
        <f ca="1">IFERROR(IF(0=LEN(ReferenceData!$AE$212),"",ReferenceData!$AE$212),"")</f>
        <v/>
      </c>
      <c r="AF212" t="str">
        <f ca="1">IFERROR(IF(0=LEN(ReferenceData!$AF$212),"",ReferenceData!$AF$212),"")</f>
        <v/>
      </c>
      <c r="AG212" t="str">
        <f ca="1">IFERROR(IF(0=LEN(ReferenceData!$AG$212),"",ReferenceData!$AG$212),"")</f>
        <v/>
      </c>
      <c r="AH212" t="str">
        <f ca="1">IFERROR(IF(0=LEN(ReferenceData!$AH$212),"",ReferenceData!$AH$212),"")</f>
        <v/>
      </c>
      <c r="AI212" t="str">
        <f ca="1">IFERROR(IF(0=LEN(ReferenceData!$AI$212),"",ReferenceData!$AI$212),"")</f>
        <v/>
      </c>
      <c r="AJ212" t="str">
        <f ca="1">IFERROR(IF(0=LEN(ReferenceData!$AJ$212),"",ReferenceData!$AJ$212),"")</f>
        <v/>
      </c>
      <c r="AK212" t="str">
        <f ca="1">IFERROR(IF(0=LEN(ReferenceData!$AK$212),"",ReferenceData!$AK$212),"")</f>
        <v/>
      </c>
      <c r="AL212" t="str">
        <f ca="1">IFERROR(IF(0=LEN(ReferenceData!$AL$212),"",ReferenceData!$AL$212),"")</f>
        <v/>
      </c>
    </row>
    <row r="213" spans="1:38" x14ac:dyDescent="0.25">
      <c r="A213" t="str">
        <f>IFERROR(IF(0=LEN(ReferenceData!$A$213),"",ReferenceData!$A$213),"")</f>
        <v xml:space="preserve">        M&amp;T Bank Corp</v>
      </c>
      <c r="B213" t="str">
        <f>IFERROR(IF(0=LEN(ReferenceData!$B$213),"",ReferenceData!$B$213),"")</f>
        <v>MTB US Equity</v>
      </c>
      <c r="C213" t="str">
        <f>IFERROR(IF(0=LEN(ReferenceData!$C$213),"",ReferenceData!$C$213),"")</f>
        <v>F0115</v>
      </c>
      <c r="D213" t="str">
        <f>IFERROR(IF(0=LEN(ReferenceData!$D$213),"",ReferenceData!$D$213),"")</f>
        <v>FED_C&amp;I_LNS_CONS_%_TOT_LNS_LEAS</v>
      </c>
      <c r="E213" t="str">
        <f>IFERROR(IF(0=LEN(ReferenceData!$E$213),"",ReferenceData!$E$213),"")</f>
        <v>Dynamic</v>
      </c>
      <c r="F213">
        <f ca="1">IFERROR(IF(0=LEN(ReferenceData!$F$213),"",ReferenceData!$F$213),"")</f>
        <v>25.22446721</v>
      </c>
      <c r="G213">
        <f ca="1">IFERROR(IF(0=LEN(ReferenceData!$G$213),"",ReferenceData!$G$213),"")</f>
        <v>24.037196489999999</v>
      </c>
      <c r="H213">
        <f ca="1">IFERROR(IF(0=LEN(ReferenceData!$H$213),"",ReferenceData!$H$213),"")</f>
        <v>22.878244469999999</v>
      </c>
      <c r="I213">
        <f ca="1">IFERROR(IF(0=LEN(ReferenceData!$I$213),"",ReferenceData!$I$213),"")</f>
        <v>19.450870800000001</v>
      </c>
      <c r="J213">
        <f ca="1">IFERROR(IF(0=LEN(ReferenceData!$J$213),"",ReferenceData!$J$213),"")</f>
        <v>22.764685270000001</v>
      </c>
      <c r="K213">
        <f ca="1">IFERROR(IF(0=LEN(ReferenceData!$K$213),"",ReferenceData!$K$213),"")</f>
        <v>21.018283090000001</v>
      </c>
      <c r="L213">
        <f ca="1">IFERROR(IF(0=LEN(ReferenceData!$L$213),"",ReferenceData!$L$213),"")</f>
        <v>20.58260215</v>
      </c>
      <c r="M213">
        <f ca="1">IFERROR(IF(0=LEN(ReferenceData!$M$213),"",ReferenceData!$M$213),"")</f>
        <v>19.31583298</v>
      </c>
      <c r="N213">
        <f ca="1">IFERROR(IF(0=LEN(ReferenceData!$N$213),"",ReferenceData!$N$213),"")</f>
        <v>19.66481701</v>
      </c>
      <c r="O213">
        <f ca="1">IFERROR(IF(0=LEN(ReferenceData!$O$213),"",ReferenceData!$O$213),"")</f>
        <v>19.014078479999998</v>
      </c>
      <c r="P213">
        <f ca="1">IFERROR(IF(0=LEN(ReferenceData!$P$213),"",ReferenceData!$P$213),"")</f>
        <v>23.877832590000001</v>
      </c>
      <c r="Q213">
        <f ca="1">IFERROR(IF(0=LEN(ReferenceData!$Q$213),"",ReferenceData!$Q$213),"")</f>
        <v>23.82432713</v>
      </c>
      <c r="R213">
        <f ca="1">IFERROR(IF(0=LEN(ReferenceData!$R$213),"",ReferenceData!$R$213),"")</f>
        <v>21.45974558</v>
      </c>
      <c r="S213">
        <f ca="1">IFERROR(IF(0=LEN(ReferenceData!$S$213),"",ReferenceData!$S$213),"")</f>
        <v>21.258697649999998</v>
      </c>
      <c r="T213">
        <f ca="1">IFERROR(IF(0=LEN(ReferenceData!$T$213),"",ReferenceData!$T$213),"")</f>
        <v>20.476514290000001</v>
      </c>
      <c r="U213">
        <f ca="1">IFERROR(IF(0=LEN(ReferenceData!$U$213),"",ReferenceData!$U$213),"")</f>
        <v>20.042636139999999</v>
      </c>
      <c r="V213">
        <f ca="1">IFERROR(IF(0=LEN(ReferenceData!$V$213),"",ReferenceData!$V$213),"")</f>
        <v>22.78065617</v>
      </c>
      <c r="W213">
        <f ca="1">IFERROR(IF(0=LEN(ReferenceData!$W$213),"",ReferenceData!$W$213),"")</f>
        <v>22.142388870000001</v>
      </c>
      <c r="X213">
        <f ca="1">IFERROR(IF(0=LEN(ReferenceData!$X$213),"",ReferenceData!$X$213),"")</f>
        <v>22.8945817</v>
      </c>
      <c r="Y213">
        <f ca="1">IFERROR(IF(0=LEN(ReferenceData!$Y$213),"",ReferenceData!$Y$213),"")</f>
        <v>22.464555180000001</v>
      </c>
      <c r="Z213">
        <f ca="1">IFERROR(IF(0=LEN(ReferenceData!$Z$213),"",ReferenceData!$Z$213),"")</f>
        <v>21.110738319999999</v>
      </c>
      <c r="AA213">
        <f ca="1">IFERROR(IF(0=LEN(ReferenceData!$AA$213),"",ReferenceData!$AA$213),"")</f>
        <v>21.3271628</v>
      </c>
      <c r="AB213">
        <f ca="1">IFERROR(IF(0=LEN(ReferenceData!$AB$213),"",ReferenceData!$AB$213),"")</f>
        <v>18.872029550000001</v>
      </c>
      <c r="AC213">
        <f ca="1">IFERROR(IF(0=LEN(ReferenceData!$AC$213),"",ReferenceData!$AC$213),"")</f>
        <v>18.585086570000001</v>
      </c>
      <c r="AD213" t="str">
        <f ca="1">IFERROR(IF(0=LEN(ReferenceData!$AD$213),"",ReferenceData!$AD$213),"")</f>
        <v/>
      </c>
      <c r="AE213" t="str">
        <f ca="1">IFERROR(IF(0=LEN(ReferenceData!$AE$213),"",ReferenceData!$AE$213),"")</f>
        <v/>
      </c>
      <c r="AF213" t="str">
        <f ca="1">IFERROR(IF(0=LEN(ReferenceData!$AF$213),"",ReferenceData!$AF$213),"")</f>
        <v/>
      </c>
      <c r="AG213" t="str">
        <f ca="1">IFERROR(IF(0=LEN(ReferenceData!$AG$213),"",ReferenceData!$AG$213),"")</f>
        <v/>
      </c>
      <c r="AH213" t="str">
        <f ca="1">IFERROR(IF(0=LEN(ReferenceData!$AH$213),"",ReferenceData!$AH$213),"")</f>
        <v/>
      </c>
      <c r="AI213" t="str">
        <f ca="1">IFERROR(IF(0=LEN(ReferenceData!$AI$213),"",ReferenceData!$AI$213),"")</f>
        <v/>
      </c>
      <c r="AJ213" t="str">
        <f ca="1">IFERROR(IF(0=LEN(ReferenceData!$AJ$213),"",ReferenceData!$AJ$213),"")</f>
        <v/>
      </c>
      <c r="AK213" t="str">
        <f ca="1">IFERROR(IF(0=LEN(ReferenceData!$AK$213),"",ReferenceData!$AK$213),"")</f>
        <v/>
      </c>
      <c r="AL213" t="str">
        <f ca="1">IFERROR(IF(0=LEN(ReferenceData!$AL$213),"",ReferenceData!$AL$213),"")</f>
        <v/>
      </c>
    </row>
    <row r="214" spans="1:38" x14ac:dyDescent="0.25">
      <c r="A214" t="str">
        <f>IFERROR(IF(0=LEN(ReferenceData!$A$214),"",ReferenceData!$A$214),"")</f>
        <v xml:space="preserve">        PNC Financial Services Group I</v>
      </c>
      <c r="B214" t="str">
        <f>IFERROR(IF(0=LEN(ReferenceData!$B$214),"",ReferenceData!$B$214),"")</f>
        <v>PNC US Equity</v>
      </c>
      <c r="C214" t="str">
        <f>IFERROR(IF(0=LEN(ReferenceData!$C$214),"",ReferenceData!$C$214),"")</f>
        <v>F0115</v>
      </c>
      <c r="D214" t="str">
        <f>IFERROR(IF(0=LEN(ReferenceData!$D$214),"",ReferenceData!$D$214),"")</f>
        <v>FED_C&amp;I_LNS_CONS_%_TOT_LNS_LEAS</v>
      </c>
      <c r="E214" t="str">
        <f>IFERROR(IF(0=LEN(ReferenceData!$E$214),"",ReferenceData!$E$214),"")</f>
        <v>Dynamic</v>
      </c>
      <c r="F214" t="str">
        <f ca="1">IFERROR(IF(0=LEN(ReferenceData!$F$214),"",ReferenceData!$F$214),"")</f>
        <v/>
      </c>
      <c r="G214">
        <f ca="1">IFERROR(IF(0=LEN(ReferenceData!$G$214),"",ReferenceData!$G$214),"")</f>
        <v>39.096923590000003</v>
      </c>
      <c r="H214">
        <f ca="1">IFERROR(IF(0=LEN(ReferenceData!$H$214),"",ReferenceData!$H$214),"")</f>
        <v>40.456539210000003</v>
      </c>
      <c r="I214">
        <f ca="1">IFERROR(IF(0=LEN(ReferenceData!$I$214),"",ReferenceData!$I$214),"")</f>
        <v>36.619792400000001</v>
      </c>
      <c r="J214">
        <f ca="1">IFERROR(IF(0=LEN(ReferenceData!$J$214),"",ReferenceData!$J$214),"")</f>
        <v>39.207784629999999</v>
      </c>
      <c r="K214">
        <f ca="1">IFERROR(IF(0=LEN(ReferenceData!$K$214),"",ReferenceData!$K$214),"")</f>
        <v>38.705421299999998</v>
      </c>
      <c r="L214">
        <f ca="1">IFERROR(IF(0=LEN(ReferenceData!$L$214),"",ReferenceData!$L$214),"")</f>
        <v>37.75245864</v>
      </c>
      <c r="M214">
        <f ca="1">IFERROR(IF(0=LEN(ReferenceData!$M$214),"",ReferenceData!$M$214),"")</f>
        <v>34.695946820000003</v>
      </c>
      <c r="N214">
        <f ca="1">IFERROR(IF(0=LEN(ReferenceData!$N$214),"",ReferenceData!$N$214),"")</f>
        <v>33.09820208</v>
      </c>
      <c r="O214">
        <f ca="1">IFERROR(IF(0=LEN(ReferenceData!$O$214),"",ReferenceData!$O$214),"")</f>
        <v>32.000436260000001</v>
      </c>
      <c r="P214">
        <f ca="1">IFERROR(IF(0=LEN(ReferenceData!$P$214),"",ReferenceData!$P$214),"")</f>
        <v>31.56858107</v>
      </c>
      <c r="Q214">
        <f ca="1">IFERROR(IF(0=LEN(ReferenceData!$Q$214),"",ReferenceData!$Q$214),"")</f>
        <v>29.641781030000001</v>
      </c>
      <c r="R214">
        <f ca="1">IFERROR(IF(0=LEN(ReferenceData!$R$214),"",ReferenceData!$R$214),"")</f>
        <v>29.189267170000001</v>
      </c>
      <c r="S214">
        <f ca="1">IFERROR(IF(0=LEN(ReferenceData!$S$214),"",ReferenceData!$S$214),"")</f>
        <v>28.874671429999999</v>
      </c>
      <c r="T214">
        <f ca="1">IFERROR(IF(0=LEN(ReferenceData!$T$214),"",ReferenceData!$T$214),"")</f>
        <v>26.685318030000001</v>
      </c>
      <c r="U214">
        <f ca="1">IFERROR(IF(0=LEN(ReferenceData!$U$214),"",ReferenceData!$U$214),"")</f>
        <v>25.918878930000002</v>
      </c>
      <c r="V214">
        <f ca="1">IFERROR(IF(0=LEN(ReferenceData!$V$214),"",ReferenceData!$V$214),"")</f>
        <v>29.542358960000001</v>
      </c>
      <c r="W214">
        <f ca="1">IFERROR(IF(0=LEN(ReferenceData!$W$214),"",ReferenceData!$W$214),"")</f>
        <v>29.547509989999998</v>
      </c>
      <c r="X214">
        <f ca="1">IFERROR(IF(0=LEN(ReferenceData!$X$214),"",ReferenceData!$X$214),"")</f>
        <v>31.977209940000002</v>
      </c>
      <c r="Y214">
        <f ca="1">IFERROR(IF(0=LEN(ReferenceData!$Y$214),"",ReferenceData!$Y$214),"")</f>
        <v>28.841547569999999</v>
      </c>
      <c r="Z214">
        <f ca="1">IFERROR(IF(0=LEN(ReferenceData!$Z$214),"",ReferenceData!$Z$214),"")</f>
        <v>32.072121699999997</v>
      </c>
      <c r="AA214">
        <f ca="1">IFERROR(IF(0=LEN(ReferenceData!$AA$214),"",ReferenceData!$AA$214),"")</f>
        <v>33.284073530000001</v>
      </c>
      <c r="AB214">
        <f ca="1">IFERROR(IF(0=LEN(ReferenceData!$AB$214),"",ReferenceData!$AB$214),"")</f>
        <v>34.315516840000001</v>
      </c>
      <c r="AC214">
        <f ca="1">IFERROR(IF(0=LEN(ReferenceData!$AC$214),"",ReferenceData!$AC$214),"")</f>
        <v>34.682904739999998</v>
      </c>
      <c r="AD214" t="str">
        <f ca="1">IFERROR(IF(0=LEN(ReferenceData!$AD$214),"",ReferenceData!$AD$214),"")</f>
        <v/>
      </c>
      <c r="AE214" t="str">
        <f ca="1">IFERROR(IF(0=LEN(ReferenceData!$AE$214),"",ReferenceData!$AE$214),"")</f>
        <v/>
      </c>
      <c r="AF214" t="str">
        <f ca="1">IFERROR(IF(0=LEN(ReferenceData!$AF$214),"",ReferenceData!$AF$214),"")</f>
        <v/>
      </c>
      <c r="AG214" t="str">
        <f ca="1">IFERROR(IF(0=LEN(ReferenceData!$AG$214),"",ReferenceData!$AG$214),"")</f>
        <v/>
      </c>
      <c r="AH214" t="str">
        <f ca="1">IFERROR(IF(0=LEN(ReferenceData!$AH$214),"",ReferenceData!$AH$214),"")</f>
        <v/>
      </c>
      <c r="AI214" t="str">
        <f ca="1">IFERROR(IF(0=LEN(ReferenceData!$AI$214),"",ReferenceData!$AI$214),"")</f>
        <v/>
      </c>
      <c r="AJ214" t="str">
        <f ca="1">IFERROR(IF(0=LEN(ReferenceData!$AJ$214),"",ReferenceData!$AJ$214),"")</f>
        <v/>
      </c>
      <c r="AK214" t="str">
        <f ca="1">IFERROR(IF(0=LEN(ReferenceData!$AK$214),"",ReferenceData!$AK$214),"")</f>
        <v/>
      </c>
      <c r="AL214" t="str">
        <f ca="1">IFERROR(IF(0=LEN(ReferenceData!$AL$214),"",ReferenceData!$AL$214),"")</f>
        <v/>
      </c>
    </row>
    <row r="215" spans="1:38" x14ac:dyDescent="0.25">
      <c r="A215" t="str">
        <f>IFERROR(IF(0=LEN(ReferenceData!$A$215),"",ReferenceData!$A$215),"")</f>
        <v xml:space="preserve">        Regions Financial Corp</v>
      </c>
      <c r="B215" t="str">
        <f>IFERROR(IF(0=LEN(ReferenceData!$B$215),"",ReferenceData!$B$215),"")</f>
        <v>RF US Equity</v>
      </c>
      <c r="C215" t="str">
        <f>IFERROR(IF(0=LEN(ReferenceData!$C$215),"",ReferenceData!$C$215),"")</f>
        <v>F0115</v>
      </c>
      <c r="D215" t="str">
        <f>IFERROR(IF(0=LEN(ReferenceData!$D$215),"",ReferenceData!$D$215),"")</f>
        <v>FED_C&amp;I_LNS_CONS_%_TOT_LNS_LEAS</v>
      </c>
      <c r="E215" t="str">
        <f>IFERROR(IF(0=LEN(ReferenceData!$E$215),"",ReferenceData!$E$215),"")</f>
        <v>Dynamic</v>
      </c>
      <c r="F215" t="str">
        <f ca="1">IFERROR(IF(0=LEN(ReferenceData!$F$215),"",ReferenceData!$F$215),"")</f>
        <v/>
      </c>
      <c r="G215">
        <f ca="1">IFERROR(IF(0=LEN(ReferenceData!$G$215),"",ReferenceData!$G$215),"")</f>
        <v>32.284684390000002</v>
      </c>
      <c r="H215">
        <f ca="1">IFERROR(IF(0=LEN(ReferenceData!$H$215),"",ReferenceData!$H$215),"")</f>
        <v>33.662054300000001</v>
      </c>
      <c r="I215">
        <f ca="1">IFERROR(IF(0=LEN(ReferenceData!$I$215),"",ReferenceData!$I$215),"")</f>
        <v>31.835897899999999</v>
      </c>
      <c r="J215">
        <f ca="1">IFERROR(IF(0=LEN(ReferenceData!$J$215),"",ReferenceData!$J$215),"")</f>
        <v>31.58987655</v>
      </c>
      <c r="K215">
        <f ca="1">IFERROR(IF(0=LEN(ReferenceData!$K$215),"",ReferenceData!$K$215),"")</f>
        <v>29.53827751</v>
      </c>
      <c r="L215">
        <f ca="1">IFERROR(IF(0=LEN(ReferenceData!$L$215),"",ReferenceData!$L$215),"")</f>
        <v>29.166349329999999</v>
      </c>
      <c r="M215">
        <f ca="1">IFERROR(IF(0=LEN(ReferenceData!$M$215),"",ReferenceData!$M$215),"")</f>
        <v>27.841027889999999</v>
      </c>
      <c r="N215">
        <f ca="1">IFERROR(IF(0=LEN(ReferenceData!$N$215),"",ReferenceData!$N$215),"")</f>
        <v>27.550631589999998</v>
      </c>
      <c r="O215">
        <f ca="1">IFERROR(IF(0=LEN(ReferenceData!$O$215),"",ReferenceData!$O$215),"")</f>
        <v>29.566816209999999</v>
      </c>
      <c r="P215">
        <f ca="1">IFERROR(IF(0=LEN(ReferenceData!$P$215),"",ReferenceData!$P$215),"")</f>
        <v>29.577288029999998</v>
      </c>
      <c r="Q215">
        <f ca="1">IFERROR(IF(0=LEN(ReferenceData!$Q$215),"",ReferenceData!$Q$215),"")</f>
        <v>27.063802429999999</v>
      </c>
      <c r="R215">
        <f ca="1">IFERROR(IF(0=LEN(ReferenceData!$R$215),"",ReferenceData!$R$215),"")</f>
        <v>24.702218129999999</v>
      </c>
      <c r="S215">
        <f ca="1">IFERROR(IF(0=LEN(ReferenceData!$S$215),"",ReferenceData!$S$215),"")</f>
        <v>21.413001860000001</v>
      </c>
      <c r="T215">
        <f ca="1">IFERROR(IF(0=LEN(ReferenceData!$T$215),"",ReferenceData!$T$215),"")</f>
        <v>17.819317569999999</v>
      </c>
      <c r="U215">
        <f ca="1">IFERROR(IF(0=LEN(ReferenceData!$U$215),"",ReferenceData!$U$215),"")</f>
        <v>14.744519670000001</v>
      </c>
      <c r="V215">
        <f ca="1">IFERROR(IF(0=LEN(ReferenceData!$V$215),"",ReferenceData!$V$215),"")</f>
        <v>16.72964078</v>
      </c>
      <c r="W215">
        <f ca="1">IFERROR(IF(0=LEN(ReferenceData!$W$215),"",ReferenceData!$W$215),"")</f>
        <v>16.35809441</v>
      </c>
      <c r="X215">
        <f ca="1">IFERROR(IF(0=LEN(ReferenceData!$X$215),"",ReferenceData!$X$215),"")</f>
        <v>15.54208208</v>
      </c>
      <c r="Y215">
        <f ca="1">IFERROR(IF(0=LEN(ReferenceData!$Y$215),"",ReferenceData!$Y$215),"")</f>
        <v>16.16941907</v>
      </c>
      <c r="Z215">
        <f ca="1">IFERROR(IF(0=LEN(ReferenceData!$Z$215),"",ReferenceData!$Z$215),"")</f>
        <v>16.99150539</v>
      </c>
      <c r="AA215" t="str">
        <f ca="1">IFERROR(IF(0=LEN(ReferenceData!$AA$215),"",ReferenceData!$AA$215),"")</f>
        <v/>
      </c>
      <c r="AB215" t="str">
        <f ca="1">IFERROR(IF(0=LEN(ReferenceData!$AB$215),"",ReferenceData!$AB$215),"")</f>
        <v/>
      </c>
      <c r="AC215" t="str">
        <f ca="1">IFERROR(IF(0=LEN(ReferenceData!$AC$215),"",ReferenceData!$AC$215),"")</f>
        <v/>
      </c>
      <c r="AD215" t="str">
        <f ca="1">IFERROR(IF(0=LEN(ReferenceData!$AD$215),"",ReferenceData!$AD$215),"")</f>
        <v/>
      </c>
      <c r="AE215" t="str">
        <f ca="1">IFERROR(IF(0=LEN(ReferenceData!$AE$215),"",ReferenceData!$AE$215),"")</f>
        <v/>
      </c>
      <c r="AF215" t="str">
        <f ca="1">IFERROR(IF(0=LEN(ReferenceData!$AF$215),"",ReferenceData!$AF$215),"")</f>
        <v/>
      </c>
      <c r="AG215" t="str">
        <f ca="1">IFERROR(IF(0=LEN(ReferenceData!$AG$215),"",ReferenceData!$AG$215),"")</f>
        <v/>
      </c>
      <c r="AH215" t="str">
        <f ca="1">IFERROR(IF(0=LEN(ReferenceData!$AH$215),"",ReferenceData!$AH$215),"")</f>
        <v/>
      </c>
      <c r="AI215" t="str">
        <f ca="1">IFERROR(IF(0=LEN(ReferenceData!$AI$215),"",ReferenceData!$AI$215),"")</f>
        <v/>
      </c>
      <c r="AJ215" t="str">
        <f ca="1">IFERROR(IF(0=LEN(ReferenceData!$AJ$215),"",ReferenceData!$AJ$215),"")</f>
        <v/>
      </c>
      <c r="AK215" t="str">
        <f ca="1">IFERROR(IF(0=LEN(ReferenceData!$AK$215),"",ReferenceData!$AK$215),"")</f>
        <v/>
      </c>
      <c r="AL215" t="str">
        <f ca="1">IFERROR(IF(0=LEN(ReferenceData!$AL$215),"",ReferenceData!$AL$215),"")</f>
        <v/>
      </c>
    </row>
    <row r="216" spans="1:38" x14ac:dyDescent="0.25">
      <c r="A216" t="str">
        <f>IFERROR(IF(0=LEN(ReferenceData!$A$216),"",ReferenceData!$A$216),"")</f>
        <v xml:space="preserve">        Truist Financial Corp</v>
      </c>
      <c r="B216" t="str">
        <f>IFERROR(IF(0=LEN(ReferenceData!$B$216),"",ReferenceData!$B$216),"")</f>
        <v>TFC US Equity</v>
      </c>
      <c r="C216" t="str">
        <f>IFERROR(IF(0=LEN(ReferenceData!$C$216),"",ReferenceData!$C$216),"")</f>
        <v>F0115</v>
      </c>
      <c r="D216" t="str">
        <f>IFERROR(IF(0=LEN(ReferenceData!$D$216),"",ReferenceData!$D$216),"")</f>
        <v>FED_C&amp;I_LNS_CONS_%_TOT_LNS_LEAS</v>
      </c>
      <c r="E216" t="str">
        <f>IFERROR(IF(0=LEN(ReferenceData!$E$216),"",ReferenceData!$E$216),"")</f>
        <v>Dynamic</v>
      </c>
      <c r="F216">
        <f ca="1">IFERROR(IF(0=LEN(ReferenceData!$F$216),"",ReferenceData!$F$216),"")</f>
        <v>23.73323023</v>
      </c>
      <c r="G216">
        <f ca="1">IFERROR(IF(0=LEN(ReferenceData!$G$216),"",ReferenceData!$G$216),"")</f>
        <v>27.0848692</v>
      </c>
      <c r="H216">
        <f ca="1">IFERROR(IF(0=LEN(ReferenceData!$H$216),"",ReferenceData!$H$216),"")</f>
        <v>26.257119729999999</v>
      </c>
      <c r="I216">
        <f ca="1">IFERROR(IF(0=LEN(ReferenceData!$I$216),"",ReferenceData!$I$216),"")</f>
        <v>22.988872839999999</v>
      </c>
      <c r="J216">
        <f ca="1">IFERROR(IF(0=LEN(ReferenceData!$J$216),"",ReferenceData!$J$216),"")</f>
        <v>24.3030416</v>
      </c>
      <c r="K216">
        <f ca="1">IFERROR(IF(0=LEN(ReferenceData!$K$216),"",ReferenceData!$K$216),"")</f>
        <v>23.6581607</v>
      </c>
      <c r="L216">
        <f ca="1">IFERROR(IF(0=LEN(ReferenceData!$L$216),"",ReferenceData!$L$216),"")</f>
        <v>20.389864070000002</v>
      </c>
      <c r="M216">
        <f ca="1">IFERROR(IF(0=LEN(ReferenceData!$M$216),"",ReferenceData!$M$216),"")</f>
        <v>18.85013812</v>
      </c>
      <c r="N216">
        <f ca="1">IFERROR(IF(0=LEN(ReferenceData!$N$216),"",ReferenceData!$N$216),"")</f>
        <v>18.165919120000002</v>
      </c>
      <c r="O216">
        <f ca="1">IFERROR(IF(0=LEN(ReferenceData!$O$216),"",ReferenceData!$O$216),"")</f>
        <v>17.304537870000001</v>
      </c>
      <c r="P216">
        <f ca="1">IFERROR(IF(0=LEN(ReferenceData!$P$216),"",ReferenceData!$P$216),"")</f>
        <v>15.86062207</v>
      </c>
      <c r="Q216">
        <f ca="1">IFERROR(IF(0=LEN(ReferenceData!$Q$216),"",ReferenceData!$Q$216),"")</f>
        <v>14.69712734</v>
      </c>
      <c r="R216">
        <f ca="1">IFERROR(IF(0=LEN(ReferenceData!$R$216),"",ReferenceData!$R$216),"")</f>
        <v>13.83642964</v>
      </c>
      <c r="S216">
        <f ca="1">IFERROR(IF(0=LEN(ReferenceData!$S$216),"",ReferenceData!$S$216),"")</f>
        <v>13.588777090000001</v>
      </c>
      <c r="T216">
        <f ca="1">IFERROR(IF(0=LEN(ReferenceData!$T$216),"",ReferenceData!$T$216),"")</f>
        <v>12.732188259999999</v>
      </c>
      <c r="U216">
        <f ca="1">IFERROR(IF(0=LEN(ReferenceData!$U$216),"",ReferenceData!$U$216),"")</f>
        <v>13.512423699999999</v>
      </c>
      <c r="V216">
        <f ca="1">IFERROR(IF(0=LEN(ReferenceData!$V$216),"",ReferenceData!$V$216),"")</f>
        <v>14.76390121</v>
      </c>
      <c r="W216">
        <f ca="1">IFERROR(IF(0=LEN(ReferenceData!$W$216),"",ReferenceData!$W$216),"")</f>
        <v>13.472454389999999</v>
      </c>
      <c r="X216">
        <f ca="1">IFERROR(IF(0=LEN(ReferenceData!$X$216),"",ReferenceData!$X$216),"")</f>
        <v>10.96103724</v>
      </c>
      <c r="Y216">
        <f ca="1">IFERROR(IF(0=LEN(ReferenceData!$Y$216),"",ReferenceData!$Y$216),"")</f>
        <v>10.85100448</v>
      </c>
      <c r="Z216">
        <f ca="1">IFERROR(IF(0=LEN(ReferenceData!$Z$216),"",ReferenceData!$Z$216),"")</f>
        <v>11.117834930000001</v>
      </c>
      <c r="AA216">
        <f ca="1">IFERROR(IF(0=LEN(ReferenceData!$AA$216),"",ReferenceData!$AA$216),"")</f>
        <v>11.49333163</v>
      </c>
      <c r="AB216">
        <f ca="1">IFERROR(IF(0=LEN(ReferenceData!$AB$216),"",ReferenceData!$AB$216),"")</f>
        <v>12.86787902</v>
      </c>
      <c r="AC216">
        <f ca="1">IFERROR(IF(0=LEN(ReferenceData!$AC$216),"",ReferenceData!$AC$216),"")</f>
        <v>13.54604146</v>
      </c>
      <c r="AD216" t="str">
        <f ca="1">IFERROR(IF(0=LEN(ReferenceData!$AD$216),"",ReferenceData!$AD$216),"")</f>
        <v/>
      </c>
      <c r="AE216" t="str">
        <f ca="1">IFERROR(IF(0=LEN(ReferenceData!$AE$216),"",ReferenceData!$AE$216),"")</f>
        <v/>
      </c>
      <c r="AF216" t="str">
        <f ca="1">IFERROR(IF(0=LEN(ReferenceData!$AF$216),"",ReferenceData!$AF$216),"")</f>
        <v/>
      </c>
      <c r="AG216" t="str">
        <f ca="1">IFERROR(IF(0=LEN(ReferenceData!$AG$216),"",ReferenceData!$AG$216),"")</f>
        <v/>
      </c>
      <c r="AH216" t="str">
        <f ca="1">IFERROR(IF(0=LEN(ReferenceData!$AH$216),"",ReferenceData!$AH$216),"")</f>
        <v/>
      </c>
      <c r="AI216" t="str">
        <f ca="1">IFERROR(IF(0=LEN(ReferenceData!$AI$216),"",ReferenceData!$AI$216),"")</f>
        <v/>
      </c>
      <c r="AJ216" t="str">
        <f ca="1">IFERROR(IF(0=LEN(ReferenceData!$AJ$216),"",ReferenceData!$AJ$216),"")</f>
        <v/>
      </c>
      <c r="AK216" t="str">
        <f ca="1">IFERROR(IF(0=LEN(ReferenceData!$AK$216),"",ReferenceData!$AK$216),"")</f>
        <v/>
      </c>
      <c r="AL216" t="str">
        <f ca="1">IFERROR(IF(0=LEN(ReferenceData!$AL$216),"",ReferenceData!$AL$216),"")</f>
        <v/>
      </c>
    </row>
    <row r="217" spans="1:38" x14ac:dyDescent="0.25">
      <c r="A217" t="str">
        <f>IFERROR(IF(0=LEN(ReferenceData!$A$217),"",ReferenceData!$A$217),"")</f>
        <v xml:space="preserve">        US Bancorp</v>
      </c>
      <c r="B217" t="str">
        <f>IFERROR(IF(0=LEN(ReferenceData!$B$217),"",ReferenceData!$B$217),"")</f>
        <v>USB US Equity</v>
      </c>
      <c r="C217" t="str">
        <f>IFERROR(IF(0=LEN(ReferenceData!$C$217),"",ReferenceData!$C$217),"")</f>
        <v>F0115</v>
      </c>
      <c r="D217" t="str">
        <f>IFERROR(IF(0=LEN(ReferenceData!$D$217),"",ReferenceData!$D$217),"")</f>
        <v>FED_C&amp;I_LNS_CONS_%_TOT_LNS_LEAS</v>
      </c>
      <c r="E217" t="str">
        <f>IFERROR(IF(0=LEN(ReferenceData!$E$217),"",ReferenceData!$E$217),"")</f>
        <v>Dynamic</v>
      </c>
      <c r="F217">
        <f ca="1">IFERROR(IF(0=LEN(ReferenceData!$F$217),"",ReferenceData!$F$217),"")</f>
        <v>25.02007034</v>
      </c>
      <c r="G217">
        <f ca="1">IFERROR(IF(0=LEN(ReferenceData!$G$217),"",ReferenceData!$G$217),"")</f>
        <v>25.998042739999999</v>
      </c>
      <c r="H217">
        <f ca="1">IFERROR(IF(0=LEN(ReferenceData!$H$217),"",ReferenceData!$H$217),"")</f>
        <v>26.326223769999999</v>
      </c>
      <c r="I217">
        <f ca="1">IFERROR(IF(0=LEN(ReferenceData!$I$217),"",ReferenceData!$I$217),"")</f>
        <v>25.456296529999999</v>
      </c>
      <c r="J217">
        <f ca="1">IFERROR(IF(0=LEN(ReferenceData!$J$217),"",ReferenceData!$J$217),"")</f>
        <v>24.955623429999999</v>
      </c>
      <c r="K217">
        <f ca="1">IFERROR(IF(0=LEN(ReferenceData!$K$217),"",ReferenceData!$K$217),"")</f>
        <v>26.10249271</v>
      </c>
      <c r="L217">
        <f ca="1">IFERROR(IF(0=LEN(ReferenceData!$L$217),"",ReferenceData!$L$217),"")</f>
        <v>27.14752713</v>
      </c>
      <c r="M217">
        <f ca="1">IFERROR(IF(0=LEN(ReferenceData!$M$217),"",ReferenceData!$M$217),"")</f>
        <v>25.519003059999999</v>
      </c>
      <c r="N217">
        <f ca="1">IFERROR(IF(0=LEN(ReferenceData!$N$217),"",ReferenceData!$N$217),"")</f>
        <v>24.91694592</v>
      </c>
      <c r="O217">
        <f ca="1">IFERROR(IF(0=LEN(ReferenceData!$O$217),"",ReferenceData!$O$217),"")</f>
        <v>25.271006570000001</v>
      </c>
      <c r="P217">
        <f ca="1">IFERROR(IF(0=LEN(ReferenceData!$P$217),"",ReferenceData!$P$217),"")</f>
        <v>24.075031419999998</v>
      </c>
      <c r="Q217">
        <f ca="1">IFERROR(IF(0=LEN(ReferenceData!$Q$217),"",ReferenceData!$Q$217),"")</f>
        <v>22.042777000000001</v>
      </c>
      <c r="R217">
        <f ca="1">IFERROR(IF(0=LEN(ReferenceData!$R$217),"",ReferenceData!$R$217),"")</f>
        <v>21.010324959999998</v>
      </c>
      <c r="S217">
        <f ca="1">IFERROR(IF(0=LEN(ReferenceData!$S$217),"",ReferenceData!$S$217),"")</f>
        <v>19.419485699999999</v>
      </c>
      <c r="T217">
        <f ca="1">IFERROR(IF(0=LEN(ReferenceData!$T$217),"",ReferenceData!$T$217),"")</f>
        <v>17.610914749999999</v>
      </c>
      <c r="U217">
        <f ca="1">IFERROR(IF(0=LEN(ReferenceData!$U$217),"",ReferenceData!$U$217),"")</f>
        <v>18.035153139999998</v>
      </c>
      <c r="V217">
        <f ca="1">IFERROR(IF(0=LEN(ReferenceData!$V$217),"",ReferenceData!$V$217),"")</f>
        <v>22.311800810000001</v>
      </c>
      <c r="W217">
        <f ca="1">IFERROR(IF(0=LEN(ReferenceData!$W$217),"",ReferenceData!$W$217),"")</f>
        <v>23.53478814</v>
      </c>
      <c r="X217">
        <f ca="1">IFERROR(IF(0=LEN(ReferenceData!$X$217),"",ReferenceData!$X$217),"")</f>
        <v>22.813289480000002</v>
      </c>
      <c r="Y217">
        <f ca="1">IFERROR(IF(0=LEN(ReferenceData!$Y$217),"",ReferenceData!$Y$217),"")</f>
        <v>22.4321108</v>
      </c>
      <c r="Z217">
        <f ca="1">IFERROR(IF(0=LEN(ReferenceData!$Z$217),"",ReferenceData!$Z$217),"")</f>
        <v>22.85877546</v>
      </c>
      <c r="AA217">
        <f ca="1">IFERROR(IF(0=LEN(ReferenceData!$AA$217),"",ReferenceData!$AA$217),"")</f>
        <v>23.067988100000001</v>
      </c>
      <c r="AB217">
        <f ca="1">IFERROR(IF(0=LEN(ReferenceData!$AB$217),"",ReferenceData!$AB$217),"")</f>
        <v>24.364255459999999</v>
      </c>
      <c r="AC217">
        <f ca="1">IFERROR(IF(0=LEN(ReferenceData!$AC$217),"",ReferenceData!$AC$217),"")</f>
        <v>29.249733419999998</v>
      </c>
      <c r="AD217" t="str">
        <f ca="1">IFERROR(IF(0=LEN(ReferenceData!$AD$217),"",ReferenceData!$AD$217),"")</f>
        <v/>
      </c>
      <c r="AE217" t="str">
        <f ca="1">IFERROR(IF(0=LEN(ReferenceData!$AE$217),"",ReferenceData!$AE$217),"")</f>
        <v/>
      </c>
      <c r="AF217" t="str">
        <f ca="1">IFERROR(IF(0=LEN(ReferenceData!$AF$217),"",ReferenceData!$AF$217),"")</f>
        <v/>
      </c>
      <c r="AG217" t="str">
        <f ca="1">IFERROR(IF(0=LEN(ReferenceData!$AG$217),"",ReferenceData!$AG$217),"")</f>
        <v/>
      </c>
      <c r="AH217" t="str">
        <f ca="1">IFERROR(IF(0=LEN(ReferenceData!$AH$217),"",ReferenceData!$AH$217),"")</f>
        <v/>
      </c>
      <c r="AI217" t="str">
        <f ca="1">IFERROR(IF(0=LEN(ReferenceData!$AI$217),"",ReferenceData!$AI$217),"")</f>
        <v/>
      </c>
      <c r="AJ217" t="str">
        <f ca="1">IFERROR(IF(0=LEN(ReferenceData!$AJ$217),"",ReferenceData!$AJ$217),"")</f>
        <v/>
      </c>
      <c r="AK217" t="str">
        <f ca="1">IFERROR(IF(0=LEN(ReferenceData!$AK$217),"",ReferenceData!$AK$217),"")</f>
        <v/>
      </c>
      <c r="AL217" t="str">
        <f ca="1">IFERROR(IF(0=LEN(ReferenceData!$AL$217),"",ReferenceData!$AL$217),"")</f>
        <v/>
      </c>
    </row>
    <row r="218" spans="1:38" x14ac:dyDescent="0.25">
      <c r="A218" t="str">
        <f>IFERROR(IF(0=LEN(ReferenceData!$A$218),"",ReferenceData!$A$218),"")</f>
        <v xml:space="preserve">        Wells Fargo &amp; Co</v>
      </c>
      <c r="B218" t="str">
        <f>IFERROR(IF(0=LEN(ReferenceData!$B$218),"",ReferenceData!$B$218),"")</f>
        <v>WFC US Equity</v>
      </c>
      <c r="C218" t="str">
        <f>IFERROR(IF(0=LEN(ReferenceData!$C$218),"",ReferenceData!$C$218),"")</f>
        <v>F0115</v>
      </c>
      <c r="D218" t="str">
        <f>IFERROR(IF(0=LEN(ReferenceData!$D$218),"",ReferenceData!$D$218),"")</f>
        <v>FED_C&amp;I_LNS_CONS_%_TOT_LNS_LEAS</v>
      </c>
      <c r="E218" t="str">
        <f>IFERROR(IF(0=LEN(ReferenceData!$E$218),"",ReferenceData!$E$218),"")</f>
        <v>Dynamic</v>
      </c>
      <c r="F218">
        <f ca="1">IFERROR(IF(0=LEN(ReferenceData!$F$218),"",ReferenceData!$F$218),"")</f>
        <v>20.410566540000001</v>
      </c>
      <c r="G218">
        <f ca="1">IFERROR(IF(0=LEN(ReferenceData!$G$218),"",ReferenceData!$G$218),"")</f>
        <v>20.42241907</v>
      </c>
      <c r="H218">
        <f ca="1">IFERROR(IF(0=LEN(ReferenceData!$H$218),"",ReferenceData!$H$218),"")</f>
        <v>20.282077439999998</v>
      </c>
      <c r="I218">
        <f ca="1">IFERROR(IF(0=LEN(ReferenceData!$I$218),"",ReferenceData!$I$218),"")</f>
        <v>18.346109569999999</v>
      </c>
      <c r="J218">
        <f ca="1">IFERROR(IF(0=LEN(ReferenceData!$J$218),"",ReferenceData!$J$218),"")</f>
        <v>17.592792710000001</v>
      </c>
      <c r="K218">
        <f ca="1">IFERROR(IF(0=LEN(ReferenceData!$K$218),"",ReferenceData!$K$218),"")</f>
        <v>19.136163</v>
      </c>
      <c r="L218">
        <f ca="1">IFERROR(IF(0=LEN(ReferenceData!$L$218),"",ReferenceData!$L$218),"")</f>
        <v>20.071120310000001</v>
      </c>
      <c r="M218">
        <f ca="1">IFERROR(IF(0=LEN(ReferenceData!$M$218),"",ReferenceData!$M$218),"")</f>
        <v>19.08354731</v>
      </c>
      <c r="N218">
        <f ca="1">IFERROR(IF(0=LEN(ReferenceData!$N$218),"",ReferenceData!$N$218),"")</f>
        <v>18.765865609999999</v>
      </c>
      <c r="O218">
        <f ca="1">IFERROR(IF(0=LEN(ReferenceData!$O$218),"",ReferenceData!$O$218),"")</f>
        <v>17.732783359999999</v>
      </c>
      <c r="P218">
        <f ca="1">IFERROR(IF(0=LEN(ReferenceData!$P$218),"",ReferenceData!$P$218),"")</f>
        <v>18.280151620000002</v>
      </c>
      <c r="Q218">
        <f ca="1">IFERROR(IF(0=LEN(ReferenceData!$Q$218),"",ReferenceData!$Q$218),"")</f>
        <v>18.184545490000001</v>
      </c>
      <c r="R218">
        <f ca="1">IFERROR(IF(0=LEN(ReferenceData!$R$218),"",ReferenceData!$R$218),"")</f>
        <v>18.52810449</v>
      </c>
      <c r="S218">
        <f ca="1">IFERROR(IF(0=LEN(ReferenceData!$S$218),"",ReferenceData!$S$218),"")</f>
        <v>18.05215506</v>
      </c>
      <c r="T218">
        <f ca="1">IFERROR(IF(0=LEN(ReferenceData!$T$218),"",ReferenceData!$T$218),"")</f>
        <v>15.69121925</v>
      </c>
      <c r="U218">
        <f ca="1">IFERROR(IF(0=LEN(ReferenceData!$U$218),"",ReferenceData!$U$218),"")</f>
        <v>17.249337539999999</v>
      </c>
      <c r="V218">
        <f ca="1">IFERROR(IF(0=LEN(ReferenceData!$V$218),"",ReferenceData!$V$218),"")</f>
        <v>20.75472757</v>
      </c>
      <c r="W218">
        <f ca="1">IFERROR(IF(0=LEN(ReferenceData!$W$218),"",ReferenceData!$W$218),"")</f>
        <v>19.382961179999999</v>
      </c>
      <c r="X218">
        <f ca="1">IFERROR(IF(0=LEN(ReferenceData!$X$218),"",ReferenceData!$X$218),"")</f>
        <v>17.14206021</v>
      </c>
      <c r="Y218">
        <f ca="1">IFERROR(IF(0=LEN(ReferenceData!$Y$218),"",ReferenceData!$Y$218),"")</f>
        <v>14.866342980000001</v>
      </c>
      <c r="Z218">
        <f ca="1">IFERROR(IF(0=LEN(ReferenceData!$Z$218),"",ReferenceData!$Z$218),"")</f>
        <v>14.29452105</v>
      </c>
      <c r="AA218">
        <f ca="1">IFERROR(IF(0=LEN(ReferenceData!$AA$218),"",ReferenceData!$AA$218),"")</f>
        <v>14.619281279999999</v>
      </c>
      <c r="AB218">
        <f ca="1">IFERROR(IF(0=LEN(ReferenceData!$AB$218),"",ReferenceData!$AB$218),"")</f>
        <v>15.918460380000001</v>
      </c>
      <c r="AC218">
        <f ca="1">IFERROR(IF(0=LEN(ReferenceData!$AC$218),"",ReferenceData!$AC$218),"")</f>
        <v>19.905706259999999</v>
      </c>
      <c r="AD218" t="str">
        <f ca="1">IFERROR(IF(0=LEN(ReferenceData!$AD$218),"",ReferenceData!$AD$218),"")</f>
        <v/>
      </c>
      <c r="AE218" t="str">
        <f ca="1">IFERROR(IF(0=LEN(ReferenceData!$AE$218),"",ReferenceData!$AE$218),"")</f>
        <v/>
      </c>
      <c r="AF218" t="str">
        <f ca="1">IFERROR(IF(0=LEN(ReferenceData!$AF$218),"",ReferenceData!$AF$218),"")</f>
        <v/>
      </c>
      <c r="AG218" t="str">
        <f ca="1">IFERROR(IF(0=LEN(ReferenceData!$AG$218),"",ReferenceData!$AG$218),"")</f>
        <v/>
      </c>
      <c r="AH218" t="str">
        <f ca="1">IFERROR(IF(0=LEN(ReferenceData!$AH$218),"",ReferenceData!$AH$218),"")</f>
        <v/>
      </c>
      <c r="AI218" t="str">
        <f ca="1">IFERROR(IF(0=LEN(ReferenceData!$AI$218),"",ReferenceData!$AI$218),"")</f>
        <v/>
      </c>
      <c r="AJ218" t="str">
        <f ca="1">IFERROR(IF(0=LEN(ReferenceData!$AJ$218),"",ReferenceData!$AJ$218),"")</f>
        <v/>
      </c>
      <c r="AK218" t="str">
        <f ca="1">IFERROR(IF(0=LEN(ReferenceData!$AK$218),"",ReferenceData!$AK$218),"")</f>
        <v/>
      </c>
      <c r="AL218" t="str">
        <f ca="1">IFERROR(IF(0=LEN(ReferenceData!$AL$218),"",ReferenceData!$AL$218),"")</f>
        <v/>
      </c>
    </row>
    <row r="219" spans="1:38" x14ac:dyDescent="0.25">
      <c r="A219" t="str">
        <f>IFERROR(IF(0=LEN(ReferenceData!$A$219),"",ReferenceData!$A$219),"")</f>
        <v xml:space="preserve">        Western Alliance Bancorp</v>
      </c>
      <c r="B219" t="str">
        <f>IFERROR(IF(0=LEN(ReferenceData!$B$219),"",ReferenceData!$B$219),"")</f>
        <v>WAL US Equity</v>
      </c>
      <c r="C219" t="str">
        <f>IFERROR(IF(0=LEN(ReferenceData!$C$219),"",ReferenceData!$C$219),"")</f>
        <v>F0115</v>
      </c>
      <c r="D219" t="str">
        <f>IFERROR(IF(0=LEN(ReferenceData!$D$219),"",ReferenceData!$D$219),"")</f>
        <v>FED_C&amp;I_LNS_CONS_%_TOT_LNS_LEAS</v>
      </c>
      <c r="E219" t="str">
        <f>IFERROR(IF(0=LEN(ReferenceData!$E$219),"",ReferenceData!$E$219),"")</f>
        <v>Dynamic</v>
      </c>
      <c r="F219">
        <f ca="1">IFERROR(IF(0=LEN(ReferenceData!$F$219),"",ReferenceData!$F$219),"")</f>
        <v>17.807088570000001</v>
      </c>
      <c r="G219">
        <f ca="1">IFERROR(IF(0=LEN(ReferenceData!$G$219),"",ReferenceData!$G$219),"")</f>
        <v>17.058382739999999</v>
      </c>
      <c r="H219">
        <f ca="1">IFERROR(IF(0=LEN(ReferenceData!$H$219),"",ReferenceData!$H$219),"")</f>
        <v>22.355667749999999</v>
      </c>
      <c r="I219">
        <f ca="1">IFERROR(IF(0=LEN(ReferenceData!$I$219),"",ReferenceData!$I$219),"")</f>
        <v>24.295380890000001</v>
      </c>
      <c r="J219">
        <f ca="1">IFERROR(IF(0=LEN(ReferenceData!$J$219),"",ReferenceData!$J$219),"")</f>
        <v>28.225220570000001</v>
      </c>
      <c r="K219">
        <f ca="1">IFERROR(IF(0=LEN(ReferenceData!$K$219),"",ReferenceData!$K$219),"")</f>
        <v>24.720725399999999</v>
      </c>
      <c r="L219">
        <f ca="1">IFERROR(IF(0=LEN(ReferenceData!$L$219),"",ReferenceData!$L$219),"")</f>
        <v>24.609639779999998</v>
      </c>
      <c r="M219">
        <f ca="1">IFERROR(IF(0=LEN(ReferenceData!$M$219),"",ReferenceData!$M$219),"")</f>
        <v>26.586195050000001</v>
      </c>
      <c r="N219">
        <f ca="1">IFERROR(IF(0=LEN(ReferenceData!$N$219),"",ReferenceData!$N$219),"")</f>
        <v>25.5776687</v>
      </c>
      <c r="O219">
        <f ca="1">IFERROR(IF(0=LEN(ReferenceData!$O$219),"",ReferenceData!$O$219),"")</f>
        <v>28.656600279999999</v>
      </c>
      <c r="P219">
        <f ca="1">IFERROR(IF(0=LEN(ReferenceData!$P$219),"",ReferenceData!$P$219),"")</f>
        <v>22.888477559999998</v>
      </c>
      <c r="Q219">
        <f ca="1">IFERROR(IF(0=LEN(ReferenceData!$Q$219),"",ReferenceData!$Q$219),"")</f>
        <v>19.174194669999999</v>
      </c>
      <c r="R219">
        <f ca="1">IFERROR(IF(0=LEN(ReferenceData!$R$219),"",ReferenceData!$R$219),"")</f>
        <v>18.250316170000001</v>
      </c>
      <c r="S219">
        <f ca="1">IFERROR(IF(0=LEN(ReferenceData!$S$219),"",ReferenceData!$S$219),"")</f>
        <v>17.07145985</v>
      </c>
      <c r="T219">
        <f ca="1">IFERROR(IF(0=LEN(ReferenceData!$T$219),"",ReferenceData!$T$219),"")</f>
        <v>16.422599730000002</v>
      </c>
      <c r="U219">
        <f ca="1">IFERROR(IF(0=LEN(ReferenceData!$U$219),"",ReferenceData!$U$219),"")</f>
        <v>16.26883097</v>
      </c>
      <c r="V219">
        <f ca="1">IFERROR(IF(0=LEN(ReferenceData!$V$219),"",ReferenceData!$V$219),"")</f>
        <v>19.445472299999999</v>
      </c>
      <c r="W219">
        <f ca="1">IFERROR(IF(0=LEN(ReferenceData!$W$219),"",ReferenceData!$W$219),"")</f>
        <v>19.979723679999999</v>
      </c>
      <c r="X219">
        <f ca="1">IFERROR(IF(0=LEN(ReferenceData!$X$219),"",ReferenceData!$X$219),"")</f>
        <v>20.705320199999999</v>
      </c>
      <c r="Y219">
        <f ca="1">IFERROR(IF(0=LEN(ReferenceData!$Y$219),"",ReferenceData!$Y$219),"")</f>
        <v>18.850215859999999</v>
      </c>
      <c r="Z219">
        <f ca="1">IFERROR(IF(0=LEN(ReferenceData!$Z$219),"",ReferenceData!$Z$219),"")</f>
        <v>20.124674599999999</v>
      </c>
      <c r="AA219">
        <f ca="1">IFERROR(IF(0=LEN(ReferenceData!$AA$219),"",ReferenceData!$AA$219),"")</f>
        <v>21.61321555</v>
      </c>
      <c r="AB219">
        <f ca="1">IFERROR(IF(0=LEN(ReferenceData!$AB$219),"",ReferenceData!$AB$219),"")</f>
        <v>20.206807600000001</v>
      </c>
      <c r="AC219">
        <f ca="1">IFERROR(IF(0=LEN(ReferenceData!$AC$219),"",ReferenceData!$AC$219),"")</f>
        <v>20.86901473</v>
      </c>
      <c r="AD219" t="str">
        <f ca="1">IFERROR(IF(0=LEN(ReferenceData!$AD$219),"",ReferenceData!$AD$219),"")</f>
        <v/>
      </c>
      <c r="AE219" t="str">
        <f ca="1">IFERROR(IF(0=LEN(ReferenceData!$AE$219),"",ReferenceData!$AE$219),"")</f>
        <v/>
      </c>
      <c r="AF219" t="str">
        <f ca="1">IFERROR(IF(0=LEN(ReferenceData!$AF$219),"",ReferenceData!$AF$219),"")</f>
        <v/>
      </c>
      <c r="AG219" t="str">
        <f ca="1">IFERROR(IF(0=LEN(ReferenceData!$AG$219),"",ReferenceData!$AG$219),"")</f>
        <v/>
      </c>
      <c r="AH219" t="str">
        <f ca="1">IFERROR(IF(0=LEN(ReferenceData!$AH$219),"",ReferenceData!$AH$219),"")</f>
        <v/>
      </c>
      <c r="AI219" t="str">
        <f ca="1">IFERROR(IF(0=LEN(ReferenceData!$AI$219),"",ReferenceData!$AI$219),"")</f>
        <v/>
      </c>
      <c r="AJ219" t="str">
        <f ca="1">IFERROR(IF(0=LEN(ReferenceData!$AJ$219),"",ReferenceData!$AJ$219),"")</f>
        <v/>
      </c>
      <c r="AK219" t="str">
        <f ca="1">IFERROR(IF(0=LEN(ReferenceData!$AK$219),"",ReferenceData!$AK$219),"")</f>
        <v/>
      </c>
      <c r="AL219" t="str">
        <f ca="1">IFERROR(IF(0=LEN(ReferenceData!$AL$219),"",ReferenceData!$AL$219),"")</f>
        <v/>
      </c>
    </row>
    <row r="220" spans="1:38" x14ac:dyDescent="0.25">
      <c r="A220" t="str">
        <f>IFERROR(IF(0=LEN(ReferenceData!$A$220),"",ReferenceData!$A$220),"")</f>
        <v xml:space="preserve">        Zions Bancorp NA</v>
      </c>
      <c r="B220" t="str">
        <f>IFERROR(IF(0=LEN(ReferenceData!$B$220),"",ReferenceData!$B$220),"")</f>
        <v>ZION US Equity</v>
      </c>
      <c r="C220" t="str">
        <f>IFERROR(IF(0=LEN(ReferenceData!$C$220),"",ReferenceData!$C$220),"")</f>
        <v>F0115</v>
      </c>
      <c r="D220" t="str">
        <f>IFERROR(IF(0=LEN(ReferenceData!$D$220),"",ReferenceData!$D$220),"")</f>
        <v>FED_C&amp;I_LNS_CONS_%_TOT_LNS_LEAS</v>
      </c>
      <c r="E220" t="str">
        <f>IFERROR(IF(0=LEN(ReferenceData!$E$220),"",ReferenceData!$E$220),"")</f>
        <v>Dynamic</v>
      </c>
      <c r="F220" t="str">
        <f ca="1">IFERROR(IF(0=LEN(ReferenceData!$F$220),"",ReferenceData!$F$220),"")</f>
        <v/>
      </c>
      <c r="G220" t="str">
        <f ca="1">IFERROR(IF(0=LEN(ReferenceData!$G$220),"",ReferenceData!$G$220),"")</f>
        <v/>
      </c>
      <c r="H220" t="str">
        <f ca="1">IFERROR(IF(0=LEN(ReferenceData!$H$220),"",ReferenceData!$H$220),"")</f>
        <v/>
      </c>
      <c r="I220" t="str">
        <f ca="1">IFERROR(IF(0=LEN(ReferenceData!$I$220),"",ReferenceData!$I$220),"")</f>
        <v/>
      </c>
      <c r="J220" t="str">
        <f ca="1">IFERROR(IF(0=LEN(ReferenceData!$J$220),"",ReferenceData!$J$220),"")</f>
        <v/>
      </c>
      <c r="K220" t="str">
        <f ca="1">IFERROR(IF(0=LEN(ReferenceData!$K$220),"",ReferenceData!$K$220),"")</f>
        <v/>
      </c>
      <c r="L220" t="str">
        <f ca="1">IFERROR(IF(0=LEN(ReferenceData!$L$220),"",ReferenceData!$L$220),"")</f>
        <v/>
      </c>
      <c r="M220" t="str">
        <f ca="1">IFERROR(IF(0=LEN(ReferenceData!$M$220),"",ReferenceData!$M$220),"")</f>
        <v/>
      </c>
      <c r="N220" t="str">
        <f ca="1">IFERROR(IF(0=LEN(ReferenceData!$N$220),"",ReferenceData!$N$220),"")</f>
        <v/>
      </c>
      <c r="O220" t="str">
        <f ca="1">IFERROR(IF(0=LEN(ReferenceData!$O$220),"",ReferenceData!$O$220),"")</f>
        <v/>
      </c>
      <c r="P220" t="str">
        <f ca="1">IFERROR(IF(0=LEN(ReferenceData!$P$220),"",ReferenceData!$P$220),"")</f>
        <v/>
      </c>
      <c r="Q220" t="str">
        <f ca="1">IFERROR(IF(0=LEN(ReferenceData!$Q$220),"",ReferenceData!$Q$220),"")</f>
        <v/>
      </c>
      <c r="R220" t="str">
        <f ca="1">IFERROR(IF(0=LEN(ReferenceData!$R$220),"",ReferenceData!$R$220),"")</f>
        <v/>
      </c>
      <c r="S220" t="str">
        <f ca="1">IFERROR(IF(0=LEN(ReferenceData!$S$220),"",ReferenceData!$S$220),"")</f>
        <v/>
      </c>
      <c r="T220" t="str">
        <f ca="1">IFERROR(IF(0=LEN(ReferenceData!$T$220),"",ReferenceData!$T$220),"")</f>
        <v/>
      </c>
      <c r="U220" t="str">
        <f ca="1">IFERROR(IF(0=LEN(ReferenceData!$U$220),"",ReferenceData!$U$220),"")</f>
        <v/>
      </c>
      <c r="V220" t="str">
        <f ca="1">IFERROR(IF(0=LEN(ReferenceData!$V$220),"",ReferenceData!$V$220),"")</f>
        <v/>
      </c>
      <c r="W220" t="str">
        <f ca="1">IFERROR(IF(0=LEN(ReferenceData!$W$220),"",ReferenceData!$W$220),"")</f>
        <v/>
      </c>
      <c r="X220" t="str">
        <f ca="1">IFERROR(IF(0=LEN(ReferenceData!$X$220),"",ReferenceData!$X$220),"")</f>
        <v/>
      </c>
      <c r="Y220" t="str">
        <f ca="1">IFERROR(IF(0=LEN(ReferenceData!$Y$220),"",ReferenceData!$Y$220),"")</f>
        <v/>
      </c>
      <c r="Z220" t="str">
        <f ca="1">IFERROR(IF(0=LEN(ReferenceData!$Z$220),"",ReferenceData!$Z$220),"")</f>
        <v/>
      </c>
      <c r="AA220" t="str">
        <f ca="1">IFERROR(IF(0=LEN(ReferenceData!$AA$220),"",ReferenceData!$AA$220),"")</f>
        <v/>
      </c>
      <c r="AB220" t="str">
        <f ca="1">IFERROR(IF(0=LEN(ReferenceData!$AB$220),"",ReferenceData!$AB$220),"")</f>
        <v/>
      </c>
      <c r="AC220" t="str">
        <f ca="1">IFERROR(IF(0=LEN(ReferenceData!$AC$220),"",ReferenceData!$AC$220),"")</f>
        <v/>
      </c>
      <c r="AD220" t="str">
        <f ca="1">IFERROR(IF(0=LEN(ReferenceData!$AD$220),"",ReferenceData!$AD$220),"")</f>
        <v/>
      </c>
      <c r="AE220" t="str">
        <f ca="1">IFERROR(IF(0=LEN(ReferenceData!$AE$220),"",ReferenceData!$AE$220),"")</f>
        <v/>
      </c>
      <c r="AF220" t="str">
        <f ca="1">IFERROR(IF(0=LEN(ReferenceData!$AF$220),"",ReferenceData!$AF$220),"")</f>
        <v/>
      </c>
      <c r="AG220" t="str">
        <f ca="1">IFERROR(IF(0=LEN(ReferenceData!$AG$220),"",ReferenceData!$AG$220),"")</f>
        <v/>
      </c>
      <c r="AH220" t="str">
        <f ca="1">IFERROR(IF(0=LEN(ReferenceData!$AH$220),"",ReferenceData!$AH$220),"")</f>
        <v/>
      </c>
      <c r="AI220" t="str">
        <f ca="1">IFERROR(IF(0=LEN(ReferenceData!$AI$220),"",ReferenceData!$AI$220),"")</f>
        <v/>
      </c>
      <c r="AJ220" t="str">
        <f ca="1">IFERROR(IF(0=LEN(ReferenceData!$AJ$220),"",ReferenceData!$AJ$220),"")</f>
        <v/>
      </c>
      <c r="AK220" t="str">
        <f ca="1">IFERROR(IF(0=LEN(ReferenceData!$AK$220),"",ReferenceData!$AK$220),"")</f>
        <v/>
      </c>
      <c r="AL220" t="str">
        <f ca="1">IFERROR(IF(0=LEN(ReferenceData!$AL$220),"",ReferenceData!$AL$220),"")</f>
        <v/>
      </c>
    </row>
    <row r="221" spans="1:38" x14ac:dyDescent="0.25">
      <c r="A221" t="str">
        <f>IFERROR(IF(0=LEN(ReferenceData!$A$221),"",ReferenceData!$A$221),"")</f>
        <v>Commercial leases</v>
      </c>
      <c r="B221" t="str">
        <f>IFERROR(IF(0=LEN(ReferenceData!$B$221),"",ReferenceData!$B$221),"")</f>
        <v/>
      </c>
      <c r="C221" t="str">
        <f>IFERROR(IF(0=LEN(ReferenceData!$C$221),"",ReferenceData!$C$221),"")</f>
        <v/>
      </c>
      <c r="D221" t="str">
        <f>IFERROR(IF(0=LEN(ReferenceData!$D$221),"",ReferenceData!$D$221),"")</f>
        <v/>
      </c>
      <c r="E221" t="str">
        <f>IFERROR(IF(0=LEN(ReferenceData!$E$221),"",ReferenceData!$E$221),"")</f>
        <v>Median</v>
      </c>
      <c r="F221">
        <f ca="1">IFERROR(IF(0=LEN(ReferenceData!$F$221),"",ReferenceData!$F$221),"")</f>
        <v>1.3659579209999999</v>
      </c>
      <c r="G221">
        <f ca="1">IFERROR(IF(0=LEN(ReferenceData!$G$221),"",ReferenceData!$G$221),"")</f>
        <v>1.5283217120000001</v>
      </c>
      <c r="H221">
        <f ca="1">IFERROR(IF(0=LEN(ReferenceData!$H$221),"",ReferenceData!$H$221),"")</f>
        <v>1.4343763460000001</v>
      </c>
      <c r="I221">
        <f ca="1">IFERROR(IF(0=LEN(ReferenceData!$I$221),"",ReferenceData!$I$221),"")</f>
        <v>1.434639344</v>
      </c>
      <c r="J221">
        <f ca="1">IFERROR(IF(0=LEN(ReferenceData!$J$221),"",ReferenceData!$J$221),"")</f>
        <v>1.7268237749999999</v>
      </c>
      <c r="K221">
        <f ca="1">IFERROR(IF(0=LEN(ReferenceData!$K$221),"",ReferenceData!$K$221),"")</f>
        <v>1.887761867</v>
      </c>
      <c r="L221">
        <f ca="1">IFERROR(IF(0=LEN(ReferenceData!$L$221),"",ReferenceData!$L$221),"")</f>
        <v>1.723030885</v>
      </c>
      <c r="M221">
        <f ca="1">IFERROR(IF(0=LEN(ReferenceData!$M$221),"",ReferenceData!$M$221),"")</f>
        <v>1.7515576319999999</v>
      </c>
      <c r="N221">
        <f ca="1">IFERROR(IF(0=LEN(ReferenceData!$N$221),"",ReferenceData!$N$221),"")</f>
        <v>1.439976954</v>
      </c>
      <c r="O221">
        <f ca="1">IFERROR(IF(0=LEN(ReferenceData!$O$221),"",ReferenceData!$O$221),"")</f>
        <v>1.381924704</v>
      </c>
      <c r="P221">
        <f ca="1">IFERROR(IF(0=LEN(ReferenceData!$P$221),"",ReferenceData!$P$221),"")</f>
        <v>2.1398348899999999</v>
      </c>
      <c r="Q221">
        <f ca="1">IFERROR(IF(0=LEN(ReferenceData!$Q$221),"",ReferenceData!$Q$221),"")</f>
        <v>1.931602904</v>
      </c>
      <c r="R221">
        <f ca="1">IFERROR(IF(0=LEN(ReferenceData!$R$221),"",ReferenceData!$R$221),"")</f>
        <v>1.9349759390000001</v>
      </c>
      <c r="S221">
        <f ca="1">IFERROR(IF(0=LEN(ReferenceData!$S$221),"",ReferenceData!$S$221),"")</f>
        <v>2.119084929</v>
      </c>
      <c r="T221">
        <f ca="1">IFERROR(IF(0=LEN(ReferenceData!$T$221),"",ReferenceData!$T$221),"")</f>
        <v>2.1729631810000001</v>
      </c>
      <c r="U221">
        <f ca="1">IFERROR(IF(0=LEN(ReferenceData!$U$221),"",ReferenceData!$U$221),"")</f>
        <v>2.3726718519999999</v>
      </c>
      <c r="V221">
        <f ca="1">IFERROR(IF(0=LEN(ReferenceData!$V$221),"",ReferenceData!$V$221),"")</f>
        <v>2.0595381979999998</v>
      </c>
      <c r="W221">
        <f ca="1">IFERROR(IF(0=LEN(ReferenceData!$W$221),"",ReferenceData!$W$221),"")</f>
        <v>2.2777477199999998</v>
      </c>
      <c r="X221" t="str">
        <f ca="1">IFERROR(IF(0=LEN(ReferenceData!$X$221),"",ReferenceData!$X$221),"")</f>
        <v/>
      </c>
      <c r="Y221" t="str">
        <f ca="1">IFERROR(IF(0=LEN(ReferenceData!$Y$221),"",ReferenceData!$Y$221),"")</f>
        <v/>
      </c>
      <c r="Z221" t="str">
        <f ca="1">IFERROR(IF(0=LEN(ReferenceData!$Z$221),"",ReferenceData!$Z$221),"")</f>
        <v/>
      </c>
      <c r="AA221" t="str">
        <f ca="1">IFERROR(IF(0=LEN(ReferenceData!$AA$221),"",ReferenceData!$AA$221),"")</f>
        <v/>
      </c>
      <c r="AB221" t="str">
        <f ca="1">IFERROR(IF(0=LEN(ReferenceData!$AB$221),"",ReferenceData!$AB$221),"")</f>
        <v/>
      </c>
      <c r="AC221" t="str">
        <f ca="1">IFERROR(IF(0=LEN(ReferenceData!$AC$221),"",ReferenceData!$AC$221),"")</f>
        <v/>
      </c>
      <c r="AD221" t="str">
        <f ca="1">IFERROR(IF(0=LEN(ReferenceData!$AD$221),"",ReferenceData!$AD$221),"")</f>
        <v/>
      </c>
      <c r="AE221" t="str">
        <f ca="1">IFERROR(IF(0=LEN(ReferenceData!$AE$221),"",ReferenceData!$AE$221),"")</f>
        <v/>
      </c>
      <c r="AF221" t="str">
        <f ca="1">IFERROR(IF(0=LEN(ReferenceData!$AF$221),"",ReferenceData!$AF$221),"")</f>
        <v/>
      </c>
      <c r="AG221" t="str">
        <f ca="1">IFERROR(IF(0=LEN(ReferenceData!$AG$221),"",ReferenceData!$AG$221),"")</f>
        <v/>
      </c>
      <c r="AH221" t="str">
        <f ca="1">IFERROR(IF(0=LEN(ReferenceData!$AH$221),"",ReferenceData!$AH$221),"")</f>
        <v/>
      </c>
      <c r="AI221" t="str">
        <f ca="1">IFERROR(IF(0=LEN(ReferenceData!$AI$221),"",ReferenceData!$AI$221),"")</f>
        <v/>
      </c>
      <c r="AJ221" t="str">
        <f ca="1">IFERROR(IF(0=LEN(ReferenceData!$AJ$221),"",ReferenceData!$AJ$221),"")</f>
        <v/>
      </c>
      <c r="AK221" t="str">
        <f ca="1">IFERROR(IF(0=LEN(ReferenceData!$AK$221),"",ReferenceData!$AK$221),"")</f>
        <v/>
      </c>
      <c r="AL221" t="str">
        <f ca="1">IFERROR(IF(0=LEN(ReferenceData!$AL$221),"",ReferenceData!$AL$221),"")</f>
        <v/>
      </c>
    </row>
    <row r="222" spans="1:38" x14ac:dyDescent="0.25">
      <c r="A222" t="str">
        <f>IFERROR(IF(0=LEN(ReferenceData!$A$222),"",ReferenceData!$A$222),"")</f>
        <v xml:space="preserve">    Bank of America Corp</v>
      </c>
      <c r="B222" t="str">
        <f>IFERROR(IF(0=LEN(ReferenceData!$B$222),"",ReferenceData!$B$222),"")</f>
        <v>BAC US Equity</v>
      </c>
      <c r="C222" t="str">
        <f>IFERROR(IF(0=LEN(ReferenceData!$C$222),"",ReferenceData!$C$222),"")</f>
        <v>F0116</v>
      </c>
      <c r="D222" t="str">
        <f>IFERROR(IF(0=LEN(ReferenceData!$D$222),"",ReferenceData!$D$222),"")</f>
        <v>FED_OTHER_LEASES_%_TOT_LNS_LEAS</v>
      </c>
      <c r="E222" t="str">
        <f>IFERROR(IF(0=LEN(ReferenceData!$E$222),"",ReferenceData!$E$222),"")</f>
        <v>Dynamic</v>
      </c>
      <c r="F222">
        <f ca="1">IFERROR(IF(0=LEN(ReferenceData!$F$222),"",ReferenceData!$F$222),"")</f>
        <v>1.3659579209999999</v>
      </c>
      <c r="G222">
        <f ca="1">IFERROR(IF(0=LEN(ReferenceData!$G$222),"",ReferenceData!$G$222),"")</f>
        <v>1.359663351</v>
      </c>
      <c r="H222">
        <f ca="1">IFERROR(IF(0=LEN(ReferenceData!$H$222),"",ReferenceData!$H$222),"")</f>
        <v>1.276034543</v>
      </c>
      <c r="I222">
        <f ca="1">IFERROR(IF(0=LEN(ReferenceData!$I$222),"",ReferenceData!$I$222),"")</f>
        <v>1.434639344</v>
      </c>
      <c r="J222">
        <f ca="1">IFERROR(IF(0=LEN(ReferenceData!$J$222),"",ReferenceData!$J$222),"")</f>
        <v>1.7268237749999999</v>
      </c>
      <c r="K222">
        <f ca="1">IFERROR(IF(0=LEN(ReferenceData!$K$222),"",ReferenceData!$K$222),"")</f>
        <v>1.9433342440000001</v>
      </c>
      <c r="L222">
        <f ca="1">IFERROR(IF(0=LEN(ReferenceData!$L$222),"",ReferenceData!$L$222),"")</f>
        <v>2.3158367160000002</v>
      </c>
      <c r="M222">
        <f ca="1">IFERROR(IF(0=LEN(ReferenceData!$M$222),"",ReferenceData!$M$222),"")</f>
        <v>2.2450280880000002</v>
      </c>
      <c r="N222">
        <f ca="1">IFERROR(IF(0=LEN(ReferenceData!$N$222),"",ReferenceData!$N$222),"")</f>
        <v>2.3694920769999999</v>
      </c>
      <c r="O222">
        <f ca="1">IFERROR(IF(0=LEN(ReferenceData!$O$222),"",ReferenceData!$O$222),"")</f>
        <v>2.3163575970000001</v>
      </c>
      <c r="P222">
        <f ca="1">IFERROR(IF(0=LEN(ReferenceData!$P$222),"",ReferenceData!$P$222),"")</f>
        <v>2.1492365499999999</v>
      </c>
      <c r="Q222">
        <f ca="1">IFERROR(IF(0=LEN(ReferenceData!$Q$222),"",ReferenceData!$Q$222),"")</f>
        <v>1.924217619</v>
      </c>
      <c r="R222">
        <f ca="1">IFERROR(IF(0=LEN(ReferenceData!$R$222),"",ReferenceData!$R$222),"")</f>
        <v>1.8849931900000001</v>
      </c>
      <c r="S222">
        <f ca="1">IFERROR(IF(0=LEN(ReferenceData!$S$222),"",ReferenceData!$S$222),"")</f>
        <v>1.829297787</v>
      </c>
      <c r="T222">
        <f ca="1">IFERROR(IF(0=LEN(ReferenceData!$T$222),"",ReferenceData!$T$222),"")</f>
        <v>1.8155536839999999</v>
      </c>
      <c r="U222">
        <f ca="1">IFERROR(IF(0=LEN(ReferenceData!$U$222),"",ReferenceData!$U$222),"")</f>
        <v>1.933755187</v>
      </c>
      <c r="V222">
        <f ca="1">IFERROR(IF(0=LEN(ReferenceData!$V$222),"",ReferenceData!$V$222),"")</f>
        <v>1.919389572</v>
      </c>
      <c r="W222">
        <f ca="1">IFERROR(IF(0=LEN(ReferenceData!$W$222),"",ReferenceData!$W$222),"")</f>
        <v>2.2777477199999998</v>
      </c>
      <c r="X222" t="str">
        <f ca="1">IFERROR(IF(0=LEN(ReferenceData!$X$222),"",ReferenceData!$X$222),"")</f>
        <v/>
      </c>
      <c r="Y222" t="str">
        <f ca="1">IFERROR(IF(0=LEN(ReferenceData!$Y$222),"",ReferenceData!$Y$222),"")</f>
        <v/>
      </c>
      <c r="Z222" t="str">
        <f ca="1">IFERROR(IF(0=LEN(ReferenceData!$Z$222),"",ReferenceData!$Z$222),"")</f>
        <v/>
      </c>
      <c r="AA222" t="str">
        <f ca="1">IFERROR(IF(0=LEN(ReferenceData!$AA$222),"",ReferenceData!$AA$222),"")</f>
        <v/>
      </c>
      <c r="AB222" t="str">
        <f ca="1">IFERROR(IF(0=LEN(ReferenceData!$AB$222),"",ReferenceData!$AB$222),"")</f>
        <v/>
      </c>
      <c r="AC222" t="str">
        <f ca="1">IFERROR(IF(0=LEN(ReferenceData!$AC$222),"",ReferenceData!$AC$222),"")</f>
        <v/>
      </c>
      <c r="AD222" t="str">
        <f ca="1">IFERROR(IF(0=LEN(ReferenceData!$AD$222),"",ReferenceData!$AD$222),"")</f>
        <v/>
      </c>
      <c r="AE222" t="str">
        <f ca="1">IFERROR(IF(0=LEN(ReferenceData!$AE$222),"",ReferenceData!$AE$222),"")</f>
        <v/>
      </c>
      <c r="AF222" t="str">
        <f ca="1">IFERROR(IF(0=LEN(ReferenceData!$AF$222),"",ReferenceData!$AF$222),"")</f>
        <v/>
      </c>
      <c r="AG222" t="str">
        <f ca="1">IFERROR(IF(0=LEN(ReferenceData!$AG$222),"",ReferenceData!$AG$222),"")</f>
        <v/>
      </c>
      <c r="AH222" t="str">
        <f ca="1">IFERROR(IF(0=LEN(ReferenceData!$AH$222),"",ReferenceData!$AH$222),"")</f>
        <v/>
      </c>
      <c r="AI222" t="str">
        <f ca="1">IFERROR(IF(0=LEN(ReferenceData!$AI$222),"",ReferenceData!$AI$222),"")</f>
        <v/>
      </c>
      <c r="AJ222" t="str">
        <f ca="1">IFERROR(IF(0=LEN(ReferenceData!$AJ$222),"",ReferenceData!$AJ$222),"")</f>
        <v/>
      </c>
      <c r="AK222" t="str">
        <f ca="1">IFERROR(IF(0=LEN(ReferenceData!$AK$222),"",ReferenceData!$AK$222),"")</f>
        <v/>
      </c>
      <c r="AL222" t="str">
        <f ca="1">IFERROR(IF(0=LEN(ReferenceData!$AL$222),"",ReferenceData!$AL$222),"")</f>
        <v/>
      </c>
    </row>
    <row r="223" spans="1:38" x14ac:dyDescent="0.25">
      <c r="A223" t="str">
        <f>IFERROR(IF(0=LEN(ReferenceData!$A$223),"",ReferenceData!$A$223),"")</f>
        <v xml:space="preserve">    Citigroup Inc</v>
      </c>
      <c r="B223" t="str">
        <f>IFERROR(IF(0=LEN(ReferenceData!$B$223),"",ReferenceData!$B$223),"")</f>
        <v>C US Equity</v>
      </c>
      <c r="C223" t="str">
        <f>IFERROR(IF(0=LEN(ReferenceData!$C$223),"",ReferenceData!$C$223),"")</f>
        <v>F0116</v>
      </c>
      <c r="D223" t="str">
        <f>IFERROR(IF(0=LEN(ReferenceData!$D$223),"",ReferenceData!$D$223),"")</f>
        <v>FED_OTHER_LEASES_%_TOT_LNS_LEAS</v>
      </c>
      <c r="E223" t="str">
        <f>IFERROR(IF(0=LEN(ReferenceData!$E$223),"",ReferenceData!$E$223),"")</f>
        <v>Dynamic</v>
      </c>
      <c r="F223">
        <f ca="1">IFERROR(IF(0=LEN(ReferenceData!$F$223),"",ReferenceData!$F$223),"")</f>
        <v>3.8769218000000001E-2</v>
      </c>
      <c r="G223">
        <f ca="1">IFERROR(IF(0=LEN(ReferenceData!$G$223),"",ReferenceData!$G$223),"")</f>
        <v>3.9367831999999998E-2</v>
      </c>
      <c r="H223">
        <f ca="1">IFERROR(IF(0=LEN(ReferenceData!$H$223),"",ReferenceData!$H$223),"")</f>
        <v>5.1965285999999999E-2</v>
      </c>
      <c r="I223">
        <f ca="1">IFERROR(IF(0=LEN(ReferenceData!$I$223),"",ReferenceData!$I$223),"")</f>
        <v>6.4667091999999995E-2</v>
      </c>
      <c r="J223">
        <f ca="1">IFERROR(IF(0=LEN(ReferenceData!$J$223),"",ReferenceData!$J$223),"")</f>
        <v>0.106055831</v>
      </c>
      <c r="K223">
        <f ca="1">IFERROR(IF(0=LEN(ReferenceData!$K$223),"",ReferenceData!$K$223),"")</f>
        <v>0.19270637700000001</v>
      </c>
      <c r="L223">
        <f ca="1">IFERROR(IF(0=LEN(ReferenceData!$L$223),"",ReferenceData!$L$223),"")</f>
        <v>0.225535397</v>
      </c>
      <c r="M223">
        <f ca="1">IFERROR(IF(0=LEN(ReferenceData!$M$223),"",ReferenceData!$M$223),"")</f>
        <v>0.25190928400000001</v>
      </c>
      <c r="N223">
        <f ca="1">IFERROR(IF(0=LEN(ReferenceData!$N$223),"",ReferenceData!$N$223),"")</f>
        <v>0.28820148000000001</v>
      </c>
      <c r="O223">
        <f ca="1">IFERROR(IF(0=LEN(ReferenceData!$O$223),"",ReferenceData!$O$223),"")</f>
        <v>0.38169667600000001</v>
      </c>
      <c r="P223">
        <f ca="1">IFERROR(IF(0=LEN(ReferenceData!$P$223),"",ReferenceData!$P$223),"")</f>
        <v>0.41195641500000002</v>
      </c>
      <c r="Q223">
        <f ca="1">IFERROR(IF(0=LEN(ReferenceData!$Q$223),"",ReferenceData!$Q$223),"")</f>
        <v>0.43316622100000002</v>
      </c>
      <c r="R223">
        <f ca="1">IFERROR(IF(0=LEN(ReferenceData!$R$223),"",ReferenceData!$R$223),"")</f>
        <v>0.41381272200000002</v>
      </c>
      <c r="S223">
        <f ca="1">IFERROR(IF(0=LEN(ReferenceData!$S$223),"",ReferenceData!$S$223),"")</f>
        <v>0.37451636700000002</v>
      </c>
      <c r="T223">
        <f ca="1">IFERROR(IF(0=LEN(ReferenceData!$T$223),"",ReferenceData!$T$223),"")</f>
        <v>0.37592218399999999</v>
      </c>
      <c r="U223">
        <f ca="1">IFERROR(IF(0=LEN(ReferenceData!$U$223),"",ReferenceData!$U$223),"")</f>
        <v>0.45089025599999999</v>
      </c>
      <c r="V223">
        <f ca="1">IFERROR(IF(0=LEN(ReferenceData!$V$223),"",ReferenceData!$V$223),"")</f>
        <v>0.47533078600000001</v>
      </c>
      <c r="W223">
        <f ca="1">IFERROR(IF(0=LEN(ReferenceData!$W$223),"",ReferenceData!$W$223),"")</f>
        <v>0.912045616</v>
      </c>
      <c r="X223" t="str">
        <f ca="1">IFERROR(IF(0=LEN(ReferenceData!$X$223),"",ReferenceData!$X$223),"")</f>
        <v/>
      </c>
      <c r="Y223" t="str">
        <f ca="1">IFERROR(IF(0=LEN(ReferenceData!$Y$223),"",ReferenceData!$Y$223),"")</f>
        <v/>
      </c>
      <c r="Z223" t="str">
        <f ca="1">IFERROR(IF(0=LEN(ReferenceData!$Z$223),"",ReferenceData!$Z$223),"")</f>
        <v/>
      </c>
      <c r="AA223" t="str">
        <f ca="1">IFERROR(IF(0=LEN(ReferenceData!$AA$223),"",ReferenceData!$AA$223),"")</f>
        <v/>
      </c>
      <c r="AB223" t="str">
        <f ca="1">IFERROR(IF(0=LEN(ReferenceData!$AB$223),"",ReferenceData!$AB$223),"")</f>
        <v/>
      </c>
      <c r="AC223" t="str">
        <f ca="1">IFERROR(IF(0=LEN(ReferenceData!$AC$223),"",ReferenceData!$AC$223),"")</f>
        <v/>
      </c>
      <c r="AD223" t="str">
        <f ca="1">IFERROR(IF(0=LEN(ReferenceData!$AD$223),"",ReferenceData!$AD$223),"")</f>
        <v/>
      </c>
      <c r="AE223" t="str">
        <f ca="1">IFERROR(IF(0=LEN(ReferenceData!$AE$223),"",ReferenceData!$AE$223),"")</f>
        <v/>
      </c>
      <c r="AF223" t="str">
        <f ca="1">IFERROR(IF(0=LEN(ReferenceData!$AF$223),"",ReferenceData!$AF$223),"")</f>
        <v/>
      </c>
      <c r="AG223" t="str">
        <f ca="1">IFERROR(IF(0=LEN(ReferenceData!$AG$223),"",ReferenceData!$AG$223),"")</f>
        <v/>
      </c>
      <c r="AH223" t="str">
        <f ca="1">IFERROR(IF(0=LEN(ReferenceData!$AH$223),"",ReferenceData!$AH$223),"")</f>
        <v/>
      </c>
      <c r="AI223" t="str">
        <f ca="1">IFERROR(IF(0=LEN(ReferenceData!$AI$223),"",ReferenceData!$AI$223),"")</f>
        <v/>
      </c>
      <c r="AJ223" t="str">
        <f ca="1">IFERROR(IF(0=LEN(ReferenceData!$AJ$223),"",ReferenceData!$AJ$223),"")</f>
        <v/>
      </c>
      <c r="AK223" t="str">
        <f ca="1">IFERROR(IF(0=LEN(ReferenceData!$AK$223),"",ReferenceData!$AK$223),"")</f>
        <v/>
      </c>
      <c r="AL223" t="str">
        <f ca="1">IFERROR(IF(0=LEN(ReferenceData!$AL$223),"",ReferenceData!$AL$223),"")</f>
        <v/>
      </c>
    </row>
    <row r="224" spans="1:38" x14ac:dyDescent="0.25">
      <c r="A224" t="str">
        <f>IFERROR(IF(0=LEN(ReferenceData!$A$224),"",ReferenceData!$A$224),"")</f>
        <v xml:space="preserve">    Citizens Financial Group Inc</v>
      </c>
      <c r="B224" t="str">
        <f>IFERROR(IF(0=LEN(ReferenceData!$B$224),"",ReferenceData!$B$224),"")</f>
        <v>CFG US Equity</v>
      </c>
      <c r="C224" t="str">
        <f>IFERROR(IF(0=LEN(ReferenceData!$C$224),"",ReferenceData!$C$224),"")</f>
        <v>F0116</v>
      </c>
      <c r="D224" t="str">
        <f>IFERROR(IF(0=LEN(ReferenceData!$D$224),"",ReferenceData!$D$224),"")</f>
        <v>FED_OTHER_LEASES_%_TOT_LNS_LEAS</v>
      </c>
      <c r="E224" t="str">
        <f>IFERROR(IF(0=LEN(ReferenceData!$E$224),"",ReferenceData!$E$224),"")</f>
        <v>Dynamic</v>
      </c>
      <c r="F224">
        <f ca="1">IFERROR(IF(0=LEN(ReferenceData!$F$224),"",ReferenceData!$F$224),"")</f>
        <v>0.73220814599999995</v>
      </c>
      <c r="G224">
        <f ca="1">IFERROR(IF(0=LEN(ReferenceData!$G$224),"",ReferenceData!$G$224),"")</f>
        <v>0.78109524699999999</v>
      </c>
      <c r="H224">
        <f ca="1">IFERROR(IF(0=LEN(ReferenceData!$H$224),"",ReferenceData!$H$224),"")</f>
        <v>0.93579827100000001</v>
      </c>
      <c r="I224">
        <f ca="1">IFERROR(IF(0=LEN(ReferenceData!$I$224),"",ReferenceData!$I$224),"")</f>
        <v>1.204932289</v>
      </c>
      <c r="J224">
        <f ca="1">IFERROR(IF(0=LEN(ReferenceData!$J$224),"",ReferenceData!$J$224),"")</f>
        <v>1.535111092</v>
      </c>
      <c r="K224">
        <f ca="1">IFERROR(IF(0=LEN(ReferenceData!$K$224),"",ReferenceData!$K$224),"")</f>
        <v>2.0741124210000002</v>
      </c>
      <c r="L224">
        <f ca="1">IFERROR(IF(0=LEN(ReferenceData!$L$224),"",ReferenceData!$L$224),"")</f>
        <v>2.464101077</v>
      </c>
      <c r="M224">
        <f ca="1">IFERROR(IF(0=LEN(ReferenceData!$M$224),"",ReferenceData!$M$224),"")</f>
        <v>2.8452456179999999</v>
      </c>
      <c r="N224">
        <f ca="1">IFERROR(IF(0=LEN(ReferenceData!$N$224),"",ReferenceData!$N$224),"")</f>
        <v>3.5331221749999999</v>
      </c>
      <c r="O224">
        <f ca="1">IFERROR(IF(0=LEN(ReferenceData!$O$224),"",ReferenceData!$O$224),"")</f>
        <v>4.0832809650000002</v>
      </c>
      <c r="P224">
        <f ca="1">IFERROR(IF(0=LEN(ReferenceData!$P$224),"",ReferenceData!$P$224),"")</f>
        <v>4.349951731</v>
      </c>
      <c r="Q224">
        <f ca="1">IFERROR(IF(0=LEN(ReferenceData!$Q$224),"",ReferenceData!$Q$224),"")</f>
        <v>4.417573601</v>
      </c>
      <c r="R224">
        <f ca="1">IFERROR(IF(0=LEN(ReferenceData!$R$224),"",ReferenceData!$R$224),"")</f>
        <v>3.929410721</v>
      </c>
      <c r="S224">
        <f ca="1">IFERROR(IF(0=LEN(ReferenceData!$S$224),"",ReferenceData!$S$224),"")</f>
        <v>3.6296410109999999</v>
      </c>
      <c r="T224">
        <f ca="1">IFERROR(IF(0=LEN(ReferenceData!$T$224),"",ReferenceData!$T$224),"")</f>
        <v>3.076286906</v>
      </c>
      <c r="U224">
        <f ca="1">IFERROR(IF(0=LEN(ReferenceData!$U$224),"",ReferenceData!$U$224),"")</f>
        <v>3.0418589169999999</v>
      </c>
      <c r="V224">
        <f ca="1">IFERROR(IF(0=LEN(ReferenceData!$V$224),"",ReferenceData!$V$224),"")</f>
        <v>2.7142851760000002</v>
      </c>
      <c r="W224">
        <f ca="1">IFERROR(IF(0=LEN(ReferenceData!$W$224),"",ReferenceData!$W$224),"")</f>
        <v>2.4038558839999999</v>
      </c>
      <c r="X224" t="str">
        <f ca="1">IFERROR(IF(0=LEN(ReferenceData!$X$224),"",ReferenceData!$X$224),"")</f>
        <v/>
      </c>
      <c r="Y224" t="str">
        <f ca="1">IFERROR(IF(0=LEN(ReferenceData!$Y$224),"",ReferenceData!$Y$224),"")</f>
        <v/>
      </c>
      <c r="Z224" t="str">
        <f ca="1">IFERROR(IF(0=LEN(ReferenceData!$Z$224),"",ReferenceData!$Z$224),"")</f>
        <v/>
      </c>
      <c r="AA224" t="str">
        <f ca="1">IFERROR(IF(0=LEN(ReferenceData!$AA$224),"",ReferenceData!$AA$224),"")</f>
        <v/>
      </c>
      <c r="AB224" t="str">
        <f ca="1">IFERROR(IF(0=LEN(ReferenceData!$AB$224),"",ReferenceData!$AB$224),"")</f>
        <v/>
      </c>
      <c r="AC224" t="str">
        <f ca="1">IFERROR(IF(0=LEN(ReferenceData!$AC$224),"",ReferenceData!$AC$224),"")</f>
        <v/>
      </c>
      <c r="AD224" t="str">
        <f ca="1">IFERROR(IF(0=LEN(ReferenceData!$AD$224),"",ReferenceData!$AD$224),"")</f>
        <v/>
      </c>
      <c r="AE224" t="str">
        <f ca="1">IFERROR(IF(0=LEN(ReferenceData!$AE$224),"",ReferenceData!$AE$224),"")</f>
        <v/>
      </c>
      <c r="AF224" t="str">
        <f ca="1">IFERROR(IF(0=LEN(ReferenceData!$AF$224),"",ReferenceData!$AF$224),"")</f>
        <v/>
      </c>
      <c r="AG224" t="str">
        <f ca="1">IFERROR(IF(0=LEN(ReferenceData!$AG$224),"",ReferenceData!$AG$224),"")</f>
        <v/>
      </c>
      <c r="AH224" t="str">
        <f ca="1">IFERROR(IF(0=LEN(ReferenceData!$AH$224),"",ReferenceData!$AH$224),"")</f>
        <v/>
      </c>
      <c r="AI224" t="str">
        <f ca="1">IFERROR(IF(0=LEN(ReferenceData!$AI$224),"",ReferenceData!$AI$224),"")</f>
        <v/>
      </c>
      <c r="AJ224" t="str">
        <f ca="1">IFERROR(IF(0=LEN(ReferenceData!$AJ$224),"",ReferenceData!$AJ$224),"")</f>
        <v/>
      </c>
      <c r="AK224" t="str">
        <f ca="1">IFERROR(IF(0=LEN(ReferenceData!$AK$224),"",ReferenceData!$AK$224),"")</f>
        <v/>
      </c>
      <c r="AL224" t="str">
        <f ca="1">IFERROR(IF(0=LEN(ReferenceData!$AL$224),"",ReferenceData!$AL$224),"")</f>
        <v/>
      </c>
    </row>
    <row r="225" spans="1:38" x14ac:dyDescent="0.25">
      <c r="A225" t="str">
        <f>IFERROR(IF(0=LEN(ReferenceData!$A$225),"",ReferenceData!$A$225),"")</f>
        <v xml:space="preserve">    Capital One Financial Corp</v>
      </c>
      <c r="B225" t="str">
        <f>IFERROR(IF(0=LEN(ReferenceData!$B$225),"",ReferenceData!$B$225),"")</f>
        <v>COF US Equity</v>
      </c>
      <c r="C225" t="str">
        <f>IFERROR(IF(0=LEN(ReferenceData!$C$225),"",ReferenceData!$C$225),"")</f>
        <v>F0116</v>
      </c>
      <c r="D225" t="str">
        <f>IFERROR(IF(0=LEN(ReferenceData!$D$225),"",ReferenceData!$D$225),"")</f>
        <v>FED_OTHER_LEASES_%_TOT_LNS_LEAS</v>
      </c>
      <c r="E225" t="str">
        <f>IFERROR(IF(0=LEN(ReferenceData!$E$225),"",ReferenceData!$E$225),"")</f>
        <v>Dynamic</v>
      </c>
      <c r="F225">
        <f ca="1">IFERROR(IF(0=LEN(ReferenceData!$F$225),"",ReferenceData!$F$225),"")</f>
        <v>0</v>
      </c>
      <c r="G225">
        <f ca="1">IFERROR(IF(0=LEN(ReferenceData!$G$225),"",ReferenceData!$G$225),"")</f>
        <v>0</v>
      </c>
      <c r="H225">
        <f ca="1">IFERROR(IF(0=LEN(ReferenceData!$H$225),"",ReferenceData!$H$225),"")</f>
        <v>0</v>
      </c>
      <c r="I225">
        <f ca="1">IFERROR(IF(0=LEN(ReferenceData!$I$225),"",ReferenceData!$I$225),"")</f>
        <v>0</v>
      </c>
      <c r="J225">
        <f ca="1">IFERROR(IF(0=LEN(ReferenceData!$J$225),"",ReferenceData!$J$225),"")</f>
        <v>1.3553447E-2</v>
      </c>
      <c r="K225">
        <f ca="1">IFERROR(IF(0=LEN(ReferenceData!$K$225),"",ReferenceData!$K$225),"")</f>
        <v>1.5205718999999999E-2</v>
      </c>
      <c r="L225">
        <f ca="1">IFERROR(IF(0=LEN(ReferenceData!$L$225),"",ReferenceData!$L$225),"")</f>
        <v>3.9551056000000001E-2</v>
      </c>
      <c r="M225">
        <f ca="1">IFERROR(IF(0=LEN(ReferenceData!$M$225),"",ReferenceData!$M$225),"")</f>
        <v>4.5997702000000001E-2</v>
      </c>
      <c r="N225">
        <f ca="1">IFERROR(IF(0=LEN(ReferenceData!$N$225),"",ReferenceData!$N$225),"")</f>
        <v>9.4619043E-2</v>
      </c>
      <c r="O225">
        <f ca="1">IFERROR(IF(0=LEN(ReferenceData!$O$225),"",ReferenceData!$O$225),"")</f>
        <v>0.25434354300000001</v>
      </c>
      <c r="P225">
        <f ca="1">IFERROR(IF(0=LEN(ReferenceData!$P$225),"",ReferenceData!$P$225),"")</f>
        <v>0.26344645799999999</v>
      </c>
      <c r="Q225">
        <f ca="1">IFERROR(IF(0=LEN(ReferenceData!$Q$225),"",ReferenceData!$Q$225),"")</f>
        <v>0.26408265399999997</v>
      </c>
      <c r="R225">
        <f ca="1">IFERROR(IF(0=LEN(ReferenceData!$R$225),"",ReferenceData!$R$225),"")</f>
        <v>0.95197298699999999</v>
      </c>
      <c r="S225">
        <f ca="1">IFERROR(IF(0=LEN(ReferenceData!$S$225),"",ReferenceData!$S$225),"")</f>
        <v>1.1465351020000001</v>
      </c>
      <c r="T225">
        <f ca="1">IFERROR(IF(0=LEN(ReferenceData!$T$225),"",ReferenceData!$T$225),"")</f>
        <v>1.082499933</v>
      </c>
      <c r="U225">
        <f ca="1">IFERROR(IF(0=LEN(ReferenceData!$U$225),"",ReferenceData!$U$225),"")</f>
        <v>1.077466418</v>
      </c>
      <c r="V225">
        <f ca="1">IFERROR(IF(0=LEN(ReferenceData!$V$225),"",ReferenceData!$V$225),"")</f>
        <v>0.16501363099999999</v>
      </c>
      <c r="W225">
        <f ca="1">IFERROR(IF(0=LEN(ReferenceData!$W$225),"",ReferenceData!$W$225),"")</f>
        <v>0.16849349999999999</v>
      </c>
      <c r="X225" t="str">
        <f ca="1">IFERROR(IF(0=LEN(ReferenceData!$X$225),"",ReferenceData!$X$225),"")</f>
        <v/>
      </c>
      <c r="Y225" t="str">
        <f ca="1">IFERROR(IF(0=LEN(ReferenceData!$Y$225),"",ReferenceData!$Y$225),"")</f>
        <v/>
      </c>
      <c r="Z225" t="str">
        <f ca="1">IFERROR(IF(0=LEN(ReferenceData!$Z$225),"",ReferenceData!$Z$225),"")</f>
        <v/>
      </c>
      <c r="AA225" t="str">
        <f ca="1">IFERROR(IF(0=LEN(ReferenceData!$AA$225),"",ReferenceData!$AA$225),"")</f>
        <v/>
      </c>
      <c r="AB225" t="str">
        <f ca="1">IFERROR(IF(0=LEN(ReferenceData!$AB$225),"",ReferenceData!$AB$225),"")</f>
        <v/>
      </c>
      <c r="AC225" t="str">
        <f ca="1">IFERROR(IF(0=LEN(ReferenceData!$AC$225),"",ReferenceData!$AC$225),"")</f>
        <v/>
      </c>
      <c r="AD225" t="str">
        <f ca="1">IFERROR(IF(0=LEN(ReferenceData!$AD$225),"",ReferenceData!$AD$225),"")</f>
        <v/>
      </c>
      <c r="AE225" t="str">
        <f ca="1">IFERROR(IF(0=LEN(ReferenceData!$AE$225),"",ReferenceData!$AE$225),"")</f>
        <v/>
      </c>
      <c r="AF225" t="str">
        <f ca="1">IFERROR(IF(0=LEN(ReferenceData!$AF$225),"",ReferenceData!$AF$225),"")</f>
        <v/>
      </c>
      <c r="AG225" t="str">
        <f ca="1">IFERROR(IF(0=LEN(ReferenceData!$AG$225),"",ReferenceData!$AG$225),"")</f>
        <v/>
      </c>
      <c r="AH225" t="str">
        <f ca="1">IFERROR(IF(0=LEN(ReferenceData!$AH$225),"",ReferenceData!$AH$225),"")</f>
        <v/>
      </c>
      <c r="AI225" t="str">
        <f ca="1">IFERROR(IF(0=LEN(ReferenceData!$AI$225),"",ReferenceData!$AI$225),"")</f>
        <v/>
      </c>
      <c r="AJ225" t="str">
        <f ca="1">IFERROR(IF(0=LEN(ReferenceData!$AJ$225),"",ReferenceData!$AJ$225),"")</f>
        <v/>
      </c>
      <c r="AK225" t="str">
        <f ca="1">IFERROR(IF(0=LEN(ReferenceData!$AK$225),"",ReferenceData!$AK$225),"")</f>
        <v/>
      </c>
      <c r="AL225" t="str">
        <f ca="1">IFERROR(IF(0=LEN(ReferenceData!$AL$225),"",ReferenceData!$AL$225),"")</f>
        <v/>
      </c>
    </row>
    <row r="226" spans="1:38" x14ac:dyDescent="0.25">
      <c r="A226" t="str">
        <f>IFERROR(IF(0=LEN(ReferenceData!$A$226),"",ReferenceData!$A$226),"")</f>
        <v xml:space="preserve">    Comerica Inc</v>
      </c>
      <c r="B226" t="str">
        <f>IFERROR(IF(0=LEN(ReferenceData!$B$226),"",ReferenceData!$B$226),"")</f>
        <v>CMA US Equity</v>
      </c>
      <c r="C226" t="str">
        <f>IFERROR(IF(0=LEN(ReferenceData!$C$226),"",ReferenceData!$C$226),"")</f>
        <v>F0116</v>
      </c>
      <c r="D226" t="str">
        <f>IFERROR(IF(0=LEN(ReferenceData!$D$226),"",ReferenceData!$D$226),"")</f>
        <v>FED_OTHER_LEASES_%_TOT_LNS_LEAS</v>
      </c>
      <c r="E226" t="str">
        <f>IFERROR(IF(0=LEN(ReferenceData!$E$226),"",ReferenceData!$E$226),"")</f>
        <v>Dynamic</v>
      </c>
      <c r="F226" t="str">
        <f ca="1">IFERROR(IF(0=LEN(ReferenceData!$F$226),"",ReferenceData!$F$226),"")</f>
        <v/>
      </c>
      <c r="G226">
        <f ca="1">IFERROR(IF(0=LEN(ReferenceData!$G$226),"",ReferenceData!$G$226),"")</f>
        <v>1.5283217120000001</v>
      </c>
      <c r="H226">
        <f ca="1">IFERROR(IF(0=LEN(ReferenceData!$H$226),"",ReferenceData!$H$226),"")</f>
        <v>1.4343763460000001</v>
      </c>
      <c r="I226">
        <f ca="1">IFERROR(IF(0=LEN(ReferenceData!$I$226),"",ReferenceData!$I$226),"")</f>
        <v>1.286238867</v>
      </c>
      <c r="J226">
        <f ca="1">IFERROR(IF(0=LEN(ReferenceData!$J$226),"",ReferenceData!$J$226),"")</f>
        <v>1.135842129</v>
      </c>
      <c r="K226">
        <f ca="1">IFERROR(IF(0=LEN(ReferenceData!$K$226),"",ReferenceData!$K$226),"")</f>
        <v>1.1672224870000001</v>
      </c>
      <c r="L226">
        <f ca="1">IFERROR(IF(0=LEN(ReferenceData!$L$226),"",ReferenceData!$L$226),"")</f>
        <v>1.0106053989999999</v>
      </c>
      <c r="M226">
        <f ca="1">IFERROR(IF(0=LEN(ReferenceData!$M$226),"",ReferenceData!$M$226),"")</f>
        <v>0.95259683500000003</v>
      </c>
      <c r="N226">
        <f ca="1">IFERROR(IF(0=LEN(ReferenceData!$N$226),"",ReferenceData!$N$226),"")</f>
        <v>1.164469304</v>
      </c>
      <c r="O226">
        <f ca="1">IFERROR(IF(0=LEN(ReferenceData!$O$226),"",ReferenceData!$O$226),"")</f>
        <v>1.4733358430000001</v>
      </c>
      <c r="P226">
        <f ca="1">IFERROR(IF(0=LEN(ReferenceData!$P$226),"",ReferenceData!$P$226),"")</f>
        <v>1.6566801550000001</v>
      </c>
      <c r="Q226">
        <f ca="1">IFERROR(IF(0=LEN(ReferenceData!$Q$226),"",ReferenceData!$Q$226),"")</f>
        <v>1.858701782</v>
      </c>
      <c r="R226">
        <f ca="1">IFERROR(IF(0=LEN(ReferenceData!$R$226),"",ReferenceData!$R$226),"")</f>
        <v>1.8657259180000001</v>
      </c>
      <c r="S226">
        <f ca="1">IFERROR(IF(0=LEN(ReferenceData!$S$226),"",ReferenceData!$S$226),"")</f>
        <v>2.119084929</v>
      </c>
      <c r="T226">
        <f ca="1">IFERROR(IF(0=LEN(ReferenceData!$T$226),"",ReferenceData!$T$226),"")</f>
        <v>2.5065281609999999</v>
      </c>
      <c r="U226">
        <f ca="1">IFERROR(IF(0=LEN(ReferenceData!$U$226),"",ReferenceData!$U$226),"")</f>
        <v>2.6989463759999999</v>
      </c>
      <c r="V226">
        <f ca="1">IFERROR(IF(0=LEN(ReferenceData!$V$226),"",ReferenceData!$V$226),"")</f>
        <v>2.6582451520000001</v>
      </c>
      <c r="W226">
        <f ca="1">IFERROR(IF(0=LEN(ReferenceData!$W$226),"",ReferenceData!$W$226),"")</f>
        <v>2.6504775610000002</v>
      </c>
      <c r="X226" t="str">
        <f ca="1">IFERROR(IF(0=LEN(ReferenceData!$X$226),"",ReferenceData!$X$226),"")</f>
        <v/>
      </c>
      <c r="Y226" t="str">
        <f ca="1">IFERROR(IF(0=LEN(ReferenceData!$Y$226),"",ReferenceData!$Y$226),"")</f>
        <v/>
      </c>
      <c r="Z226" t="str">
        <f ca="1">IFERROR(IF(0=LEN(ReferenceData!$Z$226),"",ReferenceData!$Z$226),"")</f>
        <v/>
      </c>
      <c r="AA226" t="str">
        <f ca="1">IFERROR(IF(0=LEN(ReferenceData!$AA$226),"",ReferenceData!$AA$226),"")</f>
        <v/>
      </c>
      <c r="AB226" t="str">
        <f ca="1">IFERROR(IF(0=LEN(ReferenceData!$AB$226),"",ReferenceData!$AB$226),"")</f>
        <v/>
      </c>
      <c r="AC226" t="str">
        <f ca="1">IFERROR(IF(0=LEN(ReferenceData!$AC$226),"",ReferenceData!$AC$226),"")</f>
        <v/>
      </c>
      <c r="AD226" t="str">
        <f ca="1">IFERROR(IF(0=LEN(ReferenceData!$AD$226),"",ReferenceData!$AD$226),"")</f>
        <v/>
      </c>
      <c r="AE226" t="str">
        <f ca="1">IFERROR(IF(0=LEN(ReferenceData!$AE$226),"",ReferenceData!$AE$226),"")</f>
        <v/>
      </c>
      <c r="AF226" t="str">
        <f ca="1">IFERROR(IF(0=LEN(ReferenceData!$AF$226),"",ReferenceData!$AF$226),"")</f>
        <v/>
      </c>
      <c r="AG226" t="str">
        <f ca="1">IFERROR(IF(0=LEN(ReferenceData!$AG$226),"",ReferenceData!$AG$226),"")</f>
        <v/>
      </c>
      <c r="AH226" t="str">
        <f ca="1">IFERROR(IF(0=LEN(ReferenceData!$AH$226),"",ReferenceData!$AH$226),"")</f>
        <v/>
      </c>
      <c r="AI226" t="str">
        <f ca="1">IFERROR(IF(0=LEN(ReferenceData!$AI$226),"",ReferenceData!$AI$226),"")</f>
        <v/>
      </c>
      <c r="AJ226" t="str">
        <f ca="1">IFERROR(IF(0=LEN(ReferenceData!$AJ$226),"",ReferenceData!$AJ$226),"")</f>
        <v/>
      </c>
      <c r="AK226" t="str">
        <f ca="1">IFERROR(IF(0=LEN(ReferenceData!$AK$226),"",ReferenceData!$AK$226),"")</f>
        <v/>
      </c>
      <c r="AL226" t="str">
        <f ca="1">IFERROR(IF(0=LEN(ReferenceData!$AL$226),"",ReferenceData!$AL$226),"")</f>
        <v/>
      </c>
    </row>
    <row r="227" spans="1:38" x14ac:dyDescent="0.25">
      <c r="A227" t="str">
        <f>IFERROR(IF(0=LEN(ReferenceData!$A$227),"",ReferenceData!$A$227),"")</f>
        <v xml:space="preserve">    East West Bancorp Inc</v>
      </c>
      <c r="B227" t="str">
        <f>IFERROR(IF(0=LEN(ReferenceData!$B$227),"",ReferenceData!$B$227),"")</f>
        <v>EWBC US Equity</v>
      </c>
      <c r="C227" t="str">
        <f>IFERROR(IF(0=LEN(ReferenceData!$C$227),"",ReferenceData!$C$227),"")</f>
        <v>F0116</v>
      </c>
      <c r="D227" t="str">
        <f>IFERROR(IF(0=LEN(ReferenceData!$D$227),"",ReferenceData!$D$227),"")</f>
        <v>FED_OTHER_LEASES_%_TOT_LNS_LEAS</v>
      </c>
      <c r="E227" t="str">
        <f>IFERROR(IF(0=LEN(ReferenceData!$E$227),"",ReferenceData!$E$227),"")</f>
        <v>Dynamic</v>
      </c>
      <c r="F227" t="str">
        <f ca="1">IFERROR(IF(0=LEN(ReferenceData!$F$227),"",ReferenceData!$F$227),"")</f>
        <v/>
      </c>
      <c r="G227">
        <f ca="1">IFERROR(IF(0=LEN(ReferenceData!$G$227),"",ReferenceData!$G$227),"")</f>
        <v>0.111714225</v>
      </c>
      <c r="H227">
        <f ca="1">IFERROR(IF(0=LEN(ReferenceData!$H$227),"",ReferenceData!$H$227),"")</f>
        <v>0.15112225000000001</v>
      </c>
      <c r="I227">
        <f ca="1">IFERROR(IF(0=LEN(ReferenceData!$I$227),"",ReferenceData!$I$227),"")</f>
        <v>0.29414051499999999</v>
      </c>
      <c r="J227">
        <f ca="1">IFERROR(IF(0=LEN(ReferenceData!$J$227),"",ReferenceData!$J$227),"")</f>
        <v>0.38082593399999998</v>
      </c>
      <c r="K227">
        <f ca="1">IFERROR(IF(0=LEN(ReferenceData!$K$227),"",ReferenceData!$K$227),"")</f>
        <v>0.40634897399999997</v>
      </c>
      <c r="L227">
        <f ca="1">IFERROR(IF(0=LEN(ReferenceData!$L$227),"",ReferenceData!$L$227),"")</f>
        <v>0.49324822499999998</v>
      </c>
      <c r="M227">
        <f ca="1">IFERROR(IF(0=LEN(ReferenceData!$M$227),"",ReferenceData!$M$227),"")</f>
        <v>0.50703107700000005</v>
      </c>
      <c r="N227">
        <f ca="1">IFERROR(IF(0=LEN(ReferenceData!$N$227),"",ReferenceData!$N$227),"")</f>
        <v>0.25297035800000001</v>
      </c>
      <c r="O227">
        <f ca="1">IFERROR(IF(0=LEN(ReferenceData!$O$227),"",ReferenceData!$O$227),"")</f>
        <v>8.0259556999999995E-2</v>
      </c>
      <c r="P227">
        <f ca="1">IFERROR(IF(0=LEN(ReferenceData!$P$227),"",ReferenceData!$P$227),"")</f>
        <v>0</v>
      </c>
      <c r="Q227">
        <f ca="1">IFERROR(IF(0=LEN(ReferenceData!$Q$227),"",ReferenceData!$Q$227),"")</f>
        <v>0</v>
      </c>
      <c r="R227">
        <f ca="1">IFERROR(IF(0=LEN(ReferenceData!$R$227),"",ReferenceData!$R$227),"")</f>
        <v>3.7737439999999999E-3</v>
      </c>
      <c r="S227">
        <f ca="1">IFERROR(IF(0=LEN(ReferenceData!$S$227),"",ReferenceData!$S$227),"")</f>
        <v>8.4412389999999997E-3</v>
      </c>
      <c r="T227">
        <f ca="1">IFERROR(IF(0=LEN(ReferenceData!$T$227),"",ReferenceData!$T$227),"")</f>
        <v>0.206333399</v>
      </c>
      <c r="U227">
        <f ca="1">IFERROR(IF(0=LEN(ReferenceData!$U$227),"",ReferenceData!$U$227),"")</f>
        <v>0</v>
      </c>
      <c r="V227">
        <f ca="1">IFERROR(IF(0=LEN(ReferenceData!$V$227),"",ReferenceData!$V$227),"")</f>
        <v>0</v>
      </c>
      <c r="W227">
        <f ca="1">IFERROR(IF(0=LEN(ReferenceData!$W$227),"",ReferenceData!$W$227),"")</f>
        <v>0</v>
      </c>
      <c r="X227" t="str">
        <f ca="1">IFERROR(IF(0=LEN(ReferenceData!$X$227),"",ReferenceData!$X$227),"")</f>
        <v/>
      </c>
      <c r="Y227" t="str">
        <f ca="1">IFERROR(IF(0=LEN(ReferenceData!$Y$227),"",ReferenceData!$Y$227),"")</f>
        <v/>
      </c>
      <c r="Z227" t="str">
        <f ca="1">IFERROR(IF(0=LEN(ReferenceData!$Z$227),"",ReferenceData!$Z$227),"")</f>
        <v/>
      </c>
      <c r="AA227" t="str">
        <f ca="1">IFERROR(IF(0=LEN(ReferenceData!$AA$227),"",ReferenceData!$AA$227),"")</f>
        <v/>
      </c>
      <c r="AB227" t="str">
        <f ca="1">IFERROR(IF(0=LEN(ReferenceData!$AB$227),"",ReferenceData!$AB$227),"")</f>
        <v/>
      </c>
      <c r="AC227" t="str">
        <f ca="1">IFERROR(IF(0=LEN(ReferenceData!$AC$227),"",ReferenceData!$AC$227),"")</f>
        <v/>
      </c>
      <c r="AD227" t="str">
        <f ca="1">IFERROR(IF(0=LEN(ReferenceData!$AD$227),"",ReferenceData!$AD$227),"")</f>
        <v/>
      </c>
      <c r="AE227" t="str">
        <f ca="1">IFERROR(IF(0=LEN(ReferenceData!$AE$227),"",ReferenceData!$AE$227),"")</f>
        <v/>
      </c>
      <c r="AF227" t="str">
        <f ca="1">IFERROR(IF(0=LEN(ReferenceData!$AF$227),"",ReferenceData!$AF$227),"")</f>
        <v/>
      </c>
      <c r="AG227" t="str">
        <f ca="1">IFERROR(IF(0=LEN(ReferenceData!$AG$227),"",ReferenceData!$AG$227),"")</f>
        <v/>
      </c>
      <c r="AH227" t="str">
        <f ca="1">IFERROR(IF(0=LEN(ReferenceData!$AH$227),"",ReferenceData!$AH$227),"")</f>
        <v/>
      </c>
      <c r="AI227" t="str">
        <f ca="1">IFERROR(IF(0=LEN(ReferenceData!$AI$227),"",ReferenceData!$AI$227),"")</f>
        <v/>
      </c>
      <c r="AJ227" t="str">
        <f ca="1">IFERROR(IF(0=LEN(ReferenceData!$AJ$227),"",ReferenceData!$AJ$227),"")</f>
        <v/>
      </c>
      <c r="AK227" t="str">
        <f ca="1">IFERROR(IF(0=LEN(ReferenceData!$AK$227),"",ReferenceData!$AK$227),"")</f>
        <v/>
      </c>
      <c r="AL227" t="str">
        <f ca="1">IFERROR(IF(0=LEN(ReferenceData!$AL$227),"",ReferenceData!$AL$227),"")</f>
        <v/>
      </c>
    </row>
    <row r="228" spans="1:38" x14ac:dyDescent="0.25">
      <c r="A228" t="str">
        <f>IFERROR(IF(0=LEN(ReferenceData!$A$228),"",ReferenceData!$A$228),"")</f>
        <v xml:space="preserve">    Fifth Third Bancorp</v>
      </c>
      <c r="B228" t="str">
        <f>IFERROR(IF(0=LEN(ReferenceData!$B$228),"",ReferenceData!$B$228),"")</f>
        <v>FITB US Equity</v>
      </c>
      <c r="C228" t="str">
        <f>IFERROR(IF(0=LEN(ReferenceData!$C$228),"",ReferenceData!$C$228),"")</f>
        <v>F0116</v>
      </c>
      <c r="D228" t="str">
        <f>IFERROR(IF(0=LEN(ReferenceData!$D$228),"",ReferenceData!$D$228),"")</f>
        <v>FED_OTHER_LEASES_%_TOT_LNS_LEAS</v>
      </c>
      <c r="E228" t="str">
        <f>IFERROR(IF(0=LEN(ReferenceData!$E$228),"",ReferenceData!$E$228),"")</f>
        <v>Dynamic</v>
      </c>
      <c r="F228">
        <f ca="1">IFERROR(IF(0=LEN(ReferenceData!$F$228),"",ReferenceData!$F$228),"")</f>
        <v>2.6454982519999999</v>
      </c>
      <c r="G228">
        <f ca="1">IFERROR(IF(0=LEN(ReferenceData!$G$228),"",ReferenceData!$G$228),"")</f>
        <v>2.1953542160000001</v>
      </c>
      <c r="H228">
        <f ca="1">IFERROR(IF(0=LEN(ReferenceData!$H$228),"",ReferenceData!$H$228),"")</f>
        <v>2.2078479409999998</v>
      </c>
      <c r="I228">
        <f ca="1">IFERROR(IF(0=LEN(ReferenceData!$I$228),"",ReferenceData!$I$228),"")</f>
        <v>2.6362882550000002</v>
      </c>
      <c r="J228">
        <f ca="1">IFERROR(IF(0=LEN(ReferenceData!$J$228),"",ReferenceData!$J$228),"")</f>
        <v>2.5615753840000002</v>
      </c>
      <c r="K228">
        <f ca="1">IFERROR(IF(0=LEN(ReferenceData!$K$228),"",ReferenceData!$K$228),"")</f>
        <v>3.031001496</v>
      </c>
      <c r="L228">
        <f ca="1">IFERROR(IF(0=LEN(ReferenceData!$L$228),"",ReferenceData!$L$228),"")</f>
        <v>3.7556197509999998</v>
      </c>
      <c r="M228">
        <f ca="1">IFERROR(IF(0=LEN(ReferenceData!$M$228),"",ReferenceData!$M$228),"")</f>
        <v>4.399730108</v>
      </c>
      <c r="N228">
        <f ca="1">IFERROR(IF(0=LEN(ReferenceData!$N$228),"",ReferenceData!$N$228),"")</f>
        <v>4.2803251390000003</v>
      </c>
      <c r="O228">
        <f ca="1">IFERROR(IF(0=LEN(ReferenceData!$O$228),"",ReferenceData!$O$228),"")</f>
        <v>4.1235838920000001</v>
      </c>
      <c r="P228">
        <f ca="1">IFERROR(IF(0=LEN(ReferenceData!$P$228),"",ReferenceData!$P$228),"")</f>
        <v>4.072911446</v>
      </c>
      <c r="Q228">
        <f ca="1">IFERROR(IF(0=LEN(ReferenceData!$Q$228),"",ReferenceData!$Q$228),"")</f>
        <v>4.048127569</v>
      </c>
      <c r="R228">
        <f ca="1">IFERROR(IF(0=LEN(ReferenceData!$R$228),"",ReferenceData!$R$228),"")</f>
        <v>4.0001895840000001</v>
      </c>
      <c r="S228">
        <f ca="1">IFERROR(IF(0=LEN(ReferenceData!$S$228),"",ReferenceData!$S$228),"")</f>
        <v>4.2055260570000002</v>
      </c>
      <c r="T228">
        <f ca="1">IFERROR(IF(0=LEN(ReferenceData!$T$228),"",ReferenceData!$T$228),"")</f>
        <v>4.2383813899999998</v>
      </c>
      <c r="U228">
        <f ca="1">IFERROR(IF(0=LEN(ReferenceData!$U$228),"",ReferenceData!$U$228),"")</f>
        <v>4.4832018380000003</v>
      </c>
      <c r="V228">
        <f ca="1">IFERROR(IF(0=LEN(ReferenceData!$V$228),"",ReferenceData!$V$228),"")</f>
        <v>4.2825533839999999</v>
      </c>
      <c r="W228">
        <f ca="1">IFERROR(IF(0=LEN(ReferenceData!$W$228),"",ReferenceData!$W$228),"")</f>
        <v>4.4186084130000003</v>
      </c>
      <c r="X228" t="str">
        <f ca="1">IFERROR(IF(0=LEN(ReferenceData!$X$228),"",ReferenceData!$X$228),"")</f>
        <v/>
      </c>
      <c r="Y228" t="str">
        <f ca="1">IFERROR(IF(0=LEN(ReferenceData!$Y$228),"",ReferenceData!$Y$228),"")</f>
        <v/>
      </c>
      <c r="Z228" t="str">
        <f ca="1">IFERROR(IF(0=LEN(ReferenceData!$Z$228),"",ReferenceData!$Z$228),"")</f>
        <v/>
      </c>
      <c r="AA228" t="str">
        <f ca="1">IFERROR(IF(0=LEN(ReferenceData!$AA$228),"",ReferenceData!$AA$228),"")</f>
        <v/>
      </c>
      <c r="AB228" t="str">
        <f ca="1">IFERROR(IF(0=LEN(ReferenceData!$AB$228),"",ReferenceData!$AB$228),"")</f>
        <v/>
      </c>
      <c r="AC228" t="str">
        <f ca="1">IFERROR(IF(0=LEN(ReferenceData!$AC$228),"",ReferenceData!$AC$228),"")</f>
        <v/>
      </c>
      <c r="AD228" t="str">
        <f ca="1">IFERROR(IF(0=LEN(ReferenceData!$AD$228),"",ReferenceData!$AD$228),"")</f>
        <v/>
      </c>
      <c r="AE228" t="str">
        <f ca="1">IFERROR(IF(0=LEN(ReferenceData!$AE$228),"",ReferenceData!$AE$228),"")</f>
        <v/>
      </c>
      <c r="AF228" t="str">
        <f ca="1">IFERROR(IF(0=LEN(ReferenceData!$AF$228),"",ReferenceData!$AF$228),"")</f>
        <v/>
      </c>
      <c r="AG228" t="str">
        <f ca="1">IFERROR(IF(0=LEN(ReferenceData!$AG$228),"",ReferenceData!$AG$228),"")</f>
        <v/>
      </c>
      <c r="AH228" t="str">
        <f ca="1">IFERROR(IF(0=LEN(ReferenceData!$AH$228),"",ReferenceData!$AH$228),"")</f>
        <v/>
      </c>
      <c r="AI228" t="str">
        <f ca="1">IFERROR(IF(0=LEN(ReferenceData!$AI$228),"",ReferenceData!$AI$228),"")</f>
        <v/>
      </c>
      <c r="AJ228" t="str">
        <f ca="1">IFERROR(IF(0=LEN(ReferenceData!$AJ$228),"",ReferenceData!$AJ$228),"")</f>
        <v/>
      </c>
      <c r="AK228" t="str">
        <f ca="1">IFERROR(IF(0=LEN(ReferenceData!$AK$228),"",ReferenceData!$AK$228),"")</f>
        <v/>
      </c>
      <c r="AL228" t="str">
        <f ca="1">IFERROR(IF(0=LEN(ReferenceData!$AL$228),"",ReferenceData!$AL$228),"")</f>
        <v/>
      </c>
    </row>
    <row r="229" spans="1:38" x14ac:dyDescent="0.25">
      <c r="A229" t="str">
        <f>IFERROR(IF(0=LEN(ReferenceData!$A$229),"",ReferenceData!$A$229),"")</f>
        <v xml:space="preserve">    First Citizens BancShares Inc/</v>
      </c>
      <c r="B229" t="str">
        <f>IFERROR(IF(0=LEN(ReferenceData!$B$229),"",ReferenceData!$B$229),"")</f>
        <v>FCNCA US Equity</v>
      </c>
      <c r="C229" t="str">
        <f>IFERROR(IF(0=LEN(ReferenceData!$C$229),"",ReferenceData!$C$229),"")</f>
        <v>F0116</v>
      </c>
      <c r="D229" t="str">
        <f>IFERROR(IF(0=LEN(ReferenceData!$D$229),"",ReferenceData!$D$229),"")</f>
        <v>FED_OTHER_LEASES_%_TOT_LNS_LEAS</v>
      </c>
      <c r="E229" t="str">
        <f>IFERROR(IF(0=LEN(ReferenceData!$E$229),"",ReferenceData!$E$229),"")</f>
        <v>Dynamic</v>
      </c>
      <c r="F229">
        <f ca="1">IFERROR(IF(0=LEN(ReferenceData!$F$229),"",ReferenceData!$F$229),"")</f>
        <v>1.435464673</v>
      </c>
      <c r="G229">
        <f ca="1">IFERROR(IF(0=LEN(ReferenceData!$G$229),"",ReferenceData!$G$229),"")</f>
        <v>1.540371114</v>
      </c>
      <c r="H229">
        <f ca="1">IFERROR(IF(0=LEN(ReferenceData!$H$229),"",ReferenceData!$H$229),"")</f>
        <v>3.0709625429999998</v>
      </c>
      <c r="I229">
        <f ca="1">IFERROR(IF(0=LEN(ReferenceData!$I$229),"",ReferenceData!$I$229),"")</f>
        <v>0.83379367800000004</v>
      </c>
      <c r="J229">
        <f ca="1">IFERROR(IF(0=LEN(ReferenceData!$J$229),"",ReferenceData!$J$229),"")</f>
        <v>1.016094754</v>
      </c>
      <c r="K229">
        <f ca="1">IFERROR(IF(0=LEN(ReferenceData!$K$229),"",ReferenceData!$K$229),"")</f>
        <v>1.509331897</v>
      </c>
      <c r="L229">
        <f ca="1">IFERROR(IF(0=LEN(ReferenceData!$L$229),"",ReferenceData!$L$229),"")</f>
        <v>2.3261061999999999</v>
      </c>
      <c r="M229">
        <f ca="1">IFERROR(IF(0=LEN(ReferenceData!$M$229),"",ReferenceData!$M$229),"")</f>
        <v>3.7838330880000002</v>
      </c>
      <c r="N229">
        <f ca="1">IFERROR(IF(0=LEN(ReferenceData!$N$229),"",ReferenceData!$N$229),"")</f>
        <v>3.7880956870000002</v>
      </c>
      <c r="O229">
        <f ca="1">IFERROR(IF(0=LEN(ReferenceData!$O$229),"",ReferenceData!$O$229),"")</f>
        <v>3.5999348960000002</v>
      </c>
      <c r="P229">
        <f ca="1">IFERROR(IF(0=LEN(ReferenceData!$P$229),"",ReferenceData!$P$229),"")</f>
        <v>3.0367499109999998</v>
      </c>
      <c r="Q229">
        <f ca="1">IFERROR(IF(0=LEN(ReferenceData!$Q$229),"",ReferenceData!$Q$229),"")</f>
        <v>2.8963137539999999</v>
      </c>
      <c r="R229">
        <f ca="1">IFERROR(IF(0=LEN(ReferenceData!$R$229),"",ReferenceData!$R$229),"")</f>
        <v>2.4546227819999999</v>
      </c>
      <c r="S229">
        <f ca="1">IFERROR(IF(0=LEN(ReferenceData!$S$229),"",ReferenceData!$S$229),"")</f>
        <v>2.229407862</v>
      </c>
      <c r="T229">
        <f ca="1">IFERROR(IF(0=LEN(ReferenceData!$T$229),"",ReferenceData!$T$229),"")</f>
        <v>2.2191195810000002</v>
      </c>
      <c r="U229">
        <f ca="1">IFERROR(IF(0=LEN(ReferenceData!$U$229),"",ReferenceData!$U$229),"")</f>
        <v>2.5665714679999998</v>
      </c>
      <c r="V229">
        <f ca="1">IFERROR(IF(0=LEN(ReferenceData!$V$229),"",ReferenceData!$V$229),"")</f>
        <v>3.0200903889999999</v>
      </c>
      <c r="W229">
        <f ca="1">IFERROR(IF(0=LEN(ReferenceData!$W$229),"",ReferenceData!$W$229),"")</f>
        <v>3.1065667850000001</v>
      </c>
      <c r="X229" t="str">
        <f ca="1">IFERROR(IF(0=LEN(ReferenceData!$X$229),"",ReferenceData!$X$229),"")</f>
        <v/>
      </c>
      <c r="Y229" t="str">
        <f ca="1">IFERROR(IF(0=LEN(ReferenceData!$Y$229),"",ReferenceData!$Y$229),"")</f>
        <v/>
      </c>
      <c r="Z229" t="str">
        <f ca="1">IFERROR(IF(0=LEN(ReferenceData!$Z$229),"",ReferenceData!$Z$229),"")</f>
        <v/>
      </c>
      <c r="AA229" t="str">
        <f ca="1">IFERROR(IF(0=LEN(ReferenceData!$AA$229),"",ReferenceData!$AA$229),"")</f>
        <v/>
      </c>
      <c r="AB229" t="str">
        <f ca="1">IFERROR(IF(0=LEN(ReferenceData!$AB$229),"",ReferenceData!$AB$229),"")</f>
        <v/>
      </c>
      <c r="AC229" t="str">
        <f ca="1">IFERROR(IF(0=LEN(ReferenceData!$AC$229),"",ReferenceData!$AC$229),"")</f>
        <v/>
      </c>
      <c r="AD229" t="str">
        <f ca="1">IFERROR(IF(0=LEN(ReferenceData!$AD$229),"",ReferenceData!$AD$229),"")</f>
        <v/>
      </c>
      <c r="AE229" t="str">
        <f ca="1">IFERROR(IF(0=LEN(ReferenceData!$AE$229),"",ReferenceData!$AE$229),"")</f>
        <v/>
      </c>
      <c r="AF229" t="str">
        <f ca="1">IFERROR(IF(0=LEN(ReferenceData!$AF$229),"",ReferenceData!$AF$229),"")</f>
        <v/>
      </c>
      <c r="AG229" t="str">
        <f ca="1">IFERROR(IF(0=LEN(ReferenceData!$AG$229),"",ReferenceData!$AG$229),"")</f>
        <v/>
      </c>
      <c r="AH229" t="str">
        <f ca="1">IFERROR(IF(0=LEN(ReferenceData!$AH$229),"",ReferenceData!$AH$229),"")</f>
        <v/>
      </c>
      <c r="AI229" t="str">
        <f ca="1">IFERROR(IF(0=LEN(ReferenceData!$AI$229),"",ReferenceData!$AI$229),"")</f>
        <v/>
      </c>
      <c r="AJ229" t="str">
        <f ca="1">IFERROR(IF(0=LEN(ReferenceData!$AJ$229),"",ReferenceData!$AJ$229),"")</f>
        <v/>
      </c>
      <c r="AK229" t="str">
        <f ca="1">IFERROR(IF(0=LEN(ReferenceData!$AK$229),"",ReferenceData!$AK$229),"")</f>
        <v/>
      </c>
      <c r="AL229" t="str">
        <f ca="1">IFERROR(IF(0=LEN(ReferenceData!$AL$229),"",ReferenceData!$AL$229),"")</f>
        <v/>
      </c>
    </row>
    <row r="230" spans="1:38" x14ac:dyDescent="0.25">
      <c r="A230" t="str">
        <f>IFERROR(IF(0=LEN(ReferenceData!$A$230),"",ReferenceData!$A$230),"")</f>
        <v xml:space="preserve">    Flagstar Financial Inc</v>
      </c>
      <c r="B230" t="str">
        <f>IFERROR(IF(0=LEN(ReferenceData!$B$230),"",ReferenceData!$B$230),"")</f>
        <v>FLG US Equity</v>
      </c>
      <c r="C230" t="str">
        <f>IFERROR(IF(0=LEN(ReferenceData!$C$230),"",ReferenceData!$C$230),"")</f>
        <v>F0116</v>
      </c>
      <c r="D230" t="str">
        <f>IFERROR(IF(0=LEN(ReferenceData!$D$230),"",ReferenceData!$D$230),"")</f>
        <v>FED_OTHER_LEASES_%_TOT_LNS_LEAS</v>
      </c>
      <c r="E230" t="str">
        <f>IFERROR(IF(0=LEN(ReferenceData!$E$230),"",ReferenceData!$E$230),"")</f>
        <v>Dynamic</v>
      </c>
      <c r="F230">
        <f ca="1">IFERROR(IF(0=LEN(ReferenceData!$F$230),"",ReferenceData!$F$230),"")</f>
        <v>3.0595877269999998</v>
      </c>
      <c r="G230">
        <f ca="1">IFERROR(IF(0=LEN(ReferenceData!$G$230),"",ReferenceData!$G$230),"")</f>
        <v>3.7181579629999999</v>
      </c>
      <c r="H230">
        <f ca="1">IFERROR(IF(0=LEN(ReferenceData!$H$230),"",ReferenceData!$H$230),"")</f>
        <v>2.3947912109999998</v>
      </c>
      <c r="I230">
        <f ca="1">IFERROR(IF(0=LEN(ReferenceData!$I$230),"",ReferenceData!$I$230),"")</f>
        <v>3.925661845</v>
      </c>
      <c r="J230">
        <f ca="1">IFERROR(IF(0=LEN(ReferenceData!$J$230),"",ReferenceData!$J$230),"")</f>
        <v>4.1088414909999997</v>
      </c>
      <c r="K230">
        <f ca="1">IFERROR(IF(0=LEN(ReferenceData!$K$230),"",ReferenceData!$K$230),"")</f>
        <v>3.0876837109999999</v>
      </c>
      <c r="L230">
        <f ca="1">IFERROR(IF(0=LEN(ReferenceData!$L$230),"",ReferenceData!$L$230),"")</f>
        <v>1.723030885</v>
      </c>
      <c r="M230">
        <f ca="1">IFERROR(IF(0=LEN(ReferenceData!$M$230),"",ReferenceData!$M$230),"")</f>
        <v>1.7515576319999999</v>
      </c>
      <c r="N230">
        <f ca="1">IFERROR(IF(0=LEN(ReferenceData!$N$230),"",ReferenceData!$N$230),"")</f>
        <v>1.439976954</v>
      </c>
      <c r="O230">
        <f ca="1">IFERROR(IF(0=LEN(ReferenceData!$O$230),"",ReferenceData!$O$230),"")</f>
        <v>0.96742350700000002</v>
      </c>
      <c r="P230">
        <f ca="1">IFERROR(IF(0=LEN(ReferenceData!$P$230),"",ReferenceData!$P$230),"")</f>
        <v>0.589873231</v>
      </c>
      <c r="Q230">
        <f ca="1">IFERROR(IF(0=LEN(ReferenceData!$Q$230),"",ReferenceData!$Q$230),"")</f>
        <v>0.310507582</v>
      </c>
      <c r="R230">
        <f ca="1">IFERROR(IF(0=LEN(ReferenceData!$R$230),"",ReferenceData!$R$230),"")</f>
        <v>1.8878000000000001E-5</v>
      </c>
      <c r="S230">
        <f ca="1">IFERROR(IF(0=LEN(ReferenceData!$S$230),"",ReferenceData!$S$230),"")</f>
        <v>2.5382600000000002E-4</v>
      </c>
      <c r="T230">
        <f ca="1">IFERROR(IF(0=LEN(ReferenceData!$T$230),"",ReferenceData!$T$230),"")</f>
        <v>8.1422700000000005E-4</v>
      </c>
      <c r="U230">
        <f ca="1">IFERROR(IF(0=LEN(ReferenceData!$U$230),"",ReferenceData!$U$230),"")</f>
        <v>2.3413420000000002E-3</v>
      </c>
      <c r="V230">
        <f ca="1">IFERROR(IF(0=LEN(ReferenceData!$V$230),"",ReferenceData!$V$230),"")</f>
        <v>6.4530339999999999E-3</v>
      </c>
      <c r="W230">
        <f ca="1">IFERROR(IF(0=LEN(ReferenceData!$W$230),"",ReferenceData!$W$230),"")</f>
        <v>2.1293645999999999E-2</v>
      </c>
      <c r="X230" t="str">
        <f ca="1">IFERROR(IF(0=LEN(ReferenceData!$X$230),"",ReferenceData!$X$230),"")</f>
        <v/>
      </c>
      <c r="Y230" t="str">
        <f ca="1">IFERROR(IF(0=LEN(ReferenceData!$Y$230),"",ReferenceData!$Y$230),"")</f>
        <v/>
      </c>
      <c r="Z230" t="str">
        <f ca="1">IFERROR(IF(0=LEN(ReferenceData!$Z$230),"",ReferenceData!$Z$230),"")</f>
        <v/>
      </c>
      <c r="AA230" t="str">
        <f ca="1">IFERROR(IF(0=LEN(ReferenceData!$AA$230),"",ReferenceData!$AA$230),"")</f>
        <v/>
      </c>
      <c r="AB230" t="str">
        <f ca="1">IFERROR(IF(0=LEN(ReferenceData!$AB$230),"",ReferenceData!$AB$230),"")</f>
        <v/>
      </c>
      <c r="AC230" t="str">
        <f ca="1">IFERROR(IF(0=LEN(ReferenceData!$AC$230),"",ReferenceData!$AC$230),"")</f>
        <v/>
      </c>
      <c r="AD230" t="str">
        <f ca="1">IFERROR(IF(0=LEN(ReferenceData!$AD$230),"",ReferenceData!$AD$230),"")</f>
        <v/>
      </c>
      <c r="AE230" t="str">
        <f ca="1">IFERROR(IF(0=LEN(ReferenceData!$AE$230),"",ReferenceData!$AE$230),"")</f>
        <v/>
      </c>
      <c r="AF230" t="str">
        <f ca="1">IFERROR(IF(0=LEN(ReferenceData!$AF$230),"",ReferenceData!$AF$230),"")</f>
        <v/>
      </c>
      <c r="AG230" t="str">
        <f ca="1">IFERROR(IF(0=LEN(ReferenceData!$AG$230),"",ReferenceData!$AG$230),"")</f>
        <v/>
      </c>
      <c r="AH230" t="str">
        <f ca="1">IFERROR(IF(0=LEN(ReferenceData!$AH$230),"",ReferenceData!$AH$230),"")</f>
        <v/>
      </c>
      <c r="AI230" t="str">
        <f ca="1">IFERROR(IF(0=LEN(ReferenceData!$AI$230),"",ReferenceData!$AI$230),"")</f>
        <v/>
      </c>
      <c r="AJ230" t="str">
        <f ca="1">IFERROR(IF(0=LEN(ReferenceData!$AJ$230),"",ReferenceData!$AJ$230),"")</f>
        <v/>
      </c>
      <c r="AK230" t="str">
        <f ca="1">IFERROR(IF(0=LEN(ReferenceData!$AK$230),"",ReferenceData!$AK$230),"")</f>
        <v/>
      </c>
      <c r="AL230" t="str">
        <f ca="1">IFERROR(IF(0=LEN(ReferenceData!$AL$230),"",ReferenceData!$AL$230),"")</f>
        <v/>
      </c>
    </row>
    <row r="231" spans="1:38" x14ac:dyDescent="0.25">
      <c r="A231" t="str">
        <f>IFERROR(IF(0=LEN(ReferenceData!$A$231),"",ReferenceData!$A$231),"")</f>
        <v xml:space="preserve">    Huntington Bancshares Inc/OH</v>
      </c>
      <c r="B231" t="str">
        <f>IFERROR(IF(0=LEN(ReferenceData!$B$231),"",ReferenceData!$B$231),"")</f>
        <v>HBAN US Equity</v>
      </c>
      <c r="C231" t="str">
        <f>IFERROR(IF(0=LEN(ReferenceData!$C$231),"",ReferenceData!$C$231),"")</f>
        <v>F0116</v>
      </c>
      <c r="D231" t="str">
        <f>IFERROR(IF(0=LEN(ReferenceData!$D$231),"",ReferenceData!$D$231),"")</f>
        <v>FED_OTHER_LEASES_%_TOT_LNS_LEAS</v>
      </c>
      <c r="E231" t="str">
        <f>IFERROR(IF(0=LEN(ReferenceData!$E$231),"",ReferenceData!$E$231),"")</f>
        <v>Dynamic</v>
      </c>
      <c r="F231">
        <f ca="1">IFERROR(IF(0=LEN(ReferenceData!$F$231),"",ReferenceData!$F$231),"")</f>
        <v>4.1772918900000002</v>
      </c>
      <c r="G231">
        <f ca="1">IFERROR(IF(0=LEN(ReferenceData!$G$231),"",ReferenceData!$G$231),"")</f>
        <v>4.2623656829999996</v>
      </c>
      <c r="H231">
        <f ca="1">IFERROR(IF(0=LEN(ReferenceData!$H$231),"",ReferenceData!$H$231),"")</f>
        <v>4.2450529619999999</v>
      </c>
      <c r="I231">
        <f ca="1">IFERROR(IF(0=LEN(ReferenceData!$I$231),"",ReferenceData!$I$231),"")</f>
        <v>4.6035871820000001</v>
      </c>
      <c r="J231">
        <f ca="1">IFERROR(IF(0=LEN(ReferenceData!$J$231),"",ReferenceData!$J$231),"")</f>
        <v>2.8518418560000001</v>
      </c>
      <c r="K231">
        <f ca="1">IFERROR(IF(0=LEN(ReferenceData!$K$231),"",ReferenceData!$K$231),"")</f>
        <v>3.2710219120000001</v>
      </c>
      <c r="L231">
        <f ca="1">IFERROR(IF(0=LEN(ReferenceData!$L$231),"",ReferenceData!$L$231),"")</f>
        <v>3.0369169380000001</v>
      </c>
      <c r="M231">
        <f ca="1">IFERROR(IF(0=LEN(ReferenceData!$M$231),"",ReferenceData!$M$231),"")</f>
        <v>3.2220713270000001</v>
      </c>
      <c r="N231">
        <f ca="1">IFERROR(IF(0=LEN(ReferenceData!$N$231),"",ReferenceData!$N$231),"")</f>
        <v>3.5633506490000002</v>
      </c>
      <c r="O231">
        <f ca="1">IFERROR(IF(0=LEN(ReferenceData!$O$231),"",ReferenceData!$O$231),"")</f>
        <v>3.8372651059999998</v>
      </c>
      <c r="P231">
        <f ca="1">IFERROR(IF(0=LEN(ReferenceData!$P$231),"",ReferenceData!$P$231),"")</f>
        <v>2.9203095120000002</v>
      </c>
      <c r="Q231">
        <f ca="1">IFERROR(IF(0=LEN(ReferenceData!$Q$231),"",ReferenceData!$Q$231),"")</f>
        <v>3.8774939000000002</v>
      </c>
      <c r="R231">
        <f ca="1">IFERROR(IF(0=LEN(ReferenceData!$R$231),"",ReferenceData!$R$231),"")</f>
        <v>4.0243320340000004</v>
      </c>
      <c r="S231">
        <f ca="1">IFERROR(IF(0=LEN(ReferenceData!$S$231),"",ReferenceData!$S$231),"")</f>
        <v>2.7059892290000001</v>
      </c>
      <c r="T231">
        <f ca="1">IFERROR(IF(0=LEN(ReferenceData!$T$231),"",ReferenceData!$T$231),"")</f>
        <v>1.886512247</v>
      </c>
      <c r="U231">
        <f ca="1">IFERROR(IF(0=LEN(ReferenceData!$U$231),"",ReferenceData!$U$231),"")</f>
        <v>2.3726718519999999</v>
      </c>
      <c r="V231">
        <f ca="1">IFERROR(IF(0=LEN(ReferenceData!$V$231),"",ReferenceData!$V$231),"")</f>
        <v>2.5032007219999999</v>
      </c>
      <c r="W231">
        <f ca="1">IFERROR(IF(0=LEN(ReferenceData!$W$231),"",ReferenceData!$W$231),"")</f>
        <v>2.4068125</v>
      </c>
      <c r="X231" t="str">
        <f ca="1">IFERROR(IF(0=LEN(ReferenceData!$X$231),"",ReferenceData!$X$231),"")</f>
        <v/>
      </c>
      <c r="Y231" t="str">
        <f ca="1">IFERROR(IF(0=LEN(ReferenceData!$Y$231),"",ReferenceData!$Y$231),"")</f>
        <v/>
      </c>
      <c r="Z231" t="str">
        <f ca="1">IFERROR(IF(0=LEN(ReferenceData!$Z$231),"",ReferenceData!$Z$231),"")</f>
        <v/>
      </c>
      <c r="AA231" t="str">
        <f ca="1">IFERROR(IF(0=LEN(ReferenceData!$AA$231),"",ReferenceData!$AA$231),"")</f>
        <v/>
      </c>
      <c r="AB231" t="str">
        <f ca="1">IFERROR(IF(0=LEN(ReferenceData!$AB$231),"",ReferenceData!$AB$231),"")</f>
        <v/>
      </c>
      <c r="AC231" t="str">
        <f ca="1">IFERROR(IF(0=LEN(ReferenceData!$AC$231),"",ReferenceData!$AC$231),"")</f>
        <v/>
      </c>
      <c r="AD231" t="str">
        <f ca="1">IFERROR(IF(0=LEN(ReferenceData!$AD$231),"",ReferenceData!$AD$231),"")</f>
        <v/>
      </c>
      <c r="AE231" t="str">
        <f ca="1">IFERROR(IF(0=LEN(ReferenceData!$AE$231),"",ReferenceData!$AE$231),"")</f>
        <v/>
      </c>
      <c r="AF231" t="str">
        <f ca="1">IFERROR(IF(0=LEN(ReferenceData!$AF$231),"",ReferenceData!$AF$231),"")</f>
        <v/>
      </c>
      <c r="AG231" t="str">
        <f ca="1">IFERROR(IF(0=LEN(ReferenceData!$AG$231),"",ReferenceData!$AG$231),"")</f>
        <v/>
      </c>
      <c r="AH231" t="str">
        <f ca="1">IFERROR(IF(0=LEN(ReferenceData!$AH$231),"",ReferenceData!$AH$231),"")</f>
        <v/>
      </c>
      <c r="AI231" t="str">
        <f ca="1">IFERROR(IF(0=LEN(ReferenceData!$AI$231),"",ReferenceData!$AI$231),"")</f>
        <v/>
      </c>
      <c r="AJ231" t="str">
        <f ca="1">IFERROR(IF(0=LEN(ReferenceData!$AJ$231),"",ReferenceData!$AJ$231),"")</f>
        <v/>
      </c>
      <c r="AK231" t="str">
        <f ca="1">IFERROR(IF(0=LEN(ReferenceData!$AK$231),"",ReferenceData!$AK$231),"")</f>
        <v/>
      </c>
      <c r="AL231" t="str">
        <f ca="1">IFERROR(IF(0=LEN(ReferenceData!$AL$231),"",ReferenceData!$AL$231),"")</f>
        <v/>
      </c>
    </row>
    <row r="232" spans="1:38" x14ac:dyDescent="0.25">
      <c r="A232" t="str">
        <f>IFERROR(IF(0=LEN(ReferenceData!$A$232),"",ReferenceData!$A$232),"")</f>
        <v xml:space="preserve">    JPMorgan Chase &amp; Co</v>
      </c>
      <c r="B232" t="str">
        <f>IFERROR(IF(0=LEN(ReferenceData!$B$232),"",ReferenceData!$B$232),"")</f>
        <v>JPM US Equity</v>
      </c>
      <c r="C232" t="str">
        <f>IFERROR(IF(0=LEN(ReferenceData!$C$232),"",ReferenceData!$C$232),"")</f>
        <v>F0116</v>
      </c>
      <c r="D232" t="str">
        <f>IFERROR(IF(0=LEN(ReferenceData!$D$232),"",ReferenceData!$D$232),"")</f>
        <v>FED_OTHER_LEASES_%_TOT_LNS_LEAS</v>
      </c>
      <c r="E232" t="str">
        <f>IFERROR(IF(0=LEN(ReferenceData!$E$232),"",ReferenceData!$E$232),"")</f>
        <v>Dynamic</v>
      </c>
      <c r="F232">
        <f ca="1">IFERROR(IF(0=LEN(ReferenceData!$F$232),"",ReferenceData!$F$232),"")</f>
        <v>1.2929338E-2</v>
      </c>
      <c r="G232">
        <f ca="1">IFERROR(IF(0=LEN(ReferenceData!$G$232),"",ReferenceData!$G$232),"")</f>
        <v>1.9393593000000001E-2</v>
      </c>
      <c r="H232">
        <f ca="1">IFERROR(IF(0=LEN(ReferenceData!$H$232),"",ReferenceData!$H$232),"")</f>
        <v>1.0886737E-2</v>
      </c>
      <c r="I232">
        <f ca="1">IFERROR(IF(0=LEN(ReferenceData!$I$232),"",ReferenceData!$I$232),"")</f>
        <v>2.0573761999999999E-2</v>
      </c>
      <c r="J232">
        <f ca="1">IFERROR(IF(0=LEN(ReferenceData!$J$232),"",ReferenceData!$J$232),"")</f>
        <v>3.5452366999999999E-2</v>
      </c>
      <c r="K232">
        <f ca="1">IFERROR(IF(0=LEN(ReferenceData!$K$232),"",ReferenceData!$K$232),"")</f>
        <v>6.6029986999999998E-2</v>
      </c>
      <c r="L232">
        <f ca="1">IFERROR(IF(0=LEN(ReferenceData!$L$232),"",ReferenceData!$L$232),"")</f>
        <v>3.7545638999999999E-2</v>
      </c>
      <c r="M232">
        <f ca="1">IFERROR(IF(0=LEN(ReferenceData!$M$232),"",ReferenceData!$M$232),"")</f>
        <v>4.5567180999999998E-2</v>
      </c>
      <c r="N232">
        <f ca="1">IFERROR(IF(0=LEN(ReferenceData!$N$232),"",ReferenceData!$N$232),"")</f>
        <v>6.4787855000000005E-2</v>
      </c>
      <c r="O232">
        <f ca="1">IFERROR(IF(0=LEN(ReferenceData!$O$232),"",ReferenceData!$O$232),"")</f>
        <v>8.7924282000000006E-2</v>
      </c>
      <c r="P232">
        <f ca="1">IFERROR(IF(0=LEN(ReferenceData!$P$232),"",ReferenceData!$P$232),"")</f>
        <v>0.115225102</v>
      </c>
      <c r="Q232">
        <f ca="1">IFERROR(IF(0=LEN(ReferenceData!$Q$232),"",ReferenceData!$Q$232),"")</f>
        <v>0.15618791700000001</v>
      </c>
      <c r="R232">
        <f ca="1">IFERROR(IF(0=LEN(ReferenceData!$R$232),"",ReferenceData!$R$232),"")</f>
        <v>0.216561483</v>
      </c>
      <c r="S232">
        <f ca="1">IFERROR(IF(0=LEN(ReferenceData!$S$232),"",ReferenceData!$S$232),"")</f>
        <v>0.25189493699999999</v>
      </c>
      <c r="T232">
        <f ca="1">IFERROR(IF(0=LEN(ReferenceData!$T$232),"",ReferenceData!$T$232),"")</f>
        <v>0.32451899899999997</v>
      </c>
      <c r="U232">
        <f ca="1">IFERROR(IF(0=LEN(ReferenceData!$U$232),"",ReferenceData!$U$232),"")</f>
        <v>0.378755868</v>
      </c>
      <c r="V232">
        <f ca="1">IFERROR(IF(0=LEN(ReferenceData!$V$232),"",ReferenceData!$V$232),"")</f>
        <v>0.381247159</v>
      </c>
      <c r="W232">
        <f ca="1">IFERROR(IF(0=LEN(ReferenceData!$W$232),"",ReferenceData!$W$232),"")</f>
        <v>0.65649728900000004</v>
      </c>
      <c r="X232" t="str">
        <f ca="1">IFERROR(IF(0=LEN(ReferenceData!$X$232),"",ReferenceData!$X$232),"")</f>
        <v/>
      </c>
      <c r="Y232" t="str">
        <f ca="1">IFERROR(IF(0=LEN(ReferenceData!$Y$232),"",ReferenceData!$Y$232),"")</f>
        <v/>
      </c>
      <c r="Z232" t="str">
        <f ca="1">IFERROR(IF(0=LEN(ReferenceData!$Z$232),"",ReferenceData!$Z$232),"")</f>
        <v/>
      </c>
      <c r="AA232" t="str">
        <f ca="1">IFERROR(IF(0=LEN(ReferenceData!$AA$232),"",ReferenceData!$AA$232),"")</f>
        <v/>
      </c>
      <c r="AB232" t="str">
        <f ca="1">IFERROR(IF(0=LEN(ReferenceData!$AB$232),"",ReferenceData!$AB$232),"")</f>
        <v/>
      </c>
      <c r="AC232" t="str">
        <f ca="1">IFERROR(IF(0=LEN(ReferenceData!$AC$232),"",ReferenceData!$AC$232),"")</f>
        <v/>
      </c>
      <c r="AD232" t="str">
        <f ca="1">IFERROR(IF(0=LEN(ReferenceData!$AD$232),"",ReferenceData!$AD$232),"")</f>
        <v/>
      </c>
      <c r="AE232" t="str">
        <f ca="1">IFERROR(IF(0=LEN(ReferenceData!$AE$232),"",ReferenceData!$AE$232),"")</f>
        <v/>
      </c>
      <c r="AF232" t="str">
        <f ca="1">IFERROR(IF(0=LEN(ReferenceData!$AF$232),"",ReferenceData!$AF$232),"")</f>
        <v/>
      </c>
      <c r="AG232" t="str">
        <f ca="1">IFERROR(IF(0=LEN(ReferenceData!$AG$232),"",ReferenceData!$AG$232),"")</f>
        <v/>
      </c>
      <c r="AH232" t="str">
        <f ca="1">IFERROR(IF(0=LEN(ReferenceData!$AH$232),"",ReferenceData!$AH$232),"")</f>
        <v/>
      </c>
      <c r="AI232" t="str">
        <f ca="1">IFERROR(IF(0=LEN(ReferenceData!$AI$232),"",ReferenceData!$AI$232),"")</f>
        <v/>
      </c>
      <c r="AJ232" t="str">
        <f ca="1">IFERROR(IF(0=LEN(ReferenceData!$AJ$232),"",ReferenceData!$AJ$232),"")</f>
        <v/>
      </c>
      <c r="AK232" t="str">
        <f ca="1">IFERROR(IF(0=LEN(ReferenceData!$AK$232),"",ReferenceData!$AK$232),"")</f>
        <v/>
      </c>
      <c r="AL232" t="str">
        <f ca="1">IFERROR(IF(0=LEN(ReferenceData!$AL$232),"",ReferenceData!$AL$232),"")</f>
        <v/>
      </c>
    </row>
    <row r="233" spans="1:38" x14ac:dyDescent="0.25">
      <c r="A233" t="str">
        <f>IFERROR(IF(0=LEN(ReferenceData!$A$233),"",ReferenceData!$A$233),"")</f>
        <v xml:space="preserve">    KeyCorp</v>
      </c>
      <c r="B233" t="str">
        <f>IFERROR(IF(0=LEN(ReferenceData!$B$233),"",ReferenceData!$B$233),"")</f>
        <v>KEY US Equity</v>
      </c>
      <c r="C233" t="str">
        <f>IFERROR(IF(0=LEN(ReferenceData!$C$233),"",ReferenceData!$C$233),"")</f>
        <v>F0116</v>
      </c>
      <c r="D233" t="str">
        <f>IFERROR(IF(0=LEN(ReferenceData!$D$233),"",ReferenceData!$D$233),"")</f>
        <v>FED_OTHER_LEASES_%_TOT_LNS_LEAS</v>
      </c>
      <c r="E233" t="str">
        <f>IFERROR(IF(0=LEN(ReferenceData!$E$233),"",ReferenceData!$E$233),"")</f>
        <v>Dynamic</v>
      </c>
      <c r="F233">
        <f ca="1">IFERROR(IF(0=LEN(ReferenceData!$F$233),"",ReferenceData!$F$233),"")</f>
        <v>2.5977193980000002</v>
      </c>
      <c r="G233">
        <f ca="1">IFERROR(IF(0=LEN(ReferenceData!$G$233),"",ReferenceData!$G$233),"")</f>
        <v>3.1057570550000002</v>
      </c>
      <c r="H233">
        <f ca="1">IFERROR(IF(0=LEN(ReferenceData!$H$233),"",ReferenceData!$H$233),"")</f>
        <v>3.2874731169999998</v>
      </c>
      <c r="I233">
        <f ca="1">IFERROR(IF(0=LEN(ReferenceData!$I$233),"",ReferenceData!$I$233),"")</f>
        <v>3.8713475339999999</v>
      </c>
      <c r="J233">
        <f ca="1">IFERROR(IF(0=LEN(ReferenceData!$J$233),"",ReferenceData!$J$233),"")</f>
        <v>4.2511594390000003</v>
      </c>
      <c r="K233">
        <f ca="1">IFERROR(IF(0=LEN(ReferenceData!$K$233),"",ReferenceData!$K$233),"")</f>
        <v>4.8430692249999998</v>
      </c>
      <c r="L233">
        <f ca="1">IFERROR(IF(0=LEN(ReferenceData!$L$233),"",ReferenceData!$L$233),"")</f>
        <v>5.0150744679999999</v>
      </c>
      <c r="M233">
        <f ca="1">IFERROR(IF(0=LEN(ReferenceData!$M$233),"",ReferenceData!$M$233),"")</f>
        <v>5.4286260840000002</v>
      </c>
      <c r="N233">
        <f ca="1">IFERROR(IF(0=LEN(ReferenceData!$N$233),"",ReferenceData!$N$233),"")</f>
        <v>5.2781554379999998</v>
      </c>
      <c r="O233">
        <f ca="1">IFERROR(IF(0=LEN(ReferenceData!$O$233),"",ReferenceData!$O$233),"")</f>
        <v>6.4677775119999996</v>
      </c>
      <c r="P233">
        <f ca="1">IFERROR(IF(0=LEN(ReferenceData!$P$233),"",ReferenceData!$P$233),"")</f>
        <v>7.0640537669999999</v>
      </c>
      <c r="Q233">
        <f ca="1">IFERROR(IF(0=LEN(ReferenceData!$Q$233),"",ReferenceData!$Q$233),"")</f>
        <v>7.6573973320000004</v>
      </c>
      <c r="R233">
        <f ca="1">IFERROR(IF(0=LEN(ReferenceData!$R$233),"",ReferenceData!$R$233),"")</f>
        <v>8.3992210580000002</v>
      </c>
      <c r="S233">
        <f ca="1">IFERROR(IF(0=LEN(ReferenceData!$S$233),"",ReferenceData!$S$233),"")</f>
        <v>10.81244938</v>
      </c>
      <c r="T233">
        <f ca="1">IFERROR(IF(0=LEN(ReferenceData!$T$233),"",ReferenceData!$T$233),"")</f>
        <v>11.358576619999999</v>
      </c>
      <c r="U233">
        <f ca="1">IFERROR(IF(0=LEN(ReferenceData!$U$233),"",ReferenceData!$U$233),"")</f>
        <v>11.85275219</v>
      </c>
      <c r="V233">
        <f ca="1">IFERROR(IF(0=LEN(ReferenceData!$V$233),"",ReferenceData!$V$233),"")</f>
        <v>11.66764908</v>
      </c>
      <c r="W233">
        <f ca="1">IFERROR(IF(0=LEN(ReferenceData!$W$233),"",ReferenceData!$W$233),"")</f>
        <v>13.469407889999999</v>
      </c>
      <c r="X233" t="str">
        <f ca="1">IFERROR(IF(0=LEN(ReferenceData!$X$233),"",ReferenceData!$X$233),"")</f>
        <v/>
      </c>
      <c r="Y233" t="str">
        <f ca="1">IFERROR(IF(0=LEN(ReferenceData!$Y$233),"",ReferenceData!$Y$233),"")</f>
        <v/>
      </c>
      <c r="Z233" t="str">
        <f ca="1">IFERROR(IF(0=LEN(ReferenceData!$Z$233),"",ReferenceData!$Z$233),"")</f>
        <v/>
      </c>
      <c r="AA233" t="str">
        <f ca="1">IFERROR(IF(0=LEN(ReferenceData!$AA$233),"",ReferenceData!$AA$233),"")</f>
        <v/>
      </c>
      <c r="AB233" t="str">
        <f ca="1">IFERROR(IF(0=LEN(ReferenceData!$AB$233),"",ReferenceData!$AB$233),"")</f>
        <v/>
      </c>
      <c r="AC233" t="str">
        <f ca="1">IFERROR(IF(0=LEN(ReferenceData!$AC$233),"",ReferenceData!$AC$233),"")</f>
        <v/>
      </c>
      <c r="AD233" t="str">
        <f ca="1">IFERROR(IF(0=LEN(ReferenceData!$AD$233),"",ReferenceData!$AD$233),"")</f>
        <v/>
      </c>
      <c r="AE233" t="str">
        <f ca="1">IFERROR(IF(0=LEN(ReferenceData!$AE$233),"",ReferenceData!$AE$233),"")</f>
        <v/>
      </c>
      <c r="AF233" t="str">
        <f ca="1">IFERROR(IF(0=LEN(ReferenceData!$AF$233),"",ReferenceData!$AF$233),"")</f>
        <v/>
      </c>
      <c r="AG233" t="str">
        <f ca="1">IFERROR(IF(0=LEN(ReferenceData!$AG$233),"",ReferenceData!$AG$233),"")</f>
        <v/>
      </c>
      <c r="AH233" t="str">
        <f ca="1">IFERROR(IF(0=LEN(ReferenceData!$AH$233),"",ReferenceData!$AH$233),"")</f>
        <v/>
      </c>
      <c r="AI233" t="str">
        <f ca="1">IFERROR(IF(0=LEN(ReferenceData!$AI$233),"",ReferenceData!$AI$233),"")</f>
        <v/>
      </c>
      <c r="AJ233" t="str">
        <f ca="1">IFERROR(IF(0=LEN(ReferenceData!$AJ$233),"",ReferenceData!$AJ$233),"")</f>
        <v/>
      </c>
      <c r="AK233" t="str">
        <f ca="1">IFERROR(IF(0=LEN(ReferenceData!$AK$233),"",ReferenceData!$AK$233),"")</f>
        <v/>
      </c>
      <c r="AL233" t="str">
        <f ca="1">IFERROR(IF(0=LEN(ReferenceData!$AL$233),"",ReferenceData!$AL$233),"")</f>
        <v/>
      </c>
    </row>
    <row r="234" spans="1:38" x14ac:dyDescent="0.25">
      <c r="A234" t="str">
        <f>IFERROR(IF(0=LEN(ReferenceData!$A$234),"",ReferenceData!$A$234),"")</f>
        <v xml:space="preserve">    M&amp;T Bank Corp</v>
      </c>
      <c r="B234" t="str">
        <f>IFERROR(IF(0=LEN(ReferenceData!$B$234),"",ReferenceData!$B$234),"")</f>
        <v>MTB US Equity</v>
      </c>
      <c r="C234" t="str">
        <f>IFERROR(IF(0=LEN(ReferenceData!$C$234),"",ReferenceData!$C$234),"")</f>
        <v>F0116</v>
      </c>
      <c r="D234" t="str">
        <f>IFERROR(IF(0=LEN(ReferenceData!$D$234),"",ReferenceData!$D$234),"")</f>
        <v>FED_OTHER_LEASES_%_TOT_LNS_LEAS</v>
      </c>
      <c r="E234" t="str">
        <f>IFERROR(IF(0=LEN(ReferenceData!$E$234),"",ReferenceData!$E$234),"")</f>
        <v>Dynamic</v>
      </c>
      <c r="F234">
        <f ca="1">IFERROR(IF(0=LEN(ReferenceData!$F$234),"",ReferenceData!$F$234),"")</f>
        <v>2.0202883699999998</v>
      </c>
      <c r="G234">
        <f ca="1">IFERROR(IF(0=LEN(ReferenceData!$G$234),"",ReferenceData!$G$234),"")</f>
        <v>1.901355315</v>
      </c>
      <c r="H234">
        <f ca="1">IFERROR(IF(0=LEN(ReferenceData!$H$234),"",ReferenceData!$H$234),"")</f>
        <v>1.8347222700000001</v>
      </c>
      <c r="I234">
        <f ca="1">IFERROR(IF(0=LEN(ReferenceData!$I$234),"",ReferenceData!$I$234),"")</f>
        <v>1.0793128139999999</v>
      </c>
      <c r="J234">
        <f ca="1">IFERROR(IF(0=LEN(ReferenceData!$J$234),"",ReferenceData!$J$234),"")</f>
        <v>1.151697381</v>
      </c>
      <c r="K234">
        <f ca="1">IFERROR(IF(0=LEN(ReferenceData!$K$234),"",ReferenceData!$K$234),"")</f>
        <v>1.4009907669999999</v>
      </c>
      <c r="L234">
        <f ca="1">IFERROR(IF(0=LEN(ReferenceData!$L$234),"",ReferenceData!$L$234),"")</f>
        <v>1.4273497070000001</v>
      </c>
      <c r="M234">
        <f ca="1">IFERROR(IF(0=LEN(ReferenceData!$M$234),"",ReferenceData!$M$234),"")</f>
        <v>1.454169552</v>
      </c>
      <c r="N234">
        <f ca="1">IFERROR(IF(0=LEN(ReferenceData!$N$234),"",ReferenceData!$N$234),"")</f>
        <v>1.401394748</v>
      </c>
      <c r="O234">
        <f ca="1">IFERROR(IF(0=LEN(ReferenceData!$O$234),"",ReferenceData!$O$234),"")</f>
        <v>1.381924704</v>
      </c>
      <c r="P234">
        <f ca="1">IFERROR(IF(0=LEN(ReferenceData!$P$234),"",ReferenceData!$P$234),"")</f>
        <v>1.7840025399999999</v>
      </c>
      <c r="Q234">
        <f ca="1">IFERROR(IF(0=LEN(ReferenceData!$Q$234),"",ReferenceData!$Q$234),"")</f>
        <v>1.931602904</v>
      </c>
      <c r="R234">
        <f ca="1">IFERROR(IF(0=LEN(ReferenceData!$R$234),"",ReferenceData!$R$234),"")</f>
        <v>1.9349759390000001</v>
      </c>
      <c r="S234">
        <f ca="1">IFERROR(IF(0=LEN(ReferenceData!$S$234),"",ReferenceData!$S$234),"")</f>
        <v>2.2049119570000002</v>
      </c>
      <c r="T234">
        <f ca="1">IFERROR(IF(0=LEN(ReferenceData!$T$234),"",ReferenceData!$T$234),"")</f>
        <v>2.6959005610000002</v>
      </c>
      <c r="U234">
        <f ca="1">IFERROR(IF(0=LEN(ReferenceData!$U$234),"",ReferenceData!$U$234),"")</f>
        <v>3.0390887860000002</v>
      </c>
      <c r="V234">
        <f ca="1">IFERROR(IF(0=LEN(ReferenceData!$V$234),"",ReferenceData!$V$234),"")</f>
        <v>2.9166989710000002</v>
      </c>
      <c r="W234">
        <f ca="1">IFERROR(IF(0=LEN(ReferenceData!$W$234),"",ReferenceData!$W$234),"")</f>
        <v>2.818992019</v>
      </c>
      <c r="X234" t="str">
        <f ca="1">IFERROR(IF(0=LEN(ReferenceData!$X$234),"",ReferenceData!$X$234),"")</f>
        <v/>
      </c>
      <c r="Y234" t="str">
        <f ca="1">IFERROR(IF(0=LEN(ReferenceData!$Y$234),"",ReferenceData!$Y$234),"")</f>
        <v/>
      </c>
      <c r="Z234" t="str">
        <f ca="1">IFERROR(IF(0=LEN(ReferenceData!$Z$234),"",ReferenceData!$Z$234),"")</f>
        <v/>
      </c>
      <c r="AA234" t="str">
        <f ca="1">IFERROR(IF(0=LEN(ReferenceData!$AA$234),"",ReferenceData!$AA$234),"")</f>
        <v/>
      </c>
      <c r="AB234" t="str">
        <f ca="1">IFERROR(IF(0=LEN(ReferenceData!$AB$234),"",ReferenceData!$AB$234),"")</f>
        <v/>
      </c>
      <c r="AC234" t="str">
        <f ca="1">IFERROR(IF(0=LEN(ReferenceData!$AC$234),"",ReferenceData!$AC$234),"")</f>
        <v/>
      </c>
      <c r="AD234" t="str">
        <f ca="1">IFERROR(IF(0=LEN(ReferenceData!$AD$234),"",ReferenceData!$AD$234),"")</f>
        <v/>
      </c>
      <c r="AE234" t="str">
        <f ca="1">IFERROR(IF(0=LEN(ReferenceData!$AE$234),"",ReferenceData!$AE$234),"")</f>
        <v/>
      </c>
      <c r="AF234" t="str">
        <f ca="1">IFERROR(IF(0=LEN(ReferenceData!$AF$234),"",ReferenceData!$AF$234),"")</f>
        <v/>
      </c>
      <c r="AG234" t="str">
        <f ca="1">IFERROR(IF(0=LEN(ReferenceData!$AG$234),"",ReferenceData!$AG$234),"")</f>
        <v/>
      </c>
      <c r="AH234" t="str">
        <f ca="1">IFERROR(IF(0=LEN(ReferenceData!$AH$234),"",ReferenceData!$AH$234),"")</f>
        <v/>
      </c>
      <c r="AI234" t="str">
        <f ca="1">IFERROR(IF(0=LEN(ReferenceData!$AI$234),"",ReferenceData!$AI$234),"")</f>
        <v/>
      </c>
      <c r="AJ234" t="str">
        <f ca="1">IFERROR(IF(0=LEN(ReferenceData!$AJ$234),"",ReferenceData!$AJ$234),"")</f>
        <v/>
      </c>
      <c r="AK234" t="str">
        <f ca="1">IFERROR(IF(0=LEN(ReferenceData!$AK$234),"",ReferenceData!$AK$234),"")</f>
        <v/>
      </c>
      <c r="AL234" t="str">
        <f ca="1">IFERROR(IF(0=LEN(ReferenceData!$AL$234),"",ReferenceData!$AL$234),"")</f>
        <v/>
      </c>
    </row>
    <row r="235" spans="1:38" x14ac:dyDescent="0.25">
      <c r="A235" t="str">
        <f>IFERROR(IF(0=LEN(ReferenceData!$A$235),"",ReferenceData!$A$235),"")</f>
        <v xml:space="preserve">    PNC Financial Services Group I</v>
      </c>
      <c r="B235" t="str">
        <f>IFERROR(IF(0=LEN(ReferenceData!$B$235),"",ReferenceData!$B$235),"")</f>
        <v>PNC US Equity</v>
      </c>
      <c r="C235" t="str">
        <f>IFERROR(IF(0=LEN(ReferenceData!$C$235),"",ReferenceData!$C$235),"")</f>
        <v>F0116</v>
      </c>
      <c r="D235" t="str">
        <f>IFERROR(IF(0=LEN(ReferenceData!$D$235),"",ReferenceData!$D$235),"")</f>
        <v>FED_OTHER_LEASES_%_TOT_LNS_LEAS</v>
      </c>
      <c r="E235" t="str">
        <f>IFERROR(IF(0=LEN(ReferenceData!$E$235),"",ReferenceData!$E$235),"")</f>
        <v>Dynamic</v>
      </c>
      <c r="F235" t="str">
        <f ca="1">IFERROR(IF(0=LEN(ReferenceData!$F$235),"",ReferenceData!$F$235),"")</f>
        <v/>
      </c>
      <c r="G235">
        <f ca="1">IFERROR(IF(0=LEN(ReferenceData!$G$235),"",ReferenceData!$G$235),"")</f>
        <v>2.0514175880000001</v>
      </c>
      <c r="H235">
        <f ca="1">IFERROR(IF(0=LEN(ReferenceData!$H$235),"",ReferenceData!$H$235),"")</f>
        <v>2.0047857520000001</v>
      </c>
      <c r="I235">
        <f ca="1">IFERROR(IF(0=LEN(ReferenceData!$I$235),"",ReferenceData!$I$235),"")</f>
        <v>2.1172515390000002</v>
      </c>
      <c r="J235">
        <f ca="1">IFERROR(IF(0=LEN(ReferenceData!$J$235),"",ReferenceData!$J$235),"")</f>
        <v>2.6501066519999998</v>
      </c>
      <c r="K235">
        <f ca="1">IFERROR(IF(0=LEN(ReferenceData!$K$235),"",ReferenceData!$K$235),"")</f>
        <v>2.9788189539999999</v>
      </c>
      <c r="L235">
        <f ca="1">IFERROR(IF(0=LEN(ReferenceData!$L$235),"",ReferenceData!$L$235),"")</f>
        <v>3.2164383779999999</v>
      </c>
      <c r="M235">
        <f ca="1">IFERROR(IF(0=LEN(ReferenceData!$M$235),"",ReferenceData!$M$235),"")</f>
        <v>3.5620057269999998</v>
      </c>
      <c r="N235">
        <f ca="1">IFERROR(IF(0=LEN(ReferenceData!$N$235),"",ReferenceData!$N$235),"")</f>
        <v>3.556132216</v>
      </c>
      <c r="O235">
        <f ca="1">IFERROR(IF(0=LEN(ReferenceData!$O$235),"",ReferenceData!$O$235),"")</f>
        <v>3.584824797</v>
      </c>
      <c r="P235">
        <f ca="1">IFERROR(IF(0=LEN(ReferenceData!$P$235),"",ReferenceData!$P$235),"")</f>
        <v>3.7071409329999998</v>
      </c>
      <c r="Q235">
        <f ca="1">IFERROR(IF(0=LEN(ReferenceData!$Q$235),"",ReferenceData!$Q$235),"")</f>
        <v>3.808541951</v>
      </c>
      <c r="R235">
        <f ca="1">IFERROR(IF(0=LEN(ReferenceData!$R$235),"",ReferenceData!$R$235),"")</f>
        <v>3.8135931630000002</v>
      </c>
      <c r="S235">
        <f ca="1">IFERROR(IF(0=LEN(ReferenceData!$S$235),"",ReferenceData!$S$235),"")</f>
        <v>3.920544611</v>
      </c>
      <c r="T235">
        <f ca="1">IFERROR(IF(0=LEN(ReferenceData!$T$235),"",ReferenceData!$T$235),"")</f>
        <v>3.8713848259999999</v>
      </c>
      <c r="U235">
        <f ca="1">IFERROR(IF(0=LEN(ReferenceData!$U$235),"",ReferenceData!$U$235),"")</f>
        <v>3.6081160419999998</v>
      </c>
      <c r="V235">
        <f ca="1">IFERROR(IF(0=LEN(ReferenceData!$V$235),"",ReferenceData!$V$235),"")</f>
        <v>3.4362877260000002</v>
      </c>
      <c r="W235">
        <f ca="1">IFERROR(IF(0=LEN(ReferenceData!$W$235),"",ReferenceData!$W$235),"")</f>
        <v>3.072646465</v>
      </c>
      <c r="X235" t="str">
        <f ca="1">IFERROR(IF(0=LEN(ReferenceData!$X$235),"",ReferenceData!$X$235),"")</f>
        <v/>
      </c>
      <c r="Y235" t="str">
        <f ca="1">IFERROR(IF(0=LEN(ReferenceData!$Y$235),"",ReferenceData!$Y$235),"")</f>
        <v/>
      </c>
      <c r="Z235" t="str">
        <f ca="1">IFERROR(IF(0=LEN(ReferenceData!$Z$235),"",ReferenceData!$Z$235),"")</f>
        <v/>
      </c>
      <c r="AA235" t="str">
        <f ca="1">IFERROR(IF(0=LEN(ReferenceData!$AA$235),"",ReferenceData!$AA$235),"")</f>
        <v/>
      </c>
      <c r="AB235" t="str">
        <f ca="1">IFERROR(IF(0=LEN(ReferenceData!$AB$235),"",ReferenceData!$AB$235),"")</f>
        <v/>
      </c>
      <c r="AC235" t="str">
        <f ca="1">IFERROR(IF(0=LEN(ReferenceData!$AC$235),"",ReferenceData!$AC$235),"")</f>
        <v/>
      </c>
      <c r="AD235" t="str">
        <f ca="1">IFERROR(IF(0=LEN(ReferenceData!$AD$235),"",ReferenceData!$AD$235),"")</f>
        <v/>
      </c>
      <c r="AE235" t="str">
        <f ca="1">IFERROR(IF(0=LEN(ReferenceData!$AE$235),"",ReferenceData!$AE$235),"")</f>
        <v/>
      </c>
      <c r="AF235" t="str">
        <f ca="1">IFERROR(IF(0=LEN(ReferenceData!$AF$235),"",ReferenceData!$AF$235),"")</f>
        <v/>
      </c>
      <c r="AG235" t="str">
        <f ca="1">IFERROR(IF(0=LEN(ReferenceData!$AG$235),"",ReferenceData!$AG$235),"")</f>
        <v/>
      </c>
      <c r="AH235" t="str">
        <f ca="1">IFERROR(IF(0=LEN(ReferenceData!$AH$235),"",ReferenceData!$AH$235),"")</f>
        <v/>
      </c>
      <c r="AI235" t="str">
        <f ca="1">IFERROR(IF(0=LEN(ReferenceData!$AI$235),"",ReferenceData!$AI$235),"")</f>
        <v/>
      </c>
      <c r="AJ235" t="str">
        <f ca="1">IFERROR(IF(0=LEN(ReferenceData!$AJ$235),"",ReferenceData!$AJ$235),"")</f>
        <v/>
      </c>
      <c r="AK235" t="str">
        <f ca="1">IFERROR(IF(0=LEN(ReferenceData!$AK$235),"",ReferenceData!$AK$235),"")</f>
        <v/>
      </c>
      <c r="AL235" t="str">
        <f ca="1">IFERROR(IF(0=LEN(ReferenceData!$AL$235),"",ReferenceData!$AL$235),"")</f>
        <v/>
      </c>
    </row>
    <row r="236" spans="1:38" x14ac:dyDescent="0.25">
      <c r="A236" t="str">
        <f>IFERROR(IF(0=LEN(ReferenceData!$A$236),"",ReferenceData!$A$236),"")</f>
        <v xml:space="preserve">    Regions Financial Corp</v>
      </c>
      <c r="B236" t="str">
        <f>IFERROR(IF(0=LEN(ReferenceData!$B$236),"",ReferenceData!$B$236),"")</f>
        <v>RF US Equity</v>
      </c>
      <c r="C236" t="str">
        <f>IFERROR(IF(0=LEN(ReferenceData!$C$236),"",ReferenceData!$C$236),"")</f>
        <v>F0116</v>
      </c>
      <c r="D236" t="str">
        <f>IFERROR(IF(0=LEN(ReferenceData!$D$236),"",ReferenceData!$D$236),"")</f>
        <v>FED_OTHER_LEASES_%_TOT_LNS_LEAS</v>
      </c>
      <c r="E236" t="str">
        <f>IFERROR(IF(0=LEN(ReferenceData!$E$236),"",ReferenceData!$E$236),"")</f>
        <v>Dynamic</v>
      </c>
      <c r="F236" t="str">
        <f ca="1">IFERROR(IF(0=LEN(ReferenceData!$F$236),"",ReferenceData!$F$236),"")</f>
        <v/>
      </c>
      <c r="G236">
        <f ca="1">IFERROR(IF(0=LEN(ReferenceData!$G$236),"",ReferenceData!$G$236),"")</f>
        <v>1.7223223510000001</v>
      </c>
      <c r="H236">
        <f ca="1">IFERROR(IF(0=LEN(ReferenceData!$H$236),"",ReferenceData!$H$236),"")</f>
        <v>1.6014874619999999</v>
      </c>
      <c r="I236">
        <f ca="1">IFERROR(IF(0=LEN(ReferenceData!$I$236),"",ReferenceData!$I$236),"")</f>
        <v>1.69982202</v>
      </c>
      <c r="J236">
        <f ca="1">IFERROR(IF(0=LEN(ReferenceData!$J$236),"",ReferenceData!$J$236),"")</f>
        <v>1.8321784219999999</v>
      </c>
      <c r="K236">
        <f ca="1">IFERROR(IF(0=LEN(ReferenceData!$K$236),"",ReferenceData!$K$236),"")</f>
        <v>1.6244019139999999</v>
      </c>
      <c r="L236">
        <f ca="1">IFERROR(IF(0=LEN(ReferenceData!$L$236),"",ReferenceData!$L$236),"")</f>
        <v>1.491345001</v>
      </c>
      <c r="M236">
        <f ca="1">IFERROR(IF(0=LEN(ReferenceData!$M$236),"",ReferenceData!$M$236),"")</f>
        <v>1.439154249</v>
      </c>
      <c r="N236">
        <f ca="1">IFERROR(IF(0=LEN(ReferenceData!$N$236),"",ReferenceData!$N$236),"")</f>
        <v>1.2431696400000001</v>
      </c>
      <c r="O236">
        <f ca="1">IFERROR(IF(0=LEN(ReferenceData!$O$236),"",ReferenceData!$O$236),"")</f>
        <v>1.2216109740000001</v>
      </c>
      <c r="P236">
        <f ca="1">IFERROR(IF(0=LEN(ReferenceData!$P$236),"",ReferenceData!$P$236),"")</f>
        <v>2.3188156000000002</v>
      </c>
      <c r="Q236">
        <f ca="1">IFERROR(IF(0=LEN(ReferenceData!$Q$236),"",ReferenceData!$Q$236),"")</f>
        <v>2.3710266820000001</v>
      </c>
      <c r="R236">
        <f ca="1">IFERROR(IF(0=LEN(ReferenceData!$R$236),"",ReferenceData!$R$236),"")</f>
        <v>2.1596788949999999</v>
      </c>
      <c r="S236">
        <f ca="1">IFERROR(IF(0=LEN(ReferenceData!$S$236),"",ReferenceData!$S$236),"")</f>
        <v>1.9948343639999999</v>
      </c>
      <c r="T236">
        <f ca="1">IFERROR(IF(0=LEN(ReferenceData!$T$236),"",ReferenceData!$T$236),"")</f>
        <v>2.1729631810000001</v>
      </c>
      <c r="U236">
        <f ca="1">IFERROR(IF(0=LEN(ReferenceData!$U$236),"",ReferenceData!$U$236),"")</f>
        <v>2.3387453570000001</v>
      </c>
      <c r="V236">
        <f ca="1">IFERROR(IF(0=LEN(ReferenceData!$V$236),"",ReferenceData!$V$236),"")</f>
        <v>2.0595381979999998</v>
      </c>
      <c r="W236">
        <f ca="1">IFERROR(IF(0=LEN(ReferenceData!$W$236),"",ReferenceData!$W$236),"")</f>
        <v>2.246696714</v>
      </c>
      <c r="X236" t="str">
        <f ca="1">IFERROR(IF(0=LEN(ReferenceData!$X$236),"",ReferenceData!$X$236),"")</f>
        <v/>
      </c>
      <c r="Y236" t="str">
        <f ca="1">IFERROR(IF(0=LEN(ReferenceData!$Y$236),"",ReferenceData!$Y$236),"")</f>
        <v/>
      </c>
      <c r="Z236" t="str">
        <f ca="1">IFERROR(IF(0=LEN(ReferenceData!$Z$236),"",ReferenceData!$Z$236),"")</f>
        <v/>
      </c>
      <c r="AA236" t="str">
        <f ca="1">IFERROR(IF(0=LEN(ReferenceData!$AA$236),"",ReferenceData!$AA$236),"")</f>
        <v/>
      </c>
      <c r="AB236" t="str">
        <f ca="1">IFERROR(IF(0=LEN(ReferenceData!$AB$236),"",ReferenceData!$AB$236),"")</f>
        <v/>
      </c>
      <c r="AC236" t="str">
        <f ca="1">IFERROR(IF(0=LEN(ReferenceData!$AC$236),"",ReferenceData!$AC$236),"")</f>
        <v/>
      </c>
      <c r="AD236" t="str">
        <f ca="1">IFERROR(IF(0=LEN(ReferenceData!$AD$236),"",ReferenceData!$AD$236),"")</f>
        <v/>
      </c>
      <c r="AE236" t="str">
        <f ca="1">IFERROR(IF(0=LEN(ReferenceData!$AE$236),"",ReferenceData!$AE$236),"")</f>
        <v/>
      </c>
      <c r="AF236" t="str">
        <f ca="1">IFERROR(IF(0=LEN(ReferenceData!$AF$236),"",ReferenceData!$AF$236),"")</f>
        <v/>
      </c>
      <c r="AG236" t="str">
        <f ca="1">IFERROR(IF(0=LEN(ReferenceData!$AG$236),"",ReferenceData!$AG$236),"")</f>
        <v/>
      </c>
      <c r="AH236" t="str">
        <f ca="1">IFERROR(IF(0=LEN(ReferenceData!$AH$236),"",ReferenceData!$AH$236),"")</f>
        <v/>
      </c>
      <c r="AI236" t="str">
        <f ca="1">IFERROR(IF(0=LEN(ReferenceData!$AI$236),"",ReferenceData!$AI$236),"")</f>
        <v/>
      </c>
      <c r="AJ236" t="str">
        <f ca="1">IFERROR(IF(0=LEN(ReferenceData!$AJ$236),"",ReferenceData!$AJ$236),"")</f>
        <v/>
      </c>
      <c r="AK236" t="str">
        <f ca="1">IFERROR(IF(0=LEN(ReferenceData!$AK$236),"",ReferenceData!$AK$236),"")</f>
        <v/>
      </c>
      <c r="AL236" t="str">
        <f ca="1">IFERROR(IF(0=LEN(ReferenceData!$AL$236),"",ReferenceData!$AL$236),"")</f>
        <v/>
      </c>
    </row>
    <row r="237" spans="1:38" x14ac:dyDescent="0.25">
      <c r="A237" t="str">
        <f>IFERROR(IF(0=LEN(ReferenceData!$A$237),"",ReferenceData!$A$237),"")</f>
        <v xml:space="preserve">    Truist Financial Corp</v>
      </c>
      <c r="B237" t="str">
        <f>IFERROR(IF(0=LEN(ReferenceData!$B$237),"",ReferenceData!$B$237),"")</f>
        <v>TFC US Equity</v>
      </c>
      <c r="C237" t="str">
        <f>IFERROR(IF(0=LEN(ReferenceData!$C$237),"",ReferenceData!$C$237),"")</f>
        <v>F0116</v>
      </c>
      <c r="D237" t="str">
        <f>IFERROR(IF(0=LEN(ReferenceData!$D$237),"",ReferenceData!$D$237),"")</f>
        <v>FED_OTHER_LEASES_%_TOT_LNS_LEAS</v>
      </c>
      <c r="E237" t="str">
        <f>IFERROR(IF(0=LEN(ReferenceData!$E$237),"",ReferenceData!$E$237),"")</f>
        <v>Dynamic</v>
      </c>
      <c r="F237">
        <f ca="1">IFERROR(IF(0=LEN(ReferenceData!$F$237),"",ReferenceData!$F$237),"")</f>
        <v>0.76680389000000004</v>
      </c>
      <c r="G237">
        <f ca="1">IFERROR(IF(0=LEN(ReferenceData!$G$237),"",ReferenceData!$G$237),"")</f>
        <v>0.91402018900000004</v>
      </c>
      <c r="H237">
        <f ca="1">IFERROR(IF(0=LEN(ReferenceData!$H$237),"",ReferenceData!$H$237),"")</f>
        <v>0.99775528000000002</v>
      </c>
      <c r="I237">
        <f ca="1">IFERROR(IF(0=LEN(ReferenceData!$I$237),"",ReferenceData!$I$237),"")</f>
        <v>1.6621082140000001</v>
      </c>
      <c r="J237">
        <f ca="1">IFERROR(IF(0=LEN(ReferenceData!$J$237),"",ReferenceData!$J$237),"")</f>
        <v>1.782578411</v>
      </c>
      <c r="K237">
        <f ca="1">IFERROR(IF(0=LEN(ReferenceData!$K$237),"",ReferenceData!$K$237),"")</f>
        <v>2.012231721</v>
      </c>
      <c r="L237">
        <f ca="1">IFERROR(IF(0=LEN(ReferenceData!$L$237),"",ReferenceData!$L$237),"")</f>
        <v>1.345324365</v>
      </c>
      <c r="M237">
        <f ca="1">IFERROR(IF(0=LEN(ReferenceData!$M$237),"",ReferenceData!$M$237),"")</f>
        <v>1.3197513809999999</v>
      </c>
      <c r="N237">
        <f ca="1">IFERROR(IF(0=LEN(ReferenceData!$N$237),"",ReferenceData!$N$237),"")</f>
        <v>1.1553949130000001</v>
      </c>
      <c r="O237">
        <f ca="1">IFERROR(IF(0=LEN(ReferenceData!$O$237),"",ReferenceData!$O$237),"")</f>
        <v>1.111520375</v>
      </c>
      <c r="P237">
        <f ca="1">IFERROR(IF(0=LEN(ReferenceData!$P$237),"",ReferenceData!$P$237),"")</f>
        <v>0.92289223499999995</v>
      </c>
      <c r="Q237">
        <f ca="1">IFERROR(IF(0=LEN(ReferenceData!$Q$237),"",ReferenceData!$Q$237),"")</f>
        <v>0.96083084100000005</v>
      </c>
      <c r="R237">
        <f ca="1">IFERROR(IF(0=LEN(ReferenceData!$R$237),"",ReferenceData!$R$237),"")</f>
        <v>0.94110717300000002</v>
      </c>
      <c r="S237">
        <f ca="1">IFERROR(IF(0=LEN(ReferenceData!$S$237),"",ReferenceData!$S$237),"")</f>
        <v>0.95922048000000004</v>
      </c>
      <c r="T237">
        <f ca="1">IFERROR(IF(0=LEN(ReferenceData!$T$237),"",ReferenceData!$T$237),"")</f>
        <v>1.079387562</v>
      </c>
      <c r="U237">
        <f ca="1">IFERROR(IF(0=LEN(ReferenceData!$U$237),"",ReferenceData!$U$237),"")</f>
        <v>1.0277976339999999</v>
      </c>
      <c r="V237">
        <f ca="1">IFERROR(IF(0=LEN(ReferenceData!$V$237),"",ReferenceData!$V$237),"")</f>
        <v>1.331836281</v>
      </c>
      <c r="W237">
        <f ca="1">IFERROR(IF(0=LEN(ReferenceData!$W$237),"",ReferenceData!$W$237),"")</f>
        <v>1.7997913189999999</v>
      </c>
      <c r="X237" t="str">
        <f ca="1">IFERROR(IF(0=LEN(ReferenceData!$X$237),"",ReferenceData!$X$237),"")</f>
        <v/>
      </c>
      <c r="Y237" t="str">
        <f ca="1">IFERROR(IF(0=LEN(ReferenceData!$Y$237),"",ReferenceData!$Y$237),"")</f>
        <v/>
      </c>
      <c r="Z237" t="str">
        <f ca="1">IFERROR(IF(0=LEN(ReferenceData!$Z$237),"",ReferenceData!$Z$237),"")</f>
        <v/>
      </c>
      <c r="AA237" t="str">
        <f ca="1">IFERROR(IF(0=LEN(ReferenceData!$AA$237),"",ReferenceData!$AA$237),"")</f>
        <v/>
      </c>
      <c r="AB237" t="str">
        <f ca="1">IFERROR(IF(0=LEN(ReferenceData!$AB$237),"",ReferenceData!$AB$237),"")</f>
        <v/>
      </c>
      <c r="AC237" t="str">
        <f ca="1">IFERROR(IF(0=LEN(ReferenceData!$AC$237),"",ReferenceData!$AC$237),"")</f>
        <v/>
      </c>
      <c r="AD237" t="str">
        <f ca="1">IFERROR(IF(0=LEN(ReferenceData!$AD$237),"",ReferenceData!$AD$237),"")</f>
        <v/>
      </c>
      <c r="AE237" t="str">
        <f ca="1">IFERROR(IF(0=LEN(ReferenceData!$AE$237),"",ReferenceData!$AE$237),"")</f>
        <v/>
      </c>
      <c r="AF237" t="str">
        <f ca="1">IFERROR(IF(0=LEN(ReferenceData!$AF$237),"",ReferenceData!$AF$237),"")</f>
        <v/>
      </c>
      <c r="AG237" t="str">
        <f ca="1">IFERROR(IF(0=LEN(ReferenceData!$AG$237),"",ReferenceData!$AG$237),"")</f>
        <v/>
      </c>
      <c r="AH237" t="str">
        <f ca="1">IFERROR(IF(0=LEN(ReferenceData!$AH$237),"",ReferenceData!$AH$237),"")</f>
        <v/>
      </c>
      <c r="AI237" t="str">
        <f ca="1">IFERROR(IF(0=LEN(ReferenceData!$AI$237),"",ReferenceData!$AI$237),"")</f>
        <v/>
      </c>
      <c r="AJ237" t="str">
        <f ca="1">IFERROR(IF(0=LEN(ReferenceData!$AJ$237),"",ReferenceData!$AJ$237),"")</f>
        <v/>
      </c>
      <c r="AK237" t="str">
        <f ca="1">IFERROR(IF(0=LEN(ReferenceData!$AK$237),"",ReferenceData!$AK$237),"")</f>
        <v/>
      </c>
      <c r="AL237" t="str">
        <f ca="1">IFERROR(IF(0=LEN(ReferenceData!$AL$237),"",ReferenceData!$AL$237),"")</f>
        <v/>
      </c>
    </row>
    <row r="238" spans="1:38" x14ac:dyDescent="0.25">
      <c r="A238" t="str">
        <f>IFERROR(IF(0=LEN(ReferenceData!$A$238),"",ReferenceData!$A$238),"")</f>
        <v xml:space="preserve">    US Bancorp</v>
      </c>
      <c r="B238" t="str">
        <f>IFERROR(IF(0=LEN(ReferenceData!$B$238),"",ReferenceData!$B$238),"")</f>
        <v>USB US Equity</v>
      </c>
      <c r="C238" t="str">
        <f>IFERROR(IF(0=LEN(ReferenceData!$C$238),"",ReferenceData!$C$238),"")</f>
        <v>F0116</v>
      </c>
      <c r="D238" t="str">
        <f>IFERROR(IF(0=LEN(ReferenceData!$D$238),"",ReferenceData!$D$238),"")</f>
        <v>FED_OTHER_LEASES_%_TOT_LNS_LEAS</v>
      </c>
      <c r="E238" t="str">
        <f>IFERROR(IF(0=LEN(ReferenceData!$E$238),"",ReferenceData!$E$238),"")</f>
        <v>Dynamic</v>
      </c>
      <c r="F238">
        <f ca="1">IFERROR(IF(0=LEN(ReferenceData!$F$238),"",ReferenceData!$F$238),"")</f>
        <v>1.106157085</v>
      </c>
      <c r="G238">
        <f ca="1">IFERROR(IF(0=LEN(ReferenceData!$G$238),"",ReferenceData!$G$238),"")</f>
        <v>1.1182439980000001</v>
      </c>
      <c r="H238">
        <f ca="1">IFERROR(IF(0=LEN(ReferenceData!$H$238),"",ReferenceData!$H$238),"")</f>
        <v>1.170299145</v>
      </c>
      <c r="I238">
        <f ca="1">IFERROR(IF(0=LEN(ReferenceData!$I$238),"",ReferenceData!$I$238),"")</f>
        <v>1.5981713740000001</v>
      </c>
      <c r="J238">
        <f ca="1">IFERROR(IF(0=LEN(ReferenceData!$J$238),"",ReferenceData!$J$238),"")</f>
        <v>1.8129135830000001</v>
      </c>
      <c r="K238">
        <f ca="1">IFERROR(IF(0=LEN(ReferenceData!$K$238),"",ReferenceData!$K$238),"")</f>
        <v>1.887761867</v>
      </c>
      <c r="L238">
        <f ca="1">IFERROR(IF(0=LEN(ReferenceData!$L$238),"",ReferenceData!$L$238),"")</f>
        <v>1.937501299</v>
      </c>
      <c r="M238">
        <f ca="1">IFERROR(IF(0=LEN(ReferenceData!$M$238),"",ReferenceData!$M$238),"")</f>
        <v>1.9775745520000001</v>
      </c>
      <c r="N238">
        <f ca="1">IFERROR(IF(0=LEN(ReferenceData!$N$238),"",ReferenceData!$N$238),"")</f>
        <v>1.9687695009999999</v>
      </c>
      <c r="O238">
        <f ca="1">IFERROR(IF(0=LEN(ReferenceData!$O$238),"",ReferenceData!$O$238),"")</f>
        <v>2.009878289</v>
      </c>
      <c r="P238">
        <f ca="1">IFERROR(IF(0=LEN(ReferenceData!$P$238),"",ReferenceData!$P$238),"")</f>
        <v>2.1398348899999999</v>
      </c>
      <c r="Q238">
        <f ca="1">IFERROR(IF(0=LEN(ReferenceData!$Q$238),"",ReferenceData!$Q$238),"")</f>
        <v>2.2249612710000002</v>
      </c>
      <c r="R238">
        <f ca="1">IFERROR(IF(0=LEN(ReferenceData!$R$238),"",ReferenceData!$R$238),"")</f>
        <v>2.383219215</v>
      </c>
      <c r="S238">
        <f ca="1">IFERROR(IF(0=LEN(ReferenceData!$S$238),"",ReferenceData!$S$238),"")</f>
        <v>2.757559509</v>
      </c>
      <c r="T238">
        <f ca="1">IFERROR(IF(0=LEN(ReferenceData!$T$238),"",ReferenceData!$T$238),"")</f>
        <v>3.028250822</v>
      </c>
      <c r="U238">
        <f ca="1">IFERROR(IF(0=LEN(ReferenceData!$U$238),"",ReferenceData!$U$238),"")</f>
        <v>3.3419036019999999</v>
      </c>
      <c r="V238">
        <f ca="1">IFERROR(IF(0=LEN(ReferenceData!$V$238),"",ReferenceData!$V$238),"")</f>
        <v>3.6452050059999999</v>
      </c>
      <c r="W238">
        <f ca="1">IFERROR(IF(0=LEN(ReferenceData!$W$238),"",ReferenceData!$W$238),"")</f>
        <v>3.934546096</v>
      </c>
      <c r="X238" t="str">
        <f ca="1">IFERROR(IF(0=LEN(ReferenceData!$X$238),"",ReferenceData!$X$238),"")</f>
        <v/>
      </c>
      <c r="Y238" t="str">
        <f ca="1">IFERROR(IF(0=LEN(ReferenceData!$Y$238),"",ReferenceData!$Y$238),"")</f>
        <v/>
      </c>
      <c r="Z238" t="str">
        <f ca="1">IFERROR(IF(0=LEN(ReferenceData!$Z$238),"",ReferenceData!$Z$238),"")</f>
        <v/>
      </c>
      <c r="AA238" t="str">
        <f ca="1">IFERROR(IF(0=LEN(ReferenceData!$AA$238),"",ReferenceData!$AA$238),"")</f>
        <v/>
      </c>
      <c r="AB238" t="str">
        <f ca="1">IFERROR(IF(0=LEN(ReferenceData!$AB$238),"",ReferenceData!$AB$238),"")</f>
        <v/>
      </c>
      <c r="AC238" t="str">
        <f ca="1">IFERROR(IF(0=LEN(ReferenceData!$AC$238),"",ReferenceData!$AC$238),"")</f>
        <v/>
      </c>
      <c r="AD238" t="str">
        <f ca="1">IFERROR(IF(0=LEN(ReferenceData!$AD$238),"",ReferenceData!$AD$238),"")</f>
        <v/>
      </c>
      <c r="AE238" t="str">
        <f ca="1">IFERROR(IF(0=LEN(ReferenceData!$AE$238),"",ReferenceData!$AE$238),"")</f>
        <v/>
      </c>
      <c r="AF238" t="str">
        <f ca="1">IFERROR(IF(0=LEN(ReferenceData!$AF$238),"",ReferenceData!$AF$238),"")</f>
        <v/>
      </c>
      <c r="AG238" t="str">
        <f ca="1">IFERROR(IF(0=LEN(ReferenceData!$AG$238),"",ReferenceData!$AG$238),"")</f>
        <v/>
      </c>
      <c r="AH238" t="str">
        <f ca="1">IFERROR(IF(0=LEN(ReferenceData!$AH$238),"",ReferenceData!$AH$238),"")</f>
        <v/>
      </c>
      <c r="AI238" t="str">
        <f ca="1">IFERROR(IF(0=LEN(ReferenceData!$AI$238),"",ReferenceData!$AI$238),"")</f>
        <v/>
      </c>
      <c r="AJ238" t="str">
        <f ca="1">IFERROR(IF(0=LEN(ReferenceData!$AJ$238),"",ReferenceData!$AJ$238),"")</f>
        <v/>
      </c>
      <c r="AK238" t="str">
        <f ca="1">IFERROR(IF(0=LEN(ReferenceData!$AK$238),"",ReferenceData!$AK$238),"")</f>
        <v/>
      </c>
      <c r="AL238" t="str">
        <f ca="1">IFERROR(IF(0=LEN(ReferenceData!$AL$238),"",ReferenceData!$AL$238),"")</f>
        <v/>
      </c>
    </row>
    <row r="239" spans="1:38" x14ac:dyDescent="0.25">
      <c r="A239" t="str">
        <f>IFERROR(IF(0=LEN(ReferenceData!$A$239),"",ReferenceData!$A$239),"")</f>
        <v xml:space="preserve">    Wells Fargo &amp; Co</v>
      </c>
      <c r="B239" t="str">
        <f>IFERROR(IF(0=LEN(ReferenceData!$B$239),"",ReferenceData!$B$239),"")</f>
        <v>WFC US Equity</v>
      </c>
      <c r="C239" t="str">
        <f>IFERROR(IF(0=LEN(ReferenceData!$C$239),"",ReferenceData!$C$239),"")</f>
        <v>F0116</v>
      </c>
      <c r="D239" t="str">
        <f>IFERROR(IF(0=LEN(ReferenceData!$D$239),"",ReferenceData!$D$239),"")</f>
        <v>FED_OTHER_LEASES_%_TOT_LNS_LEAS</v>
      </c>
      <c r="E239" t="str">
        <f>IFERROR(IF(0=LEN(ReferenceData!$E$239),"",ReferenceData!$E$239),"")</f>
        <v>Dynamic</v>
      </c>
      <c r="F239">
        <f ca="1">IFERROR(IF(0=LEN(ReferenceData!$F$239),"",ReferenceData!$F$239),"")</f>
        <v>1.792951417</v>
      </c>
      <c r="G239">
        <f ca="1">IFERROR(IF(0=LEN(ReferenceData!$G$239),"",ReferenceData!$G$239),"")</f>
        <v>1.7474529830000001</v>
      </c>
      <c r="H239">
        <f ca="1">IFERROR(IF(0=LEN(ReferenceData!$H$239),"",ReferenceData!$H$239),"")</f>
        <v>1.550687513</v>
      </c>
      <c r="I239">
        <f ca="1">IFERROR(IF(0=LEN(ReferenceData!$I$239),"",ReferenceData!$I$239),"")</f>
        <v>1.62293474</v>
      </c>
      <c r="J239">
        <f ca="1">IFERROR(IF(0=LEN(ReferenceData!$J$239),"",ReferenceData!$J$239),"")</f>
        <v>1.8009587250000001</v>
      </c>
      <c r="K239">
        <f ca="1">IFERROR(IF(0=LEN(ReferenceData!$K$239),"",ReferenceData!$K$239),"")</f>
        <v>2.017851437</v>
      </c>
      <c r="L239">
        <f ca="1">IFERROR(IF(0=LEN(ReferenceData!$L$239),"",ReferenceData!$L$239),"")</f>
        <v>2.0412626290000002</v>
      </c>
      <c r="M239">
        <f ca="1">IFERROR(IF(0=LEN(ReferenceData!$M$239),"",ReferenceData!$M$239),"")</f>
        <v>1.9926236429999999</v>
      </c>
      <c r="N239">
        <f ca="1">IFERROR(IF(0=LEN(ReferenceData!$N$239),"",ReferenceData!$N$239),"")</f>
        <v>1.950799677</v>
      </c>
      <c r="O239">
        <f ca="1">IFERROR(IF(0=LEN(ReferenceData!$O$239),"",ReferenceData!$O$239),"")</f>
        <v>1.327048088</v>
      </c>
      <c r="P239">
        <f ca="1">IFERROR(IF(0=LEN(ReferenceData!$P$239),"",ReferenceData!$P$239),"")</f>
        <v>1.40182871</v>
      </c>
      <c r="Q239">
        <f ca="1">IFERROR(IF(0=LEN(ReferenceData!$Q$239),"",ReferenceData!$Q$239),"")</f>
        <v>1.472759135</v>
      </c>
      <c r="R239">
        <f ca="1">IFERROR(IF(0=LEN(ReferenceData!$R$239),"",ReferenceData!$R$239),"")</f>
        <v>1.510997822</v>
      </c>
      <c r="S239">
        <f ca="1">IFERROR(IF(0=LEN(ReferenceData!$S$239),"",ReferenceData!$S$239),"")</f>
        <v>1.6223090689999999</v>
      </c>
      <c r="T239">
        <f ca="1">IFERROR(IF(0=LEN(ReferenceData!$T$239),"",ReferenceData!$T$239),"")</f>
        <v>1.6153922000000001</v>
      </c>
      <c r="U239">
        <f ca="1">IFERROR(IF(0=LEN(ReferenceData!$U$239),"",ReferenceData!$U$239),"")</f>
        <v>1.6922487639999999</v>
      </c>
      <c r="V239">
        <f ca="1">IFERROR(IF(0=LEN(ReferenceData!$V$239),"",ReferenceData!$V$239),"")</f>
        <v>1.7360596800000001</v>
      </c>
      <c r="W239">
        <f ca="1">IFERROR(IF(0=LEN(ReferenceData!$W$239),"",ReferenceData!$W$239),"")</f>
        <v>1.5269856909999999</v>
      </c>
      <c r="X239" t="str">
        <f ca="1">IFERROR(IF(0=LEN(ReferenceData!$X$239),"",ReferenceData!$X$239),"")</f>
        <v/>
      </c>
      <c r="Y239" t="str">
        <f ca="1">IFERROR(IF(0=LEN(ReferenceData!$Y$239),"",ReferenceData!$Y$239),"")</f>
        <v/>
      </c>
      <c r="Z239" t="str">
        <f ca="1">IFERROR(IF(0=LEN(ReferenceData!$Z$239),"",ReferenceData!$Z$239),"")</f>
        <v/>
      </c>
      <c r="AA239" t="str">
        <f ca="1">IFERROR(IF(0=LEN(ReferenceData!$AA$239),"",ReferenceData!$AA$239),"")</f>
        <v/>
      </c>
      <c r="AB239" t="str">
        <f ca="1">IFERROR(IF(0=LEN(ReferenceData!$AB$239),"",ReferenceData!$AB$239),"")</f>
        <v/>
      </c>
      <c r="AC239" t="str">
        <f ca="1">IFERROR(IF(0=LEN(ReferenceData!$AC$239),"",ReferenceData!$AC$239),"")</f>
        <v/>
      </c>
      <c r="AD239" t="str">
        <f ca="1">IFERROR(IF(0=LEN(ReferenceData!$AD$239),"",ReferenceData!$AD$239),"")</f>
        <v/>
      </c>
      <c r="AE239" t="str">
        <f ca="1">IFERROR(IF(0=LEN(ReferenceData!$AE$239),"",ReferenceData!$AE$239),"")</f>
        <v/>
      </c>
      <c r="AF239" t="str">
        <f ca="1">IFERROR(IF(0=LEN(ReferenceData!$AF$239),"",ReferenceData!$AF$239),"")</f>
        <v/>
      </c>
      <c r="AG239" t="str">
        <f ca="1">IFERROR(IF(0=LEN(ReferenceData!$AG$239),"",ReferenceData!$AG$239),"")</f>
        <v/>
      </c>
      <c r="AH239" t="str">
        <f ca="1">IFERROR(IF(0=LEN(ReferenceData!$AH$239),"",ReferenceData!$AH$239),"")</f>
        <v/>
      </c>
      <c r="AI239" t="str">
        <f ca="1">IFERROR(IF(0=LEN(ReferenceData!$AI$239),"",ReferenceData!$AI$239),"")</f>
        <v/>
      </c>
      <c r="AJ239" t="str">
        <f ca="1">IFERROR(IF(0=LEN(ReferenceData!$AJ$239),"",ReferenceData!$AJ$239),"")</f>
        <v/>
      </c>
      <c r="AK239" t="str">
        <f ca="1">IFERROR(IF(0=LEN(ReferenceData!$AK$239),"",ReferenceData!$AK$239),"")</f>
        <v/>
      </c>
      <c r="AL239" t="str">
        <f ca="1">IFERROR(IF(0=LEN(ReferenceData!$AL$239),"",ReferenceData!$AL$239),"")</f>
        <v/>
      </c>
    </row>
    <row r="240" spans="1:38" x14ac:dyDescent="0.25">
      <c r="A240" t="str">
        <f>IFERROR(IF(0=LEN(ReferenceData!$A$240),"",ReferenceData!$A$240),"")</f>
        <v xml:space="preserve">    Western Alliance Bancorp</v>
      </c>
      <c r="B240" t="str">
        <f>IFERROR(IF(0=LEN(ReferenceData!$B$240),"",ReferenceData!$B$240),"")</f>
        <v>WAL US Equity</v>
      </c>
      <c r="C240" t="str">
        <f>IFERROR(IF(0=LEN(ReferenceData!$C$240),"",ReferenceData!$C$240),"")</f>
        <v>F0116</v>
      </c>
      <c r="D240" t="str">
        <f>IFERROR(IF(0=LEN(ReferenceData!$D$240),"",ReferenceData!$D$240),"")</f>
        <v>FED_OTHER_LEASES_%_TOT_LNS_LEAS</v>
      </c>
      <c r="E240" t="str">
        <f>IFERROR(IF(0=LEN(ReferenceData!$E$240),"",ReferenceData!$E$240),"")</f>
        <v>Dynamic</v>
      </c>
      <c r="F240">
        <f ca="1">IFERROR(IF(0=LEN(ReferenceData!$F$240),"",ReferenceData!$F$240),"")</f>
        <v>0.17376271400000001</v>
      </c>
      <c r="G240">
        <f ca="1">IFERROR(IF(0=LEN(ReferenceData!$G$240),"",ReferenceData!$G$240),"")</f>
        <v>0.28223640900000002</v>
      </c>
      <c r="H240">
        <f ca="1">IFERROR(IF(0=LEN(ReferenceData!$H$240),"",ReferenceData!$H$240),"")</f>
        <v>0.40052947999999999</v>
      </c>
      <c r="I240">
        <f ca="1">IFERROR(IF(0=LEN(ReferenceData!$I$240),"",ReferenceData!$I$240),"")</f>
        <v>0.33279398399999999</v>
      </c>
      <c r="J240">
        <f ca="1">IFERROR(IF(0=LEN(ReferenceData!$J$240),"",ReferenceData!$J$240),"")</f>
        <v>0.608630801</v>
      </c>
      <c r="K240">
        <f ca="1">IFERROR(IF(0=LEN(ReferenceData!$K$240),"",ReferenceData!$K$240),"")</f>
        <v>0.660829636</v>
      </c>
      <c r="L240">
        <f ca="1">IFERROR(IF(0=LEN(ReferenceData!$L$240),"",ReferenceData!$L$240),"")</f>
        <v>0.40068029199999999</v>
      </c>
      <c r="M240">
        <f ca="1">IFERROR(IF(0=LEN(ReferenceData!$M$240),"",ReferenceData!$M$240),"")</f>
        <v>0.436367322</v>
      </c>
      <c r="N240">
        <f ca="1">IFERROR(IF(0=LEN(ReferenceData!$N$240),"",ReferenceData!$N$240),"")</f>
        <v>0.76288365999999996</v>
      </c>
      <c r="O240">
        <f ca="1">IFERROR(IF(0=LEN(ReferenceData!$O$240),"",ReferenceData!$O$240),"")</f>
        <v>1.3333706869999999</v>
      </c>
      <c r="P240">
        <f ca="1">IFERROR(IF(0=LEN(ReferenceData!$P$240),"",ReferenceData!$P$240),"")</f>
        <v>2.448589084</v>
      </c>
      <c r="Q240">
        <f ca="1">IFERROR(IF(0=LEN(ReferenceData!$Q$240),"",ReferenceData!$Q$240),"")</f>
        <v>3.4646588409999999</v>
      </c>
      <c r="R240">
        <f ca="1">IFERROR(IF(0=LEN(ReferenceData!$R$240),"",ReferenceData!$R$240),"")</f>
        <v>5.0521191649999997</v>
      </c>
      <c r="S240">
        <f ca="1">IFERROR(IF(0=LEN(ReferenceData!$S$240),"",ReferenceData!$S$240),"")</f>
        <v>4.5220148330000001</v>
      </c>
      <c r="T240">
        <f ca="1">IFERROR(IF(0=LEN(ReferenceData!$T$240),"",ReferenceData!$T$240),"")</f>
        <v>4.4734104920000002</v>
      </c>
      <c r="U240">
        <f ca="1">IFERROR(IF(0=LEN(ReferenceData!$U$240),"",ReferenceData!$U$240),"")</f>
        <v>2.6899765539999998</v>
      </c>
      <c r="V240">
        <f ca="1">IFERROR(IF(0=LEN(ReferenceData!$V$240),"",ReferenceData!$V$240),"")</f>
        <v>0.67940227200000003</v>
      </c>
      <c r="W240">
        <f ca="1">IFERROR(IF(0=LEN(ReferenceData!$W$240),"",ReferenceData!$W$240),"")</f>
        <v>0.73556568700000002</v>
      </c>
      <c r="X240" t="str">
        <f ca="1">IFERROR(IF(0=LEN(ReferenceData!$X$240),"",ReferenceData!$X$240),"")</f>
        <v/>
      </c>
      <c r="Y240" t="str">
        <f ca="1">IFERROR(IF(0=LEN(ReferenceData!$Y$240),"",ReferenceData!$Y$240),"")</f>
        <v/>
      </c>
      <c r="Z240" t="str">
        <f ca="1">IFERROR(IF(0=LEN(ReferenceData!$Z$240),"",ReferenceData!$Z$240),"")</f>
        <v/>
      </c>
      <c r="AA240" t="str">
        <f ca="1">IFERROR(IF(0=LEN(ReferenceData!$AA$240),"",ReferenceData!$AA$240),"")</f>
        <v/>
      </c>
      <c r="AB240" t="str">
        <f ca="1">IFERROR(IF(0=LEN(ReferenceData!$AB$240),"",ReferenceData!$AB$240),"")</f>
        <v/>
      </c>
      <c r="AC240" t="str">
        <f ca="1">IFERROR(IF(0=LEN(ReferenceData!$AC$240),"",ReferenceData!$AC$240),"")</f>
        <v/>
      </c>
      <c r="AD240" t="str">
        <f ca="1">IFERROR(IF(0=LEN(ReferenceData!$AD$240),"",ReferenceData!$AD$240),"")</f>
        <v/>
      </c>
      <c r="AE240" t="str">
        <f ca="1">IFERROR(IF(0=LEN(ReferenceData!$AE$240),"",ReferenceData!$AE$240),"")</f>
        <v/>
      </c>
      <c r="AF240" t="str">
        <f ca="1">IFERROR(IF(0=LEN(ReferenceData!$AF$240),"",ReferenceData!$AF$240),"")</f>
        <v/>
      </c>
      <c r="AG240" t="str">
        <f ca="1">IFERROR(IF(0=LEN(ReferenceData!$AG$240),"",ReferenceData!$AG$240),"")</f>
        <v/>
      </c>
      <c r="AH240" t="str">
        <f ca="1">IFERROR(IF(0=LEN(ReferenceData!$AH$240),"",ReferenceData!$AH$240),"")</f>
        <v/>
      </c>
      <c r="AI240" t="str">
        <f ca="1">IFERROR(IF(0=LEN(ReferenceData!$AI$240),"",ReferenceData!$AI$240),"")</f>
        <v/>
      </c>
      <c r="AJ240" t="str">
        <f ca="1">IFERROR(IF(0=LEN(ReferenceData!$AJ$240),"",ReferenceData!$AJ$240),"")</f>
        <v/>
      </c>
      <c r="AK240" t="str">
        <f ca="1">IFERROR(IF(0=LEN(ReferenceData!$AK$240),"",ReferenceData!$AK$240),"")</f>
        <v/>
      </c>
      <c r="AL240" t="str">
        <f ca="1">IFERROR(IF(0=LEN(ReferenceData!$AL$240),"",ReferenceData!$AL$240),"")</f>
        <v/>
      </c>
    </row>
    <row r="241" spans="1:38" x14ac:dyDescent="0.25">
      <c r="A241" t="str">
        <f>IFERROR(IF(0=LEN(ReferenceData!$A$241),"",ReferenceData!$A$241),"")</f>
        <v xml:space="preserve">    Zions Bancorp NA</v>
      </c>
      <c r="B241" t="str">
        <f>IFERROR(IF(0=LEN(ReferenceData!$B$241),"",ReferenceData!$B$241),"")</f>
        <v>ZION US Equity</v>
      </c>
      <c r="C241" t="str">
        <f>IFERROR(IF(0=LEN(ReferenceData!$C$241),"",ReferenceData!$C$241),"")</f>
        <v>F0116</v>
      </c>
      <c r="D241" t="str">
        <f>IFERROR(IF(0=LEN(ReferenceData!$D$241),"",ReferenceData!$D$241),"")</f>
        <v>FED_OTHER_LEASES_%_TOT_LNS_LEAS</v>
      </c>
      <c r="E241" t="str">
        <f>IFERROR(IF(0=LEN(ReferenceData!$E$241),"",ReferenceData!$E$241),"")</f>
        <v>Dynamic</v>
      </c>
      <c r="F241" t="str">
        <f ca="1">IFERROR(IF(0=LEN(ReferenceData!$F$241),"",ReferenceData!$F$241),"")</f>
        <v/>
      </c>
      <c r="G241" t="str">
        <f ca="1">IFERROR(IF(0=LEN(ReferenceData!$G$241),"",ReferenceData!$G$241),"")</f>
        <v/>
      </c>
      <c r="H241" t="str">
        <f ca="1">IFERROR(IF(0=LEN(ReferenceData!$H$241),"",ReferenceData!$H$241),"")</f>
        <v/>
      </c>
      <c r="I241" t="str">
        <f ca="1">IFERROR(IF(0=LEN(ReferenceData!$I$241),"",ReferenceData!$I$241),"")</f>
        <v/>
      </c>
      <c r="J241" t="str">
        <f ca="1">IFERROR(IF(0=LEN(ReferenceData!$J$241),"",ReferenceData!$J$241),"")</f>
        <v/>
      </c>
      <c r="K241" t="str">
        <f ca="1">IFERROR(IF(0=LEN(ReferenceData!$K$241),"",ReferenceData!$K$241),"")</f>
        <v/>
      </c>
      <c r="L241" t="str">
        <f ca="1">IFERROR(IF(0=LEN(ReferenceData!$L$241),"",ReferenceData!$L$241),"")</f>
        <v/>
      </c>
      <c r="M241" t="str">
        <f ca="1">IFERROR(IF(0=LEN(ReferenceData!$M$241),"",ReferenceData!$M$241),"")</f>
        <v/>
      </c>
      <c r="N241" t="str">
        <f ca="1">IFERROR(IF(0=LEN(ReferenceData!$N$241),"",ReferenceData!$N$241),"")</f>
        <v/>
      </c>
      <c r="O241" t="str">
        <f ca="1">IFERROR(IF(0=LEN(ReferenceData!$O$241),"",ReferenceData!$O$241),"")</f>
        <v/>
      </c>
      <c r="P241" t="str">
        <f ca="1">IFERROR(IF(0=LEN(ReferenceData!$P$241),"",ReferenceData!$P$241),"")</f>
        <v/>
      </c>
      <c r="Q241" t="str">
        <f ca="1">IFERROR(IF(0=LEN(ReferenceData!$Q$241),"",ReferenceData!$Q$241),"")</f>
        <v/>
      </c>
      <c r="R241" t="str">
        <f ca="1">IFERROR(IF(0=LEN(ReferenceData!$R$241),"",ReferenceData!$R$241),"")</f>
        <v/>
      </c>
      <c r="S241" t="str">
        <f ca="1">IFERROR(IF(0=LEN(ReferenceData!$S$241),"",ReferenceData!$S$241),"")</f>
        <v/>
      </c>
      <c r="T241" t="str">
        <f ca="1">IFERROR(IF(0=LEN(ReferenceData!$T$241),"",ReferenceData!$T$241),"")</f>
        <v/>
      </c>
      <c r="U241" t="str">
        <f ca="1">IFERROR(IF(0=LEN(ReferenceData!$U$241),"",ReferenceData!$U$241),"")</f>
        <v/>
      </c>
      <c r="V241" t="str">
        <f ca="1">IFERROR(IF(0=LEN(ReferenceData!$V$241),"",ReferenceData!$V$241),"")</f>
        <v/>
      </c>
      <c r="W241" t="str">
        <f ca="1">IFERROR(IF(0=LEN(ReferenceData!$W$241),"",ReferenceData!$W$241),"")</f>
        <v/>
      </c>
      <c r="X241" t="str">
        <f ca="1">IFERROR(IF(0=LEN(ReferenceData!$X$241),"",ReferenceData!$X$241),"")</f>
        <v/>
      </c>
      <c r="Y241" t="str">
        <f ca="1">IFERROR(IF(0=LEN(ReferenceData!$Y$241),"",ReferenceData!$Y$241),"")</f>
        <v/>
      </c>
      <c r="Z241" t="str">
        <f ca="1">IFERROR(IF(0=LEN(ReferenceData!$Z$241),"",ReferenceData!$Z$241),"")</f>
        <v/>
      </c>
      <c r="AA241" t="str">
        <f ca="1">IFERROR(IF(0=LEN(ReferenceData!$AA$241),"",ReferenceData!$AA$241),"")</f>
        <v/>
      </c>
      <c r="AB241" t="str">
        <f ca="1">IFERROR(IF(0=LEN(ReferenceData!$AB$241),"",ReferenceData!$AB$241),"")</f>
        <v/>
      </c>
      <c r="AC241" t="str">
        <f ca="1">IFERROR(IF(0=LEN(ReferenceData!$AC$241),"",ReferenceData!$AC$241),"")</f>
        <v/>
      </c>
      <c r="AD241" t="str">
        <f ca="1">IFERROR(IF(0=LEN(ReferenceData!$AD$241),"",ReferenceData!$AD$241),"")</f>
        <v/>
      </c>
      <c r="AE241" t="str">
        <f ca="1">IFERROR(IF(0=LEN(ReferenceData!$AE$241),"",ReferenceData!$AE$241),"")</f>
        <v/>
      </c>
      <c r="AF241" t="str">
        <f ca="1">IFERROR(IF(0=LEN(ReferenceData!$AF$241),"",ReferenceData!$AF$241),"")</f>
        <v/>
      </c>
      <c r="AG241" t="str">
        <f ca="1">IFERROR(IF(0=LEN(ReferenceData!$AG$241),"",ReferenceData!$AG$241),"")</f>
        <v/>
      </c>
      <c r="AH241" t="str">
        <f ca="1">IFERROR(IF(0=LEN(ReferenceData!$AH$241),"",ReferenceData!$AH$241),"")</f>
        <v/>
      </c>
      <c r="AI241" t="str">
        <f ca="1">IFERROR(IF(0=LEN(ReferenceData!$AI$241),"",ReferenceData!$AI$241),"")</f>
        <v/>
      </c>
      <c r="AJ241" t="str">
        <f ca="1">IFERROR(IF(0=LEN(ReferenceData!$AJ$241),"",ReferenceData!$AJ$241),"")</f>
        <v/>
      </c>
      <c r="AK241" t="str">
        <f ca="1">IFERROR(IF(0=LEN(ReferenceData!$AK$241),"",ReferenceData!$AK$241),"")</f>
        <v/>
      </c>
      <c r="AL241" t="str">
        <f ca="1">IFERROR(IF(0=LEN(ReferenceData!$AL$241),"",ReferenceData!$AL$241),"")</f>
        <v/>
      </c>
    </row>
    <row r="242" spans="1:38" x14ac:dyDescent="0.25">
      <c r="A242" t="str">
        <f>IFERROR(IF(0=LEN(ReferenceData!$A$242),"",ReferenceData!$A$242),"")</f>
        <v>Consumer loans &amp; leases</v>
      </c>
      <c r="B242" t="str">
        <f>IFERROR(IF(0=LEN(ReferenceData!$B$242),"",ReferenceData!$B$242),"")</f>
        <v/>
      </c>
      <c r="C242" t="str">
        <f>IFERROR(IF(0=LEN(ReferenceData!$C$242),"",ReferenceData!$C$242),"")</f>
        <v/>
      </c>
      <c r="D242" t="str">
        <f>IFERROR(IF(0=LEN(ReferenceData!$D$242),"",ReferenceData!$D$242),"")</f>
        <v/>
      </c>
      <c r="E242" t="str">
        <f>IFERROR(IF(0=LEN(ReferenceData!$E$242),"",ReferenceData!$E$242),"")</f>
        <v>Expression</v>
      </c>
      <c r="F242">
        <f ca="1">IFERROR(IF(0=LEN(ReferenceData!$F$242),"",ReferenceData!$F$242),"")</f>
        <v>15.528824</v>
      </c>
      <c r="G242">
        <f ca="1">IFERROR(IF(0=LEN(ReferenceData!$G$242),"",ReferenceData!$G$242),"")</f>
        <v>12.732901999999999</v>
      </c>
      <c r="H242">
        <f ca="1">IFERROR(IF(0=LEN(ReferenceData!$H$242),"",ReferenceData!$H$242),"")</f>
        <v>12.422661</v>
      </c>
      <c r="I242">
        <f ca="1">IFERROR(IF(0=LEN(ReferenceData!$I$242),"",ReferenceData!$I$242),"")</f>
        <v>15.510507</v>
      </c>
      <c r="J242">
        <f ca="1">IFERROR(IF(0=LEN(ReferenceData!$J$242),"",ReferenceData!$J$242),"")</f>
        <v>12.770244999999999</v>
      </c>
      <c r="K242">
        <f ca="1">IFERROR(IF(0=LEN(ReferenceData!$K$242),"",ReferenceData!$K$242),"")</f>
        <v>12.992683</v>
      </c>
      <c r="L242">
        <f ca="1">IFERROR(IF(0=LEN(ReferenceData!$L$242),"",ReferenceData!$L$242),"")</f>
        <v>12.433246</v>
      </c>
      <c r="M242">
        <f ca="1">IFERROR(IF(0=LEN(ReferenceData!$M$242),"",ReferenceData!$M$242),"")</f>
        <v>12.52449</v>
      </c>
      <c r="N242">
        <f ca="1">IFERROR(IF(0=LEN(ReferenceData!$N$242),"",ReferenceData!$N$242),"")</f>
        <v>13.30658</v>
      </c>
      <c r="O242">
        <f ca="1">IFERROR(IF(0=LEN(ReferenceData!$O$242),"",ReferenceData!$O$242),"")</f>
        <v>13.760438000000001</v>
      </c>
      <c r="P242">
        <f ca="1">IFERROR(IF(0=LEN(ReferenceData!$P$242),"",ReferenceData!$P$242),"")</f>
        <v>13.491292</v>
      </c>
      <c r="Q242">
        <f ca="1">IFERROR(IF(0=LEN(ReferenceData!$Q$242),"",ReferenceData!$Q$242),"")</f>
        <v>13.741982</v>
      </c>
      <c r="R242">
        <f ca="1">IFERROR(IF(0=LEN(ReferenceData!$R$242),"",ReferenceData!$R$242),"")</f>
        <v>13.105525999999999</v>
      </c>
      <c r="S242">
        <f ca="1">IFERROR(IF(0=LEN(ReferenceData!$S$242),"",ReferenceData!$S$242),"")</f>
        <v>13.88062</v>
      </c>
      <c r="T242">
        <f ca="1">IFERROR(IF(0=LEN(ReferenceData!$T$242),"",ReferenceData!$T$242),"")</f>
        <v>13.118575</v>
      </c>
      <c r="U242">
        <f ca="1">IFERROR(IF(0=LEN(ReferenceData!$U$242),"",ReferenceData!$U$242),"")</f>
        <v>11.292909</v>
      </c>
      <c r="V242">
        <f ca="1">IFERROR(IF(0=LEN(ReferenceData!$V$242),"",ReferenceData!$V$242),"")</f>
        <v>11.593709</v>
      </c>
      <c r="W242">
        <f ca="1">IFERROR(IF(0=LEN(ReferenceData!$W$242),"",ReferenceData!$W$242),"")</f>
        <v>12.479386999999999</v>
      </c>
      <c r="X242">
        <f ca="1">IFERROR(IF(0=LEN(ReferenceData!$X$242),"",ReferenceData!$X$242),"")</f>
        <v>11.470708</v>
      </c>
      <c r="Y242">
        <f ca="1">IFERROR(IF(0=LEN(ReferenceData!$Y$242),"",ReferenceData!$Y$242),"")</f>
        <v>12.487231</v>
      </c>
      <c r="Z242">
        <f ca="1">IFERROR(IF(0=LEN(ReferenceData!$Z$242),"",ReferenceData!$Z$242),"")</f>
        <v>14.878377</v>
      </c>
      <c r="AA242">
        <f ca="1">IFERROR(IF(0=LEN(ReferenceData!$AA$242),"",ReferenceData!$AA$242),"")</f>
        <v>15.704399</v>
      </c>
      <c r="AB242">
        <f ca="1">IFERROR(IF(0=LEN(ReferenceData!$AB$242),"",ReferenceData!$AB$242),"")</f>
        <v>15.143427000000001</v>
      </c>
      <c r="AC242">
        <f ca="1">IFERROR(IF(0=LEN(ReferenceData!$AC$242),"",ReferenceData!$AC$242),"")</f>
        <v>14.221251000000001</v>
      </c>
      <c r="AD242" t="str">
        <f ca="1">IFERROR(IF(0=LEN(ReferenceData!$AD$242),"",ReferenceData!$AD$242),"")</f>
        <v/>
      </c>
      <c r="AE242" t="str">
        <f ca="1">IFERROR(IF(0=LEN(ReferenceData!$AE$242),"",ReferenceData!$AE$242),"")</f>
        <v/>
      </c>
      <c r="AF242" t="str">
        <f ca="1">IFERROR(IF(0=LEN(ReferenceData!$AF$242),"",ReferenceData!$AF$242),"")</f>
        <v/>
      </c>
      <c r="AG242" t="str">
        <f ca="1">IFERROR(IF(0=LEN(ReferenceData!$AG$242),"",ReferenceData!$AG$242),"")</f>
        <v/>
      </c>
      <c r="AH242" t="str">
        <f ca="1">IFERROR(IF(0=LEN(ReferenceData!$AH$242),"",ReferenceData!$AH$242),"")</f>
        <v/>
      </c>
      <c r="AI242" t="str">
        <f ca="1">IFERROR(IF(0=LEN(ReferenceData!$AI$242),"",ReferenceData!$AI$242),"")</f>
        <v/>
      </c>
      <c r="AJ242" t="str">
        <f ca="1">IFERROR(IF(0=LEN(ReferenceData!$AJ$242),"",ReferenceData!$AJ$242),"")</f>
        <v/>
      </c>
      <c r="AK242" t="str">
        <f ca="1">IFERROR(IF(0=LEN(ReferenceData!$AK$242),"",ReferenceData!$AK$242),"")</f>
        <v/>
      </c>
      <c r="AL242" t="str">
        <f ca="1">IFERROR(IF(0=LEN(ReferenceData!$AL$242),"",ReferenceData!$AL$242),"")</f>
        <v/>
      </c>
    </row>
    <row r="243" spans="1:38" x14ac:dyDescent="0.25">
      <c r="A243" t="str">
        <f>IFERROR(IF(0=LEN(ReferenceData!$A$243),"",ReferenceData!$A$243),"")</f>
        <v xml:space="preserve">    Consumer Loans by Company</v>
      </c>
      <c r="B243" t="str">
        <f>IFERROR(IF(0=LEN(ReferenceData!$B$243),"",ReferenceData!$B$243),"")</f>
        <v/>
      </c>
      <c r="C243" t="str">
        <f>IFERROR(IF(0=LEN(ReferenceData!$C$243),"",ReferenceData!$C$243),"")</f>
        <v/>
      </c>
      <c r="D243" t="str">
        <f>IFERROR(IF(0=LEN(ReferenceData!$D$243),"",ReferenceData!$D$243),"")</f>
        <v/>
      </c>
      <c r="E243" t="str">
        <f>IFERROR(IF(0=LEN(ReferenceData!$E$243),"",ReferenceData!$E$243),"")</f>
        <v>Median</v>
      </c>
      <c r="F243">
        <f ca="1">IFERROR(IF(0=LEN(ReferenceData!$F$243),"",ReferenceData!$F$243),"")</f>
        <v>15.52882415</v>
      </c>
      <c r="G243">
        <f ca="1">IFERROR(IF(0=LEN(ReferenceData!$G$243),"",ReferenceData!$G$243),"")</f>
        <v>12.7329024</v>
      </c>
      <c r="H243">
        <f ca="1">IFERROR(IF(0=LEN(ReferenceData!$H$243),"",ReferenceData!$H$243),"")</f>
        <v>12.422660629999999</v>
      </c>
      <c r="I243">
        <f ca="1">IFERROR(IF(0=LEN(ReferenceData!$I$243),"",ReferenceData!$I$243),"")</f>
        <v>15.510506599999999</v>
      </c>
      <c r="J243">
        <f ca="1">IFERROR(IF(0=LEN(ReferenceData!$J$243),"",ReferenceData!$J$243),"")</f>
        <v>12.77024538</v>
      </c>
      <c r="K243">
        <f ca="1">IFERROR(IF(0=LEN(ReferenceData!$K$243),"",ReferenceData!$K$243),"")</f>
        <v>12.992682650000001</v>
      </c>
      <c r="L243">
        <f ca="1">IFERROR(IF(0=LEN(ReferenceData!$L$243),"",ReferenceData!$L$243),"")</f>
        <v>12.433245660000001</v>
      </c>
      <c r="M243">
        <f ca="1">IFERROR(IF(0=LEN(ReferenceData!$M$243),"",ReferenceData!$M$243),"")</f>
        <v>12.524490200000001</v>
      </c>
      <c r="N243">
        <f ca="1">IFERROR(IF(0=LEN(ReferenceData!$N$243),"",ReferenceData!$N$243),"")</f>
        <v>13.306579660000001</v>
      </c>
      <c r="O243">
        <f ca="1">IFERROR(IF(0=LEN(ReferenceData!$O$243),"",ReferenceData!$O$243),"")</f>
        <v>13.760438150000001</v>
      </c>
      <c r="P243">
        <f ca="1">IFERROR(IF(0=LEN(ReferenceData!$P$243),"",ReferenceData!$P$243),"")</f>
        <v>13.49129153</v>
      </c>
      <c r="Q243">
        <f ca="1">IFERROR(IF(0=LEN(ReferenceData!$Q$243),"",ReferenceData!$Q$243),"")</f>
        <v>13.741982030000001</v>
      </c>
      <c r="R243">
        <f ca="1">IFERROR(IF(0=LEN(ReferenceData!$R$243),"",ReferenceData!$R$243),"")</f>
        <v>13.10552577</v>
      </c>
      <c r="S243">
        <f ca="1">IFERROR(IF(0=LEN(ReferenceData!$S$243),"",ReferenceData!$S$243),"")</f>
        <v>13.88061967</v>
      </c>
      <c r="T243">
        <f ca="1">IFERROR(IF(0=LEN(ReferenceData!$T$243),"",ReferenceData!$T$243),"")</f>
        <v>13.11857466</v>
      </c>
      <c r="U243">
        <f ca="1">IFERROR(IF(0=LEN(ReferenceData!$U$243),"",ReferenceData!$U$243),"")</f>
        <v>11.29290857</v>
      </c>
      <c r="V243">
        <f ca="1">IFERROR(IF(0=LEN(ReferenceData!$V$243),"",ReferenceData!$V$243),"")</f>
        <v>11.593708810000001</v>
      </c>
      <c r="W243">
        <f ca="1">IFERROR(IF(0=LEN(ReferenceData!$W$243),"",ReferenceData!$W$243),"")</f>
        <v>12.4793869</v>
      </c>
      <c r="X243">
        <f ca="1">IFERROR(IF(0=LEN(ReferenceData!$X$243),"",ReferenceData!$X$243),"")</f>
        <v>11.470708399999999</v>
      </c>
      <c r="Y243">
        <f ca="1">IFERROR(IF(0=LEN(ReferenceData!$Y$243),"",ReferenceData!$Y$243),"")</f>
        <v>12.48723148</v>
      </c>
      <c r="Z243">
        <f ca="1">IFERROR(IF(0=LEN(ReferenceData!$Z$243),"",ReferenceData!$Z$243),"")</f>
        <v>14.87837656</v>
      </c>
      <c r="AA243">
        <f ca="1">IFERROR(IF(0=LEN(ReferenceData!$AA$243),"",ReferenceData!$AA$243),"")</f>
        <v>15.704399130000001</v>
      </c>
      <c r="AB243">
        <f ca="1">IFERROR(IF(0=LEN(ReferenceData!$AB$243),"",ReferenceData!$AB$243),"")</f>
        <v>15.14342746</v>
      </c>
      <c r="AC243">
        <f ca="1">IFERROR(IF(0=LEN(ReferenceData!$AC$243),"",ReferenceData!$AC$243),"")</f>
        <v>14.221250830000001</v>
      </c>
      <c r="AD243" t="str">
        <f ca="1">IFERROR(IF(0=LEN(ReferenceData!$AD$243),"",ReferenceData!$AD$243),"")</f>
        <v/>
      </c>
      <c r="AE243" t="str">
        <f ca="1">IFERROR(IF(0=LEN(ReferenceData!$AE$243),"",ReferenceData!$AE$243),"")</f>
        <v/>
      </c>
      <c r="AF243" t="str">
        <f ca="1">IFERROR(IF(0=LEN(ReferenceData!$AF$243),"",ReferenceData!$AF$243),"")</f>
        <v/>
      </c>
      <c r="AG243" t="str">
        <f ca="1">IFERROR(IF(0=LEN(ReferenceData!$AG$243),"",ReferenceData!$AG$243),"")</f>
        <v/>
      </c>
      <c r="AH243" t="str">
        <f ca="1">IFERROR(IF(0=LEN(ReferenceData!$AH$243),"",ReferenceData!$AH$243),"")</f>
        <v/>
      </c>
      <c r="AI243" t="str">
        <f ca="1">IFERROR(IF(0=LEN(ReferenceData!$AI$243),"",ReferenceData!$AI$243),"")</f>
        <v/>
      </c>
      <c r="AJ243" t="str">
        <f ca="1">IFERROR(IF(0=LEN(ReferenceData!$AJ$243),"",ReferenceData!$AJ$243),"")</f>
        <v/>
      </c>
      <c r="AK243" t="str">
        <f ca="1">IFERROR(IF(0=LEN(ReferenceData!$AK$243),"",ReferenceData!$AK$243),"")</f>
        <v/>
      </c>
      <c r="AL243" t="str">
        <f ca="1">IFERROR(IF(0=LEN(ReferenceData!$AL$243),"",ReferenceData!$AL$243),"")</f>
        <v/>
      </c>
    </row>
    <row r="244" spans="1:38" x14ac:dyDescent="0.25">
      <c r="A244" t="str">
        <f>IFERROR(IF(0=LEN(ReferenceData!$A$244),"",ReferenceData!$A$244),"")</f>
        <v xml:space="preserve">        Bank of America Corp</v>
      </c>
      <c r="B244" t="str">
        <f>IFERROR(IF(0=LEN(ReferenceData!$B$244),"",ReferenceData!$B$244),"")</f>
        <v>BAC US Equity</v>
      </c>
      <c r="C244" t="str">
        <f>IFERROR(IF(0=LEN(ReferenceData!$C$244),"",ReferenceData!$C$244),"")</f>
        <v>F0121</v>
      </c>
      <c r="D244" t="str">
        <f>IFERROR(IF(0=LEN(ReferenceData!$D$244),"",ReferenceData!$D$244),"")</f>
        <v>FED_CNSMR_LNS_LEAS_%_TOT_LNS_LS</v>
      </c>
      <c r="E244" t="str">
        <f>IFERROR(IF(0=LEN(ReferenceData!$E$244),"",ReferenceData!$E$244),"")</f>
        <v>Dynamic</v>
      </c>
      <c r="F244">
        <f ca="1">IFERROR(IF(0=LEN(ReferenceData!$F$244),"",ReferenceData!$F$244),"")</f>
        <v>16.976942650000002</v>
      </c>
      <c r="G244">
        <f ca="1">IFERROR(IF(0=LEN(ReferenceData!$G$244),"",ReferenceData!$G$244),"")</f>
        <v>17.450996960000001</v>
      </c>
      <c r="H244">
        <f ca="1">IFERROR(IF(0=LEN(ReferenceData!$H$244),"",ReferenceData!$H$244),"")</f>
        <v>17.140377659999999</v>
      </c>
      <c r="I244">
        <f ca="1">IFERROR(IF(0=LEN(ReferenceData!$I$244),"",ReferenceData!$I$244),"")</f>
        <v>16.379248140000001</v>
      </c>
      <c r="J244">
        <f ca="1">IFERROR(IF(0=LEN(ReferenceData!$J$244),"",ReferenceData!$J$244),"")</f>
        <v>16.042352139999998</v>
      </c>
      <c r="K244">
        <f ca="1">IFERROR(IF(0=LEN(ReferenceData!$K$244),"",ReferenceData!$K$244),"")</f>
        <v>17.032878889999999</v>
      </c>
      <c r="L244">
        <f ca="1">IFERROR(IF(0=LEN(ReferenceData!$L$244),"",ReferenceData!$L$244),"")</f>
        <v>17.930292340000001</v>
      </c>
      <c r="M244">
        <f ca="1">IFERROR(IF(0=LEN(ReferenceData!$M$244),"",ReferenceData!$M$244),"")</f>
        <v>17.89595709</v>
      </c>
      <c r="N244">
        <f ca="1">IFERROR(IF(0=LEN(ReferenceData!$N$244),"",ReferenceData!$N$244),"")</f>
        <v>18.368685280000001</v>
      </c>
      <c r="O244">
        <f ca="1">IFERROR(IF(0=LEN(ReferenceData!$O$244),"",ReferenceData!$O$244),"")</f>
        <v>19.084973219999998</v>
      </c>
      <c r="P244">
        <f ca="1">IFERROR(IF(0=LEN(ReferenceData!$P$244),"",ReferenceData!$P$244),"")</f>
        <v>19.784836519999999</v>
      </c>
      <c r="Q244">
        <f ca="1">IFERROR(IF(0=LEN(ReferenceData!$Q$244),"",ReferenceData!$Q$244),"")</f>
        <v>18.907117020000001</v>
      </c>
      <c r="R244">
        <f ca="1">IFERROR(IF(0=LEN(ReferenceData!$R$244),"",ReferenceData!$R$244),"")</f>
        <v>19.318027279999999</v>
      </c>
      <c r="S244">
        <f ca="1">IFERROR(IF(0=LEN(ReferenceData!$S$244),"",ReferenceData!$S$244),"")</f>
        <v>21.01268662</v>
      </c>
      <c r="T244">
        <f ca="1">IFERROR(IF(0=LEN(ReferenceData!$T$244),"",ReferenceData!$T$244),"")</f>
        <v>23.9848666</v>
      </c>
      <c r="U244">
        <f ca="1">IFERROR(IF(0=LEN(ReferenceData!$U$244),"",ReferenceData!$U$244),"")</f>
        <v>18.24198049</v>
      </c>
      <c r="V244">
        <f ca="1">IFERROR(IF(0=LEN(ReferenceData!$V$244),"",ReferenceData!$V$244),"")</f>
        <v>17.88011161</v>
      </c>
      <c r="W244">
        <f ca="1">IFERROR(IF(0=LEN(ReferenceData!$W$244),"",ReferenceData!$W$244),"")</f>
        <v>18.031237959999999</v>
      </c>
      <c r="X244">
        <f ca="1">IFERROR(IF(0=LEN(ReferenceData!$X$244),"",ReferenceData!$X$244),"")</f>
        <v>19.334395170000001</v>
      </c>
      <c r="Y244">
        <f ca="1">IFERROR(IF(0=LEN(ReferenceData!$Y$244),"",ReferenceData!$Y$244),"")</f>
        <v>17.554733809999998</v>
      </c>
      <c r="Z244">
        <f ca="1">IFERROR(IF(0=LEN(ReferenceData!$Z$244),"",ReferenceData!$Z$244),"")</f>
        <v>17.20282791</v>
      </c>
      <c r="AA244">
        <f ca="1">IFERROR(IF(0=LEN(ReferenceData!$AA$244),"",ReferenceData!$AA$244),"")</f>
        <v>17.946112410000001</v>
      </c>
      <c r="AB244">
        <f ca="1">IFERROR(IF(0=LEN(ReferenceData!$AB$244),"",ReferenceData!$AB$244),"")</f>
        <v>16.667788420000001</v>
      </c>
      <c r="AC244">
        <f ca="1">IFERROR(IF(0=LEN(ReferenceData!$AC$244),"",ReferenceData!$AC$244),"")</f>
        <v>15.03173653</v>
      </c>
      <c r="AD244" t="str">
        <f ca="1">IFERROR(IF(0=LEN(ReferenceData!$AD$244),"",ReferenceData!$AD$244),"")</f>
        <v/>
      </c>
      <c r="AE244" t="str">
        <f ca="1">IFERROR(IF(0=LEN(ReferenceData!$AE$244),"",ReferenceData!$AE$244),"")</f>
        <v/>
      </c>
      <c r="AF244" t="str">
        <f ca="1">IFERROR(IF(0=LEN(ReferenceData!$AF$244),"",ReferenceData!$AF$244),"")</f>
        <v/>
      </c>
      <c r="AG244" t="str">
        <f ca="1">IFERROR(IF(0=LEN(ReferenceData!$AG$244),"",ReferenceData!$AG$244),"")</f>
        <v/>
      </c>
      <c r="AH244" t="str">
        <f ca="1">IFERROR(IF(0=LEN(ReferenceData!$AH$244),"",ReferenceData!$AH$244),"")</f>
        <v/>
      </c>
      <c r="AI244" t="str">
        <f ca="1">IFERROR(IF(0=LEN(ReferenceData!$AI$244),"",ReferenceData!$AI$244),"")</f>
        <v/>
      </c>
      <c r="AJ244" t="str">
        <f ca="1">IFERROR(IF(0=LEN(ReferenceData!$AJ$244),"",ReferenceData!$AJ$244),"")</f>
        <v/>
      </c>
      <c r="AK244" t="str">
        <f ca="1">IFERROR(IF(0=LEN(ReferenceData!$AK$244),"",ReferenceData!$AK$244),"")</f>
        <v/>
      </c>
      <c r="AL244" t="str">
        <f ca="1">IFERROR(IF(0=LEN(ReferenceData!$AL$244),"",ReferenceData!$AL$244),"")</f>
        <v/>
      </c>
    </row>
    <row r="245" spans="1:38" x14ac:dyDescent="0.25">
      <c r="A245" t="str">
        <f>IFERROR(IF(0=LEN(ReferenceData!$A$245),"",ReferenceData!$A$245),"")</f>
        <v xml:space="preserve">        Citigroup Inc</v>
      </c>
      <c r="B245" t="str">
        <f>IFERROR(IF(0=LEN(ReferenceData!$B$245),"",ReferenceData!$B$245),"")</f>
        <v>C US Equity</v>
      </c>
      <c r="C245" t="str">
        <f>IFERROR(IF(0=LEN(ReferenceData!$C$245),"",ReferenceData!$C$245),"")</f>
        <v>F0121</v>
      </c>
      <c r="D245" t="str">
        <f>IFERROR(IF(0=LEN(ReferenceData!$D$245),"",ReferenceData!$D$245),"")</f>
        <v>FED_CNSMR_LNS_LEAS_%_TOT_LNS_LS</v>
      </c>
      <c r="E245" t="str">
        <f>IFERROR(IF(0=LEN(ReferenceData!$E$245),"",ReferenceData!$E$245),"")</f>
        <v>Dynamic</v>
      </c>
      <c r="F245">
        <f ca="1">IFERROR(IF(0=LEN(ReferenceData!$F$245),"",ReferenceData!$F$245),"")</f>
        <v>26.98253278</v>
      </c>
      <c r="G245">
        <f ca="1">IFERROR(IF(0=LEN(ReferenceData!$G$245),"",ReferenceData!$G$245),"")</f>
        <v>26.76741599</v>
      </c>
      <c r="H245">
        <f ca="1">IFERROR(IF(0=LEN(ReferenceData!$H$245),"",ReferenceData!$H$245),"")</f>
        <v>26.038718540000001</v>
      </c>
      <c r="I245">
        <f ca="1">IFERROR(IF(0=LEN(ReferenceData!$I$245),"",ReferenceData!$I$245),"")</f>
        <v>24.412678150000001</v>
      </c>
      <c r="J245">
        <f ca="1">IFERROR(IF(0=LEN(ReferenceData!$J$245),"",ReferenceData!$J$245),"")</f>
        <v>24.920386180000001</v>
      </c>
      <c r="K245">
        <f ca="1">IFERROR(IF(0=LEN(ReferenceData!$K$245),"",ReferenceData!$K$245),"")</f>
        <v>27.903048519999999</v>
      </c>
      <c r="L245">
        <f ca="1">IFERROR(IF(0=LEN(ReferenceData!$L$245),"",ReferenceData!$L$245),"")</f>
        <v>27.257991390000001</v>
      </c>
      <c r="M245">
        <f ca="1">IFERROR(IF(0=LEN(ReferenceData!$M$245),"",ReferenceData!$M$245),"")</f>
        <v>27.524900540000001</v>
      </c>
      <c r="N245">
        <f ca="1">IFERROR(IF(0=LEN(ReferenceData!$N$245),"",ReferenceData!$N$245),"")</f>
        <v>27.920685460000001</v>
      </c>
      <c r="O245">
        <f ca="1">IFERROR(IF(0=LEN(ReferenceData!$O$245),"",ReferenceData!$O$245),"")</f>
        <v>26.06188671</v>
      </c>
      <c r="P245">
        <f ca="1">IFERROR(IF(0=LEN(ReferenceData!$P$245),"",ReferenceData!$P$245),"")</f>
        <v>27.432758400000001</v>
      </c>
      <c r="Q245">
        <f ca="1">IFERROR(IF(0=LEN(ReferenceData!$Q$245),"",ReferenceData!$Q$245),"")</f>
        <v>28.276095609999999</v>
      </c>
      <c r="R245">
        <f ca="1">IFERROR(IF(0=LEN(ReferenceData!$R$245),"",ReferenceData!$R$245),"")</f>
        <v>28.976965459999999</v>
      </c>
      <c r="S245">
        <f ca="1">IFERROR(IF(0=LEN(ReferenceData!$S$245),"",ReferenceData!$S$245),"")</f>
        <v>29.932398249999999</v>
      </c>
      <c r="T245">
        <f ca="1">IFERROR(IF(0=LEN(ReferenceData!$T$245),"",ReferenceData!$T$245),"")</f>
        <v>33.370142379999997</v>
      </c>
      <c r="U245">
        <f ca="1">IFERROR(IF(0=LEN(ReferenceData!$U$245),"",ReferenceData!$U$245),"")</f>
        <v>27.160815920000001</v>
      </c>
      <c r="V245">
        <f ca="1">IFERROR(IF(0=LEN(ReferenceData!$V$245),"",ReferenceData!$V$245),"")</f>
        <v>27.289652029999999</v>
      </c>
      <c r="W245">
        <f ca="1">IFERROR(IF(0=LEN(ReferenceData!$W$245),"",ReferenceData!$W$245),"")</f>
        <v>26.20553052</v>
      </c>
      <c r="X245">
        <f ca="1">IFERROR(IF(0=LEN(ReferenceData!$X$245),"",ReferenceData!$X$245),"")</f>
        <v>25.889646639999999</v>
      </c>
      <c r="Y245">
        <f ca="1">IFERROR(IF(0=LEN(ReferenceData!$Y$245),"",ReferenceData!$Y$245),"")</f>
        <v>27.949474129999999</v>
      </c>
      <c r="Z245">
        <f ca="1">IFERROR(IF(0=LEN(ReferenceData!$Z$245),"",ReferenceData!$Z$245),"")</f>
        <v>31.588641620000001</v>
      </c>
      <c r="AA245">
        <f ca="1">IFERROR(IF(0=LEN(ReferenceData!$AA$245),"",ReferenceData!$AA$245),"")</f>
        <v>35.145943989999999</v>
      </c>
      <c r="AB245">
        <f ca="1">IFERROR(IF(0=LEN(ReferenceData!$AB$245),"",ReferenceData!$AB$245),"")</f>
        <v>30.642853280000001</v>
      </c>
      <c r="AC245">
        <f ca="1">IFERROR(IF(0=LEN(ReferenceData!$AC$245),"",ReferenceData!$AC$245),"")</f>
        <v>29.993237310000001</v>
      </c>
      <c r="AD245" t="str">
        <f ca="1">IFERROR(IF(0=LEN(ReferenceData!$AD$245),"",ReferenceData!$AD$245),"")</f>
        <v/>
      </c>
      <c r="AE245" t="str">
        <f ca="1">IFERROR(IF(0=LEN(ReferenceData!$AE$245),"",ReferenceData!$AE$245),"")</f>
        <v/>
      </c>
      <c r="AF245" t="str">
        <f ca="1">IFERROR(IF(0=LEN(ReferenceData!$AF$245),"",ReferenceData!$AF$245),"")</f>
        <v/>
      </c>
      <c r="AG245" t="str">
        <f ca="1">IFERROR(IF(0=LEN(ReferenceData!$AG$245),"",ReferenceData!$AG$245),"")</f>
        <v/>
      </c>
      <c r="AH245" t="str">
        <f ca="1">IFERROR(IF(0=LEN(ReferenceData!$AH$245),"",ReferenceData!$AH$245),"")</f>
        <v/>
      </c>
      <c r="AI245" t="str">
        <f ca="1">IFERROR(IF(0=LEN(ReferenceData!$AI$245),"",ReferenceData!$AI$245),"")</f>
        <v/>
      </c>
      <c r="AJ245" t="str">
        <f ca="1">IFERROR(IF(0=LEN(ReferenceData!$AJ$245),"",ReferenceData!$AJ$245),"")</f>
        <v/>
      </c>
      <c r="AK245" t="str">
        <f ca="1">IFERROR(IF(0=LEN(ReferenceData!$AK$245),"",ReferenceData!$AK$245),"")</f>
        <v/>
      </c>
      <c r="AL245" t="str">
        <f ca="1">IFERROR(IF(0=LEN(ReferenceData!$AL$245),"",ReferenceData!$AL$245),"")</f>
        <v/>
      </c>
    </row>
    <row r="246" spans="1:38" x14ac:dyDescent="0.25">
      <c r="A246" t="str">
        <f>IFERROR(IF(0=LEN(ReferenceData!$A$246),"",ReferenceData!$A$246),"")</f>
        <v xml:space="preserve">        Citizens Financial Group Inc</v>
      </c>
      <c r="B246" t="str">
        <f>IFERROR(IF(0=LEN(ReferenceData!$B$246),"",ReferenceData!$B$246),"")</f>
        <v>CFG US Equity</v>
      </c>
      <c r="C246" t="str">
        <f>IFERROR(IF(0=LEN(ReferenceData!$C$246),"",ReferenceData!$C$246),"")</f>
        <v>F0121</v>
      </c>
      <c r="D246" t="str">
        <f>IFERROR(IF(0=LEN(ReferenceData!$D$246),"",ReferenceData!$D$246),"")</f>
        <v>FED_CNSMR_LNS_LEAS_%_TOT_LNS_LS</v>
      </c>
      <c r="E246" t="str">
        <f>IFERROR(IF(0=LEN(ReferenceData!$E$246),"",ReferenceData!$E$246),"")</f>
        <v>Dynamic</v>
      </c>
      <c r="F246">
        <f ca="1">IFERROR(IF(0=LEN(ReferenceData!$F$246),"",ReferenceData!$F$246),"")</f>
        <v>14.010152059999999</v>
      </c>
      <c r="G246">
        <f ca="1">IFERROR(IF(0=LEN(ReferenceData!$G$246),"",ReferenceData!$G$246),"")</f>
        <v>16.450249830000001</v>
      </c>
      <c r="H246">
        <f ca="1">IFERROR(IF(0=LEN(ReferenceData!$H$246),"",ReferenceData!$H$246),"")</f>
        <v>18.51121504</v>
      </c>
      <c r="I246">
        <f ca="1">IFERROR(IF(0=LEN(ReferenceData!$I$246),"",ReferenceData!$I$246),"")</f>
        <v>23.999009780000002</v>
      </c>
      <c r="J246">
        <f ca="1">IFERROR(IF(0=LEN(ReferenceData!$J$246),"",ReferenceData!$J$246),"")</f>
        <v>22.689759070000001</v>
      </c>
      <c r="K246">
        <f ca="1">IFERROR(IF(0=LEN(ReferenceData!$K$246),"",ReferenceData!$K$246),"")</f>
        <v>22.52494802</v>
      </c>
      <c r="L246">
        <f ca="1">IFERROR(IF(0=LEN(ReferenceData!$L$246),"",ReferenceData!$L$246),"")</f>
        <v>21.21029768</v>
      </c>
      <c r="M246">
        <f ca="1">IFERROR(IF(0=LEN(ReferenceData!$M$246),"",ReferenceData!$M$246),"")</f>
        <v>22.040132100000001</v>
      </c>
      <c r="N246">
        <f ca="1">IFERROR(IF(0=LEN(ReferenceData!$N$246),"",ReferenceData!$N$246),"")</f>
        <v>21.02285749</v>
      </c>
      <c r="O246">
        <f ca="1">IFERROR(IF(0=LEN(ReferenceData!$O$246),"",ReferenceData!$O$246),"")</f>
        <v>20.07236254</v>
      </c>
      <c r="P246">
        <f ca="1">IFERROR(IF(0=LEN(ReferenceData!$P$246),"",ReferenceData!$P$246),"")</f>
        <v>18.726399489999999</v>
      </c>
      <c r="Q246">
        <f ca="1">IFERROR(IF(0=LEN(ReferenceData!$Q$246),"",ReferenceData!$Q$246),"")</f>
        <v>16.644410570000002</v>
      </c>
      <c r="R246">
        <f ca="1">IFERROR(IF(0=LEN(ReferenceData!$R$246),"",ReferenceData!$R$246),"")</f>
        <v>16.305188860000001</v>
      </c>
      <c r="S246">
        <f ca="1">IFERROR(IF(0=LEN(ReferenceData!$S$246),"",ReferenceData!$S$246),"")</f>
        <v>15.294532090000001</v>
      </c>
      <c r="T246">
        <f ca="1">IFERROR(IF(0=LEN(ReferenceData!$T$246),"",ReferenceData!$T$246),"")</f>
        <v>17.060945759999999</v>
      </c>
      <c r="U246">
        <f ca="1">IFERROR(IF(0=LEN(ReferenceData!$U$246),"",ReferenceData!$U$246),"")</f>
        <v>18.804066509999998</v>
      </c>
      <c r="V246">
        <f ca="1">IFERROR(IF(0=LEN(ReferenceData!$V$246),"",ReferenceData!$V$246),"")</f>
        <v>19.12004335</v>
      </c>
      <c r="W246">
        <f ca="1">IFERROR(IF(0=LEN(ReferenceData!$W$246),"",ReferenceData!$W$246),"")</f>
        <v>19.75897681</v>
      </c>
      <c r="X246">
        <f ca="1">IFERROR(IF(0=LEN(ReferenceData!$X$246),"",ReferenceData!$X$246),"")</f>
        <v>21.722450290000001</v>
      </c>
      <c r="Y246">
        <f ca="1">IFERROR(IF(0=LEN(ReferenceData!$Y$246),"",ReferenceData!$Y$246),"")</f>
        <v>24.900885760000001</v>
      </c>
      <c r="Z246">
        <f ca="1">IFERROR(IF(0=LEN(ReferenceData!$Z$246),"",ReferenceData!$Z$246),"")</f>
        <v>24.803603649999999</v>
      </c>
      <c r="AA246">
        <f ca="1">IFERROR(IF(0=LEN(ReferenceData!$AA$246),"",ReferenceData!$AA$246),"")</f>
        <v>24.772424740000002</v>
      </c>
      <c r="AB246">
        <f ca="1">IFERROR(IF(0=LEN(ReferenceData!$AB$246),"",ReferenceData!$AB$246),"")</f>
        <v>26.712211849999999</v>
      </c>
      <c r="AC246">
        <f ca="1">IFERROR(IF(0=LEN(ReferenceData!$AC$246),"",ReferenceData!$AC$246),"")</f>
        <v>24.678568330000001</v>
      </c>
      <c r="AD246" t="str">
        <f ca="1">IFERROR(IF(0=LEN(ReferenceData!$AD$246),"",ReferenceData!$AD$246),"")</f>
        <v/>
      </c>
      <c r="AE246" t="str">
        <f ca="1">IFERROR(IF(0=LEN(ReferenceData!$AE$246),"",ReferenceData!$AE$246),"")</f>
        <v/>
      </c>
      <c r="AF246" t="str">
        <f ca="1">IFERROR(IF(0=LEN(ReferenceData!$AF$246),"",ReferenceData!$AF$246),"")</f>
        <v/>
      </c>
      <c r="AG246" t="str">
        <f ca="1">IFERROR(IF(0=LEN(ReferenceData!$AG$246),"",ReferenceData!$AG$246),"")</f>
        <v/>
      </c>
      <c r="AH246" t="str">
        <f ca="1">IFERROR(IF(0=LEN(ReferenceData!$AH$246),"",ReferenceData!$AH$246),"")</f>
        <v/>
      </c>
      <c r="AI246" t="str">
        <f ca="1">IFERROR(IF(0=LEN(ReferenceData!$AI$246),"",ReferenceData!$AI$246),"")</f>
        <v/>
      </c>
      <c r="AJ246" t="str">
        <f ca="1">IFERROR(IF(0=LEN(ReferenceData!$AJ$246),"",ReferenceData!$AJ$246),"")</f>
        <v/>
      </c>
      <c r="AK246" t="str">
        <f ca="1">IFERROR(IF(0=LEN(ReferenceData!$AK$246),"",ReferenceData!$AK$246),"")</f>
        <v/>
      </c>
      <c r="AL246" t="str">
        <f ca="1">IFERROR(IF(0=LEN(ReferenceData!$AL$246),"",ReferenceData!$AL$246),"")</f>
        <v/>
      </c>
    </row>
    <row r="247" spans="1:38" x14ac:dyDescent="0.25">
      <c r="A247" t="str">
        <f>IFERROR(IF(0=LEN(ReferenceData!$A$247),"",ReferenceData!$A$247),"")</f>
        <v xml:space="preserve">        Capital One Financial Corp</v>
      </c>
      <c r="B247" t="str">
        <f>IFERROR(IF(0=LEN(ReferenceData!$B$247),"",ReferenceData!$B$247),"")</f>
        <v>COF US Equity</v>
      </c>
      <c r="C247" t="str">
        <f>IFERROR(IF(0=LEN(ReferenceData!$C$247),"",ReferenceData!$C$247),"")</f>
        <v>F0121</v>
      </c>
      <c r="D247" t="str">
        <f>IFERROR(IF(0=LEN(ReferenceData!$D$247),"",ReferenceData!$D$247),"")</f>
        <v>FED_CNSMR_LNS_LEAS_%_TOT_LNS_LS</v>
      </c>
      <c r="E247" t="str">
        <f>IFERROR(IF(0=LEN(ReferenceData!$E$247),"",ReferenceData!$E$247),"")</f>
        <v>Dynamic</v>
      </c>
      <c r="F247">
        <f ca="1">IFERROR(IF(0=LEN(ReferenceData!$F$247),"",ReferenceData!$F$247),"")</f>
        <v>68.974820399999999</v>
      </c>
      <c r="G247">
        <f ca="1">IFERROR(IF(0=LEN(ReferenceData!$G$247),"",ReferenceData!$G$247),"")</f>
        <v>67.365023059999999</v>
      </c>
      <c r="H247">
        <f ca="1">IFERROR(IF(0=LEN(ReferenceData!$H$247),"",ReferenceData!$H$247),"")</f>
        <v>65.511494859999999</v>
      </c>
      <c r="I247">
        <f ca="1">IFERROR(IF(0=LEN(ReferenceData!$I$247),"",ReferenceData!$I$247),"")</f>
        <v>65.704001439999999</v>
      </c>
      <c r="J247">
        <f ca="1">IFERROR(IF(0=LEN(ReferenceData!$J$247),"",ReferenceData!$J$247),"")</f>
        <v>65.647384590000001</v>
      </c>
      <c r="K247">
        <f ca="1">IFERROR(IF(0=LEN(ReferenceData!$K$247),"",ReferenceData!$K$247),"")</f>
        <v>67.486746839999995</v>
      </c>
      <c r="L247">
        <f ca="1">IFERROR(IF(0=LEN(ReferenceData!$L$247),"",ReferenceData!$L$247),"")</f>
        <v>66.533145950000005</v>
      </c>
      <c r="M247">
        <f ca="1">IFERROR(IF(0=LEN(ReferenceData!$M$247),"",ReferenceData!$M$247),"")</f>
        <v>63.098933639999998</v>
      </c>
      <c r="N247">
        <f ca="1">IFERROR(IF(0=LEN(ReferenceData!$N$247),"",ReferenceData!$N$247),"")</f>
        <v>59.389754689999997</v>
      </c>
      <c r="O247">
        <f ca="1">IFERROR(IF(0=LEN(ReferenceData!$O$247),"",ReferenceData!$O$247),"")</f>
        <v>57.220487050000003</v>
      </c>
      <c r="P247">
        <f ca="1">IFERROR(IF(0=LEN(ReferenceData!$P$247),"",ReferenceData!$P$247),"")</f>
        <v>57.019174409999998</v>
      </c>
      <c r="Q247">
        <f ca="1">IFERROR(IF(0=LEN(ReferenceData!$Q$247),"",ReferenceData!$Q$247),"")</f>
        <v>55.076785209999997</v>
      </c>
      <c r="R247">
        <f ca="1">IFERROR(IF(0=LEN(ReferenceData!$R$247),"",ReferenceData!$R$247),"")</f>
        <v>55.619708330000002</v>
      </c>
      <c r="S247">
        <f ca="1">IFERROR(IF(0=LEN(ReferenceData!$S$247),"",ReferenceData!$S$247),"")</f>
        <v>60.45833373</v>
      </c>
      <c r="T247">
        <f ca="1">IFERROR(IF(0=LEN(ReferenceData!$T$247),"",ReferenceData!$T$247),"")</f>
        <v>58.743416449999998</v>
      </c>
      <c r="U247">
        <f ca="1">IFERROR(IF(0=LEN(ReferenceData!$U$247),"",ReferenceData!$U$247),"")</f>
        <v>42.968461310000002</v>
      </c>
      <c r="V247">
        <f ca="1">IFERROR(IF(0=LEN(ReferenceData!$V$247),"",ReferenceData!$V$247),"")</f>
        <v>51.324625130000001</v>
      </c>
      <c r="W247">
        <f ca="1">IFERROR(IF(0=LEN(ReferenceData!$W$247),"",ReferenceData!$W$247),"")</f>
        <v>50.15102211</v>
      </c>
      <c r="X247">
        <f ca="1">IFERROR(IF(0=LEN(ReferenceData!$X$247),"",ReferenceData!$X$247),"")</f>
        <v>48.547214850000003</v>
      </c>
      <c r="Y247">
        <f ca="1">IFERROR(IF(0=LEN(ReferenceData!$Y$247),"",ReferenceData!$Y$247),"")</f>
        <v>73.217884600000005</v>
      </c>
      <c r="Z247">
        <f ca="1">IFERROR(IF(0=LEN(ReferenceData!$Z$247),"",ReferenceData!$Z$247),"")</f>
        <v>91.613857830000001</v>
      </c>
      <c r="AA247" t="str">
        <f ca="1">IFERROR(IF(0=LEN(ReferenceData!$AA$247),"",ReferenceData!$AA$247),"")</f>
        <v/>
      </c>
      <c r="AB247" t="str">
        <f ca="1">IFERROR(IF(0=LEN(ReferenceData!$AB$247),"",ReferenceData!$AB$247),"")</f>
        <v/>
      </c>
      <c r="AC247" t="str">
        <f ca="1">IFERROR(IF(0=LEN(ReferenceData!$AC$247),"",ReferenceData!$AC$247),"")</f>
        <v/>
      </c>
      <c r="AD247" t="str">
        <f ca="1">IFERROR(IF(0=LEN(ReferenceData!$AD$247),"",ReferenceData!$AD$247),"")</f>
        <v/>
      </c>
      <c r="AE247" t="str">
        <f ca="1">IFERROR(IF(0=LEN(ReferenceData!$AE$247),"",ReferenceData!$AE$247),"")</f>
        <v/>
      </c>
      <c r="AF247" t="str">
        <f ca="1">IFERROR(IF(0=LEN(ReferenceData!$AF$247),"",ReferenceData!$AF$247),"")</f>
        <v/>
      </c>
      <c r="AG247" t="str">
        <f ca="1">IFERROR(IF(0=LEN(ReferenceData!$AG$247),"",ReferenceData!$AG$247),"")</f>
        <v/>
      </c>
      <c r="AH247" t="str">
        <f ca="1">IFERROR(IF(0=LEN(ReferenceData!$AH$247),"",ReferenceData!$AH$247),"")</f>
        <v/>
      </c>
      <c r="AI247" t="str">
        <f ca="1">IFERROR(IF(0=LEN(ReferenceData!$AI$247),"",ReferenceData!$AI$247),"")</f>
        <v/>
      </c>
      <c r="AJ247" t="str">
        <f ca="1">IFERROR(IF(0=LEN(ReferenceData!$AJ$247),"",ReferenceData!$AJ$247),"")</f>
        <v/>
      </c>
      <c r="AK247" t="str">
        <f ca="1">IFERROR(IF(0=LEN(ReferenceData!$AK$247),"",ReferenceData!$AK$247),"")</f>
        <v/>
      </c>
      <c r="AL247" t="str">
        <f ca="1">IFERROR(IF(0=LEN(ReferenceData!$AL$247),"",ReferenceData!$AL$247),"")</f>
        <v/>
      </c>
    </row>
    <row r="248" spans="1:38" x14ac:dyDescent="0.25">
      <c r="A248" t="str">
        <f>IFERROR(IF(0=LEN(ReferenceData!$A$248),"",ReferenceData!$A$248),"")</f>
        <v xml:space="preserve">        Comerica Inc</v>
      </c>
      <c r="B248" t="str">
        <f>IFERROR(IF(0=LEN(ReferenceData!$B$248),"",ReferenceData!$B$248),"")</f>
        <v>CMA US Equity</v>
      </c>
      <c r="C248" t="str">
        <f>IFERROR(IF(0=LEN(ReferenceData!$C$248),"",ReferenceData!$C$248),"")</f>
        <v>F0121</v>
      </c>
      <c r="D248" t="str">
        <f>IFERROR(IF(0=LEN(ReferenceData!$D$248),"",ReferenceData!$D$248),"")</f>
        <v>FED_CNSMR_LNS_LEAS_%_TOT_LNS_LS</v>
      </c>
      <c r="E248" t="str">
        <f>IFERROR(IF(0=LEN(ReferenceData!$E$248),"",ReferenceData!$E$248),"")</f>
        <v>Dynamic</v>
      </c>
      <c r="F248" t="str">
        <f ca="1">IFERROR(IF(0=LEN(ReferenceData!$F$248),"",ReferenceData!$F$248),"")</f>
        <v/>
      </c>
      <c r="G248">
        <f ca="1">IFERROR(IF(0=LEN(ReferenceData!$G$248),"",ReferenceData!$G$248),"")</f>
        <v>0.96093227599999997</v>
      </c>
      <c r="H248">
        <f ca="1">IFERROR(IF(0=LEN(ReferenceData!$H$248),"",ReferenceData!$H$248),"")</f>
        <v>0.99807126899999998</v>
      </c>
      <c r="I248">
        <f ca="1">IFERROR(IF(0=LEN(ReferenceData!$I$248),"",ReferenceData!$I$248),"")</f>
        <v>1.142196344</v>
      </c>
      <c r="J248">
        <f ca="1">IFERROR(IF(0=LEN(ReferenceData!$J$248),"",ReferenceData!$J$248),"")</f>
        <v>1.1645250110000001</v>
      </c>
      <c r="K248">
        <f ca="1">IFERROR(IF(0=LEN(ReferenceData!$K$248),"",ReferenceData!$K$248),"")</f>
        <v>1.1076703189999999</v>
      </c>
      <c r="L248">
        <f ca="1">IFERROR(IF(0=LEN(ReferenceData!$L$248),"",ReferenceData!$L$248),"")</f>
        <v>1.149662639</v>
      </c>
      <c r="M248">
        <f ca="1">IFERROR(IF(0=LEN(ReferenceData!$M$248),"",ReferenceData!$M$248),"")</f>
        <v>1.214215418</v>
      </c>
      <c r="N248">
        <f ca="1">IFERROR(IF(0=LEN(ReferenceData!$N$248),"",ReferenceData!$N$248),"")</f>
        <v>1.227505147</v>
      </c>
      <c r="O248">
        <f ca="1">IFERROR(IF(0=LEN(ReferenceData!$O$248),"",ReferenceData!$O$248),"")</f>
        <v>1.3440271880000001</v>
      </c>
      <c r="P248">
        <f ca="1">IFERROR(IF(0=LEN(ReferenceData!$P$248),"",ReferenceData!$P$248),"")</f>
        <v>1.317718637</v>
      </c>
      <c r="Q248">
        <f ca="1">IFERROR(IF(0=LEN(ReferenceData!$Q$248),"",ReferenceData!$Q$248),"")</f>
        <v>1.289807616</v>
      </c>
      <c r="R248">
        <f ca="1">IFERROR(IF(0=LEN(ReferenceData!$R$248),"",ReferenceData!$R$248),"")</f>
        <v>1.1415807849999999</v>
      </c>
      <c r="S248">
        <f ca="1">IFERROR(IF(0=LEN(ReferenceData!$S$248),"",ReferenceData!$S$248),"")</f>
        <v>1.3056325790000001</v>
      </c>
      <c r="T248">
        <f ca="1">IFERROR(IF(0=LEN(ReferenceData!$T$248),"",ReferenceData!$T$248),"")</f>
        <v>1.2743963819999999</v>
      </c>
      <c r="U248">
        <f ca="1">IFERROR(IF(0=LEN(ReferenceData!$U$248),"",ReferenceData!$U$248),"")</f>
        <v>1.4591183729999999</v>
      </c>
      <c r="V248">
        <f ca="1">IFERROR(IF(0=LEN(ReferenceData!$V$248),"",ReferenceData!$V$248),"")</f>
        <v>1.4782017569999999</v>
      </c>
      <c r="W248">
        <f ca="1">IFERROR(IF(0=LEN(ReferenceData!$W$248),"",ReferenceData!$W$248),"")</f>
        <v>1.304055854</v>
      </c>
      <c r="X248">
        <f ca="1">IFERROR(IF(0=LEN(ReferenceData!$X$248),"",ReferenceData!$X$248),"")</f>
        <v>1.3133908750000001</v>
      </c>
      <c r="Y248">
        <f ca="1">IFERROR(IF(0=LEN(ReferenceData!$Y$248),"",ReferenceData!$Y$248),"")</f>
        <v>1.6405469770000001</v>
      </c>
      <c r="Z248">
        <f ca="1">IFERROR(IF(0=LEN(ReferenceData!$Z$248),"",ReferenceData!$Z$248),"")</f>
        <v>2.0032573999999999</v>
      </c>
      <c r="AA248">
        <f ca="1">IFERROR(IF(0=LEN(ReferenceData!$AA$248),"",ReferenceData!$AA$248),"")</f>
        <v>1.9394495650000001</v>
      </c>
      <c r="AB248">
        <f ca="1">IFERROR(IF(0=LEN(ReferenceData!$AB$248),"",ReferenceData!$AB$248),"")</f>
        <v>1.8598382120000001</v>
      </c>
      <c r="AC248">
        <f ca="1">IFERROR(IF(0=LEN(ReferenceData!$AC$248),"",ReferenceData!$AC$248),"")</f>
        <v>2.0134836360000001</v>
      </c>
      <c r="AD248" t="str">
        <f ca="1">IFERROR(IF(0=LEN(ReferenceData!$AD$248),"",ReferenceData!$AD$248),"")</f>
        <v/>
      </c>
      <c r="AE248" t="str">
        <f ca="1">IFERROR(IF(0=LEN(ReferenceData!$AE$248),"",ReferenceData!$AE$248),"")</f>
        <v/>
      </c>
      <c r="AF248" t="str">
        <f ca="1">IFERROR(IF(0=LEN(ReferenceData!$AF$248),"",ReferenceData!$AF$248),"")</f>
        <v/>
      </c>
      <c r="AG248" t="str">
        <f ca="1">IFERROR(IF(0=LEN(ReferenceData!$AG$248),"",ReferenceData!$AG$248),"")</f>
        <v/>
      </c>
      <c r="AH248" t="str">
        <f ca="1">IFERROR(IF(0=LEN(ReferenceData!$AH$248),"",ReferenceData!$AH$248),"")</f>
        <v/>
      </c>
      <c r="AI248" t="str">
        <f ca="1">IFERROR(IF(0=LEN(ReferenceData!$AI$248),"",ReferenceData!$AI$248),"")</f>
        <v/>
      </c>
      <c r="AJ248" t="str">
        <f ca="1">IFERROR(IF(0=LEN(ReferenceData!$AJ$248),"",ReferenceData!$AJ$248),"")</f>
        <v/>
      </c>
      <c r="AK248" t="str">
        <f ca="1">IFERROR(IF(0=LEN(ReferenceData!$AK$248),"",ReferenceData!$AK$248),"")</f>
        <v/>
      </c>
      <c r="AL248" t="str">
        <f ca="1">IFERROR(IF(0=LEN(ReferenceData!$AL$248),"",ReferenceData!$AL$248),"")</f>
        <v/>
      </c>
    </row>
    <row r="249" spans="1:38" x14ac:dyDescent="0.25">
      <c r="A249" t="str">
        <f>IFERROR(IF(0=LEN(ReferenceData!$A$249),"",ReferenceData!$A$249),"")</f>
        <v xml:space="preserve">        East West Bancorp Inc</v>
      </c>
      <c r="B249" t="str">
        <f>IFERROR(IF(0=LEN(ReferenceData!$B$249),"",ReferenceData!$B$249),"")</f>
        <v>EWBC US Equity</v>
      </c>
      <c r="C249" t="str">
        <f>IFERROR(IF(0=LEN(ReferenceData!$C$249),"",ReferenceData!$C$249),"")</f>
        <v>F0121</v>
      </c>
      <c r="D249" t="str">
        <f>IFERROR(IF(0=LEN(ReferenceData!$D$249),"",ReferenceData!$D$249),"")</f>
        <v>FED_CNSMR_LNS_LEAS_%_TOT_LNS_LS</v>
      </c>
      <c r="E249" t="str">
        <f>IFERROR(IF(0=LEN(ReferenceData!$E$249),"",ReferenceData!$E$249),"")</f>
        <v>Dynamic</v>
      </c>
      <c r="F249" t="str">
        <f ca="1">IFERROR(IF(0=LEN(ReferenceData!$F$249),"",ReferenceData!$F$249),"")</f>
        <v/>
      </c>
      <c r="G249">
        <f ca="1">IFERROR(IF(0=LEN(ReferenceData!$G$249),"",ReferenceData!$G$249),"")</f>
        <v>2.1964763000000002E-2</v>
      </c>
      <c r="H249">
        <f ca="1">IFERROR(IF(0=LEN(ReferenceData!$H$249),"",ReferenceData!$H$249),"")</f>
        <v>2.2565147000000001E-2</v>
      </c>
      <c r="I249">
        <f ca="1">IFERROR(IF(0=LEN(ReferenceData!$I$249),"",ReferenceData!$I$249),"")</f>
        <v>2.3154587000000001E-2</v>
      </c>
      <c r="J249">
        <f ca="1">IFERROR(IF(0=LEN(ReferenceData!$J$249),"",ReferenceData!$J$249),"")</f>
        <v>3.5869775E-2</v>
      </c>
      <c r="K249">
        <f ca="1">IFERROR(IF(0=LEN(ReferenceData!$K$249),"",ReferenceData!$K$249),"")</f>
        <v>7.8173671E-2</v>
      </c>
      <c r="L249">
        <f ca="1">IFERROR(IF(0=LEN(ReferenceData!$L$249),"",ReferenceData!$L$249),"")</f>
        <v>0.14219485500000001</v>
      </c>
      <c r="M249">
        <f ca="1">IFERROR(IF(0=LEN(ReferenceData!$M$249),"",ReferenceData!$M$249),"")</f>
        <v>0.22944662900000001</v>
      </c>
      <c r="N249">
        <f ca="1">IFERROR(IF(0=LEN(ReferenceData!$N$249),"",ReferenceData!$N$249),"")</f>
        <v>0.34392102299999999</v>
      </c>
      <c r="O249">
        <f ca="1">IFERROR(IF(0=LEN(ReferenceData!$O$249),"",ReferenceData!$O$249),"")</f>
        <v>0.33999438700000001</v>
      </c>
      <c r="P249">
        <f ca="1">IFERROR(IF(0=LEN(ReferenceData!$P$249),"",ReferenceData!$P$249),"")</f>
        <v>0.23696397599999999</v>
      </c>
      <c r="Q249">
        <f ca="1">IFERROR(IF(0=LEN(ReferenceData!$Q$249),"",ReferenceData!$Q$249),"")</f>
        <v>4.6748922100000003</v>
      </c>
      <c r="R249">
        <f ca="1">IFERROR(IF(0=LEN(ReferenceData!$R$249),"",ReferenceData!$R$249),"")</f>
        <v>4.0851642720000001</v>
      </c>
      <c r="S249">
        <f ca="1">IFERROR(IF(0=LEN(ReferenceData!$S$249),"",ReferenceData!$S$249),"")</f>
        <v>3.7237024170000002</v>
      </c>
      <c r="T249">
        <f ca="1">IFERROR(IF(0=LEN(ReferenceData!$T$249),"",ReferenceData!$T$249),"")</f>
        <v>4.8274143829999998</v>
      </c>
      <c r="U249">
        <f ca="1">IFERROR(IF(0=LEN(ReferenceData!$U$249),"",ReferenceData!$U$249),"")</f>
        <v>2.8227089159999998</v>
      </c>
      <c r="V249">
        <f ca="1">IFERROR(IF(0=LEN(ReferenceData!$V$249),"",ReferenceData!$V$249),"")</f>
        <v>0.33389315600000002</v>
      </c>
      <c r="W249">
        <f ca="1">IFERROR(IF(0=LEN(ReferenceData!$W$249),"",ReferenceData!$W$249),"")</f>
        <v>0.34325109700000001</v>
      </c>
      <c r="X249">
        <f ca="1">IFERROR(IF(0=LEN(ReferenceData!$X$249),"",ReferenceData!$X$249),"")</f>
        <v>0.18688667</v>
      </c>
      <c r="Y249">
        <f ca="1">IFERROR(IF(0=LEN(ReferenceData!$Y$249),"",ReferenceData!$Y$249),"")</f>
        <v>0.277640891</v>
      </c>
      <c r="Z249">
        <f ca="1">IFERROR(IF(0=LEN(ReferenceData!$Z$249),"",ReferenceData!$Z$249),"")</f>
        <v>0.32449220099999998</v>
      </c>
      <c r="AA249">
        <f ca="1">IFERROR(IF(0=LEN(ReferenceData!$AA$249),"",ReferenceData!$AA$249),"")</f>
        <v>0.59167751099999999</v>
      </c>
      <c r="AB249">
        <f ca="1">IFERROR(IF(0=LEN(ReferenceData!$AB$249),"",ReferenceData!$AB$249),"")</f>
        <v>0.89774569699999995</v>
      </c>
      <c r="AC249">
        <f ca="1">IFERROR(IF(0=LEN(ReferenceData!$AC$249),"",ReferenceData!$AC$249),"")</f>
        <v>0.91934861999999995</v>
      </c>
      <c r="AD249" t="str">
        <f ca="1">IFERROR(IF(0=LEN(ReferenceData!$AD$249),"",ReferenceData!$AD$249),"")</f>
        <v/>
      </c>
      <c r="AE249" t="str">
        <f ca="1">IFERROR(IF(0=LEN(ReferenceData!$AE$249),"",ReferenceData!$AE$249),"")</f>
        <v/>
      </c>
      <c r="AF249" t="str">
        <f ca="1">IFERROR(IF(0=LEN(ReferenceData!$AF$249),"",ReferenceData!$AF$249),"")</f>
        <v/>
      </c>
      <c r="AG249" t="str">
        <f ca="1">IFERROR(IF(0=LEN(ReferenceData!$AG$249),"",ReferenceData!$AG$249),"")</f>
        <v/>
      </c>
      <c r="AH249" t="str">
        <f ca="1">IFERROR(IF(0=LEN(ReferenceData!$AH$249),"",ReferenceData!$AH$249),"")</f>
        <v/>
      </c>
      <c r="AI249" t="str">
        <f ca="1">IFERROR(IF(0=LEN(ReferenceData!$AI$249),"",ReferenceData!$AI$249),"")</f>
        <v/>
      </c>
      <c r="AJ249" t="str">
        <f ca="1">IFERROR(IF(0=LEN(ReferenceData!$AJ$249),"",ReferenceData!$AJ$249),"")</f>
        <v/>
      </c>
      <c r="AK249" t="str">
        <f ca="1">IFERROR(IF(0=LEN(ReferenceData!$AK$249),"",ReferenceData!$AK$249),"")</f>
        <v/>
      </c>
      <c r="AL249" t="str">
        <f ca="1">IFERROR(IF(0=LEN(ReferenceData!$AL$249),"",ReferenceData!$AL$249),"")</f>
        <v/>
      </c>
    </row>
    <row r="250" spans="1:38" x14ac:dyDescent="0.25">
      <c r="A250" t="str">
        <f>IFERROR(IF(0=LEN(ReferenceData!$A$250),"",ReferenceData!$A$250),"")</f>
        <v xml:space="preserve">        Fifth Third Bancorp</v>
      </c>
      <c r="B250" t="str">
        <f>IFERROR(IF(0=LEN(ReferenceData!$B$250),"",ReferenceData!$B$250),"")</f>
        <v>FITB US Equity</v>
      </c>
      <c r="C250" t="str">
        <f>IFERROR(IF(0=LEN(ReferenceData!$C$250),"",ReferenceData!$C$250),"")</f>
        <v>F0121</v>
      </c>
      <c r="D250" t="str">
        <f>IFERROR(IF(0=LEN(ReferenceData!$D$250),"",ReferenceData!$D$250),"")</f>
        <v>FED_CNSMR_LNS_LEAS_%_TOT_LNS_LS</v>
      </c>
      <c r="E250" t="str">
        <f>IFERROR(IF(0=LEN(ReferenceData!$E$250),"",ReferenceData!$E$250),"")</f>
        <v>Dynamic</v>
      </c>
      <c r="F250">
        <f ca="1">IFERROR(IF(0=LEN(ReferenceData!$F$250),"",ReferenceData!$F$250),"")</f>
        <v>20.596025940000001</v>
      </c>
      <c r="G250">
        <f ca="1">IFERROR(IF(0=LEN(ReferenceData!$G$250),"",ReferenceData!$G$250),"")</f>
        <v>20.0617284</v>
      </c>
      <c r="H250">
        <f ca="1">IFERROR(IF(0=LEN(ReferenceData!$H$250),"",ReferenceData!$H$250),"")</f>
        <v>19.18748592</v>
      </c>
      <c r="I250">
        <f ca="1">IFERROR(IF(0=LEN(ReferenceData!$I$250),"",ReferenceData!$I$250),"")</f>
        <v>18.397311370000001</v>
      </c>
      <c r="J250">
        <f ca="1">IFERROR(IF(0=LEN(ReferenceData!$J$250),"",ReferenceData!$J$250),"")</f>
        <v>16.395734109999999</v>
      </c>
      <c r="K250">
        <f ca="1">IFERROR(IF(0=LEN(ReferenceData!$K$250),"",ReferenceData!$K$250),"")</f>
        <v>15.185015379999999</v>
      </c>
      <c r="L250">
        <f ca="1">IFERROR(IF(0=LEN(ReferenceData!$L$250),"",ReferenceData!$L$250),"")</f>
        <v>14.484747090000001</v>
      </c>
      <c r="M250">
        <f ca="1">IFERROR(IF(0=LEN(ReferenceData!$M$250),"",ReferenceData!$M$250),"")</f>
        <v>14.07069441</v>
      </c>
      <c r="N250">
        <f ca="1">IFERROR(IF(0=LEN(ReferenceData!$N$250),"",ReferenceData!$N$250),"")</f>
        <v>14.06611809</v>
      </c>
      <c r="O250">
        <f ca="1">IFERROR(IF(0=LEN(ReferenceData!$O$250),"",ReferenceData!$O$250),"")</f>
        <v>15.70363435</v>
      </c>
      <c r="P250">
        <f ca="1">IFERROR(IF(0=LEN(ReferenceData!$P$250),"",ReferenceData!$P$250),"")</f>
        <v>16.585487709999999</v>
      </c>
      <c r="Q250">
        <f ca="1">IFERROR(IF(0=LEN(ReferenceData!$Q$250),"",ReferenceData!$Q$250),"")</f>
        <v>16.617073609999998</v>
      </c>
      <c r="R250">
        <f ca="1">IFERROR(IF(0=LEN(ReferenceData!$R$250),"",ReferenceData!$R$250),"")</f>
        <v>16.375095949999999</v>
      </c>
      <c r="S250">
        <f ca="1">IFERROR(IF(0=LEN(ReferenceData!$S$250),"",ReferenceData!$S$250),"")</f>
        <v>16.877234730000001</v>
      </c>
      <c r="T250">
        <f ca="1">IFERROR(IF(0=LEN(ReferenceData!$T$250),"",ReferenceData!$T$250),"")</f>
        <v>16.977163210000001</v>
      </c>
      <c r="U250">
        <f ca="1">IFERROR(IF(0=LEN(ReferenceData!$U$250),"",ReferenceData!$U$250),"")</f>
        <v>14.835023870000001</v>
      </c>
      <c r="V250">
        <f ca="1">IFERROR(IF(0=LEN(ReferenceData!$V$250),"",ReferenceData!$V$250),"")</f>
        <v>13.511089589999999</v>
      </c>
      <c r="W250">
        <f ca="1">IFERROR(IF(0=LEN(ReferenceData!$W$250),"",ReferenceData!$W$250),"")</f>
        <v>16.896574260000001</v>
      </c>
      <c r="X250">
        <f ca="1">IFERROR(IF(0=LEN(ReferenceData!$X$250),"",ReferenceData!$X$250),"")</f>
        <v>15.530091880000001</v>
      </c>
      <c r="Y250">
        <f ca="1">IFERROR(IF(0=LEN(ReferenceData!$Y$250),"",ReferenceData!$Y$250),"")</f>
        <v>15.471672269999999</v>
      </c>
      <c r="Z250">
        <f ca="1">IFERROR(IF(0=LEN(ReferenceData!$Z$250),"",ReferenceData!$Z$250),"")</f>
        <v>15.209945469999999</v>
      </c>
      <c r="AA250">
        <f ca="1">IFERROR(IF(0=LEN(ReferenceData!$AA$250),"",ReferenceData!$AA$250),"")</f>
        <v>18.256711119999999</v>
      </c>
      <c r="AB250">
        <f ca="1">IFERROR(IF(0=LEN(ReferenceData!$AB$250),"",ReferenceData!$AB$250),"")</f>
        <v>14.280809659999999</v>
      </c>
      <c r="AC250">
        <f ca="1">IFERROR(IF(0=LEN(ReferenceData!$AC$250),"",ReferenceData!$AC$250),"")</f>
        <v>12.238066269999999</v>
      </c>
      <c r="AD250" t="str">
        <f ca="1">IFERROR(IF(0=LEN(ReferenceData!$AD$250),"",ReferenceData!$AD$250),"")</f>
        <v/>
      </c>
      <c r="AE250" t="str">
        <f ca="1">IFERROR(IF(0=LEN(ReferenceData!$AE$250),"",ReferenceData!$AE$250),"")</f>
        <v/>
      </c>
      <c r="AF250" t="str">
        <f ca="1">IFERROR(IF(0=LEN(ReferenceData!$AF$250),"",ReferenceData!$AF$250),"")</f>
        <v/>
      </c>
      <c r="AG250" t="str">
        <f ca="1">IFERROR(IF(0=LEN(ReferenceData!$AG$250),"",ReferenceData!$AG$250),"")</f>
        <v/>
      </c>
      <c r="AH250" t="str">
        <f ca="1">IFERROR(IF(0=LEN(ReferenceData!$AH$250),"",ReferenceData!$AH$250),"")</f>
        <v/>
      </c>
      <c r="AI250" t="str">
        <f ca="1">IFERROR(IF(0=LEN(ReferenceData!$AI$250),"",ReferenceData!$AI$250),"")</f>
        <v/>
      </c>
      <c r="AJ250" t="str">
        <f ca="1">IFERROR(IF(0=LEN(ReferenceData!$AJ$250),"",ReferenceData!$AJ$250),"")</f>
        <v/>
      </c>
      <c r="AK250" t="str">
        <f ca="1">IFERROR(IF(0=LEN(ReferenceData!$AK$250),"",ReferenceData!$AK$250),"")</f>
        <v/>
      </c>
      <c r="AL250" t="str">
        <f ca="1">IFERROR(IF(0=LEN(ReferenceData!$AL$250),"",ReferenceData!$AL$250),"")</f>
        <v/>
      </c>
    </row>
    <row r="251" spans="1:38" x14ac:dyDescent="0.25">
      <c r="A251" t="str">
        <f>IFERROR(IF(0=LEN(ReferenceData!$A$251),"",ReferenceData!$A$251),"")</f>
        <v xml:space="preserve">        First Citizens BancShares Inc/</v>
      </c>
      <c r="B251" t="str">
        <f>IFERROR(IF(0=LEN(ReferenceData!$B$251),"",ReferenceData!$B$251),"")</f>
        <v>FCNCA US Equity</v>
      </c>
      <c r="C251" t="str">
        <f>IFERROR(IF(0=LEN(ReferenceData!$C$251),"",ReferenceData!$C$251),"")</f>
        <v>F0121</v>
      </c>
      <c r="D251" t="str">
        <f>IFERROR(IF(0=LEN(ReferenceData!$D$251),"",ReferenceData!$D$251),"")</f>
        <v>FED_CNSMR_LNS_LEAS_%_TOT_LNS_LS</v>
      </c>
      <c r="E251" t="str">
        <f>IFERROR(IF(0=LEN(ReferenceData!$E$251),"",ReferenceData!$E$251),"")</f>
        <v>Dynamic</v>
      </c>
      <c r="F251">
        <f ca="1">IFERROR(IF(0=LEN(ReferenceData!$F$251),"",ReferenceData!$F$251),"")</f>
        <v>1.9286829219999999</v>
      </c>
      <c r="G251">
        <f ca="1">IFERROR(IF(0=LEN(ReferenceData!$G$251),"",ReferenceData!$G$251),"")</f>
        <v>1.9631068709999999</v>
      </c>
      <c r="H251">
        <f ca="1">IFERROR(IF(0=LEN(ReferenceData!$H$251),"",ReferenceData!$H$251),"")</f>
        <v>2.9179295710000002</v>
      </c>
      <c r="I251">
        <f ca="1">IFERROR(IF(0=LEN(ReferenceData!$I$251),"",ReferenceData!$I$251),"")</f>
        <v>5.7880590620000003</v>
      </c>
      <c r="J251">
        <f ca="1">IFERROR(IF(0=LEN(ReferenceData!$J$251),"",ReferenceData!$J$251),"")</f>
        <v>5.4949853590000002</v>
      </c>
      <c r="K251">
        <f ca="1">IFERROR(IF(0=LEN(ReferenceData!$K$251),"",ReferenceData!$K$251),"")</f>
        <v>6.1526047290000001</v>
      </c>
      <c r="L251">
        <f ca="1">IFERROR(IF(0=LEN(ReferenceData!$L$251),"",ReferenceData!$L$251),"")</f>
        <v>6.7088219809999998</v>
      </c>
      <c r="M251">
        <f ca="1">IFERROR(IF(0=LEN(ReferenceData!$M$251),"",ReferenceData!$M$251),"")</f>
        <v>6.6109723259999997</v>
      </c>
      <c r="N251">
        <f ca="1">IFERROR(IF(0=LEN(ReferenceData!$N$251),"",ReferenceData!$N$251),"")</f>
        <v>6.6380500629999997</v>
      </c>
      <c r="O251">
        <f ca="1">IFERROR(IF(0=LEN(ReferenceData!$O$251),"",ReferenceData!$O$251),"")</f>
        <v>6.0202398490000002</v>
      </c>
      <c r="P251">
        <f ca="1">IFERROR(IF(0=LEN(ReferenceData!$P$251),"",ReferenceData!$P$251),"")</f>
        <v>5.9494473599999997</v>
      </c>
      <c r="Q251">
        <f ca="1">IFERROR(IF(0=LEN(ReferenceData!$Q$251),"",ReferenceData!$Q$251),"")</f>
        <v>2.9383439610000002</v>
      </c>
      <c r="R251">
        <f ca="1">IFERROR(IF(0=LEN(ReferenceData!$R$251),"",ReferenceData!$R$251),"")</f>
        <v>3.1055882179999998</v>
      </c>
      <c r="S251">
        <f ca="1">IFERROR(IF(0=LEN(ReferenceData!$S$251),"",ReferenceData!$S$251),"")</f>
        <v>3.5777234619999998</v>
      </c>
      <c r="T251">
        <f ca="1">IFERROR(IF(0=LEN(ReferenceData!$T$251),"",ReferenceData!$T$251),"")</f>
        <v>4.9082559789999998</v>
      </c>
      <c r="U251">
        <f ca="1">IFERROR(IF(0=LEN(ReferenceData!$U$251),"",ReferenceData!$U$251),"")</f>
        <v>7.3455228400000001</v>
      </c>
      <c r="V251">
        <f ca="1">IFERROR(IF(0=LEN(ReferenceData!$V$251),"",ReferenceData!$V$251),"")</f>
        <v>10.52175965</v>
      </c>
      <c r="W251">
        <f ca="1">IFERROR(IF(0=LEN(ReferenceData!$W$251),"",ReferenceData!$W$251),"")</f>
        <v>12.4793869</v>
      </c>
      <c r="X251">
        <f ca="1">IFERROR(IF(0=LEN(ReferenceData!$X$251),"",ReferenceData!$X$251),"")</f>
        <v>13.2512451</v>
      </c>
      <c r="Y251">
        <f ca="1">IFERROR(IF(0=LEN(ReferenceData!$Y$251),"",ReferenceData!$Y$251),"")</f>
        <v>13.63867902</v>
      </c>
      <c r="Z251">
        <f ca="1">IFERROR(IF(0=LEN(ReferenceData!$Z$251),"",ReferenceData!$Z$251),"")</f>
        <v>14.880312310000001</v>
      </c>
      <c r="AA251">
        <f ca="1">IFERROR(IF(0=LEN(ReferenceData!$AA$251),"",ReferenceData!$AA$251),"")</f>
        <v>15.65231082</v>
      </c>
      <c r="AB251">
        <f ca="1">IFERROR(IF(0=LEN(ReferenceData!$AB$251),"",ReferenceData!$AB$251),"")</f>
        <v>15.14342746</v>
      </c>
      <c r="AC251">
        <f ca="1">IFERROR(IF(0=LEN(ReferenceData!$AC$251),"",ReferenceData!$AC$251),"")</f>
        <v>14.927439939999999</v>
      </c>
      <c r="AD251" t="str">
        <f ca="1">IFERROR(IF(0=LEN(ReferenceData!$AD$251),"",ReferenceData!$AD$251),"")</f>
        <v/>
      </c>
      <c r="AE251" t="str">
        <f ca="1">IFERROR(IF(0=LEN(ReferenceData!$AE$251),"",ReferenceData!$AE$251),"")</f>
        <v/>
      </c>
      <c r="AF251" t="str">
        <f ca="1">IFERROR(IF(0=LEN(ReferenceData!$AF$251),"",ReferenceData!$AF$251),"")</f>
        <v/>
      </c>
      <c r="AG251" t="str">
        <f ca="1">IFERROR(IF(0=LEN(ReferenceData!$AG$251),"",ReferenceData!$AG$251),"")</f>
        <v/>
      </c>
      <c r="AH251" t="str">
        <f ca="1">IFERROR(IF(0=LEN(ReferenceData!$AH$251),"",ReferenceData!$AH$251),"")</f>
        <v/>
      </c>
      <c r="AI251" t="str">
        <f ca="1">IFERROR(IF(0=LEN(ReferenceData!$AI$251),"",ReferenceData!$AI$251),"")</f>
        <v/>
      </c>
      <c r="AJ251" t="str">
        <f ca="1">IFERROR(IF(0=LEN(ReferenceData!$AJ$251),"",ReferenceData!$AJ$251),"")</f>
        <v/>
      </c>
      <c r="AK251" t="str">
        <f ca="1">IFERROR(IF(0=LEN(ReferenceData!$AK$251),"",ReferenceData!$AK$251),"")</f>
        <v/>
      </c>
      <c r="AL251" t="str">
        <f ca="1">IFERROR(IF(0=LEN(ReferenceData!$AL$251),"",ReferenceData!$AL$251),"")</f>
        <v/>
      </c>
    </row>
    <row r="252" spans="1:38" x14ac:dyDescent="0.25">
      <c r="A252" t="str">
        <f>IFERROR(IF(0=LEN(ReferenceData!$A$252),"",ReferenceData!$A$252),"")</f>
        <v xml:space="preserve">        Flagstar Financial Inc</v>
      </c>
      <c r="B252" t="str">
        <f>IFERROR(IF(0=LEN(ReferenceData!$B$252),"",ReferenceData!$B$252),"")</f>
        <v>FLG US Equity</v>
      </c>
      <c r="C252" t="str">
        <f>IFERROR(IF(0=LEN(ReferenceData!$C$252),"",ReferenceData!$C$252),"")</f>
        <v>F0121</v>
      </c>
      <c r="D252" t="str">
        <f>IFERROR(IF(0=LEN(ReferenceData!$D$252),"",ReferenceData!$D$252),"")</f>
        <v>FED_CNSMR_LNS_LEAS_%_TOT_LNS_LS</v>
      </c>
      <c r="E252" t="str">
        <f>IFERROR(IF(0=LEN(ReferenceData!$E$252),"",ReferenceData!$E$252),"")</f>
        <v>Dynamic</v>
      </c>
      <c r="F252">
        <f ca="1">IFERROR(IF(0=LEN(ReferenceData!$F$252),"",ReferenceData!$F$252),"")</f>
        <v>0.29928218000000001</v>
      </c>
      <c r="G252">
        <f ca="1">IFERROR(IF(0=LEN(ReferenceData!$G$252),"",ReferenceData!$G$252),"")</f>
        <v>1.4220930270000001</v>
      </c>
      <c r="H252">
        <f ca="1">IFERROR(IF(0=LEN(ReferenceData!$H$252),"",ReferenceData!$H$252),"")</f>
        <v>1.94142715</v>
      </c>
      <c r="I252">
        <f ca="1">IFERROR(IF(0=LEN(ReferenceData!$I$252),"",ReferenceData!$I$252),"")</f>
        <v>3.87857E-3</v>
      </c>
      <c r="J252">
        <f ca="1">IFERROR(IF(0=LEN(ReferenceData!$J$252),"",ReferenceData!$J$252),"")</f>
        <v>4.8743349999999996E-3</v>
      </c>
      <c r="K252">
        <f ca="1">IFERROR(IF(0=LEN(ReferenceData!$K$252),"",ReferenceData!$K$252),"")</f>
        <v>7.5094009999999997E-3</v>
      </c>
      <c r="L252">
        <f ca="1">IFERROR(IF(0=LEN(ReferenceData!$L$252),"",ReferenceData!$L$252),"")</f>
        <v>8.5072150000000003E-3</v>
      </c>
      <c r="M252">
        <f ca="1">IFERROR(IF(0=LEN(ReferenceData!$M$252),"",ReferenceData!$M$252),"")</f>
        <v>8.2918590000000004E-3</v>
      </c>
      <c r="N252">
        <f ca="1">IFERROR(IF(0=LEN(ReferenceData!$N$252),"",ReferenceData!$N$252),"")</f>
        <v>1.006837E-2</v>
      </c>
      <c r="O252">
        <f ca="1">IFERROR(IF(0=LEN(ReferenceData!$O$252),"",ReferenceData!$O$252),"")</f>
        <v>1.1193879E-2</v>
      </c>
      <c r="P252">
        <f ca="1">IFERROR(IF(0=LEN(ReferenceData!$P$252),"",ReferenceData!$P$252),"")</f>
        <v>4.2293429E-2</v>
      </c>
      <c r="Q252">
        <f ca="1">IFERROR(IF(0=LEN(ReferenceData!$Q$252),"",ReferenceData!$Q$252),"")</f>
        <v>5.2355829E-2</v>
      </c>
      <c r="R252">
        <f ca="1">IFERROR(IF(0=LEN(ReferenceData!$R$252),"",ReferenceData!$R$252),"")</f>
        <v>6.1186835000000002E-2</v>
      </c>
      <c r="S252">
        <f ca="1">IFERROR(IF(0=LEN(ReferenceData!$S$252),"",ReferenceData!$S$252),"")</f>
        <v>7.2782015000000005E-2</v>
      </c>
      <c r="T252">
        <f ca="1">IFERROR(IF(0=LEN(ReferenceData!$T$252),"",ReferenceData!$T$252),"")</f>
        <v>7.8162328000000003E-2</v>
      </c>
      <c r="U252">
        <f ca="1">IFERROR(IF(0=LEN(ReferenceData!$U$252),"",ReferenceData!$U$252),"")</f>
        <v>7.2370349E-2</v>
      </c>
      <c r="V252">
        <f ca="1">IFERROR(IF(0=LEN(ReferenceData!$V$252),"",ReferenceData!$V$252),"")</f>
        <v>0.15407124999999999</v>
      </c>
      <c r="W252">
        <f ca="1">IFERROR(IF(0=LEN(ReferenceData!$W$252),"",ReferenceData!$W$252),"")</f>
        <v>0.420023172</v>
      </c>
      <c r="X252">
        <f ca="1">IFERROR(IF(0=LEN(ReferenceData!$X$252),"",ReferenceData!$X$252),"")</f>
        <v>0.155507224</v>
      </c>
      <c r="Y252">
        <f ca="1">IFERROR(IF(0=LEN(ReferenceData!$Y$252),"",ReferenceData!$Y$252),"")</f>
        <v>5.0749263000000003E-2</v>
      </c>
      <c r="Z252">
        <f ca="1">IFERROR(IF(0=LEN(ReferenceData!$Z$252),"",ReferenceData!$Z$252),"")</f>
        <v>3.6814975E-2</v>
      </c>
      <c r="AA252">
        <f ca="1">IFERROR(IF(0=LEN(ReferenceData!$AA$252),"",ReferenceData!$AA$252),"")</f>
        <v>0.977359749</v>
      </c>
      <c r="AB252">
        <f ca="1">IFERROR(IF(0=LEN(ReferenceData!$AB$252),"",ReferenceData!$AB$252),"")</f>
        <v>0.28046854500000001</v>
      </c>
      <c r="AC252">
        <f ca="1">IFERROR(IF(0=LEN(ReferenceData!$AC$252),"",ReferenceData!$AC$252),"")</f>
        <v>0.38930635200000002</v>
      </c>
      <c r="AD252" t="str">
        <f ca="1">IFERROR(IF(0=LEN(ReferenceData!$AD$252),"",ReferenceData!$AD$252),"")</f>
        <v/>
      </c>
      <c r="AE252" t="str">
        <f ca="1">IFERROR(IF(0=LEN(ReferenceData!$AE$252),"",ReferenceData!$AE$252),"")</f>
        <v/>
      </c>
      <c r="AF252" t="str">
        <f ca="1">IFERROR(IF(0=LEN(ReferenceData!$AF$252),"",ReferenceData!$AF$252),"")</f>
        <v/>
      </c>
      <c r="AG252" t="str">
        <f ca="1">IFERROR(IF(0=LEN(ReferenceData!$AG$252),"",ReferenceData!$AG$252),"")</f>
        <v/>
      </c>
      <c r="AH252" t="str">
        <f ca="1">IFERROR(IF(0=LEN(ReferenceData!$AH$252),"",ReferenceData!$AH$252),"")</f>
        <v/>
      </c>
      <c r="AI252" t="str">
        <f ca="1">IFERROR(IF(0=LEN(ReferenceData!$AI$252),"",ReferenceData!$AI$252),"")</f>
        <v/>
      </c>
      <c r="AJ252" t="str">
        <f ca="1">IFERROR(IF(0=LEN(ReferenceData!$AJ$252),"",ReferenceData!$AJ$252),"")</f>
        <v/>
      </c>
      <c r="AK252" t="str">
        <f ca="1">IFERROR(IF(0=LEN(ReferenceData!$AK$252),"",ReferenceData!$AK$252),"")</f>
        <v/>
      </c>
      <c r="AL252" t="str">
        <f ca="1">IFERROR(IF(0=LEN(ReferenceData!$AL$252),"",ReferenceData!$AL$252),"")</f>
        <v/>
      </c>
    </row>
    <row r="253" spans="1:38" x14ac:dyDescent="0.25">
      <c r="A253" t="str">
        <f>IFERROR(IF(0=LEN(ReferenceData!$A$253),"",ReferenceData!$A$253),"")</f>
        <v xml:space="preserve">        Huntington Bancshares Inc/OH</v>
      </c>
      <c r="B253" t="str">
        <f>IFERROR(IF(0=LEN(ReferenceData!$B$253),"",ReferenceData!$B$253),"")</f>
        <v>HBAN US Equity</v>
      </c>
      <c r="C253" t="str">
        <f>IFERROR(IF(0=LEN(ReferenceData!$C$253),"",ReferenceData!$C$253),"")</f>
        <v>F0121</v>
      </c>
      <c r="D253" t="str">
        <f>IFERROR(IF(0=LEN(ReferenceData!$D$253),"",ReferenceData!$D$253),"")</f>
        <v>FED_CNSMR_LNS_LEAS_%_TOT_LNS_LS</v>
      </c>
      <c r="E253" t="str">
        <f>IFERROR(IF(0=LEN(ReferenceData!$E$253),"",ReferenceData!$E$253),"")</f>
        <v>Dynamic</v>
      </c>
      <c r="F253">
        <f ca="1">IFERROR(IF(0=LEN(ReferenceData!$F$253),"",ReferenceData!$F$253),"")</f>
        <v>17.39294074</v>
      </c>
      <c r="G253">
        <f ca="1">IFERROR(IF(0=LEN(ReferenceData!$G$253),"",ReferenceData!$G$253),"")</f>
        <v>16.54391622</v>
      </c>
      <c r="H253">
        <f ca="1">IFERROR(IF(0=LEN(ReferenceData!$H$253),"",ReferenceData!$H$253),"")</f>
        <v>17.48343599</v>
      </c>
      <c r="I253">
        <f ca="1">IFERROR(IF(0=LEN(ReferenceData!$I$253),"",ReferenceData!$I$253),"")</f>
        <v>18.357777590000001</v>
      </c>
      <c r="J253">
        <f ca="1">IFERROR(IF(0=LEN(ReferenceData!$J$253),"",ReferenceData!$J$253),"")</f>
        <v>22.180977599999999</v>
      </c>
      <c r="K253">
        <f ca="1">IFERROR(IF(0=LEN(ReferenceData!$K$253),"",ReferenceData!$K$253),"")</f>
        <v>23.45479551</v>
      </c>
      <c r="L253">
        <f ca="1">IFERROR(IF(0=LEN(ReferenceData!$L$253),"",ReferenceData!$L$253),"")</f>
        <v>22.816837459999999</v>
      </c>
      <c r="M253">
        <f ca="1">IFERROR(IF(0=LEN(ReferenceData!$M$253),"",ReferenceData!$M$253),"")</f>
        <v>22.760907199999998</v>
      </c>
      <c r="N253">
        <f ca="1">IFERROR(IF(0=LEN(ReferenceData!$N$253),"",ReferenceData!$N$253),"")</f>
        <v>20.995454110000001</v>
      </c>
      <c r="O253">
        <f ca="1">IFERROR(IF(0=LEN(ReferenceData!$O$253),"",ReferenceData!$O$253),"")</f>
        <v>20.128942439999999</v>
      </c>
      <c r="P253">
        <f ca="1">IFERROR(IF(0=LEN(ReferenceData!$P$253),"",ReferenceData!$P$253),"")</f>
        <v>19.266758930000002</v>
      </c>
      <c r="Q253">
        <f ca="1">IFERROR(IF(0=LEN(ReferenceData!$Q$253),"",ReferenceData!$Q$253),"")</f>
        <v>16.478388519999999</v>
      </c>
      <c r="R253">
        <f ca="1">IFERROR(IF(0=LEN(ReferenceData!$R$253),"",ReferenceData!$R$253),"")</f>
        <v>13.10552577</v>
      </c>
      <c r="S253">
        <f ca="1">IFERROR(IF(0=LEN(ReferenceData!$S$253),"",ReferenceData!$S$253),"")</f>
        <v>15.54787616</v>
      </c>
      <c r="T253">
        <f ca="1">IFERROR(IF(0=LEN(ReferenceData!$T$253),"",ReferenceData!$T$253),"")</f>
        <v>16.29538801</v>
      </c>
      <c r="U253">
        <f ca="1">IFERROR(IF(0=LEN(ReferenceData!$U$253),"",ReferenceData!$U$253),"")</f>
        <v>10.86462423</v>
      </c>
      <c r="V253">
        <f ca="1">IFERROR(IF(0=LEN(ReferenceData!$V$253),"",ReferenceData!$V$253),"")</f>
        <v>12.716392129999999</v>
      </c>
      <c r="W253">
        <f ca="1">IFERROR(IF(0=LEN(ReferenceData!$W$253),"",ReferenceData!$W$253),"")</f>
        <v>12.51913884</v>
      </c>
      <c r="X253">
        <f ca="1">IFERROR(IF(0=LEN(ReferenceData!$X$253),"",ReferenceData!$X$253),"")</f>
        <v>11.339940739999999</v>
      </c>
      <c r="Y253">
        <f ca="1">IFERROR(IF(0=LEN(ReferenceData!$Y$253),"",ReferenceData!$Y$253),"")</f>
        <v>11.210668439999999</v>
      </c>
      <c r="Z253">
        <f ca="1">IFERROR(IF(0=LEN(ReferenceData!$Z$253),"",ReferenceData!$Z$253),"")</f>
        <v>10.91194642</v>
      </c>
      <c r="AA253">
        <f ca="1">IFERROR(IF(0=LEN(ReferenceData!$AA$253),"",ReferenceData!$AA$253),"")</f>
        <v>17.164081199999998</v>
      </c>
      <c r="AB253">
        <f ca="1">IFERROR(IF(0=LEN(ReferenceData!$AB$253),"",ReferenceData!$AB$253),"")</f>
        <v>18.918532720000002</v>
      </c>
      <c r="AC253">
        <f ca="1">IFERROR(IF(0=LEN(ReferenceData!$AC$253),"",ReferenceData!$AC$253),"")</f>
        <v>18.2753029</v>
      </c>
      <c r="AD253" t="str">
        <f ca="1">IFERROR(IF(0=LEN(ReferenceData!$AD$253),"",ReferenceData!$AD$253),"")</f>
        <v/>
      </c>
      <c r="AE253" t="str">
        <f ca="1">IFERROR(IF(0=LEN(ReferenceData!$AE$253),"",ReferenceData!$AE$253),"")</f>
        <v/>
      </c>
      <c r="AF253" t="str">
        <f ca="1">IFERROR(IF(0=LEN(ReferenceData!$AF$253),"",ReferenceData!$AF$253),"")</f>
        <v/>
      </c>
      <c r="AG253" t="str">
        <f ca="1">IFERROR(IF(0=LEN(ReferenceData!$AG$253),"",ReferenceData!$AG$253),"")</f>
        <v/>
      </c>
      <c r="AH253" t="str">
        <f ca="1">IFERROR(IF(0=LEN(ReferenceData!$AH$253),"",ReferenceData!$AH$253),"")</f>
        <v/>
      </c>
      <c r="AI253" t="str">
        <f ca="1">IFERROR(IF(0=LEN(ReferenceData!$AI$253),"",ReferenceData!$AI$253),"")</f>
        <v/>
      </c>
      <c r="AJ253" t="str">
        <f ca="1">IFERROR(IF(0=LEN(ReferenceData!$AJ$253),"",ReferenceData!$AJ$253),"")</f>
        <v/>
      </c>
      <c r="AK253" t="str">
        <f ca="1">IFERROR(IF(0=LEN(ReferenceData!$AK$253),"",ReferenceData!$AK$253),"")</f>
        <v/>
      </c>
      <c r="AL253" t="str">
        <f ca="1">IFERROR(IF(0=LEN(ReferenceData!$AL$253),"",ReferenceData!$AL$253),"")</f>
        <v/>
      </c>
    </row>
    <row r="254" spans="1:38" x14ac:dyDescent="0.25">
      <c r="A254" t="str">
        <f>IFERROR(IF(0=LEN(ReferenceData!$A$254),"",ReferenceData!$A$254),"")</f>
        <v xml:space="preserve">        JPMorgan Chase &amp; Co</v>
      </c>
      <c r="B254" t="str">
        <f>IFERROR(IF(0=LEN(ReferenceData!$B$254),"",ReferenceData!$B$254),"")</f>
        <v>JPM US Equity</v>
      </c>
      <c r="C254" t="str">
        <f>IFERROR(IF(0=LEN(ReferenceData!$C$254),"",ReferenceData!$C$254),"")</f>
        <v>F0121</v>
      </c>
      <c r="D254" t="str">
        <f>IFERROR(IF(0=LEN(ReferenceData!$D$254),"",ReferenceData!$D$254),"")</f>
        <v>FED_CNSMR_LNS_LEAS_%_TOT_LNS_LS</v>
      </c>
      <c r="E254" t="str">
        <f>IFERROR(IF(0=LEN(ReferenceData!$E$254),"",ReferenceData!$E$254),"")</f>
        <v>Dynamic</v>
      </c>
      <c r="F254">
        <f ca="1">IFERROR(IF(0=LEN(ReferenceData!$F$254),"",ReferenceData!$F$254),"")</f>
        <v>20.381922639999999</v>
      </c>
      <c r="G254">
        <f ca="1">IFERROR(IF(0=LEN(ReferenceData!$G$254),"",ReferenceData!$G$254),"")</f>
        <v>20.089720889999999</v>
      </c>
      <c r="H254">
        <f ca="1">IFERROR(IF(0=LEN(ReferenceData!$H$254),"",ReferenceData!$H$254),"")</f>
        <v>20.79544074</v>
      </c>
      <c r="I254">
        <f ca="1">IFERROR(IF(0=LEN(ReferenceData!$I$254),"",ReferenceData!$I$254),"")</f>
        <v>19.389627480000001</v>
      </c>
      <c r="J254">
        <f ca="1">IFERROR(IF(0=LEN(ReferenceData!$J$254),"",ReferenceData!$J$254),"")</f>
        <v>18.851230180000002</v>
      </c>
      <c r="K254">
        <f ca="1">IFERROR(IF(0=LEN(ReferenceData!$K$254),"",ReferenceData!$K$254),"")</f>
        <v>21.43619249</v>
      </c>
      <c r="L254">
        <f ca="1">IFERROR(IF(0=LEN(ReferenceData!$L$254),"",ReferenceData!$L$254),"")</f>
        <v>20.06976985</v>
      </c>
      <c r="M254">
        <f ca="1">IFERROR(IF(0=LEN(ReferenceData!$M$254),"",ReferenceData!$M$254),"")</f>
        <v>21.003021440000001</v>
      </c>
      <c r="N254">
        <f ca="1">IFERROR(IF(0=LEN(ReferenceData!$N$254),"",ReferenceData!$N$254),"")</f>
        <v>22.13990669</v>
      </c>
      <c r="O254">
        <f ca="1">IFERROR(IF(0=LEN(ReferenceData!$O$254),"",ReferenceData!$O$254),"")</f>
        <v>22.27270163</v>
      </c>
      <c r="P254">
        <f ca="1">IFERROR(IF(0=LEN(ReferenceData!$P$254),"",ReferenceData!$P$254),"")</f>
        <v>23.784572300000001</v>
      </c>
      <c r="Q254">
        <f ca="1">IFERROR(IF(0=LEN(ReferenceData!$Q$254),"",ReferenceData!$Q$254),"")</f>
        <v>23.73363621</v>
      </c>
      <c r="R254">
        <f ca="1">IFERROR(IF(0=LEN(ReferenceData!$R$254),"",ReferenceData!$R$254),"")</f>
        <v>23.82044509</v>
      </c>
      <c r="S254">
        <f ca="1">IFERROR(IF(0=LEN(ReferenceData!$S$254),"",ReferenceData!$S$254),"")</f>
        <v>24.549384199999999</v>
      </c>
      <c r="T254">
        <f ca="1">IFERROR(IF(0=LEN(ReferenceData!$T$254),"",ReferenceData!$T$254),"")</f>
        <v>26.107752959999999</v>
      </c>
      <c r="U254">
        <f ca="1">IFERROR(IF(0=LEN(ReferenceData!$U$254),"",ReferenceData!$U$254),"")</f>
        <v>19.860328970000001</v>
      </c>
      <c r="V254">
        <f ca="1">IFERROR(IF(0=LEN(ReferenceData!$V$254),"",ReferenceData!$V$254),"")</f>
        <v>19.893298089999998</v>
      </c>
      <c r="W254">
        <f ca="1">IFERROR(IF(0=LEN(ReferenceData!$W$254),"",ReferenceData!$W$254),"")</f>
        <v>22.851757979999999</v>
      </c>
      <c r="X254">
        <f ca="1">IFERROR(IF(0=LEN(ReferenceData!$X$254),"",ReferenceData!$X$254),"")</f>
        <v>26.38188302</v>
      </c>
      <c r="Y254">
        <f ca="1">IFERROR(IF(0=LEN(ReferenceData!$Y$254),"",ReferenceData!$Y$254),"")</f>
        <v>28.703150900000001</v>
      </c>
      <c r="Z254">
        <f ca="1">IFERROR(IF(0=LEN(ReferenceData!$Z$254),"",ReferenceData!$Z$254),"")</f>
        <v>26.220968289999998</v>
      </c>
      <c r="AA254">
        <f ca="1">IFERROR(IF(0=LEN(ReferenceData!$AA$254),"",ReferenceData!$AA$254),"")</f>
        <v>24.714146450000001</v>
      </c>
      <c r="AB254">
        <f ca="1">IFERROR(IF(0=LEN(ReferenceData!$AB$254),"",ReferenceData!$AB$254),"")</f>
        <v>24.251686679999999</v>
      </c>
      <c r="AC254">
        <f ca="1">IFERROR(IF(0=LEN(ReferenceData!$AC$254),"",ReferenceData!$AC$254),"")</f>
        <v>21.078027760000001</v>
      </c>
      <c r="AD254" t="str">
        <f ca="1">IFERROR(IF(0=LEN(ReferenceData!$AD$254),"",ReferenceData!$AD$254),"")</f>
        <v/>
      </c>
      <c r="AE254" t="str">
        <f ca="1">IFERROR(IF(0=LEN(ReferenceData!$AE$254),"",ReferenceData!$AE$254),"")</f>
        <v/>
      </c>
      <c r="AF254" t="str">
        <f ca="1">IFERROR(IF(0=LEN(ReferenceData!$AF$254),"",ReferenceData!$AF$254),"")</f>
        <v/>
      </c>
      <c r="AG254" t="str">
        <f ca="1">IFERROR(IF(0=LEN(ReferenceData!$AG$254),"",ReferenceData!$AG$254),"")</f>
        <v/>
      </c>
      <c r="AH254" t="str">
        <f ca="1">IFERROR(IF(0=LEN(ReferenceData!$AH$254),"",ReferenceData!$AH$254),"")</f>
        <v/>
      </c>
      <c r="AI254" t="str">
        <f ca="1">IFERROR(IF(0=LEN(ReferenceData!$AI$254),"",ReferenceData!$AI$254),"")</f>
        <v/>
      </c>
      <c r="AJ254" t="str">
        <f ca="1">IFERROR(IF(0=LEN(ReferenceData!$AJ$254),"",ReferenceData!$AJ$254),"")</f>
        <v/>
      </c>
      <c r="AK254" t="str">
        <f ca="1">IFERROR(IF(0=LEN(ReferenceData!$AK$254),"",ReferenceData!$AK$254),"")</f>
        <v/>
      </c>
      <c r="AL254" t="str">
        <f ca="1">IFERROR(IF(0=LEN(ReferenceData!$AL$254),"",ReferenceData!$AL$254),"")</f>
        <v/>
      </c>
    </row>
    <row r="255" spans="1:38" x14ac:dyDescent="0.25">
      <c r="A255" t="str">
        <f>IFERROR(IF(0=LEN(ReferenceData!$A$255),"",ReferenceData!$A$255),"")</f>
        <v xml:space="preserve">        KeyCorp</v>
      </c>
      <c r="B255" t="str">
        <f>IFERROR(IF(0=LEN(ReferenceData!$B$255),"",ReferenceData!$B$255),"")</f>
        <v>KEY US Equity</v>
      </c>
      <c r="C255" t="str">
        <f>IFERROR(IF(0=LEN(ReferenceData!$C$255),"",ReferenceData!$C$255),"")</f>
        <v>F0121</v>
      </c>
      <c r="D255" t="str">
        <f>IFERROR(IF(0=LEN(ReferenceData!$D$255),"",ReferenceData!$D$255),"")</f>
        <v>FED_CNSMR_LNS_LEAS_%_TOT_LNS_LS</v>
      </c>
      <c r="E255" t="str">
        <f>IFERROR(IF(0=LEN(ReferenceData!$E$255),"",ReferenceData!$E$255),"")</f>
        <v>Dynamic</v>
      </c>
      <c r="F255">
        <f ca="1">IFERROR(IF(0=LEN(ReferenceData!$F$255),"",ReferenceData!$F$255),"")</f>
        <v>6.0604482639999997</v>
      </c>
      <c r="G255">
        <f ca="1">IFERROR(IF(0=LEN(ReferenceData!$G$255),"",ReferenceData!$G$255),"")</f>
        <v>6.3965381079999997</v>
      </c>
      <c r="H255">
        <f ca="1">IFERROR(IF(0=LEN(ReferenceData!$H$255),"",ReferenceData!$H$255),"")</f>
        <v>6.6322168650000002</v>
      </c>
      <c r="I255">
        <f ca="1">IFERROR(IF(0=LEN(ReferenceData!$I$255),"",ReferenceData!$I$255),"")</f>
        <v>7.001194044</v>
      </c>
      <c r="J255">
        <f ca="1">IFERROR(IF(0=LEN(ReferenceData!$J$255),"",ReferenceData!$J$255),"")</f>
        <v>10.933786850000001</v>
      </c>
      <c r="K255">
        <f ca="1">IFERROR(IF(0=LEN(ReferenceData!$K$255),"",ReferenceData!$K$255),"")</f>
        <v>10.56829501</v>
      </c>
      <c r="L255">
        <f ca="1">IFERROR(IF(0=LEN(ReferenceData!$L$255),"",ReferenceData!$L$255),"")</f>
        <v>8.3396966720000005</v>
      </c>
      <c r="M255">
        <f ca="1">IFERROR(IF(0=LEN(ReferenceData!$M$255),"",ReferenceData!$M$255),"")</f>
        <v>8.40709807</v>
      </c>
      <c r="N255">
        <f ca="1">IFERROR(IF(0=LEN(ReferenceData!$N$255),"",ReferenceData!$N$255),"")</f>
        <v>8.4195232119999996</v>
      </c>
      <c r="O255">
        <f ca="1">IFERROR(IF(0=LEN(ReferenceData!$O$255),"",ReferenceData!$O$255),"")</f>
        <v>7.7835046639999996</v>
      </c>
      <c r="P255">
        <f ca="1">IFERROR(IF(0=LEN(ReferenceData!$P$255),"",ReferenceData!$P$255),"")</f>
        <v>9.0009328350000004</v>
      </c>
      <c r="Q255">
        <f ca="1">IFERROR(IF(0=LEN(ReferenceData!$Q$255),"",ReferenceData!$Q$255),"")</f>
        <v>13.03663109</v>
      </c>
      <c r="R255">
        <f ca="1">IFERROR(IF(0=LEN(ReferenceData!$R$255),"",ReferenceData!$R$255),"")</f>
        <v>14.89362315</v>
      </c>
      <c r="S255">
        <f ca="1">IFERROR(IF(0=LEN(ReferenceData!$S$255),"",ReferenceData!$S$255),"")</f>
        <v>15.852207249999999</v>
      </c>
      <c r="T255">
        <f ca="1">IFERROR(IF(0=LEN(ReferenceData!$T$255),"",ReferenceData!$T$255),"")</f>
        <v>17.5805957</v>
      </c>
      <c r="U255">
        <f ca="1">IFERROR(IF(0=LEN(ReferenceData!$U$255),"",ReferenceData!$U$255),"")</f>
        <v>12.886548149999999</v>
      </c>
      <c r="V255">
        <f ca="1">IFERROR(IF(0=LEN(ReferenceData!$V$255),"",ReferenceData!$V$255),"")</f>
        <v>11.593708810000001</v>
      </c>
      <c r="W255">
        <f ca="1">IFERROR(IF(0=LEN(ReferenceData!$W$255),"",ReferenceData!$W$255),"")</f>
        <v>11.634424579999999</v>
      </c>
      <c r="X255">
        <f ca="1">IFERROR(IF(0=LEN(ReferenceData!$X$255),"",ReferenceData!$X$255),"")</f>
        <v>10.8685154</v>
      </c>
      <c r="Y255">
        <f ca="1">IFERROR(IF(0=LEN(ReferenceData!$Y$255),"",ReferenceData!$Y$255),"")</f>
        <v>10.96316201</v>
      </c>
      <c r="Z255">
        <f ca="1">IFERROR(IF(0=LEN(ReferenceData!$Z$255),"",ReferenceData!$Z$255),"")</f>
        <v>13.14983104</v>
      </c>
      <c r="AA255">
        <f ca="1">IFERROR(IF(0=LEN(ReferenceData!$AA$255),"",ReferenceData!$AA$255),"")</f>
        <v>14.54758021</v>
      </c>
      <c r="AB255">
        <f ca="1">IFERROR(IF(0=LEN(ReferenceData!$AB$255),"",ReferenceData!$AB$255),"")</f>
        <v>13.81973928</v>
      </c>
      <c r="AC255">
        <f ca="1">IFERROR(IF(0=LEN(ReferenceData!$AC$255),"",ReferenceData!$AC$255),"")</f>
        <v>14.221250830000001</v>
      </c>
      <c r="AD255" t="str">
        <f ca="1">IFERROR(IF(0=LEN(ReferenceData!$AD$255),"",ReferenceData!$AD$255),"")</f>
        <v/>
      </c>
      <c r="AE255" t="str">
        <f ca="1">IFERROR(IF(0=LEN(ReferenceData!$AE$255),"",ReferenceData!$AE$255),"")</f>
        <v/>
      </c>
      <c r="AF255" t="str">
        <f ca="1">IFERROR(IF(0=LEN(ReferenceData!$AF$255),"",ReferenceData!$AF$255),"")</f>
        <v/>
      </c>
      <c r="AG255" t="str">
        <f ca="1">IFERROR(IF(0=LEN(ReferenceData!$AG$255),"",ReferenceData!$AG$255),"")</f>
        <v/>
      </c>
      <c r="AH255" t="str">
        <f ca="1">IFERROR(IF(0=LEN(ReferenceData!$AH$255),"",ReferenceData!$AH$255),"")</f>
        <v/>
      </c>
      <c r="AI255" t="str">
        <f ca="1">IFERROR(IF(0=LEN(ReferenceData!$AI$255),"",ReferenceData!$AI$255),"")</f>
        <v/>
      </c>
      <c r="AJ255" t="str">
        <f ca="1">IFERROR(IF(0=LEN(ReferenceData!$AJ$255),"",ReferenceData!$AJ$255),"")</f>
        <v/>
      </c>
      <c r="AK255" t="str">
        <f ca="1">IFERROR(IF(0=LEN(ReferenceData!$AK$255),"",ReferenceData!$AK$255),"")</f>
        <v/>
      </c>
      <c r="AL255" t="str">
        <f ca="1">IFERROR(IF(0=LEN(ReferenceData!$AL$255),"",ReferenceData!$AL$255),"")</f>
        <v/>
      </c>
    </row>
    <row r="256" spans="1:38" x14ac:dyDescent="0.25">
      <c r="A256" t="str">
        <f>IFERROR(IF(0=LEN(ReferenceData!$A$256),"",ReferenceData!$A$256),"")</f>
        <v xml:space="preserve">        M&amp;T Bank Corp</v>
      </c>
      <c r="B256" t="str">
        <f>IFERROR(IF(0=LEN(ReferenceData!$B$256),"",ReferenceData!$B$256),"")</f>
        <v>MTB US Equity</v>
      </c>
      <c r="C256" t="str">
        <f>IFERROR(IF(0=LEN(ReferenceData!$C$256),"",ReferenceData!$C$256),"")</f>
        <v>F0121</v>
      </c>
      <c r="D256" t="str">
        <f>IFERROR(IF(0=LEN(ReferenceData!$D$256),"",ReferenceData!$D$256),"")</f>
        <v>FED_CNSMR_LNS_LEAS_%_TOT_LNS_LS</v>
      </c>
      <c r="E256" t="str">
        <f>IFERROR(IF(0=LEN(ReferenceData!$E$256),"",ReferenceData!$E$256),"")</f>
        <v>Dynamic</v>
      </c>
      <c r="F256">
        <f ca="1">IFERROR(IF(0=LEN(ReferenceData!$F$256),"",ReferenceData!$F$256),"")</f>
        <v>14.429543710000001</v>
      </c>
      <c r="G256">
        <f ca="1">IFERROR(IF(0=LEN(ReferenceData!$G$256),"",ReferenceData!$G$256),"")</f>
        <v>12.02971426</v>
      </c>
      <c r="H256">
        <f ca="1">IFERROR(IF(0=LEN(ReferenceData!$H$256),"",ReferenceData!$H$256),"")</f>
        <v>11.83763899</v>
      </c>
      <c r="I256">
        <f ca="1">IFERROR(IF(0=LEN(ReferenceData!$I$256),"",ReferenceData!$I$256),"")</f>
        <v>15.510506599999999</v>
      </c>
      <c r="J256">
        <f ca="1">IFERROR(IF(0=LEN(ReferenceData!$J$256),"",ReferenceData!$J$256),"")</f>
        <v>12.77024538</v>
      </c>
      <c r="K256">
        <f ca="1">IFERROR(IF(0=LEN(ReferenceData!$K$256),"",ReferenceData!$K$256),"")</f>
        <v>11.989854830000001</v>
      </c>
      <c r="L256">
        <f ca="1">IFERROR(IF(0=LEN(ReferenceData!$L$256),"",ReferenceData!$L$256),"")</f>
        <v>10.29240828</v>
      </c>
      <c r="M256">
        <f ca="1">IFERROR(IF(0=LEN(ReferenceData!$M$256),"",ReferenceData!$M$256),"")</f>
        <v>9.0579328550000007</v>
      </c>
      <c r="N256">
        <f ca="1">IFERROR(IF(0=LEN(ReferenceData!$N$256),"",ReferenceData!$N$256),"")</f>
        <v>7.1549087379999996</v>
      </c>
      <c r="O256">
        <f ca="1">IFERROR(IF(0=LEN(ReferenceData!$O$256),"",ReferenceData!$O$256),"")</f>
        <v>6.4347585299999999</v>
      </c>
      <c r="P256">
        <f ca="1">IFERROR(IF(0=LEN(ReferenceData!$P$256),"",ReferenceData!$P$256),"")</f>
        <v>7.4143260499999997</v>
      </c>
      <c r="Q256">
        <f ca="1">IFERROR(IF(0=LEN(ReferenceData!$Q$256),"",ReferenceData!$Q$256),"")</f>
        <v>6.4809400139999997</v>
      </c>
      <c r="R256">
        <f ca="1">IFERROR(IF(0=LEN(ReferenceData!$R$256),"",ReferenceData!$R$256),"")</f>
        <v>7.847525761</v>
      </c>
      <c r="S256">
        <f ca="1">IFERROR(IF(0=LEN(ReferenceData!$S$256),"",ReferenceData!$S$256),"")</f>
        <v>8.8799530020000006</v>
      </c>
      <c r="T256">
        <f ca="1">IFERROR(IF(0=LEN(ReferenceData!$T$256),"",ReferenceData!$T$256),"")</f>
        <v>9.4735233910000005</v>
      </c>
      <c r="U256">
        <f ca="1">IFERROR(IF(0=LEN(ReferenceData!$U$256),"",ReferenceData!$U$256),"")</f>
        <v>10.018794809999999</v>
      </c>
      <c r="V256">
        <f ca="1">IFERROR(IF(0=LEN(ReferenceData!$V$256),"",ReferenceData!$V$256),"")</f>
        <v>10.8008959</v>
      </c>
      <c r="W256">
        <f ca="1">IFERROR(IF(0=LEN(ReferenceData!$W$256),"",ReferenceData!$W$256),"")</f>
        <v>12.021412379999999</v>
      </c>
      <c r="X256">
        <f ca="1">IFERROR(IF(0=LEN(ReferenceData!$X$256),"",ReferenceData!$X$256),"")</f>
        <v>10.371018230000001</v>
      </c>
      <c r="Y256">
        <f ca="1">IFERROR(IF(0=LEN(ReferenceData!$Y$256),"",ReferenceData!$Y$256),"")</f>
        <v>12.48723148</v>
      </c>
      <c r="Z256">
        <f ca="1">IFERROR(IF(0=LEN(ReferenceData!$Z$256),"",ReferenceData!$Z$256),"")</f>
        <v>14.87837656</v>
      </c>
      <c r="AA256">
        <f ca="1">IFERROR(IF(0=LEN(ReferenceData!$AA$256),"",ReferenceData!$AA$256),"")</f>
        <v>15.704399130000001</v>
      </c>
      <c r="AB256">
        <f ca="1">IFERROR(IF(0=LEN(ReferenceData!$AB$256),"",ReferenceData!$AB$256),"")</f>
        <v>16.237764590000001</v>
      </c>
      <c r="AC256">
        <f ca="1">IFERROR(IF(0=LEN(ReferenceData!$AC$256),"",ReferenceData!$AC$256),"")</f>
        <v>12.761650899999999</v>
      </c>
      <c r="AD256" t="str">
        <f ca="1">IFERROR(IF(0=LEN(ReferenceData!$AD$256),"",ReferenceData!$AD$256),"")</f>
        <v/>
      </c>
      <c r="AE256" t="str">
        <f ca="1">IFERROR(IF(0=LEN(ReferenceData!$AE$256),"",ReferenceData!$AE$256),"")</f>
        <v/>
      </c>
      <c r="AF256" t="str">
        <f ca="1">IFERROR(IF(0=LEN(ReferenceData!$AF$256),"",ReferenceData!$AF$256),"")</f>
        <v/>
      </c>
      <c r="AG256" t="str">
        <f ca="1">IFERROR(IF(0=LEN(ReferenceData!$AG$256),"",ReferenceData!$AG$256),"")</f>
        <v/>
      </c>
      <c r="AH256" t="str">
        <f ca="1">IFERROR(IF(0=LEN(ReferenceData!$AH$256),"",ReferenceData!$AH$256),"")</f>
        <v/>
      </c>
      <c r="AI256" t="str">
        <f ca="1">IFERROR(IF(0=LEN(ReferenceData!$AI$256),"",ReferenceData!$AI$256),"")</f>
        <v/>
      </c>
      <c r="AJ256" t="str">
        <f ca="1">IFERROR(IF(0=LEN(ReferenceData!$AJ$256),"",ReferenceData!$AJ$256),"")</f>
        <v/>
      </c>
      <c r="AK256" t="str">
        <f ca="1">IFERROR(IF(0=LEN(ReferenceData!$AK$256),"",ReferenceData!$AK$256),"")</f>
        <v/>
      </c>
      <c r="AL256" t="str">
        <f ca="1">IFERROR(IF(0=LEN(ReferenceData!$AL$256),"",ReferenceData!$AL$256),"")</f>
        <v/>
      </c>
    </row>
    <row r="257" spans="1:38" x14ac:dyDescent="0.25">
      <c r="A257" t="str">
        <f>IFERROR(IF(0=LEN(ReferenceData!$A$257),"",ReferenceData!$A$257),"")</f>
        <v xml:space="preserve">        PNC Financial Services Group I</v>
      </c>
      <c r="B257" t="str">
        <f>IFERROR(IF(0=LEN(ReferenceData!$B$257),"",ReferenceData!$B$257),"")</f>
        <v>PNC US Equity</v>
      </c>
      <c r="C257" t="str">
        <f>IFERROR(IF(0=LEN(ReferenceData!$C$257),"",ReferenceData!$C$257),"")</f>
        <v>F0121</v>
      </c>
      <c r="D257" t="str">
        <f>IFERROR(IF(0=LEN(ReferenceData!$D$257),"",ReferenceData!$D$257),"")</f>
        <v>FED_CNSMR_LNS_LEAS_%_TOT_LNS_LS</v>
      </c>
      <c r="E257" t="str">
        <f>IFERROR(IF(0=LEN(ReferenceData!$E$257),"",ReferenceData!$E$257),"")</f>
        <v>Dynamic</v>
      </c>
      <c r="F257" t="str">
        <f ca="1">IFERROR(IF(0=LEN(ReferenceData!$F$257),"",ReferenceData!$F$257),"")</f>
        <v/>
      </c>
      <c r="G257">
        <f ca="1">IFERROR(IF(0=LEN(ReferenceData!$G$257),"",ReferenceData!$G$257),"")</f>
        <v>8.4554241349999995</v>
      </c>
      <c r="H257">
        <f ca="1">IFERROR(IF(0=LEN(ReferenceData!$H$257),"",ReferenceData!$H$257),"")</f>
        <v>8.6032317050000007</v>
      </c>
      <c r="I257">
        <f ca="1">IFERROR(IF(0=LEN(ReferenceData!$I$257),"",ReferenceData!$I$257),"")</f>
        <v>10.51832594</v>
      </c>
      <c r="J257">
        <f ca="1">IFERROR(IF(0=LEN(ReferenceData!$J$257),"",ReferenceData!$J$257),"")</f>
        <v>11.1428194</v>
      </c>
      <c r="K257">
        <f ca="1">IFERROR(IF(0=LEN(ReferenceData!$K$257),"",ReferenceData!$K$257),"")</f>
        <v>12.992682650000001</v>
      </c>
      <c r="L257">
        <f ca="1">IFERROR(IF(0=LEN(ReferenceData!$L$257),"",ReferenceData!$L$257),"")</f>
        <v>12.433245660000001</v>
      </c>
      <c r="M257">
        <f ca="1">IFERROR(IF(0=LEN(ReferenceData!$M$257),"",ReferenceData!$M$257),"")</f>
        <v>11.930916590000001</v>
      </c>
      <c r="N257">
        <f ca="1">IFERROR(IF(0=LEN(ReferenceData!$N$257),"",ReferenceData!$N$257),"")</f>
        <v>12.472920200000001</v>
      </c>
      <c r="O257">
        <f ca="1">IFERROR(IF(0=LEN(ReferenceData!$O$257),"",ReferenceData!$O$257),"")</f>
        <v>12.41697048</v>
      </c>
      <c r="P257">
        <f ca="1">IFERROR(IF(0=LEN(ReferenceData!$P$257),"",ReferenceData!$P$257),"")</f>
        <v>12.86016347</v>
      </c>
      <c r="Q257">
        <f ca="1">IFERROR(IF(0=LEN(ReferenceData!$Q$257),"",ReferenceData!$Q$257),"")</f>
        <v>13.31488178</v>
      </c>
      <c r="R257">
        <f ca="1">IFERROR(IF(0=LEN(ReferenceData!$R$257),"",ReferenceData!$R$257),"")</f>
        <v>13.235084629999999</v>
      </c>
      <c r="S257">
        <f ca="1">IFERROR(IF(0=LEN(ReferenceData!$S$257),"",ReferenceData!$S$257),"")</f>
        <v>13.88061967</v>
      </c>
      <c r="T257">
        <f ca="1">IFERROR(IF(0=LEN(ReferenceData!$T$257),"",ReferenceData!$T$257),"")</f>
        <v>13.11857466</v>
      </c>
      <c r="U257">
        <f ca="1">IFERROR(IF(0=LEN(ReferenceData!$U$257),"",ReferenceData!$U$257),"")</f>
        <v>10.733325560000001</v>
      </c>
      <c r="V257">
        <f ca="1">IFERROR(IF(0=LEN(ReferenceData!$V$257),"",ReferenceData!$V$257),"")</f>
        <v>7.6829274319999996</v>
      </c>
      <c r="W257">
        <f ca="1">IFERROR(IF(0=LEN(ReferenceData!$W$257),"",ReferenceData!$W$257),"")</f>
        <v>7.3708402050000004</v>
      </c>
      <c r="X257">
        <f ca="1">IFERROR(IF(0=LEN(ReferenceData!$X$257),"",ReferenceData!$X$257),"")</f>
        <v>7.5498011079999996</v>
      </c>
      <c r="Y257">
        <f ca="1">IFERROR(IF(0=LEN(ReferenceData!$Y$257),"",ReferenceData!$Y$257),"")</f>
        <v>8.1936432690000007</v>
      </c>
      <c r="Z257">
        <f ca="1">IFERROR(IF(0=LEN(ReferenceData!$Z$257),"",ReferenceData!$Z$257),"")</f>
        <v>8.5526788370000002</v>
      </c>
      <c r="AA257">
        <f ca="1">IFERROR(IF(0=LEN(ReferenceData!$AA$257),"",ReferenceData!$AA$257),"")</f>
        <v>7.1830472859999999</v>
      </c>
      <c r="AB257">
        <f ca="1">IFERROR(IF(0=LEN(ReferenceData!$AB$257),"",ReferenceData!$AB$257),"")</f>
        <v>7.2465431220000003</v>
      </c>
      <c r="AC257">
        <f ca="1">IFERROR(IF(0=LEN(ReferenceData!$AC$257),"",ReferenceData!$AC$257),"")</f>
        <v>7.9605302470000003</v>
      </c>
      <c r="AD257" t="str">
        <f ca="1">IFERROR(IF(0=LEN(ReferenceData!$AD$257),"",ReferenceData!$AD$257),"")</f>
        <v/>
      </c>
      <c r="AE257" t="str">
        <f ca="1">IFERROR(IF(0=LEN(ReferenceData!$AE$257),"",ReferenceData!$AE$257),"")</f>
        <v/>
      </c>
      <c r="AF257" t="str">
        <f ca="1">IFERROR(IF(0=LEN(ReferenceData!$AF$257),"",ReferenceData!$AF$257),"")</f>
        <v/>
      </c>
      <c r="AG257" t="str">
        <f ca="1">IFERROR(IF(0=LEN(ReferenceData!$AG$257),"",ReferenceData!$AG$257),"")</f>
        <v/>
      </c>
      <c r="AH257" t="str">
        <f ca="1">IFERROR(IF(0=LEN(ReferenceData!$AH$257),"",ReferenceData!$AH$257),"")</f>
        <v/>
      </c>
      <c r="AI257" t="str">
        <f ca="1">IFERROR(IF(0=LEN(ReferenceData!$AI$257),"",ReferenceData!$AI$257),"")</f>
        <v/>
      </c>
      <c r="AJ257" t="str">
        <f ca="1">IFERROR(IF(0=LEN(ReferenceData!$AJ$257),"",ReferenceData!$AJ$257),"")</f>
        <v/>
      </c>
      <c r="AK257" t="str">
        <f ca="1">IFERROR(IF(0=LEN(ReferenceData!$AK$257),"",ReferenceData!$AK$257),"")</f>
        <v/>
      </c>
      <c r="AL257" t="str">
        <f ca="1">IFERROR(IF(0=LEN(ReferenceData!$AL$257),"",ReferenceData!$AL$257),"")</f>
        <v/>
      </c>
    </row>
    <row r="258" spans="1:38" x14ac:dyDescent="0.25">
      <c r="A258" t="str">
        <f>IFERROR(IF(0=LEN(ReferenceData!$A$258),"",ReferenceData!$A$258),"")</f>
        <v xml:space="preserve">        Regions Financial Corp</v>
      </c>
      <c r="B258" t="str">
        <f>IFERROR(IF(0=LEN(ReferenceData!$B$258),"",ReferenceData!$B$258),"")</f>
        <v>RF US Equity</v>
      </c>
      <c r="C258" t="str">
        <f>IFERROR(IF(0=LEN(ReferenceData!$C$258),"",ReferenceData!$C$258),"")</f>
        <v>F0121</v>
      </c>
      <c r="D258" t="str">
        <f>IFERROR(IF(0=LEN(ReferenceData!$D$258),"",ReferenceData!$D$258),"")</f>
        <v>FED_CNSMR_LNS_LEAS_%_TOT_LNS_LS</v>
      </c>
      <c r="E258" t="str">
        <f>IFERROR(IF(0=LEN(ReferenceData!$E$258),"",ReferenceData!$E$258),"")</f>
        <v>Dynamic</v>
      </c>
      <c r="F258" t="str">
        <f ca="1">IFERROR(IF(0=LEN(ReferenceData!$F$258),"",ReferenceData!$F$258),"")</f>
        <v/>
      </c>
      <c r="G258">
        <f ca="1">IFERROR(IF(0=LEN(ReferenceData!$G$258),"",ReferenceData!$G$258),"")</f>
        <v>7.9716895159999996</v>
      </c>
      <c r="H258">
        <f ca="1">IFERROR(IF(0=LEN(ReferenceData!$H$258),"",ReferenceData!$H$258),"")</f>
        <v>8.0207916010000009</v>
      </c>
      <c r="I258">
        <f ca="1">IFERROR(IF(0=LEN(ReferenceData!$I$258),"",ReferenceData!$I$258),"")</f>
        <v>8.9665893170000004</v>
      </c>
      <c r="J258">
        <f ca="1">IFERROR(IF(0=LEN(ReferenceData!$J$258),"",ReferenceData!$J$258),"")</f>
        <v>6.5979073929999998</v>
      </c>
      <c r="K258">
        <f ca="1">IFERROR(IF(0=LEN(ReferenceData!$K$258),"",ReferenceData!$K$258),"")</f>
        <v>9.2009569379999991</v>
      </c>
      <c r="L258">
        <f ca="1">IFERROR(IF(0=LEN(ReferenceData!$L$258),"",ReferenceData!$L$258),"")</f>
        <v>9.4253091280000003</v>
      </c>
      <c r="M258">
        <f ca="1">IFERROR(IF(0=LEN(ReferenceData!$M$258),"",ReferenceData!$M$258),"")</f>
        <v>8.9026095779999999</v>
      </c>
      <c r="N258">
        <f ca="1">IFERROR(IF(0=LEN(ReferenceData!$N$258),"",ReferenceData!$N$258),"")</f>
        <v>8.9051930959999996</v>
      </c>
      <c r="O258">
        <f ca="1">IFERROR(IF(0=LEN(ReferenceData!$O$258),"",ReferenceData!$O$258),"")</f>
        <v>8.0302732300000006</v>
      </c>
      <c r="P258">
        <f ca="1">IFERROR(IF(0=LEN(ReferenceData!$P$258),"",ReferenceData!$P$258),"")</f>
        <v>7.415967577</v>
      </c>
      <c r="Q258">
        <f ca="1">IFERROR(IF(0=LEN(ReferenceData!$Q$258),"",ReferenceData!$Q$258),"")</f>
        <v>6.77711781</v>
      </c>
      <c r="R258">
        <f ca="1">IFERROR(IF(0=LEN(ReferenceData!$R$258),"",ReferenceData!$R$258),"")</f>
        <v>5.7949973249999998</v>
      </c>
      <c r="S258">
        <f ca="1">IFERROR(IF(0=LEN(ReferenceData!$S$258),"",ReferenceData!$S$258),"")</f>
        <v>5.0523586629999997</v>
      </c>
      <c r="T258">
        <f ca="1">IFERROR(IF(0=LEN(ReferenceData!$T$258),"",ReferenceData!$T$258),"")</f>
        <v>3.2024732660000002</v>
      </c>
      <c r="U258">
        <f ca="1">IFERROR(IF(0=LEN(ReferenceData!$U$258),"",ReferenceData!$U$258),"")</f>
        <v>4.1114804749999996</v>
      </c>
      <c r="V258">
        <f ca="1">IFERROR(IF(0=LEN(ReferenceData!$V$258),"",ReferenceData!$V$258),"")</f>
        <v>5.2108382559999997</v>
      </c>
      <c r="W258">
        <f ca="1">IFERROR(IF(0=LEN(ReferenceData!$W$258),"",ReferenceData!$W$258),"")</f>
        <v>6.0139538180000001</v>
      </c>
      <c r="X258">
        <f ca="1">IFERROR(IF(0=LEN(ReferenceData!$X$258),"",ReferenceData!$X$258),"")</f>
        <v>6.385120573</v>
      </c>
      <c r="Y258">
        <f ca="1">IFERROR(IF(0=LEN(ReferenceData!$Y$258),"",ReferenceData!$Y$258),"")</f>
        <v>5.6255526150000001</v>
      </c>
      <c r="Z258">
        <f ca="1">IFERROR(IF(0=LEN(ReferenceData!$Z$258),"",ReferenceData!$Z$258),"")</f>
        <v>6.8069972559999998</v>
      </c>
      <c r="AA258" t="str">
        <f ca="1">IFERROR(IF(0=LEN(ReferenceData!$AA$258),"",ReferenceData!$AA$258),"")</f>
        <v/>
      </c>
      <c r="AB258" t="str">
        <f ca="1">IFERROR(IF(0=LEN(ReferenceData!$AB$258),"",ReferenceData!$AB$258),"")</f>
        <v/>
      </c>
      <c r="AC258" t="str">
        <f ca="1">IFERROR(IF(0=LEN(ReferenceData!$AC$258),"",ReferenceData!$AC$258),"")</f>
        <v/>
      </c>
      <c r="AD258" t="str">
        <f ca="1">IFERROR(IF(0=LEN(ReferenceData!$AD$258),"",ReferenceData!$AD$258),"")</f>
        <v/>
      </c>
      <c r="AE258" t="str">
        <f ca="1">IFERROR(IF(0=LEN(ReferenceData!$AE$258),"",ReferenceData!$AE$258),"")</f>
        <v/>
      </c>
      <c r="AF258" t="str">
        <f ca="1">IFERROR(IF(0=LEN(ReferenceData!$AF$258),"",ReferenceData!$AF$258),"")</f>
        <v/>
      </c>
      <c r="AG258" t="str">
        <f ca="1">IFERROR(IF(0=LEN(ReferenceData!$AG$258),"",ReferenceData!$AG$258),"")</f>
        <v/>
      </c>
      <c r="AH258" t="str">
        <f ca="1">IFERROR(IF(0=LEN(ReferenceData!$AH$258),"",ReferenceData!$AH$258),"")</f>
        <v/>
      </c>
      <c r="AI258" t="str">
        <f ca="1">IFERROR(IF(0=LEN(ReferenceData!$AI$258),"",ReferenceData!$AI$258),"")</f>
        <v/>
      </c>
      <c r="AJ258" t="str">
        <f ca="1">IFERROR(IF(0=LEN(ReferenceData!$AJ$258),"",ReferenceData!$AJ$258),"")</f>
        <v/>
      </c>
      <c r="AK258" t="str">
        <f ca="1">IFERROR(IF(0=LEN(ReferenceData!$AK$258),"",ReferenceData!$AK$258),"")</f>
        <v/>
      </c>
      <c r="AL258" t="str">
        <f ca="1">IFERROR(IF(0=LEN(ReferenceData!$AL$258),"",ReferenceData!$AL$258),"")</f>
        <v/>
      </c>
    </row>
    <row r="259" spans="1:38" x14ac:dyDescent="0.25">
      <c r="A259" t="str">
        <f>IFERROR(IF(0=LEN(ReferenceData!$A$259),"",ReferenceData!$A$259),"")</f>
        <v xml:space="preserve">        Truist Financial Corp</v>
      </c>
      <c r="B259" t="str">
        <f>IFERROR(IF(0=LEN(ReferenceData!$B$259),"",ReferenceData!$B$259),"")</f>
        <v>TFC US Equity</v>
      </c>
      <c r="C259" t="str">
        <f>IFERROR(IF(0=LEN(ReferenceData!$C$259),"",ReferenceData!$C$259),"")</f>
        <v>F0121</v>
      </c>
      <c r="D259" t="str">
        <f>IFERROR(IF(0=LEN(ReferenceData!$D$259),"",ReferenceData!$D$259),"")</f>
        <v>FED_CNSMR_LNS_LEAS_%_TOT_LNS_LS</v>
      </c>
      <c r="E259" t="str">
        <f>IFERROR(IF(0=LEN(ReferenceData!$E$259),"",ReferenceData!$E$259),"")</f>
        <v>Dynamic</v>
      </c>
      <c r="F259">
        <f ca="1">IFERROR(IF(0=LEN(ReferenceData!$F$259),"",ReferenceData!$F$259),"")</f>
        <v>17.88245156</v>
      </c>
      <c r="G259">
        <f ca="1">IFERROR(IF(0=LEN(ReferenceData!$G$259),"",ReferenceData!$G$259),"")</f>
        <v>17.227876340000002</v>
      </c>
      <c r="H259">
        <f ca="1">IFERROR(IF(0=LEN(ReferenceData!$H$259),"",ReferenceData!$H$259),"")</f>
        <v>19.309175870000001</v>
      </c>
      <c r="I259">
        <f ca="1">IFERROR(IF(0=LEN(ReferenceData!$I$259),"",ReferenceData!$I$259),"")</f>
        <v>20.464452560000002</v>
      </c>
      <c r="J259">
        <f ca="1">IFERROR(IF(0=LEN(ReferenceData!$J$259),"",ReferenceData!$J$259),"")</f>
        <v>19.658069350000002</v>
      </c>
      <c r="K259">
        <f ca="1">IFERROR(IF(0=LEN(ReferenceData!$K$259),"",ReferenceData!$K$259),"")</f>
        <v>19.024382330000002</v>
      </c>
      <c r="L259">
        <f ca="1">IFERROR(IF(0=LEN(ReferenceData!$L$259),"",ReferenceData!$L$259),"")</f>
        <v>14.561236259999999</v>
      </c>
      <c r="M259">
        <f ca="1">IFERROR(IF(0=LEN(ReferenceData!$M$259),"",ReferenceData!$M$259),"")</f>
        <v>14.55524862</v>
      </c>
      <c r="N259">
        <f ca="1">IFERROR(IF(0=LEN(ReferenceData!$N$259),"",ReferenceData!$N$259),"")</f>
        <v>15.050531489999999</v>
      </c>
      <c r="O259">
        <f ca="1">IFERROR(IF(0=LEN(ReferenceData!$O$259),"",ReferenceData!$O$259),"")</f>
        <v>14.64567922</v>
      </c>
      <c r="P259">
        <f ca="1">IFERROR(IF(0=LEN(ReferenceData!$P$259),"",ReferenceData!$P$259),"")</f>
        <v>15.38038562</v>
      </c>
      <c r="Q259">
        <f ca="1">IFERROR(IF(0=LEN(ReferenceData!$Q$259),"",ReferenceData!$Q$259),"")</f>
        <v>14.09326813</v>
      </c>
      <c r="R259">
        <f ca="1">IFERROR(IF(0=LEN(ReferenceData!$R$259),"",ReferenceData!$R$259),"")</f>
        <v>12.59943202</v>
      </c>
      <c r="S259">
        <f ca="1">IFERROR(IF(0=LEN(ReferenceData!$S$259),"",ReferenceData!$S$259),"")</f>
        <v>12.577728710000001</v>
      </c>
      <c r="T259">
        <f ca="1">IFERROR(IF(0=LEN(ReferenceData!$T$259),"",ReferenceData!$T$259),"")</f>
        <v>12.21954</v>
      </c>
      <c r="U259">
        <f ca="1">IFERROR(IF(0=LEN(ReferenceData!$U$259),"",ReferenceData!$U$259),"")</f>
        <v>11.29290857</v>
      </c>
      <c r="V259">
        <f ca="1">IFERROR(IF(0=LEN(ReferenceData!$V$259),"",ReferenceData!$V$259),"")</f>
        <v>11.236965659999999</v>
      </c>
      <c r="W259">
        <f ca="1">IFERROR(IF(0=LEN(ReferenceData!$W$259),"",ReferenceData!$W$259),"")</f>
        <v>11.20100014</v>
      </c>
      <c r="X259">
        <f ca="1">IFERROR(IF(0=LEN(ReferenceData!$X$259),"",ReferenceData!$X$259),"")</f>
        <v>11.470708399999999</v>
      </c>
      <c r="Y259">
        <f ca="1">IFERROR(IF(0=LEN(ReferenceData!$Y$259),"",ReferenceData!$Y$259),"")</f>
        <v>11.71853849</v>
      </c>
      <c r="Z259">
        <f ca="1">IFERROR(IF(0=LEN(ReferenceData!$Z$259),"",ReferenceData!$Z$259),"")</f>
        <v>12.47086711</v>
      </c>
      <c r="AA259">
        <f ca="1">IFERROR(IF(0=LEN(ReferenceData!$AA$259),"",ReferenceData!$AA$259),"")</f>
        <v>13.340389650000001</v>
      </c>
      <c r="AB259">
        <f ca="1">IFERROR(IF(0=LEN(ReferenceData!$AB$259),"",ReferenceData!$AB$259),"")</f>
        <v>10.905254190000001</v>
      </c>
      <c r="AC259">
        <f ca="1">IFERROR(IF(0=LEN(ReferenceData!$AC$259),"",ReferenceData!$AC$259),"")</f>
        <v>11.54068994</v>
      </c>
      <c r="AD259" t="str">
        <f ca="1">IFERROR(IF(0=LEN(ReferenceData!$AD$259),"",ReferenceData!$AD$259),"")</f>
        <v/>
      </c>
      <c r="AE259" t="str">
        <f ca="1">IFERROR(IF(0=LEN(ReferenceData!$AE$259),"",ReferenceData!$AE$259),"")</f>
        <v/>
      </c>
      <c r="AF259" t="str">
        <f ca="1">IFERROR(IF(0=LEN(ReferenceData!$AF$259),"",ReferenceData!$AF$259),"")</f>
        <v/>
      </c>
      <c r="AG259" t="str">
        <f ca="1">IFERROR(IF(0=LEN(ReferenceData!$AG$259),"",ReferenceData!$AG$259),"")</f>
        <v/>
      </c>
      <c r="AH259" t="str">
        <f ca="1">IFERROR(IF(0=LEN(ReferenceData!$AH$259),"",ReferenceData!$AH$259),"")</f>
        <v/>
      </c>
      <c r="AI259" t="str">
        <f ca="1">IFERROR(IF(0=LEN(ReferenceData!$AI$259),"",ReferenceData!$AI$259),"")</f>
        <v/>
      </c>
      <c r="AJ259" t="str">
        <f ca="1">IFERROR(IF(0=LEN(ReferenceData!$AJ$259),"",ReferenceData!$AJ$259),"")</f>
        <v/>
      </c>
      <c r="AK259" t="str">
        <f ca="1">IFERROR(IF(0=LEN(ReferenceData!$AK$259),"",ReferenceData!$AK$259),"")</f>
        <v/>
      </c>
      <c r="AL259" t="str">
        <f ca="1">IFERROR(IF(0=LEN(ReferenceData!$AL$259),"",ReferenceData!$AL$259),"")</f>
        <v/>
      </c>
    </row>
    <row r="260" spans="1:38" x14ac:dyDescent="0.25">
      <c r="A260" t="str">
        <f>IFERROR(IF(0=LEN(ReferenceData!$A$260),"",ReferenceData!$A$260),"")</f>
        <v xml:space="preserve">        US Bancorp</v>
      </c>
      <c r="B260" t="str">
        <f>IFERROR(IF(0=LEN(ReferenceData!$B$260),"",ReferenceData!$B$260),"")</f>
        <v>USB US Equity</v>
      </c>
      <c r="C260" t="str">
        <f>IFERROR(IF(0=LEN(ReferenceData!$C$260),"",ReferenceData!$C$260),"")</f>
        <v>F0121</v>
      </c>
      <c r="D260" t="str">
        <f>IFERROR(IF(0=LEN(ReferenceData!$D$260),"",ReferenceData!$D$260),"")</f>
        <v>FED_CNSMR_LNS_LEAS_%_TOT_LNS_LS</v>
      </c>
      <c r="E260" t="str">
        <f>IFERROR(IF(0=LEN(ReferenceData!$E$260),"",ReferenceData!$E$260),"")</f>
        <v>Dynamic</v>
      </c>
      <c r="F260">
        <f ca="1">IFERROR(IF(0=LEN(ReferenceData!$F$260),"",ReferenceData!$F$260),"")</f>
        <v>15.52882415</v>
      </c>
      <c r="G260">
        <f ca="1">IFERROR(IF(0=LEN(ReferenceData!$G$260),"",ReferenceData!$G$260),"")</f>
        <v>15.966556389999999</v>
      </c>
      <c r="H260">
        <f ca="1">IFERROR(IF(0=LEN(ReferenceData!$H$260),"",ReferenceData!$H$260),"")</f>
        <v>17.49608748</v>
      </c>
      <c r="I260">
        <f ca="1">IFERROR(IF(0=LEN(ReferenceData!$I$260),"",ReferenceData!$I$260),"")</f>
        <v>23.46725953</v>
      </c>
      <c r="J260">
        <f ca="1">IFERROR(IF(0=LEN(ReferenceData!$J$260),"",ReferenceData!$J$260),"")</f>
        <v>21.827727530000001</v>
      </c>
      <c r="K260">
        <f ca="1">IFERROR(IF(0=LEN(ReferenceData!$K$260),"",ReferenceData!$K$260),"")</f>
        <v>22.161230440000001</v>
      </c>
      <c r="L260">
        <f ca="1">IFERROR(IF(0=LEN(ReferenceData!$L$260),"",ReferenceData!$L$260),"")</f>
        <v>22.047691270000001</v>
      </c>
      <c r="M260">
        <f ca="1">IFERROR(IF(0=LEN(ReferenceData!$M$260),"",ReferenceData!$M$260),"")</f>
        <v>22.28749453</v>
      </c>
      <c r="N260">
        <f ca="1">IFERROR(IF(0=LEN(ReferenceData!$N$260),"",ReferenceData!$N$260),"")</f>
        <v>21.35815517</v>
      </c>
      <c r="O260">
        <f ca="1">IFERROR(IF(0=LEN(ReferenceData!$O$260),"",ReferenceData!$O$260),"")</f>
        <v>21.223493449999999</v>
      </c>
      <c r="P260">
        <f ca="1">IFERROR(IF(0=LEN(ReferenceData!$P$260),"",ReferenceData!$P$260),"")</f>
        <v>20.620118659999999</v>
      </c>
      <c r="Q260">
        <f ca="1">IFERROR(IF(0=LEN(ReferenceData!$Q$260),"",ReferenceData!$Q$260),"")</f>
        <v>21.212057260000002</v>
      </c>
      <c r="R260">
        <f ca="1">IFERROR(IF(0=LEN(ReferenceData!$R$260),"",ReferenceData!$R$260),"")</f>
        <v>20.90816216</v>
      </c>
      <c r="S260">
        <f ca="1">IFERROR(IF(0=LEN(ReferenceData!$S$260),"",ReferenceData!$S$260),"")</f>
        <v>22.158394139999999</v>
      </c>
      <c r="T260">
        <f ca="1">IFERROR(IF(0=LEN(ReferenceData!$T$260),"",ReferenceData!$T$260),"")</f>
        <v>22.869571669999999</v>
      </c>
      <c r="U260">
        <f ca="1">IFERROR(IF(0=LEN(ReferenceData!$U$260),"",ReferenceData!$U$260),"")</f>
        <v>22.476156110000002</v>
      </c>
      <c r="V260">
        <f ca="1">IFERROR(IF(0=LEN(ReferenceData!$V$260),"",ReferenceData!$V$260),"")</f>
        <v>22.11038185</v>
      </c>
      <c r="W260">
        <f ca="1">IFERROR(IF(0=LEN(ReferenceData!$W$260),"",ReferenceData!$W$260),"")</f>
        <v>22.540751109999999</v>
      </c>
      <c r="X260">
        <f ca="1">IFERROR(IF(0=LEN(ReferenceData!$X$260),"",ReferenceData!$X$260),"")</f>
        <v>17.955370340000002</v>
      </c>
      <c r="Y260">
        <f ca="1">IFERROR(IF(0=LEN(ReferenceData!$Y$260),"",ReferenceData!$Y$260),"")</f>
        <v>16.650417229999999</v>
      </c>
      <c r="Z260">
        <f ca="1">IFERROR(IF(0=LEN(ReferenceData!$Z$260),"",ReferenceData!$Z$260),"")</f>
        <v>16.456627579999999</v>
      </c>
      <c r="AA260">
        <f ca="1">IFERROR(IF(0=LEN(ReferenceData!$AA$260),"",ReferenceData!$AA$260),"")</f>
        <v>16.397867430000002</v>
      </c>
      <c r="AB260">
        <f ca="1">IFERROR(IF(0=LEN(ReferenceData!$AB$260),"",ReferenceData!$AB$260),"")</f>
        <v>15.18478532</v>
      </c>
      <c r="AC260">
        <f ca="1">IFERROR(IF(0=LEN(ReferenceData!$AC$260),"",ReferenceData!$AC$260),"")</f>
        <v>15.045425460000001</v>
      </c>
      <c r="AD260" t="str">
        <f ca="1">IFERROR(IF(0=LEN(ReferenceData!$AD$260),"",ReferenceData!$AD$260),"")</f>
        <v/>
      </c>
      <c r="AE260" t="str">
        <f ca="1">IFERROR(IF(0=LEN(ReferenceData!$AE$260),"",ReferenceData!$AE$260),"")</f>
        <v/>
      </c>
      <c r="AF260" t="str">
        <f ca="1">IFERROR(IF(0=LEN(ReferenceData!$AF$260),"",ReferenceData!$AF$260),"")</f>
        <v/>
      </c>
      <c r="AG260" t="str">
        <f ca="1">IFERROR(IF(0=LEN(ReferenceData!$AG$260),"",ReferenceData!$AG$260),"")</f>
        <v/>
      </c>
      <c r="AH260" t="str">
        <f ca="1">IFERROR(IF(0=LEN(ReferenceData!$AH$260),"",ReferenceData!$AH$260),"")</f>
        <v/>
      </c>
      <c r="AI260" t="str">
        <f ca="1">IFERROR(IF(0=LEN(ReferenceData!$AI$260),"",ReferenceData!$AI$260),"")</f>
        <v/>
      </c>
      <c r="AJ260" t="str">
        <f ca="1">IFERROR(IF(0=LEN(ReferenceData!$AJ$260),"",ReferenceData!$AJ$260),"")</f>
        <v/>
      </c>
      <c r="AK260" t="str">
        <f ca="1">IFERROR(IF(0=LEN(ReferenceData!$AK$260),"",ReferenceData!$AK$260),"")</f>
        <v/>
      </c>
      <c r="AL260" t="str">
        <f ca="1">IFERROR(IF(0=LEN(ReferenceData!$AL$260),"",ReferenceData!$AL$260),"")</f>
        <v/>
      </c>
    </row>
    <row r="261" spans="1:38" x14ac:dyDescent="0.25">
      <c r="A261" t="str">
        <f>IFERROR(IF(0=LEN(ReferenceData!$A$261),"",ReferenceData!$A$261),"")</f>
        <v xml:space="preserve">        Wells Fargo &amp; Co</v>
      </c>
      <c r="B261" t="str">
        <f>IFERROR(IF(0=LEN(ReferenceData!$B$261),"",ReferenceData!$B$261),"")</f>
        <v>WFC US Equity</v>
      </c>
      <c r="C261" t="str">
        <f>IFERROR(IF(0=LEN(ReferenceData!$C$261),"",ReferenceData!$C$261),"")</f>
        <v>F0121</v>
      </c>
      <c r="D261" t="str">
        <f>IFERROR(IF(0=LEN(ReferenceData!$D$261),"",ReferenceData!$D$261),"")</f>
        <v>FED_CNSMR_LNS_LEAS_%_TOT_LNS_LS</v>
      </c>
      <c r="E261" t="str">
        <f>IFERROR(IF(0=LEN(ReferenceData!$E$261),"",ReferenceData!$E$261),"")</f>
        <v>Dynamic</v>
      </c>
      <c r="F261">
        <f ca="1">IFERROR(IF(0=LEN(ReferenceData!$F$261),"",ReferenceData!$F$261),"")</f>
        <v>12.792953600000001</v>
      </c>
      <c r="G261">
        <f ca="1">IFERROR(IF(0=LEN(ReferenceData!$G$261),"",ReferenceData!$G$261),"")</f>
        <v>12.7329024</v>
      </c>
      <c r="H261">
        <f ca="1">IFERROR(IF(0=LEN(ReferenceData!$H$261),"",ReferenceData!$H$261),"")</f>
        <v>12.422660629999999</v>
      </c>
      <c r="I261">
        <f ca="1">IFERROR(IF(0=LEN(ReferenceData!$I$261),"",ReferenceData!$I$261),"")</f>
        <v>12.34950879</v>
      </c>
      <c r="J261">
        <f ca="1">IFERROR(IF(0=LEN(ReferenceData!$J$261),"",ReferenceData!$J$261),"")</f>
        <v>11.950775670000001</v>
      </c>
      <c r="K261">
        <f ca="1">IFERROR(IF(0=LEN(ReferenceData!$K$261),"",ReferenceData!$K$261),"")</f>
        <v>11.73530543</v>
      </c>
      <c r="L261">
        <f ca="1">IFERROR(IF(0=LEN(ReferenceData!$L$261),"",ReferenceData!$L$261),"")</f>
        <v>11.658775929999999</v>
      </c>
      <c r="M261">
        <f ca="1">IFERROR(IF(0=LEN(ReferenceData!$M$261),"",ReferenceData!$M$261),"")</f>
        <v>12.524490200000001</v>
      </c>
      <c r="N261">
        <f ca="1">IFERROR(IF(0=LEN(ReferenceData!$N$261),"",ReferenceData!$N$261),"")</f>
        <v>13.306579660000001</v>
      </c>
      <c r="O261">
        <f ca="1">IFERROR(IF(0=LEN(ReferenceData!$O$261),"",ReferenceData!$O$261),"")</f>
        <v>13.760438150000001</v>
      </c>
      <c r="P261">
        <f ca="1">IFERROR(IF(0=LEN(ReferenceData!$P$261),"",ReferenceData!$P$261),"")</f>
        <v>13.49129153</v>
      </c>
      <c r="Q261">
        <f ca="1">IFERROR(IF(0=LEN(ReferenceData!$Q$261),"",ReferenceData!$Q$261),"")</f>
        <v>13.741982030000001</v>
      </c>
      <c r="R261">
        <f ca="1">IFERROR(IF(0=LEN(ReferenceData!$R$261),"",ReferenceData!$R$261),"")</f>
        <v>12.71466479</v>
      </c>
      <c r="S261">
        <f ca="1">IFERROR(IF(0=LEN(ReferenceData!$S$261),"",ReferenceData!$S$261),"")</f>
        <v>12.68591501</v>
      </c>
      <c r="T261">
        <f ca="1">IFERROR(IF(0=LEN(ReferenceData!$T$261),"",ReferenceData!$T$261),"")</f>
        <v>12.98981906</v>
      </c>
      <c r="U261">
        <f ca="1">IFERROR(IF(0=LEN(ReferenceData!$U$261),"",ReferenceData!$U$261),"")</f>
        <v>13.79886587</v>
      </c>
      <c r="V261">
        <f ca="1">IFERROR(IF(0=LEN(ReferenceData!$V$261),"",ReferenceData!$V$261),"")</f>
        <v>13.280390860000001</v>
      </c>
      <c r="W261">
        <f ca="1">IFERROR(IF(0=LEN(ReferenceData!$W$261),"",ReferenceData!$W$261),"")</f>
        <v>18.954380690000001</v>
      </c>
      <c r="X261">
        <f ca="1">IFERROR(IF(0=LEN(ReferenceData!$X$261),"",ReferenceData!$X$261),"")</f>
        <v>19.83551872</v>
      </c>
      <c r="Y261">
        <f ca="1">IFERROR(IF(0=LEN(ReferenceData!$Y$261),"",ReferenceData!$Y$261),"")</f>
        <v>17.6164758</v>
      </c>
      <c r="Z261">
        <f ca="1">IFERROR(IF(0=LEN(ReferenceData!$Z$261),"",ReferenceData!$Z$261),"")</f>
        <v>16.97357444</v>
      </c>
      <c r="AA261">
        <f ca="1">IFERROR(IF(0=LEN(ReferenceData!$AA$261),"",ReferenceData!$AA$261),"")</f>
        <v>17.304046660000001</v>
      </c>
      <c r="AB261">
        <f ca="1">IFERROR(IF(0=LEN(ReferenceData!$AB$261),"",ReferenceData!$AB$261),"")</f>
        <v>16.274911280000001</v>
      </c>
      <c r="AC261">
        <f ca="1">IFERROR(IF(0=LEN(ReferenceData!$AC$261),"",ReferenceData!$AC$261),"")</f>
        <v>17.280603330000002</v>
      </c>
      <c r="AD261" t="str">
        <f ca="1">IFERROR(IF(0=LEN(ReferenceData!$AD$261),"",ReferenceData!$AD$261),"")</f>
        <v/>
      </c>
      <c r="AE261" t="str">
        <f ca="1">IFERROR(IF(0=LEN(ReferenceData!$AE$261),"",ReferenceData!$AE$261),"")</f>
        <v/>
      </c>
      <c r="AF261" t="str">
        <f ca="1">IFERROR(IF(0=LEN(ReferenceData!$AF$261),"",ReferenceData!$AF$261),"")</f>
        <v/>
      </c>
      <c r="AG261" t="str">
        <f ca="1">IFERROR(IF(0=LEN(ReferenceData!$AG$261),"",ReferenceData!$AG$261),"")</f>
        <v/>
      </c>
      <c r="AH261" t="str">
        <f ca="1">IFERROR(IF(0=LEN(ReferenceData!$AH$261),"",ReferenceData!$AH$261),"")</f>
        <v/>
      </c>
      <c r="AI261" t="str">
        <f ca="1">IFERROR(IF(0=LEN(ReferenceData!$AI$261),"",ReferenceData!$AI$261),"")</f>
        <v/>
      </c>
      <c r="AJ261" t="str">
        <f ca="1">IFERROR(IF(0=LEN(ReferenceData!$AJ$261),"",ReferenceData!$AJ$261),"")</f>
        <v/>
      </c>
      <c r="AK261" t="str">
        <f ca="1">IFERROR(IF(0=LEN(ReferenceData!$AK$261),"",ReferenceData!$AK$261),"")</f>
        <v/>
      </c>
      <c r="AL261" t="str">
        <f ca="1">IFERROR(IF(0=LEN(ReferenceData!$AL$261),"",ReferenceData!$AL$261),"")</f>
        <v/>
      </c>
    </row>
    <row r="262" spans="1:38" x14ac:dyDescent="0.25">
      <c r="A262" t="str">
        <f>IFERROR(IF(0=LEN(ReferenceData!$A$262),"",ReferenceData!$A$262),"")</f>
        <v xml:space="preserve">        Western Alliance Bancorp</v>
      </c>
      <c r="B262" t="str">
        <f>IFERROR(IF(0=LEN(ReferenceData!$B$262),"",ReferenceData!$B$262),"")</f>
        <v>WAL US Equity</v>
      </c>
      <c r="C262" t="str">
        <f>IFERROR(IF(0=LEN(ReferenceData!$C$262),"",ReferenceData!$C$262),"")</f>
        <v>F0121</v>
      </c>
      <c r="D262" t="str">
        <f>IFERROR(IF(0=LEN(ReferenceData!$D$262),"",ReferenceData!$D$262),"")</f>
        <v>FED_CNSMR_LNS_LEAS_%_TOT_LNS_LS</v>
      </c>
      <c r="E262" t="str">
        <f>IFERROR(IF(0=LEN(ReferenceData!$E$262),"",ReferenceData!$E$262),"")</f>
        <v>Dynamic</v>
      </c>
      <c r="F262">
        <f ca="1">IFERROR(IF(0=LEN(ReferenceData!$F$262),"",ReferenceData!$F$262),"")</f>
        <v>4.2349427000000002E-2</v>
      </c>
      <c r="G262">
        <f ca="1">IFERROR(IF(0=LEN(ReferenceData!$G$262),"",ReferenceData!$G$262),"")</f>
        <v>5.7674673000000003E-2</v>
      </c>
      <c r="H262">
        <f ca="1">IFERROR(IF(0=LEN(ReferenceData!$H$262),"",ReferenceData!$H$262),"")</f>
        <v>6.2148197000000002E-2</v>
      </c>
      <c r="I262">
        <f ca="1">IFERROR(IF(0=LEN(ReferenceData!$I$262),"",ReferenceData!$I$262),"")</f>
        <v>4.8207774000000002E-2</v>
      </c>
      <c r="J262">
        <f ca="1">IFERROR(IF(0=LEN(ReferenceData!$J$262),"",ReferenceData!$J$262),"")</f>
        <v>3.8542834999999998E-2</v>
      </c>
      <c r="K262">
        <f ca="1">IFERROR(IF(0=LEN(ReferenceData!$K$262),"",ReferenceData!$K$262),"")</f>
        <v>5.1994726999999998E-2</v>
      </c>
      <c r="L262">
        <f ca="1">IFERROR(IF(0=LEN(ReferenceData!$L$262),"",ReferenceData!$L$262),"")</f>
        <v>8.1053022000000002E-2</v>
      </c>
      <c r="M262">
        <f ca="1">IFERROR(IF(0=LEN(ReferenceData!$M$262),"",ReferenceData!$M$262),"")</f>
        <v>0.111932376</v>
      </c>
      <c r="N262">
        <f ca="1">IFERROR(IF(0=LEN(ReferenceData!$N$262),"",ReferenceData!$N$262),"")</f>
        <v>9.8580936999999993E-2</v>
      </c>
      <c r="O262">
        <f ca="1">IFERROR(IF(0=LEN(ReferenceData!$O$262),"",ReferenceData!$O$262),"")</f>
        <v>0.13354987900000001</v>
      </c>
      <c r="P262">
        <f ca="1">IFERROR(IF(0=LEN(ReferenceData!$P$262),"",ReferenceData!$P$262),"")</f>
        <v>0.18444285799999999</v>
      </c>
      <c r="Q262">
        <f ca="1">IFERROR(IF(0=LEN(ReferenceData!$Q$262),"",ReferenceData!$Q$262),"")</f>
        <v>0.32239047900000001</v>
      </c>
      <c r="R262">
        <f ca="1">IFERROR(IF(0=LEN(ReferenceData!$R$262),"",ReferenceData!$R$262),"")</f>
        <v>0.77034463600000003</v>
      </c>
      <c r="S262">
        <f ca="1">IFERROR(IF(0=LEN(ReferenceData!$S$262),"",ReferenceData!$S$262),"")</f>
        <v>1.195996938</v>
      </c>
      <c r="T262">
        <f ca="1">IFERROR(IF(0=LEN(ReferenceData!$T$262),"",ReferenceData!$T$262),"")</f>
        <v>1.6188552629999999</v>
      </c>
      <c r="U262">
        <f ca="1">IFERROR(IF(0=LEN(ReferenceData!$U$262),"",ReferenceData!$U$262),"")</f>
        <v>1.9596015929999999</v>
      </c>
      <c r="V262">
        <f ca="1">IFERROR(IF(0=LEN(ReferenceData!$V$262),"",ReferenceData!$V$262),"")</f>
        <v>1.966612579</v>
      </c>
      <c r="W262">
        <f ca="1">IFERROR(IF(0=LEN(ReferenceData!$W$262),"",ReferenceData!$W$262),"")</f>
        <v>1.1949681560000001</v>
      </c>
      <c r="X262">
        <f ca="1">IFERROR(IF(0=LEN(ReferenceData!$X$262),"",ReferenceData!$X$262),"")</f>
        <v>0.95988650200000003</v>
      </c>
      <c r="Y262">
        <f ca="1">IFERROR(IF(0=LEN(ReferenceData!$Y$262),"",ReferenceData!$Y$262),"")</f>
        <v>1.1379887989999999</v>
      </c>
      <c r="Z262">
        <f ca="1">IFERROR(IF(0=LEN(ReferenceData!$Z$262),"",ReferenceData!$Z$262),"")</f>
        <v>1.485309448</v>
      </c>
      <c r="AA262">
        <f ca="1">IFERROR(IF(0=LEN(ReferenceData!$AA$262),"",ReferenceData!$AA$262),"")</f>
        <v>1.607142128</v>
      </c>
      <c r="AB262">
        <f ca="1">IFERROR(IF(0=LEN(ReferenceData!$AB$262),"",ReferenceData!$AB$262),"")</f>
        <v>2.2138576589999999</v>
      </c>
      <c r="AC262">
        <f ca="1">IFERROR(IF(0=LEN(ReferenceData!$AC$262),"",ReferenceData!$AC$262),"")</f>
        <v>3.1331740039999998</v>
      </c>
      <c r="AD262" t="str">
        <f ca="1">IFERROR(IF(0=LEN(ReferenceData!$AD$262),"",ReferenceData!$AD$262),"")</f>
        <v/>
      </c>
      <c r="AE262" t="str">
        <f ca="1">IFERROR(IF(0=LEN(ReferenceData!$AE$262),"",ReferenceData!$AE$262),"")</f>
        <v/>
      </c>
      <c r="AF262" t="str">
        <f ca="1">IFERROR(IF(0=LEN(ReferenceData!$AF$262),"",ReferenceData!$AF$262),"")</f>
        <v/>
      </c>
      <c r="AG262" t="str">
        <f ca="1">IFERROR(IF(0=LEN(ReferenceData!$AG$262),"",ReferenceData!$AG$262),"")</f>
        <v/>
      </c>
      <c r="AH262" t="str">
        <f ca="1">IFERROR(IF(0=LEN(ReferenceData!$AH$262),"",ReferenceData!$AH$262),"")</f>
        <v/>
      </c>
      <c r="AI262" t="str">
        <f ca="1">IFERROR(IF(0=LEN(ReferenceData!$AI$262),"",ReferenceData!$AI$262),"")</f>
        <v/>
      </c>
      <c r="AJ262" t="str">
        <f ca="1">IFERROR(IF(0=LEN(ReferenceData!$AJ$262),"",ReferenceData!$AJ$262),"")</f>
        <v/>
      </c>
      <c r="AK262" t="str">
        <f ca="1">IFERROR(IF(0=LEN(ReferenceData!$AK$262),"",ReferenceData!$AK$262),"")</f>
        <v/>
      </c>
      <c r="AL262" t="str">
        <f ca="1">IFERROR(IF(0=LEN(ReferenceData!$AL$262),"",ReferenceData!$AL$262),"")</f>
        <v/>
      </c>
    </row>
    <row r="263" spans="1:38" x14ac:dyDescent="0.25">
      <c r="A263" t="str">
        <f>IFERROR(IF(0=LEN(ReferenceData!$A$263),"",ReferenceData!$A$263),"")</f>
        <v xml:space="preserve">        Zions Bancorp NA</v>
      </c>
      <c r="B263" t="str">
        <f>IFERROR(IF(0=LEN(ReferenceData!$B$263),"",ReferenceData!$B$263),"")</f>
        <v>ZION US Equity</v>
      </c>
      <c r="C263" t="str">
        <f>IFERROR(IF(0=LEN(ReferenceData!$C$263),"",ReferenceData!$C$263),"")</f>
        <v>F0121</v>
      </c>
      <c r="D263" t="str">
        <f>IFERROR(IF(0=LEN(ReferenceData!$D$263),"",ReferenceData!$D$263),"")</f>
        <v>FED_CNSMR_LNS_LEAS_%_TOT_LNS_LS</v>
      </c>
      <c r="E263" t="str">
        <f>IFERROR(IF(0=LEN(ReferenceData!$E$263),"",ReferenceData!$E$263),"")</f>
        <v>Dynamic</v>
      </c>
      <c r="F263" t="str">
        <f ca="1">IFERROR(IF(0=LEN(ReferenceData!$F$263),"",ReferenceData!$F$263),"")</f>
        <v/>
      </c>
      <c r="G263" t="str">
        <f ca="1">IFERROR(IF(0=LEN(ReferenceData!$G$263),"",ReferenceData!$G$263),"")</f>
        <v/>
      </c>
      <c r="H263" t="str">
        <f ca="1">IFERROR(IF(0=LEN(ReferenceData!$H$263),"",ReferenceData!$H$263),"")</f>
        <v/>
      </c>
      <c r="I263" t="str">
        <f ca="1">IFERROR(IF(0=LEN(ReferenceData!$I$263),"",ReferenceData!$I$263),"")</f>
        <v/>
      </c>
      <c r="J263" t="str">
        <f ca="1">IFERROR(IF(0=LEN(ReferenceData!$J$263),"",ReferenceData!$J$263),"")</f>
        <v/>
      </c>
      <c r="K263" t="str">
        <f ca="1">IFERROR(IF(0=LEN(ReferenceData!$K$263),"",ReferenceData!$K$263),"")</f>
        <v/>
      </c>
      <c r="L263" t="str">
        <f ca="1">IFERROR(IF(0=LEN(ReferenceData!$L$263),"",ReferenceData!$L$263),"")</f>
        <v/>
      </c>
      <c r="M263" t="str">
        <f ca="1">IFERROR(IF(0=LEN(ReferenceData!$M$263),"",ReferenceData!$M$263),"")</f>
        <v/>
      </c>
      <c r="N263" t="str">
        <f ca="1">IFERROR(IF(0=LEN(ReferenceData!$N$263),"",ReferenceData!$N$263),"")</f>
        <v/>
      </c>
      <c r="O263" t="str">
        <f ca="1">IFERROR(IF(0=LEN(ReferenceData!$O$263),"",ReferenceData!$O$263),"")</f>
        <v/>
      </c>
      <c r="P263" t="str">
        <f ca="1">IFERROR(IF(0=LEN(ReferenceData!$P$263),"",ReferenceData!$P$263),"")</f>
        <v/>
      </c>
      <c r="Q263" t="str">
        <f ca="1">IFERROR(IF(0=LEN(ReferenceData!$Q$263),"",ReferenceData!$Q$263),"")</f>
        <v/>
      </c>
      <c r="R263" t="str">
        <f ca="1">IFERROR(IF(0=LEN(ReferenceData!$R$263),"",ReferenceData!$R$263),"")</f>
        <v/>
      </c>
      <c r="S263" t="str">
        <f ca="1">IFERROR(IF(0=LEN(ReferenceData!$S$263),"",ReferenceData!$S$263),"")</f>
        <v/>
      </c>
      <c r="T263" t="str">
        <f ca="1">IFERROR(IF(0=LEN(ReferenceData!$T$263),"",ReferenceData!$T$263),"")</f>
        <v/>
      </c>
      <c r="U263" t="str">
        <f ca="1">IFERROR(IF(0=LEN(ReferenceData!$U$263),"",ReferenceData!$U$263),"")</f>
        <v/>
      </c>
      <c r="V263" t="str">
        <f ca="1">IFERROR(IF(0=LEN(ReferenceData!$V$263),"",ReferenceData!$V$263),"")</f>
        <v/>
      </c>
      <c r="W263" t="str">
        <f ca="1">IFERROR(IF(0=LEN(ReferenceData!$W$263),"",ReferenceData!$W$263),"")</f>
        <v/>
      </c>
      <c r="X263" t="str">
        <f ca="1">IFERROR(IF(0=LEN(ReferenceData!$X$263),"",ReferenceData!$X$263),"")</f>
        <v/>
      </c>
      <c r="Y263" t="str">
        <f ca="1">IFERROR(IF(0=LEN(ReferenceData!$Y$263),"",ReferenceData!$Y$263),"")</f>
        <v/>
      </c>
      <c r="Z263" t="str">
        <f ca="1">IFERROR(IF(0=LEN(ReferenceData!$Z$263),"",ReferenceData!$Z$263),"")</f>
        <v/>
      </c>
      <c r="AA263" t="str">
        <f ca="1">IFERROR(IF(0=LEN(ReferenceData!$AA$263),"",ReferenceData!$AA$263),"")</f>
        <v/>
      </c>
      <c r="AB263" t="str">
        <f ca="1">IFERROR(IF(0=LEN(ReferenceData!$AB$263),"",ReferenceData!$AB$263),"")</f>
        <v/>
      </c>
      <c r="AC263" t="str">
        <f ca="1">IFERROR(IF(0=LEN(ReferenceData!$AC$263),"",ReferenceData!$AC$263),"")</f>
        <v/>
      </c>
      <c r="AD263" t="str">
        <f ca="1">IFERROR(IF(0=LEN(ReferenceData!$AD$263),"",ReferenceData!$AD$263),"")</f>
        <v/>
      </c>
      <c r="AE263" t="str">
        <f ca="1">IFERROR(IF(0=LEN(ReferenceData!$AE$263),"",ReferenceData!$AE$263),"")</f>
        <v/>
      </c>
      <c r="AF263" t="str">
        <f ca="1">IFERROR(IF(0=LEN(ReferenceData!$AF$263),"",ReferenceData!$AF$263),"")</f>
        <v/>
      </c>
      <c r="AG263" t="str">
        <f ca="1">IFERROR(IF(0=LEN(ReferenceData!$AG$263),"",ReferenceData!$AG$263),"")</f>
        <v/>
      </c>
      <c r="AH263" t="str">
        <f ca="1">IFERROR(IF(0=LEN(ReferenceData!$AH$263),"",ReferenceData!$AH$263),"")</f>
        <v/>
      </c>
      <c r="AI263" t="str">
        <f ca="1">IFERROR(IF(0=LEN(ReferenceData!$AI$263),"",ReferenceData!$AI$263),"")</f>
        <v/>
      </c>
      <c r="AJ263" t="str">
        <f ca="1">IFERROR(IF(0=LEN(ReferenceData!$AJ$263),"",ReferenceData!$AJ$263),"")</f>
        <v/>
      </c>
      <c r="AK263" t="str">
        <f ca="1">IFERROR(IF(0=LEN(ReferenceData!$AK$263),"",ReferenceData!$AK$263),"")</f>
        <v/>
      </c>
      <c r="AL263" t="str">
        <f ca="1">IFERROR(IF(0=LEN(ReferenceData!$AL$263),"",ReferenceData!$AL$263),"")</f>
        <v/>
      </c>
    </row>
    <row r="264" spans="1:38" x14ac:dyDescent="0.25">
      <c r="A264" t="str">
        <f>IFERROR(IF(0=LEN(ReferenceData!$A$264),"",ReferenceData!$A$264),"")</f>
        <v>Other loans</v>
      </c>
      <c r="B264" t="str">
        <f>IFERROR(IF(0=LEN(ReferenceData!$B$264),"",ReferenceData!$B$264),"")</f>
        <v/>
      </c>
      <c r="C264" t="str">
        <f>IFERROR(IF(0=LEN(ReferenceData!$C$264),"",ReferenceData!$C$264),"")</f>
        <v/>
      </c>
      <c r="D264" t="str">
        <f>IFERROR(IF(0=LEN(ReferenceData!$D$264),"",ReferenceData!$D$264),"")</f>
        <v/>
      </c>
      <c r="E264" t="str">
        <f>IFERROR(IF(0=LEN(ReferenceData!$E$264),"",ReferenceData!$E$264),"")</f>
        <v>Sum</v>
      </c>
      <c r="F264">
        <f ca="1">IFERROR(IF(0=LEN(ReferenceData!$F$264),"",ReferenceData!$F$264),"")</f>
        <v>13.3394265425</v>
      </c>
      <c r="G264">
        <f ca="1">IFERROR(IF(0=LEN(ReferenceData!$G$264),"",ReferenceData!$G$264),"")</f>
        <v>10.196047642</v>
      </c>
      <c r="H264">
        <f ca="1">IFERROR(IF(0=LEN(ReferenceData!$H$264),"",ReferenceData!$H$264),"")</f>
        <v>10.535312189000001</v>
      </c>
      <c r="I264">
        <f ca="1">IFERROR(IF(0=LEN(ReferenceData!$I$264),"",ReferenceData!$I$264),"")</f>
        <v>8.9575975569999997</v>
      </c>
      <c r="J264">
        <f ca="1">IFERROR(IF(0=LEN(ReferenceData!$J$264),"",ReferenceData!$J$264),"")</f>
        <v>8.8919806930000007</v>
      </c>
      <c r="K264">
        <f ca="1">IFERROR(IF(0=LEN(ReferenceData!$K$264),"",ReferenceData!$K$264),"")</f>
        <v>7.3068501590000006</v>
      </c>
      <c r="L264">
        <f ca="1">IFERROR(IF(0=LEN(ReferenceData!$L$264),"",ReferenceData!$L$264),"")</f>
        <v>7.4814959370000009</v>
      </c>
      <c r="M264">
        <f ca="1">IFERROR(IF(0=LEN(ReferenceData!$M$264),"",ReferenceData!$M$264),"")</f>
        <v>7.1848668440000001</v>
      </c>
      <c r="N264">
        <f ca="1">IFERROR(IF(0=LEN(ReferenceData!$N$264),"",ReferenceData!$N$264),"")</f>
        <v>6.942657241</v>
      </c>
      <c r="O264">
        <f ca="1">IFERROR(IF(0=LEN(ReferenceData!$O$264),"",ReferenceData!$O$264),"")</f>
        <v>7.0711627850000003</v>
      </c>
      <c r="P264">
        <f ca="1">IFERROR(IF(0=LEN(ReferenceData!$P$264),"",ReferenceData!$P$264),"")</f>
        <v>6.6730263090000008</v>
      </c>
      <c r="Q264">
        <f ca="1">IFERROR(IF(0=LEN(ReferenceData!$Q$264),"",ReferenceData!$Q$264),"")</f>
        <v>4.9632453410000004</v>
      </c>
      <c r="R264">
        <f ca="1">IFERROR(IF(0=LEN(ReferenceData!$R$264),"",ReferenceData!$R$264),"")</f>
        <v>4.0954905099999994</v>
      </c>
      <c r="S264">
        <f ca="1">IFERROR(IF(0=LEN(ReferenceData!$S$264),"",ReferenceData!$S$264),"")</f>
        <v>3.5193738309999998</v>
      </c>
      <c r="T264">
        <f ca="1">IFERROR(IF(0=LEN(ReferenceData!$T$264),"",ReferenceData!$T$264),"")</f>
        <v>3.2437461540000001</v>
      </c>
      <c r="U264">
        <f ca="1">IFERROR(IF(0=LEN(ReferenceData!$U$264),"",ReferenceData!$U$264),"")</f>
        <v>0.24607451400000002</v>
      </c>
      <c r="V264">
        <f ca="1">IFERROR(IF(0=LEN(ReferenceData!$V$264),"",ReferenceData!$V$264),"")</f>
        <v>0.28077828400000004</v>
      </c>
      <c r="W264">
        <f ca="1">IFERROR(IF(0=LEN(ReferenceData!$W$264),"",ReferenceData!$W$264),"")</f>
        <v>0.31462501799999998</v>
      </c>
      <c r="X264">
        <f ca="1">IFERROR(IF(0=LEN(ReferenceData!$X$264),"",ReferenceData!$X$264),"")</f>
        <v>0.30616491200000001</v>
      </c>
      <c r="Y264">
        <f ca="1">IFERROR(IF(0=LEN(ReferenceData!$Y$264),"",ReferenceData!$Y$264),"")</f>
        <v>0.15372608900000001</v>
      </c>
      <c r="Z264">
        <f ca="1">IFERROR(IF(0=LEN(ReferenceData!$Z$264),"",ReferenceData!$Z$264),"")</f>
        <v>0.17456258600000002</v>
      </c>
      <c r="AA264">
        <f ca="1">IFERROR(IF(0=LEN(ReferenceData!$AA$264),"",ReferenceData!$AA$264),"")</f>
        <v>0.16304302599999998</v>
      </c>
      <c r="AB264">
        <f ca="1">IFERROR(IF(0=LEN(ReferenceData!$AB$264),"",ReferenceData!$AB$264),"")</f>
        <v>0.146962233</v>
      </c>
      <c r="AC264">
        <f ca="1">IFERROR(IF(0=LEN(ReferenceData!$AC$264),"",ReferenceData!$AC$264),"")</f>
        <v>0.18362132399999997</v>
      </c>
      <c r="AD264" t="str">
        <f ca="1">IFERROR(IF(0=LEN(ReferenceData!$AD$264),"",ReferenceData!$AD$264),"")</f>
        <v/>
      </c>
      <c r="AE264" t="str">
        <f ca="1">IFERROR(IF(0=LEN(ReferenceData!$AE$264),"",ReferenceData!$AE$264),"")</f>
        <v/>
      </c>
      <c r="AF264" t="str">
        <f ca="1">IFERROR(IF(0=LEN(ReferenceData!$AF$264),"",ReferenceData!$AF$264),"")</f>
        <v/>
      </c>
      <c r="AG264" t="str">
        <f ca="1">IFERROR(IF(0=LEN(ReferenceData!$AG$264),"",ReferenceData!$AG$264),"")</f>
        <v/>
      </c>
      <c r="AH264" t="str">
        <f ca="1">IFERROR(IF(0=LEN(ReferenceData!$AH$264),"",ReferenceData!$AH$264),"")</f>
        <v/>
      </c>
      <c r="AI264" t="str">
        <f ca="1">IFERROR(IF(0=LEN(ReferenceData!$AI$264),"",ReferenceData!$AI$264),"")</f>
        <v/>
      </c>
      <c r="AJ264" t="str">
        <f ca="1">IFERROR(IF(0=LEN(ReferenceData!$AJ$264),"",ReferenceData!$AJ$264),"")</f>
        <v/>
      </c>
      <c r="AK264" t="str">
        <f ca="1">IFERROR(IF(0=LEN(ReferenceData!$AK$264),"",ReferenceData!$AK$264),"")</f>
        <v/>
      </c>
      <c r="AL264" t="str">
        <f ca="1">IFERROR(IF(0=LEN(ReferenceData!$AL$264),"",ReferenceData!$AL$264),"")</f>
        <v/>
      </c>
    </row>
    <row r="265" spans="1:38" x14ac:dyDescent="0.25">
      <c r="A265" t="str">
        <f>IFERROR(IF(0=LEN(ReferenceData!$A$265),"",ReferenceData!$A$265),"")</f>
        <v xml:space="preserve">    Margin loans</v>
      </c>
      <c r="B265" t="str">
        <f>IFERROR(IF(0=LEN(ReferenceData!$B$265),"",ReferenceData!$B$265),"")</f>
        <v/>
      </c>
      <c r="C265" t="str">
        <f>IFERROR(IF(0=LEN(ReferenceData!$C$265),"",ReferenceData!$C$265),"")</f>
        <v/>
      </c>
      <c r="D265" t="str">
        <f>IFERROR(IF(0=LEN(ReferenceData!$D$265),"",ReferenceData!$D$265),"")</f>
        <v/>
      </c>
      <c r="E265" t="str">
        <f>IFERROR(IF(0=LEN(ReferenceData!$E$265),"",ReferenceData!$E$265),"")</f>
        <v>Median</v>
      </c>
      <c r="F265">
        <f ca="1">IFERROR(IF(0=LEN(ReferenceData!$F$265),"",ReferenceData!$F$265),"")</f>
        <v>0.1680541555</v>
      </c>
      <c r="G265">
        <f ca="1">IFERROR(IF(0=LEN(ReferenceData!$G$265),"",ReferenceData!$G$265),"")</f>
        <v>0.12854842899999999</v>
      </c>
      <c r="H265">
        <f ca="1">IFERROR(IF(0=LEN(ReferenceData!$H$265),"",ReferenceData!$H$265),"")</f>
        <v>0.143843468</v>
      </c>
      <c r="I265">
        <f ca="1">IFERROR(IF(0=LEN(ReferenceData!$I$265),"",ReferenceData!$I$265),"")</f>
        <v>0.15595014800000001</v>
      </c>
      <c r="J265">
        <f ca="1">IFERROR(IF(0=LEN(ReferenceData!$J$265),"",ReferenceData!$J$265),"")</f>
        <v>7.9792538999999996E-2</v>
      </c>
      <c r="K265">
        <f ca="1">IFERROR(IF(0=LEN(ReferenceData!$K$265),"",ReferenceData!$K$265),"")</f>
        <v>0.107655502</v>
      </c>
      <c r="L265">
        <f ca="1">IFERROR(IF(0=LEN(ReferenceData!$L$265),"",ReferenceData!$L$265),"")</f>
        <v>0.125161731</v>
      </c>
      <c r="M265">
        <f ca="1">IFERROR(IF(0=LEN(ReferenceData!$M$265),"",ReferenceData!$M$265),"")</f>
        <v>0.16517675600000001</v>
      </c>
      <c r="N265">
        <f ca="1">IFERROR(IF(0=LEN(ReferenceData!$N$265),"",ReferenceData!$N$265),"")</f>
        <v>0.14173418600000001</v>
      </c>
      <c r="O265">
        <f ca="1">IFERROR(IF(0=LEN(ReferenceData!$O$265),"",ReferenceData!$O$265),"")</f>
        <v>0.153945112</v>
      </c>
      <c r="P265">
        <f ca="1">IFERROR(IF(0=LEN(ReferenceData!$P$265),"",ReferenceData!$P$265),"")</f>
        <v>0.176855067</v>
      </c>
      <c r="Q265">
        <f ca="1">IFERROR(IF(0=LEN(ReferenceData!$Q$265),"",ReferenceData!$Q$265),"")</f>
        <v>0.14780975199999999</v>
      </c>
      <c r="R265">
        <f ca="1">IFERROR(IF(0=LEN(ReferenceData!$R$265),"",ReferenceData!$R$265),"")</f>
        <v>0.124040943</v>
      </c>
      <c r="S265">
        <f ca="1">IFERROR(IF(0=LEN(ReferenceData!$S$265),"",ReferenceData!$S$265),"")</f>
        <v>0.209691143</v>
      </c>
      <c r="T265">
        <f ca="1">IFERROR(IF(0=LEN(ReferenceData!$T$265),"",ReferenceData!$T$265),"")</f>
        <v>0.160296413</v>
      </c>
      <c r="U265">
        <f ca="1">IFERROR(IF(0=LEN(ReferenceData!$U$265),"",ReferenceData!$U$265),"")</f>
        <v>0.10013725</v>
      </c>
      <c r="V265">
        <f ca="1">IFERROR(IF(0=LEN(ReferenceData!$V$265),"",ReferenceData!$V$265),"")</f>
        <v>0.12822183200000001</v>
      </c>
      <c r="W265">
        <f ca="1">IFERROR(IF(0=LEN(ReferenceData!$W$265),"",ReferenceData!$W$265),"")</f>
        <v>0.17992537</v>
      </c>
      <c r="X265">
        <f ca="1">IFERROR(IF(0=LEN(ReferenceData!$X$265),"",ReferenceData!$X$265),"")</f>
        <v>0.15945081699999999</v>
      </c>
      <c r="Y265" t="str">
        <f ca="1">IFERROR(IF(0=LEN(ReferenceData!$Y$265),"",ReferenceData!$Y$265),"")</f>
        <v/>
      </c>
      <c r="Z265" t="str">
        <f ca="1">IFERROR(IF(0=LEN(ReferenceData!$Z$265),"",ReferenceData!$Z$265),"")</f>
        <v/>
      </c>
      <c r="AA265" t="str">
        <f ca="1">IFERROR(IF(0=LEN(ReferenceData!$AA$265),"",ReferenceData!$AA$265),"")</f>
        <v/>
      </c>
      <c r="AB265" t="str">
        <f ca="1">IFERROR(IF(0=LEN(ReferenceData!$AB$265),"",ReferenceData!$AB$265),"")</f>
        <v/>
      </c>
      <c r="AC265" t="str">
        <f ca="1">IFERROR(IF(0=LEN(ReferenceData!$AC$265),"",ReferenceData!$AC$265),"")</f>
        <v/>
      </c>
      <c r="AD265" t="str">
        <f ca="1">IFERROR(IF(0=LEN(ReferenceData!$AD$265),"",ReferenceData!$AD$265),"")</f>
        <v/>
      </c>
      <c r="AE265" t="str">
        <f ca="1">IFERROR(IF(0=LEN(ReferenceData!$AE$265),"",ReferenceData!$AE$265),"")</f>
        <v/>
      </c>
      <c r="AF265" t="str">
        <f ca="1">IFERROR(IF(0=LEN(ReferenceData!$AF$265),"",ReferenceData!$AF$265),"")</f>
        <v/>
      </c>
      <c r="AG265" t="str">
        <f ca="1">IFERROR(IF(0=LEN(ReferenceData!$AG$265),"",ReferenceData!$AG$265),"")</f>
        <v/>
      </c>
      <c r="AH265" t="str">
        <f ca="1">IFERROR(IF(0=LEN(ReferenceData!$AH$265),"",ReferenceData!$AH$265),"")</f>
        <v/>
      </c>
      <c r="AI265" t="str">
        <f ca="1">IFERROR(IF(0=LEN(ReferenceData!$AI$265),"",ReferenceData!$AI$265),"")</f>
        <v/>
      </c>
      <c r="AJ265" t="str">
        <f ca="1">IFERROR(IF(0=LEN(ReferenceData!$AJ$265),"",ReferenceData!$AJ$265),"")</f>
        <v/>
      </c>
      <c r="AK265" t="str">
        <f ca="1">IFERROR(IF(0=LEN(ReferenceData!$AK$265),"",ReferenceData!$AK$265),"")</f>
        <v/>
      </c>
      <c r="AL265" t="str">
        <f ca="1">IFERROR(IF(0=LEN(ReferenceData!$AL$265),"",ReferenceData!$AL$265),"")</f>
        <v/>
      </c>
    </row>
    <row r="266" spans="1:38" x14ac:dyDescent="0.25">
      <c r="A266" t="str">
        <f>IFERROR(IF(0=LEN(ReferenceData!$A$266),"",ReferenceData!$A$266),"")</f>
        <v xml:space="preserve">        Bank of America Corp</v>
      </c>
      <c r="B266" t="str">
        <f>IFERROR(IF(0=LEN(ReferenceData!$B$266),"",ReferenceData!$B$266),"")</f>
        <v>BAC US Equity</v>
      </c>
      <c r="C266" t="str">
        <f>IFERROR(IF(0=LEN(ReferenceData!$C$266),"",ReferenceData!$C$266),"")</f>
        <v>F0122</v>
      </c>
      <c r="D266" t="str">
        <f>IFERROR(IF(0=LEN(ReferenceData!$D$266),"",ReferenceData!$D$266),"")</f>
        <v>FED_MARGIN_LOANS_%_TOT_LNS_LEAS</v>
      </c>
      <c r="E266" t="str">
        <f>IFERROR(IF(0=LEN(ReferenceData!$E$266),"",ReferenceData!$E$266),"")</f>
        <v>Dynamic</v>
      </c>
      <c r="F266">
        <f ca="1">IFERROR(IF(0=LEN(ReferenceData!$F$266),"",ReferenceData!$F$266),"")</f>
        <v>5.1678654899999996</v>
      </c>
      <c r="G266">
        <f ca="1">IFERROR(IF(0=LEN(ReferenceData!$G$266),"",ReferenceData!$G$266),"")</f>
        <v>4.5872168200000001</v>
      </c>
      <c r="H266">
        <f ca="1">IFERROR(IF(0=LEN(ReferenceData!$H$266),"",ReferenceData!$H$266),"")</f>
        <v>3.4589805770000002</v>
      </c>
      <c r="I266">
        <f ca="1">IFERROR(IF(0=LEN(ReferenceData!$I$266),"",ReferenceData!$I$266),"")</f>
        <v>5.3252519420000004</v>
      </c>
      <c r="J266">
        <f ca="1">IFERROR(IF(0=LEN(ReferenceData!$J$266),"",ReferenceData!$J$266),"")</f>
        <v>5.1541656480000002</v>
      </c>
      <c r="K266">
        <f ca="1">IFERROR(IF(0=LEN(ReferenceData!$K$266),"",ReferenceData!$K$266),"")</f>
        <v>5.5280368429999998</v>
      </c>
      <c r="L266">
        <f ca="1">IFERROR(IF(0=LEN(ReferenceData!$L$266),"",ReferenceData!$L$266),"")</f>
        <v>4.4415430750000002</v>
      </c>
      <c r="M266">
        <f ca="1">IFERROR(IF(0=LEN(ReferenceData!$M$266),"",ReferenceData!$M$266),"")</f>
        <v>6.5174622260000001</v>
      </c>
      <c r="N266">
        <f ca="1">IFERROR(IF(0=LEN(ReferenceData!$N$266),"",ReferenceData!$N$266),"")</f>
        <v>5.3575992079999999</v>
      </c>
      <c r="O266">
        <f ca="1">IFERROR(IF(0=LEN(ReferenceData!$O$266),"",ReferenceData!$O$266),"")</f>
        <v>4.2669236340000003</v>
      </c>
      <c r="P266">
        <f ca="1">IFERROR(IF(0=LEN(ReferenceData!$P$266),"",ReferenceData!$P$266),"")</f>
        <v>4.3109002140000001</v>
      </c>
      <c r="Q266">
        <f ca="1">IFERROR(IF(0=LEN(ReferenceData!$Q$266),"",ReferenceData!$Q$266),"")</f>
        <v>5.3461951489999997</v>
      </c>
      <c r="R266">
        <f ca="1">IFERROR(IF(0=LEN(ReferenceData!$R$266),"",ReferenceData!$R$266),"")</f>
        <v>5.4851568779999997</v>
      </c>
      <c r="S266">
        <f ca="1">IFERROR(IF(0=LEN(ReferenceData!$S$266),"",ReferenceData!$S$266),"")</f>
        <v>3.2783888700000001</v>
      </c>
      <c r="T266">
        <f ca="1">IFERROR(IF(0=LEN(ReferenceData!$T$266),"",ReferenceData!$T$266),"")</f>
        <v>1.7189892360000001</v>
      </c>
      <c r="U266">
        <f ca="1">IFERROR(IF(0=LEN(ReferenceData!$U$266),"",ReferenceData!$U$266),"")</f>
        <v>1.8960397659999999</v>
      </c>
      <c r="V266">
        <f ca="1">IFERROR(IF(0=LEN(ReferenceData!$V$266),"",ReferenceData!$V$266),"")</f>
        <v>0.27754812000000001</v>
      </c>
      <c r="W266">
        <f ca="1">IFERROR(IF(0=LEN(ReferenceData!$W$266),"",ReferenceData!$W$266),"")</f>
        <v>0.29070195199999999</v>
      </c>
      <c r="X266">
        <f ca="1">IFERROR(IF(0=LEN(ReferenceData!$X$266),"",ReferenceData!$X$266),"")</f>
        <v>0.15945081699999999</v>
      </c>
      <c r="Y266" t="str">
        <f ca="1">IFERROR(IF(0=LEN(ReferenceData!$Y$266),"",ReferenceData!$Y$266),"")</f>
        <v/>
      </c>
      <c r="Z266" t="str">
        <f ca="1">IFERROR(IF(0=LEN(ReferenceData!$Z$266),"",ReferenceData!$Z$266),"")</f>
        <v/>
      </c>
      <c r="AA266" t="str">
        <f ca="1">IFERROR(IF(0=LEN(ReferenceData!$AA$266),"",ReferenceData!$AA$266),"")</f>
        <v/>
      </c>
      <c r="AB266" t="str">
        <f ca="1">IFERROR(IF(0=LEN(ReferenceData!$AB$266),"",ReferenceData!$AB$266),"")</f>
        <v/>
      </c>
      <c r="AC266" t="str">
        <f ca="1">IFERROR(IF(0=LEN(ReferenceData!$AC$266),"",ReferenceData!$AC$266),"")</f>
        <v/>
      </c>
      <c r="AD266" t="str">
        <f ca="1">IFERROR(IF(0=LEN(ReferenceData!$AD$266),"",ReferenceData!$AD$266),"")</f>
        <v/>
      </c>
      <c r="AE266" t="str">
        <f ca="1">IFERROR(IF(0=LEN(ReferenceData!$AE$266),"",ReferenceData!$AE$266),"")</f>
        <v/>
      </c>
      <c r="AF266" t="str">
        <f ca="1">IFERROR(IF(0=LEN(ReferenceData!$AF$266),"",ReferenceData!$AF$266),"")</f>
        <v/>
      </c>
      <c r="AG266" t="str">
        <f ca="1">IFERROR(IF(0=LEN(ReferenceData!$AG$266),"",ReferenceData!$AG$266),"")</f>
        <v/>
      </c>
      <c r="AH266" t="str">
        <f ca="1">IFERROR(IF(0=LEN(ReferenceData!$AH$266),"",ReferenceData!$AH$266),"")</f>
        <v/>
      </c>
      <c r="AI266" t="str">
        <f ca="1">IFERROR(IF(0=LEN(ReferenceData!$AI$266),"",ReferenceData!$AI$266),"")</f>
        <v/>
      </c>
      <c r="AJ266" t="str">
        <f ca="1">IFERROR(IF(0=LEN(ReferenceData!$AJ$266),"",ReferenceData!$AJ$266),"")</f>
        <v/>
      </c>
      <c r="AK266" t="str">
        <f ca="1">IFERROR(IF(0=LEN(ReferenceData!$AK$266),"",ReferenceData!$AK$266),"")</f>
        <v/>
      </c>
      <c r="AL266" t="str">
        <f ca="1">IFERROR(IF(0=LEN(ReferenceData!$AL$266),"",ReferenceData!$AL$266),"")</f>
        <v/>
      </c>
    </row>
    <row r="267" spans="1:38" x14ac:dyDescent="0.25">
      <c r="A267" t="str">
        <f>IFERROR(IF(0=LEN(ReferenceData!$A$267),"",ReferenceData!$A$267),"")</f>
        <v xml:space="preserve">        Citigroup Inc</v>
      </c>
      <c r="B267" t="str">
        <f>IFERROR(IF(0=LEN(ReferenceData!$B$267),"",ReferenceData!$B$267),"")</f>
        <v>C US Equity</v>
      </c>
      <c r="C267" t="str">
        <f>IFERROR(IF(0=LEN(ReferenceData!$C$267),"",ReferenceData!$C$267),"")</f>
        <v>F0122</v>
      </c>
      <c r="D267" t="str">
        <f>IFERROR(IF(0=LEN(ReferenceData!$D$267),"",ReferenceData!$D$267),"")</f>
        <v>FED_MARGIN_LOANS_%_TOT_LNS_LEAS</v>
      </c>
      <c r="E267" t="str">
        <f>IFERROR(IF(0=LEN(ReferenceData!$E$267),"",ReferenceData!$E$267),"")</f>
        <v>Dynamic</v>
      </c>
      <c r="F267">
        <f ca="1">IFERROR(IF(0=LEN(ReferenceData!$F$267),"",ReferenceData!$F$267),"")</f>
        <v>2.5761864289999998</v>
      </c>
      <c r="G267">
        <f ca="1">IFERROR(IF(0=LEN(ReferenceData!$G$267),"",ReferenceData!$G$267),"")</f>
        <v>1.945141781</v>
      </c>
      <c r="H267">
        <f ca="1">IFERROR(IF(0=LEN(ReferenceData!$H$267),"",ReferenceData!$H$267),"")</f>
        <v>1.88396181</v>
      </c>
      <c r="I267">
        <f ca="1">IFERROR(IF(0=LEN(ReferenceData!$I$267),"",ReferenceData!$I$267),"")</f>
        <v>3.4975537120000002</v>
      </c>
      <c r="J267">
        <f ca="1">IFERROR(IF(0=LEN(ReferenceData!$J$267),"",ReferenceData!$J$267),"")</f>
        <v>2.7370175140000002</v>
      </c>
      <c r="K267">
        <f ca="1">IFERROR(IF(0=LEN(ReferenceData!$K$267),"",ReferenceData!$K$267),"")</f>
        <v>2.1196310060000001</v>
      </c>
      <c r="L267">
        <f ca="1">IFERROR(IF(0=LEN(ReferenceData!$L$267),"",ReferenceData!$L$267),"")</f>
        <v>1.988047479</v>
      </c>
      <c r="M267">
        <f ca="1">IFERROR(IF(0=LEN(ReferenceData!$M$267),"",ReferenceData!$M$267),"")</f>
        <v>2.5096553130000001</v>
      </c>
      <c r="N267">
        <f ca="1">IFERROR(IF(0=LEN(ReferenceData!$N$267),"",ReferenceData!$N$267),"")</f>
        <v>1.711779846</v>
      </c>
      <c r="O267">
        <f ca="1">IFERROR(IF(0=LEN(ReferenceData!$O$267),"",ReferenceData!$O$267),"")</f>
        <v>2.1329097809999999</v>
      </c>
      <c r="P267">
        <f ca="1">IFERROR(IF(0=LEN(ReferenceData!$P$267),"",ReferenceData!$P$267),"")</f>
        <v>2.301451073</v>
      </c>
      <c r="Q267">
        <f ca="1">IFERROR(IF(0=LEN(ReferenceData!$Q$267),"",ReferenceData!$Q$267),"")</f>
        <v>2.1106178729999998</v>
      </c>
      <c r="R267">
        <f ca="1">IFERROR(IF(0=LEN(ReferenceData!$R$267),"",ReferenceData!$R$267),"")</f>
        <v>2.0102438280000001</v>
      </c>
      <c r="S267">
        <f ca="1">IFERROR(IF(0=LEN(ReferenceData!$S$267),"",ReferenceData!$S$267),"")</f>
        <v>3.2196017060000002</v>
      </c>
      <c r="T267">
        <f ca="1">IFERROR(IF(0=LEN(ReferenceData!$T$267),"",ReferenceData!$T$267),"")</f>
        <v>3.18594051</v>
      </c>
      <c r="U267">
        <f ca="1">IFERROR(IF(0=LEN(ReferenceData!$U$267),"",ReferenceData!$U$267),"")</f>
        <v>3.2661933150000002</v>
      </c>
      <c r="V267">
        <f ca="1">IFERROR(IF(0=LEN(ReferenceData!$V$267),"",ReferenceData!$V$267),"")</f>
        <v>3.1410056329999998</v>
      </c>
      <c r="W267">
        <f ca="1">IFERROR(IF(0=LEN(ReferenceData!$W$267),"",ReferenceData!$W$267),"")</f>
        <v>3.9389695279999999</v>
      </c>
      <c r="X267">
        <f ca="1">IFERROR(IF(0=LEN(ReferenceData!$X$267),"",ReferenceData!$X$267),"")</f>
        <v>4.6522984039999997</v>
      </c>
      <c r="Y267" t="str">
        <f ca="1">IFERROR(IF(0=LEN(ReferenceData!$Y$267),"",ReferenceData!$Y$267),"")</f>
        <v/>
      </c>
      <c r="Z267" t="str">
        <f ca="1">IFERROR(IF(0=LEN(ReferenceData!$Z$267),"",ReferenceData!$Z$267),"")</f>
        <v/>
      </c>
      <c r="AA267" t="str">
        <f ca="1">IFERROR(IF(0=LEN(ReferenceData!$AA$267),"",ReferenceData!$AA$267),"")</f>
        <v/>
      </c>
      <c r="AB267" t="str">
        <f ca="1">IFERROR(IF(0=LEN(ReferenceData!$AB$267),"",ReferenceData!$AB$267),"")</f>
        <v/>
      </c>
      <c r="AC267" t="str">
        <f ca="1">IFERROR(IF(0=LEN(ReferenceData!$AC$267),"",ReferenceData!$AC$267),"")</f>
        <v/>
      </c>
      <c r="AD267" t="str">
        <f ca="1">IFERROR(IF(0=LEN(ReferenceData!$AD$267),"",ReferenceData!$AD$267),"")</f>
        <v/>
      </c>
      <c r="AE267" t="str">
        <f ca="1">IFERROR(IF(0=LEN(ReferenceData!$AE$267),"",ReferenceData!$AE$267),"")</f>
        <v/>
      </c>
      <c r="AF267" t="str">
        <f ca="1">IFERROR(IF(0=LEN(ReferenceData!$AF$267),"",ReferenceData!$AF$267),"")</f>
        <v/>
      </c>
      <c r="AG267" t="str">
        <f ca="1">IFERROR(IF(0=LEN(ReferenceData!$AG$267),"",ReferenceData!$AG$267),"")</f>
        <v/>
      </c>
      <c r="AH267" t="str">
        <f ca="1">IFERROR(IF(0=LEN(ReferenceData!$AH$267),"",ReferenceData!$AH$267),"")</f>
        <v/>
      </c>
      <c r="AI267" t="str">
        <f ca="1">IFERROR(IF(0=LEN(ReferenceData!$AI$267),"",ReferenceData!$AI$267),"")</f>
        <v/>
      </c>
      <c r="AJ267" t="str">
        <f ca="1">IFERROR(IF(0=LEN(ReferenceData!$AJ$267),"",ReferenceData!$AJ$267),"")</f>
        <v/>
      </c>
      <c r="AK267" t="str">
        <f ca="1">IFERROR(IF(0=LEN(ReferenceData!$AK$267),"",ReferenceData!$AK$267),"")</f>
        <v/>
      </c>
      <c r="AL267" t="str">
        <f ca="1">IFERROR(IF(0=LEN(ReferenceData!$AL$267),"",ReferenceData!$AL$267),"")</f>
        <v/>
      </c>
    </row>
    <row r="268" spans="1:38" x14ac:dyDescent="0.25">
      <c r="A268" t="str">
        <f>IFERROR(IF(0=LEN(ReferenceData!$A$268),"",ReferenceData!$A$268),"")</f>
        <v xml:space="preserve">        Citizens Financial Group Inc</v>
      </c>
      <c r="B268" t="str">
        <f>IFERROR(IF(0=LEN(ReferenceData!$B$268),"",ReferenceData!$B$268),"")</f>
        <v>CFG US Equity</v>
      </c>
      <c r="C268" t="str">
        <f>IFERROR(IF(0=LEN(ReferenceData!$C$268),"",ReferenceData!$C$268),"")</f>
        <v>F0122</v>
      </c>
      <c r="D268" t="str">
        <f>IFERROR(IF(0=LEN(ReferenceData!$D$268),"",ReferenceData!$D$268),"")</f>
        <v>FED_MARGIN_LOANS_%_TOT_LNS_LEAS</v>
      </c>
      <c r="E268" t="str">
        <f>IFERROR(IF(0=LEN(ReferenceData!$E$268),"",ReferenceData!$E$268),"")</f>
        <v>Dynamic</v>
      </c>
      <c r="F268">
        <f ca="1">IFERROR(IF(0=LEN(ReferenceData!$F$268),"",ReferenceData!$F$268),"")</f>
        <v>0</v>
      </c>
      <c r="G268">
        <f ca="1">IFERROR(IF(0=LEN(ReferenceData!$G$268),"",ReferenceData!$G$268),"")</f>
        <v>0</v>
      </c>
      <c r="H268">
        <f ca="1">IFERROR(IF(0=LEN(ReferenceData!$H$268),"",ReferenceData!$H$268),"")</f>
        <v>0</v>
      </c>
      <c r="I268">
        <f ca="1">IFERROR(IF(0=LEN(ReferenceData!$I$268),"",ReferenceData!$I$268),"")</f>
        <v>4.0988784E-2</v>
      </c>
      <c r="J268">
        <f ca="1">IFERROR(IF(0=LEN(ReferenceData!$J$268),"",ReferenceData!$J$268),"")</f>
        <v>5.7725090999999999E-2</v>
      </c>
      <c r="K268">
        <f ca="1">IFERROR(IF(0=LEN(ReferenceData!$K$268),"",ReferenceData!$K$268),"")</f>
        <v>7.8726049000000006E-2</v>
      </c>
      <c r="L268">
        <f ca="1">IFERROR(IF(0=LEN(ReferenceData!$L$268),"",ReferenceData!$L$268),"")</f>
        <v>0</v>
      </c>
      <c r="M268">
        <f ca="1">IFERROR(IF(0=LEN(ReferenceData!$M$268),"",ReferenceData!$M$268),"")</f>
        <v>0</v>
      </c>
      <c r="N268">
        <f ca="1">IFERROR(IF(0=LEN(ReferenceData!$N$268),"",ReferenceData!$N$268),"")</f>
        <v>0</v>
      </c>
      <c r="O268">
        <f ca="1">IFERROR(IF(0=LEN(ReferenceData!$O$268),"",ReferenceData!$O$268),"")</f>
        <v>0</v>
      </c>
      <c r="P268">
        <f ca="1">IFERROR(IF(0=LEN(ReferenceData!$P$268),"",ReferenceData!$P$268),"")</f>
        <v>0</v>
      </c>
      <c r="Q268">
        <f ca="1">IFERROR(IF(0=LEN(ReferenceData!$Q$268),"",ReferenceData!$Q$268),"")</f>
        <v>0</v>
      </c>
      <c r="R268">
        <f ca="1">IFERROR(IF(0=LEN(ReferenceData!$R$268),"",ReferenceData!$R$268),"")</f>
        <v>1.987108E-3</v>
      </c>
      <c r="S268">
        <f ca="1">IFERROR(IF(0=LEN(ReferenceData!$S$268),"",ReferenceData!$S$268),"")</f>
        <v>3.6140510000000001E-3</v>
      </c>
      <c r="T268">
        <f ca="1">IFERROR(IF(0=LEN(ReferenceData!$T$268),"",ReferenceData!$T$268),"")</f>
        <v>6.7084149999999997E-3</v>
      </c>
      <c r="U268">
        <f ca="1">IFERROR(IF(0=LEN(ReferenceData!$U$268),"",ReferenceData!$U$268),"")</f>
        <v>2.5119019999999999E-2</v>
      </c>
      <c r="V268">
        <f ca="1">IFERROR(IF(0=LEN(ReferenceData!$V$268),"",ReferenceData!$V$268),"")</f>
        <v>3.106241E-3</v>
      </c>
      <c r="W268">
        <f ca="1">IFERROR(IF(0=LEN(ReferenceData!$W$268),"",ReferenceData!$W$268),"")</f>
        <v>2.2100399999999999E-4</v>
      </c>
      <c r="X268">
        <f ca="1">IFERROR(IF(0=LEN(ReferenceData!$X$268),"",ReferenceData!$X$268),"")</f>
        <v>2.5173799999999999E-4</v>
      </c>
      <c r="Y268" t="str">
        <f ca="1">IFERROR(IF(0=LEN(ReferenceData!$Y$268),"",ReferenceData!$Y$268),"")</f>
        <v/>
      </c>
      <c r="Z268" t="str">
        <f ca="1">IFERROR(IF(0=LEN(ReferenceData!$Z$268),"",ReferenceData!$Z$268),"")</f>
        <v/>
      </c>
      <c r="AA268" t="str">
        <f ca="1">IFERROR(IF(0=LEN(ReferenceData!$AA$268),"",ReferenceData!$AA$268),"")</f>
        <v/>
      </c>
      <c r="AB268" t="str">
        <f ca="1">IFERROR(IF(0=LEN(ReferenceData!$AB$268),"",ReferenceData!$AB$268),"")</f>
        <v/>
      </c>
      <c r="AC268" t="str">
        <f ca="1">IFERROR(IF(0=LEN(ReferenceData!$AC$268),"",ReferenceData!$AC$268),"")</f>
        <v/>
      </c>
      <c r="AD268" t="str">
        <f ca="1">IFERROR(IF(0=LEN(ReferenceData!$AD$268),"",ReferenceData!$AD$268),"")</f>
        <v/>
      </c>
      <c r="AE268" t="str">
        <f ca="1">IFERROR(IF(0=LEN(ReferenceData!$AE$268),"",ReferenceData!$AE$268),"")</f>
        <v/>
      </c>
      <c r="AF268" t="str">
        <f ca="1">IFERROR(IF(0=LEN(ReferenceData!$AF$268),"",ReferenceData!$AF$268),"")</f>
        <v/>
      </c>
      <c r="AG268" t="str">
        <f ca="1">IFERROR(IF(0=LEN(ReferenceData!$AG$268),"",ReferenceData!$AG$268),"")</f>
        <v/>
      </c>
      <c r="AH268" t="str">
        <f ca="1">IFERROR(IF(0=LEN(ReferenceData!$AH$268),"",ReferenceData!$AH$268),"")</f>
        <v/>
      </c>
      <c r="AI268" t="str">
        <f ca="1">IFERROR(IF(0=LEN(ReferenceData!$AI$268),"",ReferenceData!$AI$268),"")</f>
        <v/>
      </c>
      <c r="AJ268" t="str">
        <f ca="1">IFERROR(IF(0=LEN(ReferenceData!$AJ$268),"",ReferenceData!$AJ$268),"")</f>
        <v/>
      </c>
      <c r="AK268" t="str">
        <f ca="1">IFERROR(IF(0=LEN(ReferenceData!$AK$268),"",ReferenceData!$AK$268),"")</f>
        <v/>
      </c>
      <c r="AL268" t="str">
        <f ca="1">IFERROR(IF(0=LEN(ReferenceData!$AL$268),"",ReferenceData!$AL$268),"")</f>
        <v/>
      </c>
    </row>
    <row r="269" spans="1:38" x14ac:dyDescent="0.25">
      <c r="A269" t="str">
        <f>IFERROR(IF(0=LEN(ReferenceData!$A$269),"",ReferenceData!$A$269),"")</f>
        <v xml:space="preserve">        Capital One Financial Corp</v>
      </c>
      <c r="B269" t="str">
        <f>IFERROR(IF(0=LEN(ReferenceData!$B$269),"",ReferenceData!$B$269),"")</f>
        <v>COF US Equity</v>
      </c>
      <c r="C269" t="str">
        <f>IFERROR(IF(0=LEN(ReferenceData!$C$269),"",ReferenceData!$C$269),"")</f>
        <v>F0122</v>
      </c>
      <c r="D269" t="str">
        <f>IFERROR(IF(0=LEN(ReferenceData!$D$269),"",ReferenceData!$D$269),"")</f>
        <v>FED_MARGIN_LOANS_%_TOT_LNS_LEAS</v>
      </c>
      <c r="E269" t="str">
        <f>IFERROR(IF(0=LEN(ReferenceData!$E$269),"",ReferenceData!$E$269),"")</f>
        <v>Dynamic</v>
      </c>
      <c r="F269">
        <f ca="1">IFERROR(IF(0=LEN(ReferenceData!$F$269),"",ReferenceData!$F$269),"")</f>
        <v>0</v>
      </c>
      <c r="G269">
        <f ca="1">IFERROR(IF(0=LEN(ReferenceData!$G$269),"",ReferenceData!$G$269),"")</f>
        <v>2.1252607E-2</v>
      </c>
      <c r="H269">
        <f ca="1">IFERROR(IF(0=LEN(ReferenceData!$H$269),"",ReferenceData!$H$269),"")</f>
        <v>4.0788628E-2</v>
      </c>
      <c r="I269">
        <f ca="1">IFERROR(IF(0=LEN(ReferenceData!$I$269),"",ReferenceData!$I$269),"")</f>
        <v>2.5678659999999999E-2</v>
      </c>
      <c r="J269">
        <f ca="1">IFERROR(IF(0=LEN(ReferenceData!$J$269),"",ReferenceData!$J$269),"")</f>
        <v>1.9163396999999999E-2</v>
      </c>
      <c r="K269">
        <f ca="1">IFERROR(IF(0=LEN(ReferenceData!$K$269),"",ReferenceData!$K$269),"")</f>
        <v>1.9152617E-2</v>
      </c>
      <c r="L269">
        <f ca="1">IFERROR(IF(0=LEN(ReferenceData!$L$269),"",ReferenceData!$L$269),"")</f>
        <v>2.0956268E-2</v>
      </c>
      <c r="M269">
        <f ca="1">IFERROR(IF(0=LEN(ReferenceData!$M$269),"",ReferenceData!$M$269),"")</f>
        <v>0.10197687900000001</v>
      </c>
      <c r="N269">
        <f ca="1">IFERROR(IF(0=LEN(ReferenceData!$N$269),"",ReferenceData!$N$269),"")</f>
        <v>0.106382949</v>
      </c>
      <c r="O269">
        <f ca="1">IFERROR(IF(0=LEN(ReferenceData!$O$269),"",ReferenceData!$O$269),"")</f>
        <v>0.125228274</v>
      </c>
      <c r="P269">
        <f ca="1">IFERROR(IF(0=LEN(ReferenceData!$P$269),"",ReferenceData!$P$269),"")</f>
        <v>0.129230909</v>
      </c>
      <c r="Q269">
        <f ca="1">IFERROR(IF(0=LEN(ReferenceData!$Q$269),"",ReferenceData!$Q$269),"")</f>
        <v>0.121409824</v>
      </c>
      <c r="R269">
        <f ca="1">IFERROR(IF(0=LEN(ReferenceData!$R$269),"",ReferenceData!$R$269),"")</f>
        <v>0.11181896500000001</v>
      </c>
      <c r="S269">
        <f ca="1">IFERROR(IF(0=LEN(ReferenceData!$S$269),"",ReferenceData!$S$269),"")</f>
        <v>8.4247647999999994E-2</v>
      </c>
      <c r="T269">
        <f ca="1">IFERROR(IF(0=LEN(ReferenceData!$T$269),"",ReferenceData!$T$269),"")</f>
        <v>4.0206906000000001E-2</v>
      </c>
      <c r="U269">
        <f ca="1">IFERROR(IF(0=LEN(ReferenceData!$U$269),"",ReferenceData!$U$269),"")</f>
        <v>7.3519818000000001E-2</v>
      </c>
      <c r="V269">
        <f ca="1">IFERROR(IF(0=LEN(ReferenceData!$V$269),"",ReferenceData!$V$269),"")</f>
        <v>4.9375535999999998E-2</v>
      </c>
      <c r="W269">
        <f ca="1">IFERROR(IF(0=LEN(ReferenceData!$W$269),"",ReferenceData!$W$269),"")</f>
        <v>3.5059312000000002E-2</v>
      </c>
      <c r="X269">
        <f ca="1">IFERROR(IF(0=LEN(ReferenceData!$X$269),"",ReferenceData!$X$269),"")</f>
        <v>3.2939872000000002E-2</v>
      </c>
      <c r="Y269" t="str">
        <f ca="1">IFERROR(IF(0=LEN(ReferenceData!$Y$269),"",ReferenceData!$Y$269),"")</f>
        <v/>
      </c>
      <c r="Z269" t="str">
        <f ca="1">IFERROR(IF(0=LEN(ReferenceData!$Z$269),"",ReferenceData!$Z$269),"")</f>
        <v/>
      </c>
      <c r="AA269" t="str">
        <f ca="1">IFERROR(IF(0=LEN(ReferenceData!$AA$269),"",ReferenceData!$AA$269),"")</f>
        <v/>
      </c>
      <c r="AB269" t="str">
        <f ca="1">IFERROR(IF(0=LEN(ReferenceData!$AB$269),"",ReferenceData!$AB$269),"")</f>
        <v/>
      </c>
      <c r="AC269" t="str">
        <f ca="1">IFERROR(IF(0=LEN(ReferenceData!$AC$269),"",ReferenceData!$AC$269),"")</f>
        <v/>
      </c>
      <c r="AD269" t="str">
        <f ca="1">IFERROR(IF(0=LEN(ReferenceData!$AD$269),"",ReferenceData!$AD$269),"")</f>
        <v/>
      </c>
      <c r="AE269" t="str">
        <f ca="1">IFERROR(IF(0=LEN(ReferenceData!$AE$269),"",ReferenceData!$AE$269),"")</f>
        <v/>
      </c>
      <c r="AF269" t="str">
        <f ca="1">IFERROR(IF(0=LEN(ReferenceData!$AF$269),"",ReferenceData!$AF$269),"")</f>
        <v/>
      </c>
      <c r="AG269" t="str">
        <f ca="1">IFERROR(IF(0=LEN(ReferenceData!$AG$269),"",ReferenceData!$AG$269),"")</f>
        <v/>
      </c>
      <c r="AH269" t="str">
        <f ca="1">IFERROR(IF(0=LEN(ReferenceData!$AH$269),"",ReferenceData!$AH$269),"")</f>
        <v/>
      </c>
      <c r="AI269" t="str">
        <f ca="1">IFERROR(IF(0=LEN(ReferenceData!$AI$269),"",ReferenceData!$AI$269),"")</f>
        <v/>
      </c>
      <c r="AJ269" t="str">
        <f ca="1">IFERROR(IF(0=LEN(ReferenceData!$AJ$269),"",ReferenceData!$AJ$269),"")</f>
        <v/>
      </c>
      <c r="AK269" t="str">
        <f ca="1">IFERROR(IF(0=LEN(ReferenceData!$AK$269),"",ReferenceData!$AK$269),"")</f>
        <v/>
      </c>
      <c r="AL269" t="str">
        <f ca="1">IFERROR(IF(0=LEN(ReferenceData!$AL$269),"",ReferenceData!$AL$269),"")</f>
        <v/>
      </c>
    </row>
    <row r="270" spans="1:38" x14ac:dyDescent="0.25">
      <c r="A270" t="str">
        <f>IFERROR(IF(0=LEN(ReferenceData!$A$270),"",ReferenceData!$A$270),"")</f>
        <v xml:space="preserve">        Comerica Inc</v>
      </c>
      <c r="B270" t="str">
        <f>IFERROR(IF(0=LEN(ReferenceData!$B$270),"",ReferenceData!$B$270),"")</f>
        <v>CMA US Equity</v>
      </c>
      <c r="C270" t="str">
        <f>IFERROR(IF(0=LEN(ReferenceData!$C$270),"",ReferenceData!$C$270),"")</f>
        <v>F0122</v>
      </c>
      <c r="D270" t="str">
        <f>IFERROR(IF(0=LEN(ReferenceData!$D$270),"",ReferenceData!$D$270),"")</f>
        <v>FED_MARGIN_LOANS_%_TOT_LNS_LEAS</v>
      </c>
      <c r="E270" t="str">
        <f>IFERROR(IF(0=LEN(ReferenceData!$E$270),"",ReferenceData!$E$270),"")</f>
        <v>Dynamic</v>
      </c>
      <c r="F270" t="str">
        <f ca="1">IFERROR(IF(0=LEN(ReferenceData!$F$270),"",ReferenceData!$F$270),"")</f>
        <v/>
      </c>
      <c r="G270">
        <f ca="1">IFERROR(IF(0=LEN(ReferenceData!$G$270),"",ReferenceData!$G$270),"")</f>
        <v>3.8208042999999997E-2</v>
      </c>
      <c r="H270">
        <f ca="1">IFERROR(IF(0=LEN(ReferenceData!$H$270),"",ReferenceData!$H$270),"")</f>
        <v>6.3666835000000005E-2</v>
      </c>
      <c r="I270">
        <f ca="1">IFERROR(IF(0=LEN(ReferenceData!$I$270),"",ReferenceData!$I$270),"")</f>
        <v>1.0143839999999999E-2</v>
      </c>
      <c r="J270">
        <f ca="1">IFERROR(IF(0=LEN(ReferenceData!$J$270),"",ReferenceData!$J$270),"")</f>
        <v>1.7209729E-2</v>
      </c>
      <c r="K270">
        <f ca="1">IFERROR(IF(0=LEN(ReferenceData!$K$270),"",ReferenceData!$K$270),"")</f>
        <v>2.1835795000000002E-2</v>
      </c>
      <c r="L270">
        <f ca="1">IFERROR(IF(0=LEN(ReferenceData!$L$270),"",ReferenceData!$L$270),"")</f>
        <v>0</v>
      </c>
      <c r="M270">
        <f ca="1">IFERROR(IF(0=LEN(ReferenceData!$M$270),"",ReferenceData!$M$270),"")</f>
        <v>0</v>
      </c>
      <c r="N270">
        <f ca="1">IFERROR(IF(0=LEN(ReferenceData!$N$270),"",ReferenceData!$N$270),"")</f>
        <v>4.8012760000000002E-3</v>
      </c>
      <c r="O270">
        <f ca="1">IFERROR(IF(0=LEN(ReferenceData!$O$270),"",ReferenceData!$O$270),"")</f>
        <v>1.0263885E-2</v>
      </c>
      <c r="P270">
        <f ca="1">IFERROR(IF(0=LEN(ReferenceData!$P$270),"",ReferenceData!$P$270),"")</f>
        <v>1.1317442E-2</v>
      </c>
      <c r="Q270">
        <f ca="1">IFERROR(IF(0=LEN(ReferenceData!$Q$270),"",ReferenceData!$Q$270),"")</f>
        <v>1.220482E-2</v>
      </c>
      <c r="R270">
        <f ca="1">IFERROR(IF(0=LEN(ReferenceData!$R$270),"",ReferenceData!$R$270),"")</f>
        <v>1.2160364E-2</v>
      </c>
      <c r="S270">
        <f ca="1">IFERROR(IF(0=LEN(ReferenceData!$S$270),"",ReferenceData!$S$270),"")</f>
        <v>1.3925498999999999E-2</v>
      </c>
      <c r="T270">
        <f ca="1">IFERROR(IF(0=LEN(ReferenceData!$T$270),"",ReferenceData!$T$270),"")</f>
        <v>3.1839417000000002E-2</v>
      </c>
      <c r="U270">
        <f ca="1">IFERROR(IF(0=LEN(ReferenceData!$U$270),"",ReferenceData!$U$270),"")</f>
        <v>5.9455237000000001E-2</v>
      </c>
      <c r="V270">
        <f ca="1">IFERROR(IF(0=LEN(ReferenceData!$V$270),"",ReferenceData!$V$270),"")</f>
        <v>6.7360612E-2</v>
      </c>
      <c r="W270">
        <f ca="1">IFERROR(IF(0=LEN(ReferenceData!$W$270),"",ReferenceData!$W$270),"")</f>
        <v>0.21482567799999999</v>
      </c>
      <c r="X270">
        <f ca="1">IFERROR(IF(0=LEN(ReferenceData!$X$270),"",ReferenceData!$X$270),"")</f>
        <v>0</v>
      </c>
      <c r="Y270" t="str">
        <f ca="1">IFERROR(IF(0=LEN(ReferenceData!$Y$270),"",ReferenceData!$Y$270),"")</f>
        <v/>
      </c>
      <c r="Z270" t="str">
        <f ca="1">IFERROR(IF(0=LEN(ReferenceData!$Z$270),"",ReferenceData!$Z$270),"")</f>
        <v/>
      </c>
      <c r="AA270" t="str">
        <f ca="1">IFERROR(IF(0=LEN(ReferenceData!$AA$270),"",ReferenceData!$AA$270),"")</f>
        <v/>
      </c>
      <c r="AB270" t="str">
        <f ca="1">IFERROR(IF(0=LEN(ReferenceData!$AB$270),"",ReferenceData!$AB$270),"")</f>
        <v/>
      </c>
      <c r="AC270" t="str">
        <f ca="1">IFERROR(IF(0=LEN(ReferenceData!$AC$270),"",ReferenceData!$AC$270),"")</f>
        <v/>
      </c>
      <c r="AD270" t="str">
        <f ca="1">IFERROR(IF(0=LEN(ReferenceData!$AD$270),"",ReferenceData!$AD$270),"")</f>
        <v/>
      </c>
      <c r="AE270" t="str">
        <f ca="1">IFERROR(IF(0=LEN(ReferenceData!$AE$270),"",ReferenceData!$AE$270),"")</f>
        <v/>
      </c>
      <c r="AF270" t="str">
        <f ca="1">IFERROR(IF(0=LEN(ReferenceData!$AF$270),"",ReferenceData!$AF$270),"")</f>
        <v/>
      </c>
      <c r="AG270" t="str">
        <f ca="1">IFERROR(IF(0=LEN(ReferenceData!$AG$270),"",ReferenceData!$AG$270),"")</f>
        <v/>
      </c>
      <c r="AH270" t="str">
        <f ca="1">IFERROR(IF(0=LEN(ReferenceData!$AH$270),"",ReferenceData!$AH$270),"")</f>
        <v/>
      </c>
      <c r="AI270" t="str">
        <f ca="1">IFERROR(IF(0=LEN(ReferenceData!$AI$270),"",ReferenceData!$AI$270),"")</f>
        <v/>
      </c>
      <c r="AJ270" t="str">
        <f ca="1">IFERROR(IF(0=LEN(ReferenceData!$AJ$270),"",ReferenceData!$AJ$270),"")</f>
        <v/>
      </c>
      <c r="AK270" t="str">
        <f ca="1">IFERROR(IF(0=LEN(ReferenceData!$AK$270),"",ReferenceData!$AK$270),"")</f>
        <v/>
      </c>
      <c r="AL270" t="str">
        <f ca="1">IFERROR(IF(0=LEN(ReferenceData!$AL$270),"",ReferenceData!$AL$270),"")</f>
        <v/>
      </c>
    </row>
    <row r="271" spans="1:38" x14ac:dyDescent="0.25">
      <c r="A271" t="str">
        <f>IFERROR(IF(0=LEN(ReferenceData!$A$271),"",ReferenceData!$A$271),"")</f>
        <v xml:space="preserve">        East West Bancorp Inc</v>
      </c>
      <c r="B271" t="str">
        <f>IFERROR(IF(0=LEN(ReferenceData!$B$271),"",ReferenceData!$B$271),"")</f>
        <v>EWBC US Equity</v>
      </c>
      <c r="C271" t="str">
        <f>IFERROR(IF(0=LEN(ReferenceData!$C$271),"",ReferenceData!$C$271),"")</f>
        <v>F0122</v>
      </c>
      <c r="D271" t="str">
        <f>IFERROR(IF(0=LEN(ReferenceData!$D$271),"",ReferenceData!$D$271),"")</f>
        <v>FED_MARGIN_LOANS_%_TOT_LNS_LEAS</v>
      </c>
      <c r="E271" t="str">
        <f>IFERROR(IF(0=LEN(ReferenceData!$E$271),"",ReferenceData!$E$271),"")</f>
        <v>Dynamic</v>
      </c>
      <c r="F271" t="str">
        <f ca="1">IFERROR(IF(0=LEN(ReferenceData!$F$271),"",ReferenceData!$F$271),"")</f>
        <v/>
      </c>
      <c r="G271">
        <f ca="1">IFERROR(IF(0=LEN(ReferenceData!$G$271),"",ReferenceData!$G$271),"")</f>
        <v>0.262876153</v>
      </c>
      <c r="H271">
        <f ca="1">IFERROR(IF(0=LEN(ReferenceData!$H$271),"",ReferenceData!$H$271),"")</f>
        <v>0.45265187699999998</v>
      </c>
      <c r="I271">
        <f ca="1">IFERROR(IF(0=LEN(ReferenceData!$I$271),"",ReferenceData!$I$271),"")</f>
        <v>0.41490491400000001</v>
      </c>
      <c r="J271">
        <f ca="1">IFERROR(IF(0=LEN(ReferenceData!$J$271),"",ReferenceData!$J$271),"")</f>
        <v>3.1959480999999998E-2</v>
      </c>
      <c r="K271">
        <f ca="1">IFERROR(IF(0=LEN(ReferenceData!$K$271),"",ReferenceData!$K$271),"")</f>
        <v>8.5103146000000005E-2</v>
      </c>
      <c r="L271">
        <f ca="1">IFERROR(IF(0=LEN(ReferenceData!$L$271),"",ReferenceData!$L$271),"")</f>
        <v>8.6453855999999996E-2</v>
      </c>
      <c r="M271">
        <f ca="1">IFERROR(IF(0=LEN(ReferenceData!$M$271),"",ReferenceData!$M$271),"")</f>
        <v>2.8192063E-2</v>
      </c>
      <c r="N271">
        <f ca="1">IFERROR(IF(0=LEN(ReferenceData!$N$271),"",ReferenceData!$N$271),"")</f>
        <v>0</v>
      </c>
      <c r="O271">
        <f ca="1">IFERROR(IF(0=LEN(ReferenceData!$O$271),"",ReferenceData!$O$271),"")</f>
        <v>0</v>
      </c>
      <c r="P271">
        <f ca="1">IFERROR(IF(0=LEN(ReferenceData!$P$271),"",ReferenceData!$P$271),"")</f>
        <v>0</v>
      </c>
      <c r="Q271">
        <f ca="1">IFERROR(IF(0=LEN(ReferenceData!$Q$271),"",ReferenceData!$Q$271),"")</f>
        <v>0</v>
      </c>
      <c r="R271">
        <f ca="1">IFERROR(IF(0=LEN(ReferenceData!$R$271),"",ReferenceData!$R$271),"")</f>
        <v>0</v>
      </c>
      <c r="S271">
        <f ca="1">IFERROR(IF(0=LEN(ReferenceData!$S$271),"",ReferenceData!$S$271),"")</f>
        <v>0</v>
      </c>
      <c r="T271">
        <f ca="1">IFERROR(IF(0=LEN(ReferenceData!$T$271),"",ReferenceData!$T$271),"")</f>
        <v>0</v>
      </c>
      <c r="U271">
        <f ca="1">IFERROR(IF(0=LEN(ReferenceData!$U$271),"",ReferenceData!$U$271),"")</f>
        <v>0</v>
      </c>
      <c r="V271">
        <f ca="1">IFERROR(IF(0=LEN(ReferenceData!$V$271),"",ReferenceData!$V$271),"")</f>
        <v>0</v>
      </c>
      <c r="W271">
        <f ca="1">IFERROR(IF(0=LEN(ReferenceData!$W$271),"",ReferenceData!$W$271),"")</f>
        <v>0</v>
      </c>
      <c r="X271">
        <f ca="1">IFERROR(IF(0=LEN(ReferenceData!$X$271),"",ReferenceData!$X$271),"")</f>
        <v>0</v>
      </c>
      <c r="Y271" t="str">
        <f ca="1">IFERROR(IF(0=LEN(ReferenceData!$Y$271),"",ReferenceData!$Y$271),"")</f>
        <v/>
      </c>
      <c r="Z271" t="str">
        <f ca="1">IFERROR(IF(0=LEN(ReferenceData!$Z$271),"",ReferenceData!$Z$271),"")</f>
        <v/>
      </c>
      <c r="AA271" t="str">
        <f ca="1">IFERROR(IF(0=LEN(ReferenceData!$AA$271),"",ReferenceData!$AA$271),"")</f>
        <v/>
      </c>
      <c r="AB271" t="str">
        <f ca="1">IFERROR(IF(0=LEN(ReferenceData!$AB$271),"",ReferenceData!$AB$271),"")</f>
        <v/>
      </c>
      <c r="AC271" t="str">
        <f ca="1">IFERROR(IF(0=LEN(ReferenceData!$AC$271),"",ReferenceData!$AC$271),"")</f>
        <v/>
      </c>
      <c r="AD271" t="str">
        <f ca="1">IFERROR(IF(0=LEN(ReferenceData!$AD$271),"",ReferenceData!$AD$271),"")</f>
        <v/>
      </c>
      <c r="AE271" t="str">
        <f ca="1">IFERROR(IF(0=LEN(ReferenceData!$AE$271),"",ReferenceData!$AE$271),"")</f>
        <v/>
      </c>
      <c r="AF271" t="str">
        <f ca="1">IFERROR(IF(0=LEN(ReferenceData!$AF$271),"",ReferenceData!$AF$271),"")</f>
        <v/>
      </c>
      <c r="AG271" t="str">
        <f ca="1">IFERROR(IF(0=LEN(ReferenceData!$AG$271),"",ReferenceData!$AG$271),"")</f>
        <v/>
      </c>
      <c r="AH271" t="str">
        <f ca="1">IFERROR(IF(0=LEN(ReferenceData!$AH$271),"",ReferenceData!$AH$271),"")</f>
        <v/>
      </c>
      <c r="AI271" t="str">
        <f ca="1">IFERROR(IF(0=LEN(ReferenceData!$AI$271),"",ReferenceData!$AI$271),"")</f>
        <v/>
      </c>
      <c r="AJ271" t="str">
        <f ca="1">IFERROR(IF(0=LEN(ReferenceData!$AJ$271),"",ReferenceData!$AJ$271),"")</f>
        <v/>
      </c>
      <c r="AK271" t="str">
        <f ca="1">IFERROR(IF(0=LEN(ReferenceData!$AK$271),"",ReferenceData!$AK$271),"")</f>
        <v/>
      </c>
      <c r="AL271" t="str">
        <f ca="1">IFERROR(IF(0=LEN(ReferenceData!$AL$271),"",ReferenceData!$AL$271),"")</f>
        <v/>
      </c>
    </row>
    <row r="272" spans="1:38" x14ac:dyDescent="0.25">
      <c r="A272" t="str">
        <f>IFERROR(IF(0=LEN(ReferenceData!$A$272),"",ReferenceData!$A$272),"")</f>
        <v xml:space="preserve">        Fifth Third Bancorp</v>
      </c>
      <c r="B272" t="str">
        <f>IFERROR(IF(0=LEN(ReferenceData!$B$272),"",ReferenceData!$B$272),"")</f>
        <v>FITB US Equity</v>
      </c>
      <c r="C272" t="str">
        <f>IFERROR(IF(0=LEN(ReferenceData!$C$272),"",ReferenceData!$C$272),"")</f>
        <v>F0122</v>
      </c>
      <c r="D272" t="str">
        <f>IFERROR(IF(0=LEN(ReferenceData!$D$272),"",ReferenceData!$D$272),"")</f>
        <v>FED_MARGIN_LOANS_%_TOT_LNS_LEAS</v>
      </c>
      <c r="E272" t="str">
        <f>IFERROR(IF(0=LEN(ReferenceData!$E$272),"",ReferenceData!$E$272),"")</f>
        <v>Dynamic</v>
      </c>
      <c r="F272">
        <f ca="1">IFERROR(IF(0=LEN(ReferenceData!$F$272),"",ReferenceData!$F$272),"")</f>
        <v>0.26405161500000002</v>
      </c>
      <c r="G272">
        <f ca="1">IFERROR(IF(0=LEN(ReferenceData!$G$272),"",ReferenceData!$G$272),"")</f>
        <v>0.278032854</v>
      </c>
      <c r="H272">
        <f ca="1">IFERROR(IF(0=LEN(ReferenceData!$H$272),"",ReferenceData!$H$272),"")</f>
        <v>0.20202194500000001</v>
      </c>
      <c r="I272">
        <f ca="1">IFERROR(IF(0=LEN(ReferenceData!$I$272),"",ReferenceData!$I$272),"")</f>
        <v>0.20241056900000001</v>
      </c>
      <c r="J272">
        <f ca="1">IFERROR(IF(0=LEN(ReferenceData!$J$272),"",ReferenceData!$J$272),"")</f>
        <v>0.31297083599999997</v>
      </c>
      <c r="K272">
        <f ca="1">IFERROR(IF(0=LEN(ReferenceData!$K$272),"",ReferenceData!$K$272),"")</f>
        <v>0.254057747</v>
      </c>
      <c r="L272">
        <f ca="1">IFERROR(IF(0=LEN(ReferenceData!$L$272),"",ReferenceData!$L$272),"")</f>
        <v>0.32280938399999998</v>
      </c>
      <c r="M272">
        <f ca="1">IFERROR(IF(0=LEN(ReferenceData!$M$272),"",ReferenceData!$M$272),"")</f>
        <v>0.39841246699999999</v>
      </c>
      <c r="N272">
        <f ca="1">IFERROR(IF(0=LEN(ReferenceData!$N$272),"",ReferenceData!$N$272),"")</f>
        <v>0.48910800999999998</v>
      </c>
      <c r="O272">
        <f ca="1">IFERROR(IF(0=LEN(ReferenceData!$O$272),"",ReferenceData!$O$272),"")</f>
        <v>0.51403826600000002</v>
      </c>
      <c r="P272">
        <f ca="1">IFERROR(IF(0=LEN(ReferenceData!$P$272),"",ReferenceData!$P$272),"")</f>
        <v>0.32946373699999998</v>
      </c>
      <c r="Q272">
        <f ca="1">IFERROR(IF(0=LEN(ReferenceData!$Q$272),"",ReferenceData!$Q$272),"")</f>
        <v>0.36276867099999999</v>
      </c>
      <c r="R272">
        <f ca="1">IFERROR(IF(0=LEN(ReferenceData!$R$272),"",ReferenceData!$R$272),"")</f>
        <v>0.50166565299999999</v>
      </c>
      <c r="S272">
        <f ca="1">IFERROR(IF(0=LEN(ReferenceData!$S$272),"",ReferenceData!$S$272),"")</f>
        <v>0.33604790400000001</v>
      </c>
      <c r="T272">
        <f ca="1">IFERROR(IF(0=LEN(ReferenceData!$T$272),"",ReferenceData!$T$272),"")</f>
        <v>0.29432827700000003</v>
      </c>
      <c r="U272">
        <f ca="1">IFERROR(IF(0=LEN(ReferenceData!$U$272),"",ReferenceData!$U$272),"")</f>
        <v>0.13634070500000001</v>
      </c>
      <c r="V272">
        <f ca="1">IFERROR(IF(0=LEN(ReferenceData!$V$272),"",ReferenceData!$V$272),"")</f>
        <v>0.16409114499999999</v>
      </c>
      <c r="W272">
        <f ca="1">IFERROR(IF(0=LEN(ReferenceData!$W$272),"",ReferenceData!$W$272),"")</f>
        <v>0.17992537</v>
      </c>
      <c r="X272">
        <f ca="1">IFERROR(IF(0=LEN(ReferenceData!$X$272),"",ReferenceData!$X$272),"")</f>
        <v>0.213356028</v>
      </c>
      <c r="Y272" t="str">
        <f ca="1">IFERROR(IF(0=LEN(ReferenceData!$Y$272),"",ReferenceData!$Y$272),"")</f>
        <v/>
      </c>
      <c r="Z272" t="str">
        <f ca="1">IFERROR(IF(0=LEN(ReferenceData!$Z$272),"",ReferenceData!$Z$272),"")</f>
        <v/>
      </c>
      <c r="AA272" t="str">
        <f ca="1">IFERROR(IF(0=LEN(ReferenceData!$AA$272),"",ReferenceData!$AA$272),"")</f>
        <v/>
      </c>
      <c r="AB272" t="str">
        <f ca="1">IFERROR(IF(0=LEN(ReferenceData!$AB$272),"",ReferenceData!$AB$272),"")</f>
        <v/>
      </c>
      <c r="AC272" t="str">
        <f ca="1">IFERROR(IF(0=LEN(ReferenceData!$AC$272),"",ReferenceData!$AC$272),"")</f>
        <v/>
      </c>
      <c r="AD272" t="str">
        <f ca="1">IFERROR(IF(0=LEN(ReferenceData!$AD$272),"",ReferenceData!$AD$272),"")</f>
        <v/>
      </c>
      <c r="AE272" t="str">
        <f ca="1">IFERROR(IF(0=LEN(ReferenceData!$AE$272),"",ReferenceData!$AE$272),"")</f>
        <v/>
      </c>
      <c r="AF272" t="str">
        <f ca="1">IFERROR(IF(0=LEN(ReferenceData!$AF$272),"",ReferenceData!$AF$272),"")</f>
        <v/>
      </c>
      <c r="AG272" t="str">
        <f ca="1">IFERROR(IF(0=LEN(ReferenceData!$AG$272),"",ReferenceData!$AG$272),"")</f>
        <v/>
      </c>
      <c r="AH272" t="str">
        <f ca="1">IFERROR(IF(0=LEN(ReferenceData!$AH$272),"",ReferenceData!$AH$272),"")</f>
        <v/>
      </c>
      <c r="AI272" t="str">
        <f ca="1">IFERROR(IF(0=LEN(ReferenceData!$AI$272),"",ReferenceData!$AI$272),"")</f>
        <v/>
      </c>
      <c r="AJ272" t="str">
        <f ca="1">IFERROR(IF(0=LEN(ReferenceData!$AJ$272),"",ReferenceData!$AJ$272),"")</f>
        <v/>
      </c>
      <c r="AK272" t="str">
        <f ca="1">IFERROR(IF(0=LEN(ReferenceData!$AK$272),"",ReferenceData!$AK$272),"")</f>
        <v/>
      </c>
      <c r="AL272" t="str">
        <f ca="1">IFERROR(IF(0=LEN(ReferenceData!$AL$272),"",ReferenceData!$AL$272),"")</f>
        <v/>
      </c>
    </row>
    <row r="273" spans="1:38" x14ac:dyDescent="0.25">
      <c r="A273" t="str">
        <f>IFERROR(IF(0=LEN(ReferenceData!$A$273),"",ReferenceData!$A$273),"")</f>
        <v xml:space="preserve">        First Citizens BancShares Inc/</v>
      </c>
      <c r="B273" t="str">
        <f>IFERROR(IF(0=LEN(ReferenceData!$B$273),"",ReferenceData!$B$273),"")</f>
        <v>FCNCA US Equity</v>
      </c>
      <c r="C273" t="str">
        <f>IFERROR(IF(0=LEN(ReferenceData!$C$273),"",ReferenceData!$C$273),"")</f>
        <v>F0122</v>
      </c>
      <c r="D273" t="str">
        <f>IFERROR(IF(0=LEN(ReferenceData!$D$273),"",ReferenceData!$D$273),"")</f>
        <v>FED_MARGIN_LOANS_%_TOT_LNS_LEAS</v>
      </c>
      <c r="E273" t="str">
        <f>IFERROR(IF(0=LEN(ReferenceData!$E$273),"",ReferenceData!$E$273),"")</f>
        <v>Dynamic</v>
      </c>
      <c r="F273">
        <f ca="1">IFERROR(IF(0=LEN(ReferenceData!$F$273),"",ReferenceData!$F$273),"")</f>
        <v>4.6328304000000001E-2</v>
      </c>
      <c r="G273">
        <f ca="1">IFERROR(IF(0=LEN(ReferenceData!$G$273),"",ReferenceData!$G$273),"")</f>
        <v>18.04851721</v>
      </c>
      <c r="H273">
        <f ca="1">IFERROR(IF(0=LEN(ReferenceData!$H$273),"",ReferenceData!$H$273),"")</f>
        <v>3.9701777000000001E-2</v>
      </c>
      <c r="I273">
        <f ca="1">IFERROR(IF(0=LEN(ReferenceData!$I$273),"",ReferenceData!$I$273),"")</f>
        <v>0</v>
      </c>
      <c r="J273">
        <f ca="1">IFERROR(IF(0=LEN(ReferenceData!$J$273),"",ReferenceData!$J$273),"")</f>
        <v>0</v>
      </c>
      <c r="K273">
        <f ca="1">IFERROR(IF(0=LEN(ReferenceData!$K$273),"",ReferenceData!$K$273),"")</f>
        <v>0</v>
      </c>
      <c r="L273">
        <f ca="1">IFERROR(IF(0=LEN(ReferenceData!$L$273),"",ReferenceData!$L$273),"")</f>
        <v>0</v>
      </c>
      <c r="M273">
        <f ca="1">IFERROR(IF(0=LEN(ReferenceData!$M$273),"",ReferenceData!$M$273),"")</f>
        <v>0</v>
      </c>
      <c r="N273">
        <f ca="1">IFERROR(IF(0=LEN(ReferenceData!$N$273),"",ReferenceData!$N$273),"")</f>
        <v>0</v>
      </c>
      <c r="O273">
        <f ca="1">IFERROR(IF(0=LEN(ReferenceData!$O$273),"",ReferenceData!$O$273),"")</f>
        <v>1.512333E-3</v>
      </c>
      <c r="P273">
        <f ca="1">IFERROR(IF(0=LEN(ReferenceData!$P$273),"",ReferenceData!$P$273),"")</f>
        <v>1.667272E-3</v>
      </c>
      <c r="Q273">
        <f ca="1">IFERROR(IF(0=LEN(ReferenceData!$Q$273),"",ReferenceData!$Q$273),"")</f>
        <v>0</v>
      </c>
      <c r="R273">
        <f ca="1">IFERROR(IF(0=LEN(ReferenceData!$R$273),"",ReferenceData!$R$273),"")</f>
        <v>3.7114899999999999E-5</v>
      </c>
      <c r="S273">
        <f ca="1">IFERROR(IF(0=LEN(ReferenceData!$S$273),"",ReferenceData!$S$273),"")</f>
        <v>3.6263049999999998E-3</v>
      </c>
      <c r="T273">
        <f ca="1">IFERROR(IF(0=LEN(ReferenceData!$T$273),"",ReferenceData!$T$273),"")</f>
        <v>5.4356789999999997E-3</v>
      </c>
      <c r="U273">
        <f ca="1">IFERROR(IF(0=LEN(ReferenceData!$U$273),"",ReferenceData!$U$273),"")</f>
        <v>2.2017167000000001E-2</v>
      </c>
      <c r="V273">
        <f ca="1">IFERROR(IF(0=LEN(ReferenceData!$V$273),"",ReferenceData!$V$273),"")</f>
        <v>0</v>
      </c>
      <c r="W273">
        <f ca="1">IFERROR(IF(0=LEN(ReferenceData!$W$273),"",ReferenceData!$W$273),"")</f>
        <v>0</v>
      </c>
      <c r="X273">
        <f ca="1">IFERROR(IF(0=LEN(ReferenceData!$X$273),"",ReferenceData!$X$273),"")</f>
        <v>0</v>
      </c>
      <c r="Y273" t="str">
        <f ca="1">IFERROR(IF(0=LEN(ReferenceData!$Y$273),"",ReferenceData!$Y$273),"")</f>
        <v/>
      </c>
      <c r="Z273" t="str">
        <f ca="1">IFERROR(IF(0=LEN(ReferenceData!$Z$273),"",ReferenceData!$Z$273),"")</f>
        <v/>
      </c>
      <c r="AA273" t="str">
        <f ca="1">IFERROR(IF(0=LEN(ReferenceData!$AA$273),"",ReferenceData!$AA$273),"")</f>
        <v/>
      </c>
      <c r="AB273" t="str">
        <f ca="1">IFERROR(IF(0=LEN(ReferenceData!$AB$273),"",ReferenceData!$AB$273),"")</f>
        <v/>
      </c>
      <c r="AC273" t="str">
        <f ca="1">IFERROR(IF(0=LEN(ReferenceData!$AC$273),"",ReferenceData!$AC$273),"")</f>
        <v/>
      </c>
      <c r="AD273" t="str">
        <f ca="1">IFERROR(IF(0=LEN(ReferenceData!$AD$273),"",ReferenceData!$AD$273),"")</f>
        <v/>
      </c>
      <c r="AE273" t="str">
        <f ca="1">IFERROR(IF(0=LEN(ReferenceData!$AE$273),"",ReferenceData!$AE$273),"")</f>
        <v/>
      </c>
      <c r="AF273" t="str">
        <f ca="1">IFERROR(IF(0=LEN(ReferenceData!$AF$273),"",ReferenceData!$AF$273),"")</f>
        <v/>
      </c>
      <c r="AG273" t="str">
        <f ca="1">IFERROR(IF(0=LEN(ReferenceData!$AG$273),"",ReferenceData!$AG$273),"")</f>
        <v/>
      </c>
      <c r="AH273" t="str">
        <f ca="1">IFERROR(IF(0=LEN(ReferenceData!$AH$273),"",ReferenceData!$AH$273),"")</f>
        <v/>
      </c>
      <c r="AI273" t="str">
        <f ca="1">IFERROR(IF(0=LEN(ReferenceData!$AI$273),"",ReferenceData!$AI$273),"")</f>
        <v/>
      </c>
      <c r="AJ273" t="str">
        <f ca="1">IFERROR(IF(0=LEN(ReferenceData!$AJ$273),"",ReferenceData!$AJ$273),"")</f>
        <v/>
      </c>
      <c r="AK273" t="str">
        <f ca="1">IFERROR(IF(0=LEN(ReferenceData!$AK$273),"",ReferenceData!$AK$273),"")</f>
        <v/>
      </c>
      <c r="AL273" t="str">
        <f ca="1">IFERROR(IF(0=LEN(ReferenceData!$AL$273),"",ReferenceData!$AL$273),"")</f>
        <v/>
      </c>
    </row>
    <row r="274" spans="1:38" x14ac:dyDescent="0.25">
      <c r="A274" t="str">
        <f>IFERROR(IF(0=LEN(ReferenceData!$A$274),"",ReferenceData!$A$274),"")</f>
        <v xml:space="preserve">        Flagstar Financial Inc</v>
      </c>
      <c r="B274" t="str">
        <f>IFERROR(IF(0=LEN(ReferenceData!$B$274),"",ReferenceData!$B$274),"")</f>
        <v>FLG US Equity</v>
      </c>
      <c r="C274" t="str">
        <f>IFERROR(IF(0=LEN(ReferenceData!$C$274),"",ReferenceData!$C$274),"")</f>
        <v>F0122</v>
      </c>
      <c r="D274" t="str">
        <f>IFERROR(IF(0=LEN(ReferenceData!$D$274),"",ReferenceData!$D$274),"")</f>
        <v>FED_MARGIN_LOANS_%_TOT_LNS_LEAS</v>
      </c>
      <c r="E274" t="str">
        <f>IFERROR(IF(0=LEN(ReferenceData!$E$274),"",ReferenceData!$E$274),"")</f>
        <v>Dynamic</v>
      </c>
      <c r="F274">
        <f ca="1">IFERROR(IF(0=LEN(ReferenceData!$F$274),"",ReferenceData!$F$274),"")</f>
        <v>2.3333310000000001E-3</v>
      </c>
      <c r="G274">
        <f ca="1">IFERROR(IF(0=LEN(ReferenceData!$G$274),"",ReferenceData!$G$274),"")</f>
        <v>9.9241350000000006E-3</v>
      </c>
      <c r="H274">
        <f ca="1">IFERROR(IF(0=LEN(ReferenceData!$H$274),"",ReferenceData!$H$274),"")</f>
        <v>0</v>
      </c>
      <c r="I274">
        <f ca="1">IFERROR(IF(0=LEN(ReferenceData!$I$274),"",ReferenceData!$I$274),"")</f>
        <v>0</v>
      </c>
      <c r="J274">
        <f ca="1">IFERROR(IF(0=LEN(ReferenceData!$J$274),"",ReferenceData!$J$274),"")</f>
        <v>0</v>
      </c>
      <c r="K274">
        <f ca="1">IFERROR(IF(0=LEN(ReferenceData!$K$274),"",ReferenceData!$K$274),"")</f>
        <v>0</v>
      </c>
      <c r="L274">
        <f ca="1">IFERROR(IF(0=LEN(ReferenceData!$L$274),"",ReferenceData!$L$274),"")</f>
        <v>0</v>
      </c>
      <c r="M274">
        <f ca="1">IFERROR(IF(0=LEN(ReferenceData!$M$274),"",ReferenceData!$M$274),"")</f>
        <v>0</v>
      </c>
      <c r="N274">
        <f ca="1">IFERROR(IF(0=LEN(ReferenceData!$N$274),"",ReferenceData!$N$274),"")</f>
        <v>0</v>
      </c>
      <c r="O274">
        <f ca="1">IFERROR(IF(0=LEN(ReferenceData!$O$274),"",ReferenceData!$O$274),"")</f>
        <v>0</v>
      </c>
      <c r="P274">
        <f ca="1">IFERROR(IF(0=LEN(ReferenceData!$P$274),"",ReferenceData!$P$274),"")</f>
        <v>0</v>
      </c>
      <c r="Q274">
        <f ca="1">IFERROR(IF(0=LEN(ReferenceData!$Q$274),"",ReferenceData!$Q$274),"")</f>
        <v>0</v>
      </c>
      <c r="R274">
        <f ca="1">IFERROR(IF(0=LEN(ReferenceData!$R$274),"",ReferenceData!$R$274),"")</f>
        <v>0</v>
      </c>
      <c r="S274">
        <f ca="1">IFERROR(IF(0=LEN(ReferenceData!$S$274),"",ReferenceData!$S$274),"")</f>
        <v>0</v>
      </c>
      <c r="T274">
        <f ca="1">IFERROR(IF(0=LEN(ReferenceData!$T$274),"",ReferenceData!$T$274),"")</f>
        <v>0</v>
      </c>
      <c r="U274">
        <f ca="1">IFERROR(IF(0=LEN(ReferenceData!$U$274),"",ReferenceData!$U$274),"")</f>
        <v>0</v>
      </c>
      <c r="V274">
        <f ca="1">IFERROR(IF(0=LEN(ReferenceData!$V$274),"",ReferenceData!$V$274),"")</f>
        <v>0</v>
      </c>
      <c r="W274">
        <f ca="1">IFERROR(IF(0=LEN(ReferenceData!$W$274),"",ReferenceData!$W$274),"")</f>
        <v>0</v>
      </c>
      <c r="X274">
        <f ca="1">IFERROR(IF(0=LEN(ReferenceData!$X$274),"",ReferenceData!$X$274),"")</f>
        <v>0</v>
      </c>
      <c r="Y274" t="str">
        <f ca="1">IFERROR(IF(0=LEN(ReferenceData!$Y$274),"",ReferenceData!$Y$274),"")</f>
        <v/>
      </c>
      <c r="Z274" t="str">
        <f ca="1">IFERROR(IF(0=LEN(ReferenceData!$Z$274),"",ReferenceData!$Z$274),"")</f>
        <v/>
      </c>
      <c r="AA274" t="str">
        <f ca="1">IFERROR(IF(0=LEN(ReferenceData!$AA$274),"",ReferenceData!$AA$274),"")</f>
        <v/>
      </c>
      <c r="AB274" t="str">
        <f ca="1">IFERROR(IF(0=LEN(ReferenceData!$AB$274),"",ReferenceData!$AB$274),"")</f>
        <v/>
      </c>
      <c r="AC274" t="str">
        <f ca="1">IFERROR(IF(0=LEN(ReferenceData!$AC$274),"",ReferenceData!$AC$274),"")</f>
        <v/>
      </c>
      <c r="AD274" t="str">
        <f ca="1">IFERROR(IF(0=LEN(ReferenceData!$AD$274),"",ReferenceData!$AD$274),"")</f>
        <v/>
      </c>
      <c r="AE274" t="str">
        <f ca="1">IFERROR(IF(0=LEN(ReferenceData!$AE$274),"",ReferenceData!$AE$274),"")</f>
        <v/>
      </c>
      <c r="AF274" t="str">
        <f ca="1">IFERROR(IF(0=LEN(ReferenceData!$AF$274),"",ReferenceData!$AF$274),"")</f>
        <v/>
      </c>
      <c r="AG274" t="str">
        <f ca="1">IFERROR(IF(0=LEN(ReferenceData!$AG$274),"",ReferenceData!$AG$274),"")</f>
        <v/>
      </c>
      <c r="AH274" t="str">
        <f ca="1">IFERROR(IF(0=LEN(ReferenceData!$AH$274),"",ReferenceData!$AH$274),"")</f>
        <v/>
      </c>
      <c r="AI274" t="str">
        <f ca="1">IFERROR(IF(0=LEN(ReferenceData!$AI$274),"",ReferenceData!$AI$274),"")</f>
        <v/>
      </c>
      <c r="AJ274" t="str">
        <f ca="1">IFERROR(IF(0=LEN(ReferenceData!$AJ$274),"",ReferenceData!$AJ$274),"")</f>
        <v/>
      </c>
      <c r="AK274" t="str">
        <f ca="1">IFERROR(IF(0=LEN(ReferenceData!$AK$274),"",ReferenceData!$AK$274),"")</f>
        <v/>
      </c>
      <c r="AL274" t="str">
        <f ca="1">IFERROR(IF(0=LEN(ReferenceData!$AL$274),"",ReferenceData!$AL$274),"")</f>
        <v/>
      </c>
    </row>
    <row r="275" spans="1:38" x14ac:dyDescent="0.25">
      <c r="A275" t="str">
        <f>IFERROR(IF(0=LEN(ReferenceData!$A$275),"",ReferenceData!$A$275),"")</f>
        <v xml:space="preserve">        Huntington Bancshares Inc/OH</v>
      </c>
      <c r="B275" t="str">
        <f>IFERROR(IF(0=LEN(ReferenceData!$B$275),"",ReferenceData!$B$275),"")</f>
        <v>HBAN US Equity</v>
      </c>
      <c r="C275" t="str">
        <f>IFERROR(IF(0=LEN(ReferenceData!$C$275),"",ReferenceData!$C$275),"")</f>
        <v>F0122</v>
      </c>
      <c r="D275" t="str">
        <f>IFERROR(IF(0=LEN(ReferenceData!$D$275),"",ReferenceData!$D$275),"")</f>
        <v>FED_MARGIN_LOANS_%_TOT_LNS_LEAS</v>
      </c>
      <c r="E275" t="str">
        <f>IFERROR(IF(0=LEN(ReferenceData!$E$275),"",ReferenceData!$E$275),"")</f>
        <v>Dynamic</v>
      </c>
      <c r="F275">
        <f ca="1">IFERROR(IF(0=LEN(ReferenceData!$F$275),"",ReferenceData!$F$275),"")</f>
        <v>4.4023644000000001E-2</v>
      </c>
      <c r="G275">
        <f ca="1">IFERROR(IF(0=LEN(ReferenceData!$G$275),"",ReferenceData!$G$275),"")</f>
        <v>6.0740521999999998E-2</v>
      </c>
      <c r="H275">
        <f ca="1">IFERROR(IF(0=LEN(ReferenceData!$H$275),"",ReferenceData!$H$275),"")</f>
        <v>5.4504253000000003E-2</v>
      </c>
      <c r="I275">
        <f ca="1">IFERROR(IF(0=LEN(ReferenceData!$I$275),"",ReferenceData!$I$275),"")</f>
        <v>3.4666467999999999E-2</v>
      </c>
      <c r="J275">
        <f ca="1">IFERROR(IF(0=LEN(ReferenceData!$J$275),"",ReferenceData!$J$275),"")</f>
        <v>2.9373937999999999E-2</v>
      </c>
      <c r="K275">
        <f ca="1">IFERROR(IF(0=LEN(ReferenceData!$K$275),"",ReferenceData!$K$275),"")</f>
        <v>4.4044835999999997E-2</v>
      </c>
      <c r="L275">
        <f ca="1">IFERROR(IF(0=LEN(ReferenceData!$L$275),"",ReferenceData!$L$275),"")</f>
        <v>0.125161731</v>
      </c>
      <c r="M275">
        <f ca="1">IFERROR(IF(0=LEN(ReferenceData!$M$275),"",ReferenceData!$M$275),"")</f>
        <v>0.16517675600000001</v>
      </c>
      <c r="N275">
        <f ca="1">IFERROR(IF(0=LEN(ReferenceData!$N$275),"",ReferenceData!$N$275),"")</f>
        <v>6.6536885000000004E-2</v>
      </c>
      <c r="O275">
        <f ca="1">IFERROR(IF(0=LEN(ReferenceData!$O$275),"",ReferenceData!$O$275),"")</f>
        <v>5.3741108000000003E-2</v>
      </c>
      <c r="P275">
        <f ca="1">IFERROR(IF(0=LEN(ReferenceData!$P$275),"",ReferenceData!$P$275),"")</f>
        <v>6.7345680000000005E-2</v>
      </c>
      <c r="Q275">
        <f ca="1">IFERROR(IF(0=LEN(ReferenceData!$Q$275),"",ReferenceData!$Q$275),"")</f>
        <v>7.7362440000000005E-2</v>
      </c>
      <c r="R275">
        <f ca="1">IFERROR(IF(0=LEN(ReferenceData!$R$275),"",ReferenceData!$R$275),"")</f>
        <v>0.110650992</v>
      </c>
      <c r="S275">
        <f ca="1">IFERROR(IF(0=LEN(ReferenceData!$S$275),"",ReferenceData!$S$275),"")</f>
        <v>3.3939942000000001E-2</v>
      </c>
      <c r="T275">
        <f ca="1">IFERROR(IF(0=LEN(ReferenceData!$T$275),"",ReferenceData!$T$275),"")</f>
        <v>4.8989528999999997E-2</v>
      </c>
      <c r="U275">
        <f ca="1">IFERROR(IF(0=LEN(ReferenceData!$U$275),"",ReferenceData!$U$275),"")</f>
        <v>1.259652E-3</v>
      </c>
      <c r="V275">
        <f ca="1">IFERROR(IF(0=LEN(ReferenceData!$V$275),"",ReferenceData!$V$275),"")</f>
        <v>0.12822183200000001</v>
      </c>
      <c r="W275">
        <f ca="1">IFERROR(IF(0=LEN(ReferenceData!$W$275),"",ReferenceData!$W$275),"")</f>
        <v>7.8782130000000002E-3</v>
      </c>
      <c r="X275">
        <f ca="1">IFERROR(IF(0=LEN(ReferenceData!$X$275),"",ReferenceData!$X$275),"")</f>
        <v>3.4959065999999997E-2</v>
      </c>
      <c r="Y275" t="str">
        <f ca="1">IFERROR(IF(0=LEN(ReferenceData!$Y$275),"",ReferenceData!$Y$275),"")</f>
        <v/>
      </c>
      <c r="Z275" t="str">
        <f ca="1">IFERROR(IF(0=LEN(ReferenceData!$Z$275),"",ReferenceData!$Z$275),"")</f>
        <v/>
      </c>
      <c r="AA275" t="str">
        <f ca="1">IFERROR(IF(0=LEN(ReferenceData!$AA$275),"",ReferenceData!$AA$275),"")</f>
        <v/>
      </c>
      <c r="AB275" t="str">
        <f ca="1">IFERROR(IF(0=LEN(ReferenceData!$AB$275),"",ReferenceData!$AB$275),"")</f>
        <v/>
      </c>
      <c r="AC275" t="str">
        <f ca="1">IFERROR(IF(0=LEN(ReferenceData!$AC$275),"",ReferenceData!$AC$275),"")</f>
        <v/>
      </c>
      <c r="AD275" t="str">
        <f ca="1">IFERROR(IF(0=LEN(ReferenceData!$AD$275),"",ReferenceData!$AD$275),"")</f>
        <v/>
      </c>
      <c r="AE275" t="str">
        <f ca="1">IFERROR(IF(0=LEN(ReferenceData!$AE$275),"",ReferenceData!$AE$275),"")</f>
        <v/>
      </c>
      <c r="AF275" t="str">
        <f ca="1">IFERROR(IF(0=LEN(ReferenceData!$AF$275),"",ReferenceData!$AF$275),"")</f>
        <v/>
      </c>
      <c r="AG275" t="str">
        <f ca="1">IFERROR(IF(0=LEN(ReferenceData!$AG$275),"",ReferenceData!$AG$275),"")</f>
        <v/>
      </c>
      <c r="AH275" t="str">
        <f ca="1">IFERROR(IF(0=LEN(ReferenceData!$AH$275),"",ReferenceData!$AH$275),"")</f>
        <v/>
      </c>
      <c r="AI275" t="str">
        <f ca="1">IFERROR(IF(0=LEN(ReferenceData!$AI$275),"",ReferenceData!$AI$275),"")</f>
        <v/>
      </c>
      <c r="AJ275" t="str">
        <f ca="1">IFERROR(IF(0=LEN(ReferenceData!$AJ$275),"",ReferenceData!$AJ$275),"")</f>
        <v/>
      </c>
      <c r="AK275" t="str">
        <f ca="1">IFERROR(IF(0=LEN(ReferenceData!$AK$275),"",ReferenceData!$AK$275),"")</f>
        <v/>
      </c>
      <c r="AL275" t="str">
        <f ca="1">IFERROR(IF(0=LEN(ReferenceData!$AL$275),"",ReferenceData!$AL$275),"")</f>
        <v/>
      </c>
    </row>
    <row r="276" spans="1:38" x14ac:dyDescent="0.25">
      <c r="A276" t="str">
        <f>IFERROR(IF(0=LEN(ReferenceData!$A$276),"",ReferenceData!$A$276),"")</f>
        <v xml:space="preserve">        JPMorgan Chase &amp; Co</v>
      </c>
      <c r="B276" t="str">
        <f>IFERROR(IF(0=LEN(ReferenceData!$B$276),"",ReferenceData!$B$276),"")</f>
        <v>JPM US Equity</v>
      </c>
      <c r="C276" t="str">
        <f>IFERROR(IF(0=LEN(ReferenceData!$C$276),"",ReferenceData!$C$276),"")</f>
        <v>F0122</v>
      </c>
      <c r="D276" t="str">
        <f>IFERROR(IF(0=LEN(ReferenceData!$D$276),"",ReferenceData!$D$276),"")</f>
        <v>FED_MARGIN_LOANS_%_TOT_LNS_LEAS</v>
      </c>
      <c r="E276" t="str">
        <f>IFERROR(IF(0=LEN(ReferenceData!$E$276),"",ReferenceData!$E$276),"")</f>
        <v>Dynamic</v>
      </c>
      <c r="F276">
        <f ca="1">IFERROR(IF(0=LEN(ReferenceData!$F$276),"",ReferenceData!$F$276),"")</f>
        <v>6.6093204099999996</v>
      </c>
      <c r="G276">
        <f ca="1">IFERROR(IF(0=LEN(ReferenceData!$G$276),"",ReferenceData!$G$276),"")</f>
        <v>5.9843815960000004</v>
      </c>
      <c r="H276">
        <f ca="1">IFERROR(IF(0=LEN(ReferenceData!$H$276),"",ReferenceData!$H$276),"")</f>
        <v>6.8048016420000002</v>
      </c>
      <c r="I276">
        <f ca="1">IFERROR(IF(0=LEN(ReferenceData!$I$276),"",ReferenceData!$I$276),"")</f>
        <v>7.611148869</v>
      </c>
      <c r="J276">
        <f ca="1">IFERROR(IF(0=LEN(ReferenceData!$J$276),"",ReferenceData!$J$276),"")</f>
        <v>6.4365845789999998</v>
      </c>
      <c r="K276">
        <f ca="1">IFERROR(IF(0=LEN(ReferenceData!$K$276),"",ReferenceData!$K$276),"")</f>
        <v>4.6311581019999997</v>
      </c>
      <c r="L276">
        <f ca="1">IFERROR(IF(0=LEN(ReferenceData!$L$276),"",ReferenceData!$L$276),"")</f>
        <v>4.1539666820000001</v>
      </c>
      <c r="M276">
        <f ca="1">IFERROR(IF(0=LEN(ReferenceData!$M$276),"",ReferenceData!$M$276),"")</f>
        <v>3.8434244780000002</v>
      </c>
      <c r="N276">
        <f ca="1">IFERROR(IF(0=LEN(ReferenceData!$N$276),"",ReferenceData!$N$276),"")</f>
        <v>2.840580219</v>
      </c>
      <c r="O276">
        <f ca="1">IFERROR(IF(0=LEN(ReferenceData!$O$276),"",ReferenceData!$O$276),"")</f>
        <v>2.39581913</v>
      </c>
      <c r="P276">
        <f ca="1">IFERROR(IF(0=LEN(ReferenceData!$P$276),"",ReferenceData!$P$276),"")</f>
        <v>4.2372568790000003</v>
      </c>
      <c r="Q276">
        <f ca="1">IFERROR(IF(0=LEN(ReferenceData!$Q$276),"",ReferenceData!$Q$276),"")</f>
        <v>4.0014168010000004</v>
      </c>
      <c r="R276">
        <f ca="1">IFERROR(IF(0=LEN(ReferenceData!$R$276),"",ReferenceData!$R$276),"")</f>
        <v>3.3785173120000001</v>
      </c>
      <c r="S276">
        <f ca="1">IFERROR(IF(0=LEN(ReferenceData!$S$276),"",ReferenceData!$S$276),"")</f>
        <v>2.6427415870000002</v>
      </c>
      <c r="T276">
        <f ca="1">IFERROR(IF(0=LEN(ReferenceData!$T$276),"",ReferenceData!$T$276),"")</f>
        <v>4.7578694830000003</v>
      </c>
      <c r="U276">
        <f ca="1">IFERROR(IF(0=LEN(ReferenceData!$U$276),"",ReferenceData!$U$276),"")</f>
        <v>2.9970114400000001</v>
      </c>
      <c r="V276">
        <f ca="1">IFERROR(IF(0=LEN(ReferenceData!$V$276),"",ReferenceData!$V$276),"")</f>
        <v>2.6894871949999999</v>
      </c>
      <c r="W276">
        <f ca="1">IFERROR(IF(0=LEN(ReferenceData!$W$276),"",ReferenceData!$W$276),"")</f>
        <v>0.86890935400000002</v>
      </c>
      <c r="X276">
        <f ca="1">IFERROR(IF(0=LEN(ReferenceData!$X$276),"",ReferenceData!$X$276),"")</f>
        <v>0.86850869399999997</v>
      </c>
      <c r="Y276" t="str">
        <f ca="1">IFERROR(IF(0=LEN(ReferenceData!$Y$276),"",ReferenceData!$Y$276),"")</f>
        <v/>
      </c>
      <c r="Z276" t="str">
        <f ca="1">IFERROR(IF(0=LEN(ReferenceData!$Z$276),"",ReferenceData!$Z$276),"")</f>
        <v/>
      </c>
      <c r="AA276" t="str">
        <f ca="1">IFERROR(IF(0=LEN(ReferenceData!$AA$276),"",ReferenceData!$AA$276),"")</f>
        <v/>
      </c>
      <c r="AB276" t="str">
        <f ca="1">IFERROR(IF(0=LEN(ReferenceData!$AB$276),"",ReferenceData!$AB$276),"")</f>
        <v/>
      </c>
      <c r="AC276" t="str">
        <f ca="1">IFERROR(IF(0=LEN(ReferenceData!$AC$276),"",ReferenceData!$AC$276),"")</f>
        <v/>
      </c>
      <c r="AD276" t="str">
        <f ca="1">IFERROR(IF(0=LEN(ReferenceData!$AD$276),"",ReferenceData!$AD$276),"")</f>
        <v/>
      </c>
      <c r="AE276" t="str">
        <f ca="1">IFERROR(IF(0=LEN(ReferenceData!$AE$276),"",ReferenceData!$AE$276),"")</f>
        <v/>
      </c>
      <c r="AF276" t="str">
        <f ca="1">IFERROR(IF(0=LEN(ReferenceData!$AF$276),"",ReferenceData!$AF$276),"")</f>
        <v/>
      </c>
      <c r="AG276" t="str">
        <f ca="1">IFERROR(IF(0=LEN(ReferenceData!$AG$276),"",ReferenceData!$AG$276),"")</f>
        <v/>
      </c>
      <c r="AH276" t="str">
        <f ca="1">IFERROR(IF(0=LEN(ReferenceData!$AH$276),"",ReferenceData!$AH$276),"")</f>
        <v/>
      </c>
      <c r="AI276" t="str">
        <f ca="1">IFERROR(IF(0=LEN(ReferenceData!$AI$276),"",ReferenceData!$AI$276),"")</f>
        <v/>
      </c>
      <c r="AJ276" t="str">
        <f ca="1">IFERROR(IF(0=LEN(ReferenceData!$AJ$276),"",ReferenceData!$AJ$276),"")</f>
        <v/>
      </c>
      <c r="AK276" t="str">
        <f ca="1">IFERROR(IF(0=LEN(ReferenceData!$AK$276),"",ReferenceData!$AK$276),"")</f>
        <v/>
      </c>
      <c r="AL276" t="str">
        <f ca="1">IFERROR(IF(0=LEN(ReferenceData!$AL$276),"",ReferenceData!$AL$276),"")</f>
        <v/>
      </c>
    </row>
    <row r="277" spans="1:38" x14ac:dyDescent="0.25">
      <c r="A277" t="str">
        <f>IFERROR(IF(0=LEN(ReferenceData!$A$277),"",ReferenceData!$A$277),"")</f>
        <v xml:space="preserve">        KeyCorp</v>
      </c>
      <c r="B277" t="str">
        <f>IFERROR(IF(0=LEN(ReferenceData!$B$277),"",ReferenceData!$B$277),"")</f>
        <v>KEY US Equity</v>
      </c>
      <c r="C277" t="str">
        <f>IFERROR(IF(0=LEN(ReferenceData!$C$277),"",ReferenceData!$C$277),"")</f>
        <v>F0122</v>
      </c>
      <c r="D277" t="str">
        <f>IFERROR(IF(0=LEN(ReferenceData!$D$277),"",ReferenceData!$D$277),"")</f>
        <v>FED_MARGIN_LOANS_%_TOT_LNS_LEAS</v>
      </c>
      <c r="E277" t="str">
        <f>IFERROR(IF(0=LEN(ReferenceData!$E$277),"",ReferenceData!$E$277),"")</f>
        <v>Dynamic</v>
      </c>
      <c r="F277">
        <f ca="1">IFERROR(IF(0=LEN(ReferenceData!$F$277),"",ReferenceData!$F$277),"")</f>
        <v>2.0942090999999999E-2</v>
      </c>
      <c r="G277">
        <f ca="1">IFERROR(IF(0=LEN(ReferenceData!$G$277),"",ReferenceData!$G$277),"")</f>
        <v>4.3689601000000002E-2</v>
      </c>
      <c r="H277">
        <f ca="1">IFERROR(IF(0=LEN(ReferenceData!$H$277),"",ReferenceData!$H$277),"")</f>
        <v>6.1523416999999997E-2</v>
      </c>
      <c r="I277">
        <f ca="1">IFERROR(IF(0=LEN(ReferenceData!$I$277),"",ReferenceData!$I$277),"")</f>
        <v>5.8054587999999997E-2</v>
      </c>
      <c r="J277">
        <f ca="1">IFERROR(IF(0=LEN(ReferenceData!$J$277),"",ReferenceData!$J$277),"")</f>
        <v>7.0402081000000005E-2</v>
      </c>
      <c r="K277">
        <f ca="1">IFERROR(IF(0=LEN(ReferenceData!$K$277),"",ReferenceData!$K$277),"")</f>
        <v>7.0410244999999996E-2</v>
      </c>
      <c r="L277">
        <f ca="1">IFERROR(IF(0=LEN(ReferenceData!$L$277),"",ReferenceData!$L$277),"")</f>
        <v>4.7310379999999999E-2</v>
      </c>
      <c r="M277">
        <f ca="1">IFERROR(IF(0=LEN(ReferenceData!$M$277),"",ReferenceData!$M$277),"")</f>
        <v>8.0995463000000004E-2</v>
      </c>
      <c r="N277">
        <f ca="1">IFERROR(IF(0=LEN(ReferenceData!$N$277),"",ReferenceData!$N$277),"")</f>
        <v>0.121775855</v>
      </c>
      <c r="O277">
        <f ca="1">IFERROR(IF(0=LEN(ReferenceData!$O$277),"",ReferenceData!$O$277),"")</f>
        <v>0.153945112</v>
      </c>
      <c r="P277">
        <f ca="1">IFERROR(IF(0=LEN(ReferenceData!$P$277),"",ReferenceData!$P$277),"")</f>
        <v>0.176855067</v>
      </c>
      <c r="Q277">
        <f ca="1">IFERROR(IF(0=LEN(ReferenceData!$Q$277),"",ReferenceData!$Q$277),"")</f>
        <v>0.14780975199999999</v>
      </c>
      <c r="R277">
        <f ca="1">IFERROR(IF(0=LEN(ReferenceData!$R$277),"",ReferenceData!$R$277),"")</f>
        <v>0.124040943</v>
      </c>
      <c r="S277">
        <f ca="1">IFERROR(IF(0=LEN(ReferenceData!$S$277),"",ReferenceData!$S$277),"")</f>
        <v>0.29744894700000002</v>
      </c>
      <c r="T277">
        <f ca="1">IFERROR(IF(0=LEN(ReferenceData!$T$277),"",ReferenceData!$T$277),"")</f>
        <v>0.160296413</v>
      </c>
      <c r="U277">
        <f ca="1">IFERROR(IF(0=LEN(ReferenceData!$U$277),"",ReferenceData!$U$277),"")</f>
        <v>0.10013725</v>
      </c>
      <c r="V277">
        <f ca="1">IFERROR(IF(0=LEN(ReferenceData!$V$277),"",ReferenceData!$V$277),"")</f>
        <v>0.147536168</v>
      </c>
      <c r="W277">
        <f ca="1">IFERROR(IF(0=LEN(ReferenceData!$W$277),"",ReferenceData!$W$277),"")</f>
        <v>0.172966326</v>
      </c>
      <c r="X277">
        <f ca="1">IFERROR(IF(0=LEN(ReferenceData!$X$277),"",ReferenceData!$X$277),"")</f>
        <v>0.28286696099999997</v>
      </c>
      <c r="Y277" t="str">
        <f ca="1">IFERROR(IF(0=LEN(ReferenceData!$Y$277),"",ReferenceData!$Y$277),"")</f>
        <v/>
      </c>
      <c r="Z277" t="str">
        <f ca="1">IFERROR(IF(0=LEN(ReferenceData!$Z$277),"",ReferenceData!$Z$277),"")</f>
        <v/>
      </c>
      <c r="AA277" t="str">
        <f ca="1">IFERROR(IF(0=LEN(ReferenceData!$AA$277),"",ReferenceData!$AA$277),"")</f>
        <v/>
      </c>
      <c r="AB277" t="str">
        <f ca="1">IFERROR(IF(0=LEN(ReferenceData!$AB$277),"",ReferenceData!$AB$277),"")</f>
        <v/>
      </c>
      <c r="AC277" t="str">
        <f ca="1">IFERROR(IF(0=LEN(ReferenceData!$AC$277),"",ReferenceData!$AC$277),"")</f>
        <v/>
      </c>
      <c r="AD277" t="str">
        <f ca="1">IFERROR(IF(0=LEN(ReferenceData!$AD$277),"",ReferenceData!$AD$277),"")</f>
        <v/>
      </c>
      <c r="AE277" t="str">
        <f ca="1">IFERROR(IF(0=LEN(ReferenceData!$AE$277),"",ReferenceData!$AE$277),"")</f>
        <v/>
      </c>
      <c r="AF277" t="str">
        <f ca="1">IFERROR(IF(0=LEN(ReferenceData!$AF$277),"",ReferenceData!$AF$277),"")</f>
        <v/>
      </c>
      <c r="AG277" t="str">
        <f ca="1">IFERROR(IF(0=LEN(ReferenceData!$AG$277),"",ReferenceData!$AG$277),"")</f>
        <v/>
      </c>
      <c r="AH277" t="str">
        <f ca="1">IFERROR(IF(0=LEN(ReferenceData!$AH$277),"",ReferenceData!$AH$277),"")</f>
        <v/>
      </c>
      <c r="AI277" t="str">
        <f ca="1">IFERROR(IF(0=LEN(ReferenceData!$AI$277),"",ReferenceData!$AI$277),"")</f>
        <v/>
      </c>
      <c r="AJ277" t="str">
        <f ca="1">IFERROR(IF(0=LEN(ReferenceData!$AJ$277),"",ReferenceData!$AJ$277),"")</f>
        <v/>
      </c>
      <c r="AK277" t="str">
        <f ca="1">IFERROR(IF(0=LEN(ReferenceData!$AK$277),"",ReferenceData!$AK$277),"")</f>
        <v/>
      </c>
      <c r="AL277" t="str">
        <f ca="1">IFERROR(IF(0=LEN(ReferenceData!$AL$277),"",ReferenceData!$AL$277),"")</f>
        <v/>
      </c>
    </row>
    <row r="278" spans="1:38" x14ac:dyDescent="0.25">
      <c r="A278" t="str">
        <f>IFERROR(IF(0=LEN(ReferenceData!$A$278),"",ReferenceData!$A$278),"")</f>
        <v xml:space="preserve">        M&amp;T Bank Corp</v>
      </c>
      <c r="B278" t="str">
        <f>IFERROR(IF(0=LEN(ReferenceData!$B$278),"",ReferenceData!$B$278),"")</f>
        <v>MTB US Equity</v>
      </c>
      <c r="C278" t="str">
        <f>IFERROR(IF(0=LEN(ReferenceData!$C$278),"",ReferenceData!$C$278),"")</f>
        <v>F0122</v>
      </c>
      <c r="D278" t="str">
        <f>IFERROR(IF(0=LEN(ReferenceData!$D$278),"",ReferenceData!$D$278),"")</f>
        <v>FED_MARGIN_LOANS_%_TOT_LNS_LEAS</v>
      </c>
      <c r="E278" t="str">
        <f>IFERROR(IF(0=LEN(ReferenceData!$E$278),"",ReferenceData!$E$278),"")</f>
        <v>Dynamic</v>
      </c>
      <c r="F278">
        <f ca="1">IFERROR(IF(0=LEN(ReferenceData!$F$278),"",ReferenceData!$F$278),"")</f>
        <v>0.13605862499999999</v>
      </c>
      <c r="G278">
        <f ca="1">IFERROR(IF(0=LEN(ReferenceData!$G$278),"",ReferenceData!$G$278),"")</f>
        <v>0.12052515699999999</v>
      </c>
      <c r="H278">
        <f ca="1">IFERROR(IF(0=LEN(ReferenceData!$H$278),"",ReferenceData!$H$278),"")</f>
        <v>0.143843468</v>
      </c>
      <c r="I278">
        <f ca="1">IFERROR(IF(0=LEN(ReferenceData!$I$278),"",ReferenceData!$I$278),"")</f>
        <v>0.211873646</v>
      </c>
      <c r="J278">
        <f ca="1">IFERROR(IF(0=LEN(ReferenceData!$J$278),"",ReferenceData!$J$278),"")</f>
        <v>0.136537085</v>
      </c>
      <c r="K278">
        <f ca="1">IFERROR(IF(0=LEN(ReferenceData!$K$278),"",ReferenceData!$K$278),"")</f>
        <v>0.13176113</v>
      </c>
      <c r="L278">
        <f ca="1">IFERROR(IF(0=LEN(ReferenceData!$L$278),"",ReferenceData!$L$278),"")</f>
        <v>0.18182706600000001</v>
      </c>
      <c r="M278">
        <f ca="1">IFERROR(IF(0=LEN(ReferenceData!$M$278),"",ReferenceData!$M$278),"")</f>
        <v>0.28946351199999998</v>
      </c>
      <c r="N278">
        <f ca="1">IFERROR(IF(0=LEN(ReferenceData!$N$278),"",ReferenceData!$N$278),"")</f>
        <v>0.44544940399999999</v>
      </c>
      <c r="O278">
        <f ca="1">IFERROR(IF(0=LEN(ReferenceData!$O$278),"",ReferenceData!$O$278),"")</f>
        <v>0.11126821100000001</v>
      </c>
      <c r="P278">
        <f ca="1">IFERROR(IF(0=LEN(ReferenceData!$P$278),"",ReferenceData!$P$278),"")</f>
        <v>0.220312853</v>
      </c>
      <c r="Q278">
        <f ca="1">IFERROR(IF(0=LEN(ReferenceData!$Q$278),"",ReferenceData!$Q$278),"")</f>
        <v>0.45276525200000001</v>
      </c>
      <c r="R278">
        <f ca="1">IFERROR(IF(0=LEN(ReferenceData!$R$278),"",ReferenceData!$R$278),"")</f>
        <v>0.30173969099999998</v>
      </c>
      <c r="S278">
        <f ca="1">IFERROR(IF(0=LEN(ReferenceData!$S$278),"",ReferenceData!$S$278),"")</f>
        <v>0.209691143</v>
      </c>
      <c r="T278">
        <f ca="1">IFERROR(IF(0=LEN(ReferenceData!$T$278),"",ReferenceData!$T$278),"")</f>
        <v>0.218773157</v>
      </c>
      <c r="U278">
        <f ca="1">IFERROR(IF(0=LEN(ReferenceData!$U$278),"",ReferenceData!$U$278),"")</f>
        <v>0.144058094</v>
      </c>
      <c r="V278">
        <f ca="1">IFERROR(IF(0=LEN(ReferenceData!$V$278),"",ReferenceData!$V$278),"")</f>
        <v>0.124123317</v>
      </c>
      <c r="W278">
        <f ca="1">IFERROR(IF(0=LEN(ReferenceData!$W$278),"",ReferenceData!$W$278),"")</f>
        <v>0.14980354000000001</v>
      </c>
      <c r="X278">
        <f ca="1">IFERROR(IF(0=LEN(ReferenceData!$X$278),"",ReferenceData!$X$278),"")</f>
        <v>2.4606903999999999E-2</v>
      </c>
      <c r="Y278" t="str">
        <f ca="1">IFERROR(IF(0=LEN(ReferenceData!$Y$278),"",ReferenceData!$Y$278),"")</f>
        <v/>
      </c>
      <c r="Z278" t="str">
        <f ca="1">IFERROR(IF(0=LEN(ReferenceData!$Z$278),"",ReferenceData!$Z$278),"")</f>
        <v/>
      </c>
      <c r="AA278" t="str">
        <f ca="1">IFERROR(IF(0=LEN(ReferenceData!$AA$278),"",ReferenceData!$AA$278),"")</f>
        <v/>
      </c>
      <c r="AB278" t="str">
        <f ca="1">IFERROR(IF(0=LEN(ReferenceData!$AB$278),"",ReferenceData!$AB$278),"")</f>
        <v/>
      </c>
      <c r="AC278" t="str">
        <f ca="1">IFERROR(IF(0=LEN(ReferenceData!$AC$278),"",ReferenceData!$AC$278),"")</f>
        <v/>
      </c>
      <c r="AD278" t="str">
        <f ca="1">IFERROR(IF(0=LEN(ReferenceData!$AD$278),"",ReferenceData!$AD$278),"")</f>
        <v/>
      </c>
      <c r="AE278" t="str">
        <f ca="1">IFERROR(IF(0=LEN(ReferenceData!$AE$278),"",ReferenceData!$AE$278),"")</f>
        <v/>
      </c>
      <c r="AF278" t="str">
        <f ca="1">IFERROR(IF(0=LEN(ReferenceData!$AF$278),"",ReferenceData!$AF$278),"")</f>
        <v/>
      </c>
      <c r="AG278" t="str">
        <f ca="1">IFERROR(IF(0=LEN(ReferenceData!$AG$278),"",ReferenceData!$AG$278),"")</f>
        <v/>
      </c>
      <c r="AH278" t="str">
        <f ca="1">IFERROR(IF(0=LEN(ReferenceData!$AH$278),"",ReferenceData!$AH$278),"")</f>
        <v/>
      </c>
      <c r="AI278" t="str">
        <f ca="1">IFERROR(IF(0=LEN(ReferenceData!$AI$278),"",ReferenceData!$AI$278),"")</f>
        <v/>
      </c>
      <c r="AJ278" t="str">
        <f ca="1">IFERROR(IF(0=LEN(ReferenceData!$AJ$278),"",ReferenceData!$AJ$278),"")</f>
        <v/>
      </c>
      <c r="AK278" t="str">
        <f ca="1">IFERROR(IF(0=LEN(ReferenceData!$AK$278),"",ReferenceData!$AK$278),"")</f>
        <v/>
      </c>
      <c r="AL278" t="str">
        <f ca="1">IFERROR(IF(0=LEN(ReferenceData!$AL$278),"",ReferenceData!$AL$278),"")</f>
        <v/>
      </c>
    </row>
    <row r="279" spans="1:38" x14ac:dyDescent="0.25">
      <c r="A279" t="str">
        <f>IFERROR(IF(0=LEN(ReferenceData!$A$279),"",ReferenceData!$A$279),"")</f>
        <v xml:space="preserve">        PNC Financial Services Group I</v>
      </c>
      <c r="B279" t="str">
        <f>IFERROR(IF(0=LEN(ReferenceData!$B$279),"",ReferenceData!$B$279),"")</f>
        <v>PNC US Equity</v>
      </c>
      <c r="C279" t="str">
        <f>IFERROR(IF(0=LEN(ReferenceData!$C$279),"",ReferenceData!$C$279),"")</f>
        <v>F0122</v>
      </c>
      <c r="D279" t="str">
        <f>IFERROR(IF(0=LEN(ReferenceData!$D$279),"",ReferenceData!$D$279),"")</f>
        <v>FED_MARGIN_LOANS_%_TOT_LNS_LEAS</v>
      </c>
      <c r="E279" t="str">
        <f>IFERROR(IF(0=LEN(ReferenceData!$E$279),"",ReferenceData!$E$279),"")</f>
        <v>Dynamic</v>
      </c>
      <c r="F279" t="str">
        <f ca="1">IFERROR(IF(0=LEN(ReferenceData!$F$279),"",ReferenceData!$F$279),"")</f>
        <v/>
      </c>
      <c r="G279">
        <f ca="1">IFERROR(IF(0=LEN(ReferenceData!$G$279),"",ReferenceData!$G$279),"")</f>
        <v>3.2168877999999998E-2</v>
      </c>
      <c r="H279">
        <f ca="1">IFERROR(IF(0=LEN(ReferenceData!$H$279),"",ReferenceData!$H$279),"")</f>
        <v>5.0328423999999997E-2</v>
      </c>
      <c r="I279">
        <f ca="1">IFERROR(IF(0=LEN(ReferenceData!$I$279),"",ReferenceData!$I$279),"")</f>
        <v>5.4928681E-2</v>
      </c>
      <c r="J279">
        <f ca="1">IFERROR(IF(0=LEN(ReferenceData!$J$279),"",ReferenceData!$J$279),"")</f>
        <v>7.6175715000000005E-2</v>
      </c>
      <c r="K279">
        <f ca="1">IFERROR(IF(0=LEN(ReferenceData!$K$279),"",ReferenceData!$K$279),"")</f>
        <v>4.1001101999999998E-2</v>
      </c>
      <c r="L279">
        <f ca="1">IFERROR(IF(0=LEN(ReferenceData!$L$279),"",ReferenceData!$L$279),"")</f>
        <v>4.3063966000000002E-2</v>
      </c>
      <c r="M279">
        <f ca="1">IFERROR(IF(0=LEN(ReferenceData!$M$279),"",ReferenceData!$M$279),"")</f>
        <v>4.4805744000000002E-2</v>
      </c>
      <c r="N279">
        <f ca="1">IFERROR(IF(0=LEN(ReferenceData!$N$279),"",ReferenceData!$N$279),"")</f>
        <v>4.8586861000000002E-2</v>
      </c>
      <c r="O279">
        <f ca="1">IFERROR(IF(0=LEN(ReferenceData!$O$279),"",ReferenceData!$O$279),"")</f>
        <v>0.11069306299999999</v>
      </c>
      <c r="P279">
        <f ca="1">IFERROR(IF(0=LEN(ReferenceData!$P$279),"",ReferenceData!$P$279),"")</f>
        <v>0.11343484400000001</v>
      </c>
      <c r="Q279">
        <f ca="1">IFERROR(IF(0=LEN(ReferenceData!$Q$279),"",ReferenceData!$Q$279),"")</f>
        <v>5.9262794000000001E-2</v>
      </c>
      <c r="R279">
        <f ca="1">IFERROR(IF(0=LEN(ReferenceData!$R$279),"",ReferenceData!$R$279),"")</f>
        <v>0.100777984</v>
      </c>
      <c r="S279">
        <f ca="1">IFERROR(IF(0=LEN(ReferenceData!$S$279),"",ReferenceData!$S$279),"")</f>
        <v>0.18716435000000001</v>
      </c>
      <c r="T279">
        <f ca="1">IFERROR(IF(0=LEN(ReferenceData!$T$279),"",ReferenceData!$T$279),"")</f>
        <v>5.6885361000000002E-2</v>
      </c>
      <c r="U279">
        <f ca="1">IFERROR(IF(0=LEN(ReferenceData!$U$279),"",ReferenceData!$U$279),"")</f>
        <v>8.4319176999999995E-2</v>
      </c>
      <c r="V279">
        <f ca="1">IFERROR(IF(0=LEN(ReferenceData!$V$279),"",ReferenceData!$V$279),"")</f>
        <v>9.2423738000000005E-2</v>
      </c>
      <c r="W279">
        <f ca="1">IFERROR(IF(0=LEN(ReferenceData!$W$279),"",ReferenceData!$W$279),"")</f>
        <v>0.33099641299999999</v>
      </c>
      <c r="X279">
        <f ca="1">IFERROR(IF(0=LEN(ReferenceData!$X$279),"",ReferenceData!$X$279),"")</f>
        <v>0.42185674699999998</v>
      </c>
      <c r="Y279" t="str">
        <f ca="1">IFERROR(IF(0=LEN(ReferenceData!$Y$279),"",ReferenceData!$Y$279),"")</f>
        <v/>
      </c>
      <c r="Z279" t="str">
        <f ca="1">IFERROR(IF(0=LEN(ReferenceData!$Z$279),"",ReferenceData!$Z$279),"")</f>
        <v/>
      </c>
      <c r="AA279" t="str">
        <f ca="1">IFERROR(IF(0=LEN(ReferenceData!$AA$279),"",ReferenceData!$AA$279),"")</f>
        <v/>
      </c>
      <c r="AB279" t="str">
        <f ca="1">IFERROR(IF(0=LEN(ReferenceData!$AB$279),"",ReferenceData!$AB$279),"")</f>
        <v/>
      </c>
      <c r="AC279" t="str">
        <f ca="1">IFERROR(IF(0=LEN(ReferenceData!$AC$279),"",ReferenceData!$AC$279),"")</f>
        <v/>
      </c>
      <c r="AD279" t="str">
        <f ca="1">IFERROR(IF(0=LEN(ReferenceData!$AD$279),"",ReferenceData!$AD$279),"")</f>
        <v/>
      </c>
      <c r="AE279" t="str">
        <f ca="1">IFERROR(IF(0=LEN(ReferenceData!$AE$279),"",ReferenceData!$AE$279),"")</f>
        <v/>
      </c>
      <c r="AF279" t="str">
        <f ca="1">IFERROR(IF(0=LEN(ReferenceData!$AF$279),"",ReferenceData!$AF$279),"")</f>
        <v/>
      </c>
      <c r="AG279" t="str">
        <f ca="1">IFERROR(IF(0=LEN(ReferenceData!$AG$279),"",ReferenceData!$AG$279),"")</f>
        <v/>
      </c>
      <c r="AH279" t="str">
        <f ca="1">IFERROR(IF(0=LEN(ReferenceData!$AH$279),"",ReferenceData!$AH$279),"")</f>
        <v/>
      </c>
      <c r="AI279" t="str">
        <f ca="1">IFERROR(IF(0=LEN(ReferenceData!$AI$279),"",ReferenceData!$AI$279),"")</f>
        <v/>
      </c>
      <c r="AJ279" t="str">
        <f ca="1">IFERROR(IF(0=LEN(ReferenceData!$AJ$279),"",ReferenceData!$AJ$279),"")</f>
        <v/>
      </c>
      <c r="AK279" t="str">
        <f ca="1">IFERROR(IF(0=LEN(ReferenceData!$AK$279),"",ReferenceData!$AK$279),"")</f>
        <v/>
      </c>
      <c r="AL279" t="str">
        <f ca="1">IFERROR(IF(0=LEN(ReferenceData!$AL$279),"",ReferenceData!$AL$279),"")</f>
        <v/>
      </c>
    </row>
    <row r="280" spans="1:38" x14ac:dyDescent="0.25">
      <c r="A280" t="str">
        <f>IFERROR(IF(0=LEN(ReferenceData!$A$280),"",ReferenceData!$A$280),"")</f>
        <v xml:space="preserve">        Regions Financial Corp</v>
      </c>
      <c r="B280" t="str">
        <f>IFERROR(IF(0=LEN(ReferenceData!$B$280),"",ReferenceData!$B$280),"")</f>
        <v>RF US Equity</v>
      </c>
      <c r="C280" t="str">
        <f>IFERROR(IF(0=LEN(ReferenceData!$C$280),"",ReferenceData!$C$280),"")</f>
        <v>F0122</v>
      </c>
      <c r="D280" t="str">
        <f>IFERROR(IF(0=LEN(ReferenceData!$D$280),"",ReferenceData!$D$280),"")</f>
        <v>FED_MARGIN_LOANS_%_TOT_LNS_LEAS</v>
      </c>
      <c r="E280" t="str">
        <f>IFERROR(IF(0=LEN(ReferenceData!$E$280),"",ReferenceData!$E$280),"")</f>
        <v>Dynamic</v>
      </c>
      <c r="F280" t="str">
        <f ca="1">IFERROR(IF(0=LEN(ReferenceData!$F$280),"",ReferenceData!$F$280),"")</f>
        <v/>
      </c>
      <c r="G280">
        <f ca="1">IFERROR(IF(0=LEN(ReferenceData!$G$280),"",ReferenceData!$G$280),"")</f>
        <v>0.103278589</v>
      </c>
      <c r="H280">
        <f ca="1">IFERROR(IF(0=LEN(ReferenceData!$H$280),"",ReferenceData!$H$280),"")</f>
        <v>0.16538773700000001</v>
      </c>
      <c r="I280">
        <f ca="1">IFERROR(IF(0=LEN(ReferenceData!$I$280),"",ReferenceData!$I$280),"")</f>
        <v>0.20388852599999999</v>
      </c>
      <c r="J280">
        <f ca="1">IFERROR(IF(0=LEN(ReferenceData!$J$280),"",ReferenceData!$J$280),"")</f>
        <v>0.144555092</v>
      </c>
      <c r="K280">
        <f ca="1">IFERROR(IF(0=LEN(ReferenceData!$K$280),"",ReferenceData!$K$280),"")</f>
        <v>0.107655502</v>
      </c>
      <c r="L280">
        <f ca="1">IFERROR(IF(0=LEN(ReferenceData!$L$280),"",ReferenceData!$L$280),"")</f>
        <v>0.106773276</v>
      </c>
      <c r="M280">
        <f ca="1">IFERROR(IF(0=LEN(ReferenceData!$M$280),"",ReferenceData!$M$280),"")</f>
        <v>7.2239172000000004E-2</v>
      </c>
      <c r="N280">
        <f ca="1">IFERROR(IF(0=LEN(ReferenceData!$N$280),"",ReferenceData!$N$280),"")</f>
        <v>0.14173418600000001</v>
      </c>
      <c r="O280">
        <f ca="1">IFERROR(IF(0=LEN(ReferenceData!$O$280),"",ReferenceData!$O$280),"")</f>
        <v>0.28245003299999999</v>
      </c>
      <c r="P280">
        <f ca="1">IFERROR(IF(0=LEN(ReferenceData!$P$280),"",ReferenceData!$P$280),"")</f>
        <v>0.46373408900000002</v>
      </c>
      <c r="Q280">
        <f ca="1">IFERROR(IF(0=LEN(ReferenceData!$Q$280),"",ReferenceData!$Q$280),"")</f>
        <v>0.61957784299999996</v>
      </c>
      <c r="R280">
        <f ca="1">IFERROR(IF(0=LEN(ReferenceData!$R$280),"",ReferenceData!$R$280),"")</f>
        <v>0.51116889499999996</v>
      </c>
      <c r="S280">
        <f ca="1">IFERROR(IF(0=LEN(ReferenceData!$S$280),"",ReferenceData!$S$280),"")</f>
        <v>0.51837002799999998</v>
      </c>
      <c r="T280">
        <f ca="1">IFERROR(IF(0=LEN(ReferenceData!$T$280),"",ReferenceData!$T$280),"")</f>
        <v>0.56031862399999999</v>
      </c>
      <c r="U280">
        <f ca="1">IFERROR(IF(0=LEN(ReferenceData!$U$280),"",ReferenceData!$U$280),"")</f>
        <v>0.49674036300000002</v>
      </c>
      <c r="V280">
        <f ca="1">IFERROR(IF(0=LEN(ReferenceData!$V$280),"",ReferenceData!$V$280),"")</f>
        <v>0.47908592</v>
      </c>
      <c r="W280">
        <f ca="1">IFERROR(IF(0=LEN(ReferenceData!$W$280),"",ReferenceData!$W$280),"")</f>
        <v>0.42728106500000002</v>
      </c>
      <c r="X280">
        <f ca="1">IFERROR(IF(0=LEN(ReferenceData!$X$280),"",ReferenceData!$X$280),"")</f>
        <v>0.35737664099999999</v>
      </c>
      <c r="Y280" t="str">
        <f ca="1">IFERROR(IF(0=LEN(ReferenceData!$Y$280),"",ReferenceData!$Y$280),"")</f>
        <v/>
      </c>
      <c r="Z280" t="str">
        <f ca="1">IFERROR(IF(0=LEN(ReferenceData!$Z$280),"",ReferenceData!$Z$280),"")</f>
        <v/>
      </c>
      <c r="AA280" t="str">
        <f ca="1">IFERROR(IF(0=LEN(ReferenceData!$AA$280),"",ReferenceData!$AA$280),"")</f>
        <v/>
      </c>
      <c r="AB280" t="str">
        <f ca="1">IFERROR(IF(0=LEN(ReferenceData!$AB$280),"",ReferenceData!$AB$280),"")</f>
        <v/>
      </c>
      <c r="AC280" t="str">
        <f ca="1">IFERROR(IF(0=LEN(ReferenceData!$AC$280),"",ReferenceData!$AC$280),"")</f>
        <v/>
      </c>
      <c r="AD280" t="str">
        <f ca="1">IFERROR(IF(0=LEN(ReferenceData!$AD$280),"",ReferenceData!$AD$280),"")</f>
        <v/>
      </c>
      <c r="AE280" t="str">
        <f ca="1">IFERROR(IF(0=LEN(ReferenceData!$AE$280),"",ReferenceData!$AE$280),"")</f>
        <v/>
      </c>
      <c r="AF280" t="str">
        <f ca="1">IFERROR(IF(0=LEN(ReferenceData!$AF$280),"",ReferenceData!$AF$280),"")</f>
        <v/>
      </c>
      <c r="AG280" t="str">
        <f ca="1">IFERROR(IF(0=LEN(ReferenceData!$AG$280),"",ReferenceData!$AG$280),"")</f>
        <v/>
      </c>
      <c r="AH280" t="str">
        <f ca="1">IFERROR(IF(0=LEN(ReferenceData!$AH$280),"",ReferenceData!$AH$280),"")</f>
        <v/>
      </c>
      <c r="AI280" t="str">
        <f ca="1">IFERROR(IF(0=LEN(ReferenceData!$AI$280),"",ReferenceData!$AI$280),"")</f>
        <v/>
      </c>
      <c r="AJ280" t="str">
        <f ca="1">IFERROR(IF(0=LEN(ReferenceData!$AJ$280),"",ReferenceData!$AJ$280),"")</f>
        <v/>
      </c>
      <c r="AK280" t="str">
        <f ca="1">IFERROR(IF(0=LEN(ReferenceData!$AK$280),"",ReferenceData!$AK$280),"")</f>
        <v/>
      </c>
      <c r="AL280" t="str">
        <f ca="1">IFERROR(IF(0=LEN(ReferenceData!$AL$280),"",ReferenceData!$AL$280),"")</f>
        <v/>
      </c>
    </row>
    <row r="281" spans="1:38" x14ac:dyDescent="0.25">
      <c r="A281" t="str">
        <f>IFERROR(IF(0=LEN(ReferenceData!$A$281),"",ReferenceData!$A$281),"")</f>
        <v xml:space="preserve">        Truist Financial Corp</v>
      </c>
      <c r="B281" t="str">
        <f>IFERROR(IF(0=LEN(ReferenceData!$B$281),"",ReferenceData!$B$281),"")</f>
        <v>TFC US Equity</v>
      </c>
      <c r="C281" t="str">
        <f>IFERROR(IF(0=LEN(ReferenceData!$C$281),"",ReferenceData!$C$281),"")</f>
        <v>F0122</v>
      </c>
      <c r="D281" t="str">
        <f>IFERROR(IF(0=LEN(ReferenceData!$D$281),"",ReferenceData!$D$281),"")</f>
        <v>FED_MARGIN_LOANS_%_TOT_LNS_LEAS</v>
      </c>
      <c r="E281" t="str">
        <f>IFERROR(IF(0=LEN(ReferenceData!$E$281),"",ReferenceData!$E$281),"")</f>
        <v>Dynamic</v>
      </c>
      <c r="F281">
        <f ca="1">IFERROR(IF(0=LEN(ReferenceData!$F$281),"",ReferenceData!$F$281),"")</f>
        <v>0.21022123600000001</v>
      </c>
      <c r="G281">
        <f ca="1">IFERROR(IF(0=LEN(ReferenceData!$G$281),"",ReferenceData!$G$281),"")</f>
        <v>0.16691080999999999</v>
      </c>
      <c r="H281">
        <f ca="1">IFERROR(IF(0=LEN(ReferenceData!$H$281),"",ReferenceData!$H$281),"")</f>
        <v>0.15514529599999999</v>
      </c>
      <c r="I281">
        <f ca="1">IFERROR(IF(0=LEN(ReferenceData!$I$281),"",ReferenceData!$I$281),"")</f>
        <v>9.0376285000000001E-2</v>
      </c>
      <c r="J281">
        <f ca="1">IFERROR(IF(0=LEN(ReferenceData!$J$281),"",ReferenceData!$J$281),"")</f>
        <v>7.9792538999999996E-2</v>
      </c>
      <c r="K281">
        <f ca="1">IFERROR(IF(0=LEN(ReferenceData!$K$281),"",ReferenceData!$K$281),"")</f>
        <v>0.12231721399999999</v>
      </c>
      <c r="L281">
        <f ca="1">IFERROR(IF(0=LEN(ReferenceData!$L$281),"",ReferenceData!$L$281),"")</f>
        <v>0.47066352900000002</v>
      </c>
      <c r="M281">
        <f ca="1">IFERROR(IF(0=LEN(ReferenceData!$M$281),"",ReferenceData!$M$281),"")</f>
        <v>0.58563535899999997</v>
      </c>
      <c r="N281">
        <f ca="1">IFERROR(IF(0=LEN(ReferenceData!$N$281),"",ReferenceData!$N$281),"")</f>
        <v>0.59624987699999998</v>
      </c>
      <c r="O281">
        <f ca="1">IFERROR(IF(0=LEN(ReferenceData!$O$281),"",ReferenceData!$O$281),"")</f>
        <v>0.496801557</v>
      </c>
      <c r="P281">
        <f ca="1">IFERROR(IF(0=LEN(ReferenceData!$P$281),"",ReferenceData!$P$281),"")</f>
        <v>0.541885748</v>
      </c>
      <c r="Q281">
        <f ca="1">IFERROR(IF(0=LEN(ReferenceData!$Q$281),"",ReferenceData!$Q$281),"")</f>
        <v>0.45402595800000001</v>
      </c>
      <c r="R281">
        <f ca="1">IFERROR(IF(0=LEN(ReferenceData!$R$281),"",ReferenceData!$R$281),"")</f>
        <v>0.34690747199999999</v>
      </c>
      <c r="S281">
        <f ca="1">IFERROR(IF(0=LEN(ReferenceData!$S$281),"",ReferenceData!$S$281),"")</f>
        <v>0.33984035299999998</v>
      </c>
      <c r="T281">
        <f ca="1">IFERROR(IF(0=LEN(ReferenceData!$T$281),"",ReferenceData!$T$281),"")</f>
        <v>0.40296240700000002</v>
      </c>
      <c r="U281">
        <f ca="1">IFERROR(IF(0=LEN(ReferenceData!$U$281),"",ReferenceData!$U$281),"")</f>
        <v>0.44258315500000001</v>
      </c>
      <c r="V281">
        <f ca="1">IFERROR(IF(0=LEN(ReferenceData!$V$281),"",ReferenceData!$V$281),"")</f>
        <v>0.62442775399999995</v>
      </c>
      <c r="W281">
        <f ca="1">IFERROR(IF(0=LEN(ReferenceData!$W$281),"",ReferenceData!$W$281),"")</f>
        <v>0.33296688299999999</v>
      </c>
      <c r="X281">
        <f ca="1">IFERROR(IF(0=LEN(ReferenceData!$X$281),"",ReferenceData!$X$281),"")</f>
        <v>0.27806417500000002</v>
      </c>
      <c r="Y281" t="str">
        <f ca="1">IFERROR(IF(0=LEN(ReferenceData!$Y$281),"",ReferenceData!$Y$281),"")</f>
        <v/>
      </c>
      <c r="Z281" t="str">
        <f ca="1">IFERROR(IF(0=LEN(ReferenceData!$Z$281),"",ReferenceData!$Z$281),"")</f>
        <v/>
      </c>
      <c r="AA281" t="str">
        <f ca="1">IFERROR(IF(0=LEN(ReferenceData!$AA$281),"",ReferenceData!$AA$281),"")</f>
        <v/>
      </c>
      <c r="AB281" t="str">
        <f ca="1">IFERROR(IF(0=LEN(ReferenceData!$AB$281),"",ReferenceData!$AB$281),"")</f>
        <v/>
      </c>
      <c r="AC281" t="str">
        <f ca="1">IFERROR(IF(0=LEN(ReferenceData!$AC$281),"",ReferenceData!$AC$281),"")</f>
        <v/>
      </c>
      <c r="AD281" t="str">
        <f ca="1">IFERROR(IF(0=LEN(ReferenceData!$AD$281),"",ReferenceData!$AD$281),"")</f>
        <v/>
      </c>
      <c r="AE281" t="str">
        <f ca="1">IFERROR(IF(0=LEN(ReferenceData!$AE$281),"",ReferenceData!$AE$281),"")</f>
        <v/>
      </c>
      <c r="AF281" t="str">
        <f ca="1">IFERROR(IF(0=LEN(ReferenceData!$AF$281),"",ReferenceData!$AF$281),"")</f>
        <v/>
      </c>
      <c r="AG281" t="str">
        <f ca="1">IFERROR(IF(0=LEN(ReferenceData!$AG$281),"",ReferenceData!$AG$281),"")</f>
        <v/>
      </c>
      <c r="AH281" t="str">
        <f ca="1">IFERROR(IF(0=LEN(ReferenceData!$AH$281),"",ReferenceData!$AH$281),"")</f>
        <v/>
      </c>
      <c r="AI281" t="str">
        <f ca="1">IFERROR(IF(0=LEN(ReferenceData!$AI$281),"",ReferenceData!$AI$281),"")</f>
        <v/>
      </c>
      <c r="AJ281" t="str">
        <f ca="1">IFERROR(IF(0=LEN(ReferenceData!$AJ$281),"",ReferenceData!$AJ$281),"")</f>
        <v/>
      </c>
      <c r="AK281" t="str">
        <f ca="1">IFERROR(IF(0=LEN(ReferenceData!$AK$281),"",ReferenceData!$AK$281),"")</f>
        <v/>
      </c>
      <c r="AL281" t="str">
        <f ca="1">IFERROR(IF(0=LEN(ReferenceData!$AL$281),"",ReferenceData!$AL$281),"")</f>
        <v/>
      </c>
    </row>
    <row r="282" spans="1:38" x14ac:dyDescent="0.25">
      <c r="A282" t="str">
        <f>IFERROR(IF(0=LEN(ReferenceData!$A$282),"",ReferenceData!$A$282),"")</f>
        <v xml:space="preserve">        US Bancorp</v>
      </c>
      <c r="B282" t="str">
        <f>IFERROR(IF(0=LEN(ReferenceData!$B$282),"",ReferenceData!$B$282),"")</f>
        <v>USB US Equity</v>
      </c>
      <c r="C282" t="str">
        <f>IFERROR(IF(0=LEN(ReferenceData!$C$282),"",ReferenceData!$C$282),"")</f>
        <v>F0122</v>
      </c>
      <c r="D282" t="str">
        <f>IFERROR(IF(0=LEN(ReferenceData!$D$282),"",ReferenceData!$D$282),"")</f>
        <v>FED_MARGIN_LOANS_%_TOT_LNS_LEAS</v>
      </c>
      <c r="E282" t="str">
        <f>IFERROR(IF(0=LEN(ReferenceData!$E$282),"",ReferenceData!$E$282),"")</f>
        <v>Dynamic</v>
      </c>
      <c r="F282">
        <f ca="1">IFERROR(IF(0=LEN(ReferenceData!$F$282),"",ReferenceData!$F$282),"")</f>
        <v>0.200049686</v>
      </c>
      <c r="G282">
        <f ca="1">IFERROR(IF(0=LEN(ReferenceData!$G$282),"",ReferenceData!$G$282),"")</f>
        <v>0.32204363400000002</v>
      </c>
      <c r="H282">
        <f ca="1">IFERROR(IF(0=LEN(ReferenceData!$H$282),"",ReferenceData!$H$282),"")</f>
        <v>0.37165770599999998</v>
      </c>
      <c r="I282">
        <f ca="1">IFERROR(IF(0=LEN(ReferenceData!$I$282),"",ReferenceData!$I$282),"")</f>
        <v>0.42213487700000002</v>
      </c>
      <c r="J282">
        <f ca="1">IFERROR(IF(0=LEN(ReferenceData!$J$282),"",ReferenceData!$J$282),"")</f>
        <v>0.44017646199999999</v>
      </c>
      <c r="K282">
        <f ca="1">IFERROR(IF(0=LEN(ReferenceData!$K$282),"",ReferenceData!$K$282),"")</f>
        <v>0.43754972199999997</v>
      </c>
      <c r="L282">
        <f ca="1">IFERROR(IF(0=LEN(ReferenceData!$L$282),"",ReferenceData!$L$282),"")</f>
        <v>0.41970537499999999</v>
      </c>
      <c r="M282">
        <f ca="1">IFERROR(IF(0=LEN(ReferenceData!$M$282),"",ReferenceData!$M$282),"")</f>
        <v>0.46678521499999998</v>
      </c>
      <c r="N282">
        <f ca="1">IFERROR(IF(0=LEN(ReferenceData!$N$282),"",ReferenceData!$N$282),"")</f>
        <v>0.48191206599999997</v>
      </c>
      <c r="O282">
        <f ca="1">IFERROR(IF(0=LEN(ReferenceData!$O$282),"",ReferenceData!$O$282),"")</f>
        <v>0.41102505299999997</v>
      </c>
      <c r="P282">
        <f ca="1">IFERROR(IF(0=LEN(ReferenceData!$P$282),"",ReferenceData!$P$282),"")</f>
        <v>0.396869582</v>
      </c>
      <c r="Q282">
        <f ca="1">IFERROR(IF(0=LEN(ReferenceData!$Q$282),"",ReferenceData!$Q$282),"")</f>
        <v>0.315318928</v>
      </c>
      <c r="R282">
        <f ca="1">IFERROR(IF(0=LEN(ReferenceData!$R$282),"",ReferenceData!$R$282),"")</f>
        <v>0.39560917299999998</v>
      </c>
      <c r="S282">
        <f ca="1">IFERROR(IF(0=LEN(ReferenceData!$S$282),"",ReferenceData!$S$282),"")</f>
        <v>0.33385400900000001</v>
      </c>
      <c r="T282">
        <f ca="1">IFERROR(IF(0=LEN(ReferenceData!$T$282),"",ReferenceData!$T$282),"")</f>
        <v>0.32279591699999999</v>
      </c>
      <c r="U282">
        <f ca="1">IFERROR(IF(0=LEN(ReferenceData!$U$282),"",ReferenceData!$U$282),"")</f>
        <v>0.20348123300000001</v>
      </c>
      <c r="V282">
        <f ca="1">IFERROR(IF(0=LEN(ReferenceData!$V$282),"",ReferenceData!$V$282),"")</f>
        <v>0.22533414800000001</v>
      </c>
      <c r="W282">
        <f ca="1">IFERROR(IF(0=LEN(ReferenceData!$W$282),"",ReferenceData!$W$282),"")</f>
        <v>0.35361748799999998</v>
      </c>
      <c r="X282">
        <f ca="1">IFERROR(IF(0=LEN(ReferenceData!$X$282),"",ReferenceData!$X$282),"")</f>
        <v>0.34524320200000003</v>
      </c>
      <c r="Y282" t="str">
        <f ca="1">IFERROR(IF(0=LEN(ReferenceData!$Y$282),"",ReferenceData!$Y$282),"")</f>
        <v/>
      </c>
      <c r="Z282" t="str">
        <f ca="1">IFERROR(IF(0=LEN(ReferenceData!$Z$282),"",ReferenceData!$Z$282),"")</f>
        <v/>
      </c>
      <c r="AA282" t="str">
        <f ca="1">IFERROR(IF(0=LEN(ReferenceData!$AA$282),"",ReferenceData!$AA$282),"")</f>
        <v/>
      </c>
      <c r="AB282" t="str">
        <f ca="1">IFERROR(IF(0=LEN(ReferenceData!$AB$282),"",ReferenceData!$AB$282),"")</f>
        <v/>
      </c>
      <c r="AC282" t="str">
        <f ca="1">IFERROR(IF(0=LEN(ReferenceData!$AC$282),"",ReferenceData!$AC$282),"")</f>
        <v/>
      </c>
      <c r="AD282" t="str">
        <f ca="1">IFERROR(IF(0=LEN(ReferenceData!$AD$282),"",ReferenceData!$AD$282),"")</f>
        <v/>
      </c>
      <c r="AE282" t="str">
        <f ca="1">IFERROR(IF(0=LEN(ReferenceData!$AE$282),"",ReferenceData!$AE$282),"")</f>
        <v/>
      </c>
      <c r="AF282" t="str">
        <f ca="1">IFERROR(IF(0=LEN(ReferenceData!$AF$282),"",ReferenceData!$AF$282),"")</f>
        <v/>
      </c>
      <c r="AG282" t="str">
        <f ca="1">IFERROR(IF(0=LEN(ReferenceData!$AG$282),"",ReferenceData!$AG$282),"")</f>
        <v/>
      </c>
      <c r="AH282" t="str">
        <f ca="1">IFERROR(IF(0=LEN(ReferenceData!$AH$282),"",ReferenceData!$AH$282),"")</f>
        <v/>
      </c>
      <c r="AI282" t="str">
        <f ca="1">IFERROR(IF(0=LEN(ReferenceData!$AI$282),"",ReferenceData!$AI$282),"")</f>
        <v/>
      </c>
      <c r="AJ282" t="str">
        <f ca="1">IFERROR(IF(0=LEN(ReferenceData!$AJ$282),"",ReferenceData!$AJ$282),"")</f>
        <v/>
      </c>
      <c r="AK282" t="str">
        <f ca="1">IFERROR(IF(0=LEN(ReferenceData!$AK$282),"",ReferenceData!$AK$282),"")</f>
        <v/>
      </c>
      <c r="AL282" t="str">
        <f ca="1">IFERROR(IF(0=LEN(ReferenceData!$AL$282),"",ReferenceData!$AL$282),"")</f>
        <v/>
      </c>
    </row>
    <row r="283" spans="1:38" x14ac:dyDescent="0.25">
      <c r="A283" t="str">
        <f>IFERROR(IF(0=LEN(ReferenceData!$A$283),"",ReferenceData!$A$283),"")</f>
        <v xml:space="preserve">        Wells Fargo &amp; Co</v>
      </c>
      <c r="B283" t="str">
        <f>IFERROR(IF(0=LEN(ReferenceData!$B$283),"",ReferenceData!$B$283),"")</f>
        <v>WFC US Equity</v>
      </c>
      <c r="C283" t="str">
        <f>IFERROR(IF(0=LEN(ReferenceData!$C$283),"",ReferenceData!$C$283),"")</f>
        <v>F0122</v>
      </c>
      <c r="D283" t="str">
        <f>IFERROR(IF(0=LEN(ReferenceData!$D$283),"",ReferenceData!$D$283),"")</f>
        <v>FED_MARGIN_LOANS_%_TOT_LNS_LEAS</v>
      </c>
      <c r="E283" t="str">
        <f>IFERROR(IF(0=LEN(ReferenceData!$E$283),"",ReferenceData!$E$283),"")</f>
        <v>Dynamic</v>
      </c>
      <c r="F283">
        <f ca="1">IFERROR(IF(0=LEN(ReferenceData!$F$283),"",ReferenceData!$F$283),"")</f>
        <v>1.78803563</v>
      </c>
      <c r="G283">
        <f ca="1">IFERROR(IF(0=LEN(ReferenceData!$G$283),"",ReferenceData!$G$283),"")</f>
        <v>1.271832522</v>
      </c>
      <c r="H283">
        <f ca="1">IFERROR(IF(0=LEN(ReferenceData!$H$283),"",ReferenceData!$H$283),"")</f>
        <v>1.1584914959999999</v>
      </c>
      <c r="I283">
        <f ca="1">IFERROR(IF(0=LEN(ReferenceData!$I$283),"",ReferenceData!$I$283),"")</f>
        <v>1.49939596</v>
      </c>
      <c r="J283">
        <f ca="1">IFERROR(IF(0=LEN(ReferenceData!$J$283),"",ReferenceData!$J$283),"")</f>
        <v>1.489416423</v>
      </c>
      <c r="K283">
        <f ca="1">IFERROR(IF(0=LEN(ReferenceData!$K$283),"",ReferenceData!$K$283),"")</f>
        <v>1.1605876399999999</v>
      </c>
      <c r="L283">
        <f ca="1">IFERROR(IF(0=LEN(ReferenceData!$L$283),"",ReferenceData!$L$283),"")</f>
        <v>1.0180920440000001</v>
      </c>
      <c r="M283">
        <f ca="1">IFERROR(IF(0=LEN(ReferenceData!$M$283),"",ReferenceData!$M$283),"")</f>
        <v>1.046731316</v>
      </c>
      <c r="N283">
        <f ca="1">IFERROR(IF(0=LEN(ReferenceData!$N$283),"",ReferenceData!$N$283),"")</f>
        <v>0.95765058599999997</v>
      </c>
      <c r="O283">
        <f ca="1">IFERROR(IF(0=LEN(ReferenceData!$O$283),"",ReferenceData!$O$283),"")</f>
        <v>1.097199539</v>
      </c>
      <c r="P283">
        <f ca="1">IFERROR(IF(0=LEN(ReferenceData!$P$283),"",ReferenceData!$P$283),"")</f>
        <v>1.1005744900000001</v>
      </c>
      <c r="Q283">
        <f ca="1">IFERROR(IF(0=LEN(ReferenceData!$Q$283),"",ReferenceData!$Q$283),"")</f>
        <v>1.2669228610000001</v>
      </c>
      <c r="R283">
        <f ca="1">IFERROR(IF(0=LEN(ReferenceData!$R$283),"",ReferenceData!$R$283),"")</f>
        <v>1.7338287240000001</v>
      </c>
      <c r="S283">
        <f ca="1">IFERROR(IF(0=LEN(ReferenceData!$S$283),"",ReferenceData!$S$283),"")</f>
        <v>1.24834315</v>
      </c>
      <c r="T283">
        <f ca="1">IFERROR(IF(0=LEN(ReferenceData!$T$283),"",ReferenceData!$T$283),"")</f>
        <v>0.90741014600000003</v>
      </c>
      <c r="U283">
        <f ca="1">IFERROR(IF(0=LEN(ReferenceData!$U$283),"",ReferenceData!$U$283),"")</f>
        <v>0.79072302100000003</v>
      </c>
      <c r="V283">
        <f ca="1">IFERROR(IF(0=LEN(ReferenceData!$V$283),"",ReferenceData!$V$283),"")</f>
        <v>0.71816831199999998</v>
      </c>
      <c r="W283">
        <f ca="1">IFERROR(IF(0=LEN(ReferenceData!$W$283),"",ReferenceData!$W$283),"")</f>
        <v>0.22441323299999999</v>
      </c>
      <c r="X283">
        <f ca="1">IFERROR(IF(0=LEN(ReferenceData!$X$283),"",ReferenceData!$X$283),"")</f>
        <v>0.270754563</v>
      </c>
      <c r="Y283" t="str">
        <f ca="1">IFERROR(IF(0=LEN(ReferenceData!$Y$283),"",ReferenceData!$Y$283),"")</f>
        <v/>
      </c>
      <c r="Z283" t="str">
        <f ca="1">IFERROR(IF(0=LEN(ReferenceData!$Z$283),"",ReferenceData!$Z$283),"")</f>
        <v/>
      </c>
      <c r="AA283" t="str">
        <f ca="1">IFERROR(IF(0=LEN(ReferenceData!$AA$283),"",ReferenceData!$AA$283),"")</f>
        <v/>
      </c>
      <c r="AB283" t="str">
        <f ca="1">IFERROR(IF(0=LEN(ReferenceData!$AB$283),"",ReferenceData!$AB$283),"")</f>
        <v/>
      </c>
      <c r="AC283" t="str">
        <f ca="1">IFERROR(IF(0=LEN(ReferenceData!$AC$283),"",ReferenceData!$AC$283),"")</f>
        <v/>
      </c>
      <c r="AD283" t="str">
        <f ca="1">IFERROR(IF(0=LEN(ReferenceData!$AD$283),"",ReferenceData!$AD$283),"")</f>
        <v/>
      </c>
      <c r="AE283" t="str">
        <f ca="1">IFERROR(IF(0=LEN(ReferenceData!$AE$283),"",ReferenceData!$AE$283),"")</f>
        <v/>
      </c>
      <c r="AF283" t="str">
        <f ca="1">IFERROR(IF(0=LEN(ReferenceData!$AF$283),"",ReferenceData!$AF$283),"")</f>
        <v/>
      </c>
      <c r="AG283" t="str">
        <f ca="1">IFERROR(IF(0=LEN(ReferenceData!$AG$283),"",ReferenceData!$AG$283),"")</f>
        <v/>
      </c>
      <c r="AH283" t="str">
        <f ca="1">IFERROR(IF(0=LEN(ReferenceData!$AH$283),"",ReferenceData!$AH$283),"")</f>
        <v/>
      </c>
      <c r="AI283" t="str">
        <f ca="1">IFERROR(IF(0=LEN(ReferenceData!$AI$283),"",ReferenceData!$AI$283),"")</f>
        <v/>
      </c>
      <c r="AJ283" t="str">
        <f ca="1">IFERROR(IF(0=LEN(ReferenceData!$AJ$283),"",ReferenceData!$AJ$283),"")</f>
        <v/>
      </c>
      <c r="AK283" t="str">
        <f ca="1">IFERROR(IF(0=LEN(ReferenceData!$AK$283),"",ReferenceData!$AK$283),"")</f>
        <v/>
      </c>
      <c r="AL283" t="str">
        <f ca="1">IFERROR(IF(0=LEN(ReferenceData!$AL$283),"",ReferenceData!$AL$283),"")</f>
        <v/>
      </c>
    </row>
    <row r="284" spans="1:38" x14ac:dyDescent="0.25">
      <c r="A284" t="str">
        <f>IFERROR(IF(0=LEN(ReferenceData!$A$284),"",ReferenceData!$A$284),"")</f>
        <v xml:space="preserve">        Western Alliance Bancorp</v>
      </c>
      <c r="B284" t="str">
        <f>IFERROR(IF(0=LEN(ReferenceData!$B$284),"",ReferenceData!$B$284),"")</f>
        <v>WAL US Equity</v>
      </c>
      <c r="C284" t="str">
        <f>IFERROR(IF(0=LEN(ReferenceData!$C$284),"",ReferenceData!$C$284),"")</f>
        <v>F0122</v>
      </c>
      <c r="D284" t="str">
        <f>IFERROR(IF(0=LEN(ReferenceData!$D$284),"",ReferenceData!$D$284),"")</f>
        <v>FED_MARGIN_LOANS_%_TOT_LNS_LEAS</v>
      </c>
      <c r="E284" t="str">
        <f>IFERROR(IF(0=LEN(ReferenceData!$E$284),"",ReferenceData!$E$284),"")</f>
        <v>Dynamic</v>
      </c>
      <c r="F284" t="str">
        <f ca="1">IFERROR(IF(0=LEN(ReferenceData!$F$284),"",ReferenceData!$F$284),"")</f>
        <v/>
      </c>
      <c r="G284">
        <f ca="1">IFERROR(IF(0=LEN(ReferenceData!$G$284),"",ReferenceData!$G$284),"")</f>
        <v>0.12854842899999999</v>
      </c>
      <c r="H284">
        <f ca="1">IFERROR(IF(0=LEN(ReferenceData!$H$284),"",ReferenceData!$H$284),"")</f>
        <v>0.12979570600000001</v>
      </c>
      <c r="I284">
        <f ca="1">IFERROR(IF(0=LEN(ReferenceData!$I$284),"",ReferenceData!$I$284),"")</f>
        <v>0.15595014800000001</v>
      </c>
      <c r="J284">
        <f ca="1">IFERROR(IF(0=LEN(ReferenceData!$J$284),"",ReferenceData!$J$284),"")</f>
        <v>0.271156438</v>
      </c>
      <c r="K284">
        <f ca="1">IFERROR(IF(0=LEN(ReferenceData!$K$284),"",ReferenceData!$K$284),"")</f>
        <v>0.31535798199999998</v>
      </c>
      <c r="L284">
        <f ca="1">IFERROR(IF(0=LEN(ReferenceData!$L$284),"",ReferenceData!$L$284),"")</f>
        <v>0.39056772099999998</v>
      </c>
      <c r="M284">
        <f ca="1">IFERROR(IF(0=LEN(ReferenceData!$M$284),"",ReferenceData!$M$284),"")</f>
        <v>0.197496544</v>
      </c>
      <c r="N284">
        <f ca="1">IFERROR(IF(0=LEN(ReferenceData!$N$284),"",ReferenceData!$N$284),"")</f>
        <v>0.23199567300000001</v>
      </c>
      <c r="O284">
        <f ca="1">IFERROR(IF(0=LEN(ReferenceData!$O$284),"",ReferenceData!$O$284),"")</f>
        <v>0.28161038900000002</v>
      </c>
      <c r="P284">
        <f ca="1">IFERROR(IF(0=LEN(ReferenceData!$P$284),"",ReferenceData!$P$284),"")</f>
        <v>0</v>
      </c>
      <c r="Q284">
        <f ca="1">IFERROR(IF(0=LEN(ReferenceData!$Q$284),"",ReferenceData!$Q$284),"")</f>
        <v>0</v>
      </c>
      <c r="R284">
        <f ca="1">IFERROR(IF(0=LEN(ReferenceData!$R$284),"",ReferenceData!$R$284),"")</f>
        <v>0</v>
      </c>
      <c r="S284">
        <f ca="1">IFERROR(IF(0=LEN(ReferenceData!$S$284),"",ReferenceData!$S$284),"")</f>
        <v>0</v>
      </c>
      <c r="T284">
        <f ca="1">IFERROR(IF(0=LEN(ReferenceData!$T$284),"",ReferenceData!$T$284),"")</f>
        <v>0</v>
      </c>
      <c r="U284">
        <f ca="1">IFERROR(IF(0=LEN(ReferenceData!$U$284),"",ReferenceData!$U$284),"")</f>
        <v>0</v>
      </c>
      <c r="V284">
        <f ca="1">IFERROR(IF(0=LEN(ReferenceData!$V$284),"",ReferenceData!$V$284),"")</f>
        <v>1.1692829999999999E-3</v>
      </c>
      <c r="W284">
        <f ca="1">IFERROR(IF(0=LEN(ReferenceData!$W$284),"",ReferenceData!$W$284),"")</f>
        <v>0</v>
      </c>
      <c r="X284">
        <f ca="1">IFERROR(IF(0=LEN(ReferenceData!$X$284),"",ReferenceData!$X$284),"")</f>
        <v>0</v>
      </c>
      <c r="Y284" t="str">
        <f ca="1">IFERROR(IF(0=LEN(ReferenceData!$Y$284),"",ReferenceData!$Y$284),"")</f>
        <v/>
      </c>
      <c r="Z284" t="str">
        <f ca="1">IFERROR(IF(0=LEN(ReferenceData!$Z$284),"",ReferenceData!$Z$284),"")</f>
        <v/>
      </c>
      <c r="AA284" t="str">
        <f ca="1">IFERROR(IF(0=LEN(ReferenceData!$AA$284),"",ReferenceData!$AA$284),"")</f>
        <v/>
      </c>
      <c r="AB284" t="str">
        <f ca="1">IFERROR(IF(0=LEN(ReferenceData!$AB$284),"",ReferenceData!$AB$284),"")</f>
        <v/>
      </c>
      <c r="AC284" t="str">
        <f ca="1">IFERROR(IF(0=LEN(ReferenceData!$AC$284),"",ReferenceData!$AC$284),"")</f>
        <v/>
      </c>
      <c r="AD284" t="str">
        <f ca="1">IFERROR(IF(0=LEN(ReferenceData!$AD$284),"",ReferenceData!$AD$284),"")</f>
        <v/>
      </c>
      <c r="AE284" t="str">
        <f ca="1">IFERROR(IF(0=LEN(ReferenceData!$AE$284),"",ReferenceData!$AE$284),"")</f>
        <v/>
      </c>
      <c r="AF284" t="str">
        <f ca="1">IFERROR(IF(0=LEN(ReferenceData!$AF$284),"",ReferenceData!$AF$284),"")</f>
        <v/>
      </c>
      <c r="AG284" t="str">
        <f ca="1">IFERROR(IF(0=LEN(ReferenceData!$AG$284),"",ReferenceData!$AG$284),"")</f>
        <v/>
      </c>
      <c r="AH284" t="str">
        <f ca="1">IFERROR(IF(0=LEN(ReferenceData!$AH$284),"",ReferenceData!$AH$284),"")</f>
        <v/>
      </c>
      <c r="AI284" t="str">
        <f ca="1">IFERROR(IF(0=LEN(ReferenceData!$AI$284),"",ReferenceData!$AI$284),"")</f>
        <v/>
      </c>
      <c r="AJ284" t="str">
        <f ca="1">IFERROR(IF(0=LEN(ReferenceData!$AJ$284),"",ReferenceData!$AJ$284),"")</f>
        <v/>
      </c>
      <c r="AK284" t="str">
        <f ca="1">IFERROR(IF(0=LEN(ReferenceData!$AK$284),"",ReferenceData!$AK$284),"")</f>
        <v/>
      </c>
      <c r="AL284" t="str">
        <f ca="1">IFERROR(IF(0=LEN(ReferenceData!$AL$284),"",ReferenceData!$AL$284),"")</f>
        <v/>
      </c>
    </row>
    <row r="285" spans="1:38" x14ac:dyDescent="0.25">
      <c r="A285" t="str">
        <f>IFERROR(IF(0=LEN(ReferenceData!$A$285),"",ReferenceData!$A$285),"")</f>
        <v xml:space="preserve">        Zions Bancorp NA</v>
      </c>
      <c r="B285" t="str">
        <f>IFERROR(IF(0=LEN(ReferenceData!$B$285),"",ReferenceData!$B$285),"")</f>
        <v>ZION US Equity</v>
      </c>
      <c r="C285" t="str">
        <f>IFERROR(IF(0=LEN(ReferenceData!$C$285),"",ReferenceData!$C$285),"")</f>
        <v>F0122</v>
      </c>
      <c r="D285" t="str">
        <f>IFERROR(IF(0=LEN(ReferenceData!$D$285),"",ReferenceData!$D$285),"")</f>
        <v>FED_MARGIN_LOANS_%_TOT_LNS_LEAS</v>
      </c>
      <c r="E285" t="str">
        <f>IFERROR(IF(0=LEN(ReferenceData!$E$285),"",ReferenceData!$E$285),"")</f>
        <v>Dynamic</v>
      </c>
      <c r="F285" t="str">
        <f ca="1">IFERROR(IF(0=LEN(ReferenceData!$F$285),"",ReferenceData!$F$285),"")</f>
        <v/>
      </c>
      <c r="G285" t="str">
        <f ca="1">IFERROR(IF(0=LEN(ReferenceData!$G$285),"",ReferenceData!$G$285),"")</f>
        <v/>
      </c>
      <c r="H285" t="str">
        <f ca="1">IFERROR(IF(0=LEN(ReferenceData!$H$285),"",ReferenceData!$H$285),"")</f>
        <v/>
      </c>
      <c r="I285" t="str">
        <f ca="1">IFERROR(IF(0=LEN(ReferenceData!$I$285),"",ReferenceData!$I$285),"")</f>
        <v/>
      </c>
      <c r="J285" t="str">
        <f ca="1">IFERROR(IF(0=LEN(ReferenceData!$J$285),"",ReferenceData!$J$285),"")</f>
        <v/>
      </c>
      <c r="K285" t="str">
        <f ca="1">IFERROR(IF(0=LEN(ReferenceData!$K$285),"",ReferenceData!$K$285),"")</f>
        <v/>
      </c>
      <c r="L285" t="str">
        <f ca="1">IFERROR(IF(0=LEN(ReferenceData!$L$285),"",ReferenceData!$L$285),"")</f>
        <v/>
      </c>
      <c r="M285" t="str">
        <f ca="1">IFERROR(IF(0=LEN(ReferenceData!$M$285),"",ReferenceData!$M$285),"")</f>
        <v/>
      </c>
      <c r="N285" t="str">
        <f ca="1">IFERROR(IF(0=LEN(ReferenceData!$N$285),"",ReferenceData!$N$285),"")</f>
        <v/>
      </c>
      <c r="O285" t="str">
        <f ca="1">IFERROR(IF(0=LEN(ReferenceData!$O$285),"",ReferenceData!$O$285),"")</f>
        <v/>
      </c>
      <c r="P285" t="str">
        <f ca="1">IFERROR(IF(0=LEN(ReferenceData!$P$285),"",ReferenceData!$P$285),"")</f>
        <v/>
      </c>
      <c r="Q285" t="str">
        <f ca="1">IFERROR(IF(0=LEN(ReferenceData!$Q$285),"",ReferenceData!$Q$285),"")</f>
        <v/>
      </c>
      <c r="R285" t="str">
        <f ca="1">IFERROR(IF(0=LEN(ReferenceData!$R$285),"",ReferenceData!$R$285),"")</f>
        <v/>
      </c>
      <c r="S285" t="str">
        <f ca="1">IFERROR(IF(0=LEN(ReferenceData!$S$285),"",ReferenceData!$S$285),"")</f>
        <v/>
      </c>
      <c r="T285" t="str">
        <f ca="1">IFERROR(IF(0=LEN(ReferenceData!$T$285),"",ReferenceData!$T$285),"")</f>
        <v/>
      </c>
      <c r="U285" t="str">
        <f ca="1">IFERROR(IF(0=LEN(ReferenceData!$U$285),"",ReferenceData!$U$285),"")</f>
        <v/>
      </c>
      <c r="V285" t="str">
        <f ca="1">IFERROR(IF(0=LEN(ReferenceData!$V$285),"",ReferenceData!$V$285),"")</f>
        <v/>
      </c>
      <c r="W285" t="str">
        <f ca="1">IFERROR(IF(0=LEN(ReferenceData!$W$285),"",ReferenceData!$W$285),"")</f>
        <v/>
      </c>
      <c r="X285" t="str">
        <f ca="1">IFERROR(IF(0=LEN(ReferenceData!$X$285),"",ReferenceData!$X$285),"")</f>
        <v/>
      </c>
      <c r="Y285" t="str">
        <f ca="1">IFERROR(IF(0=LEN(ReferenceData!$Y$285),"",ReferenceData!$Y$285),"")</f>
        <v/>
      </c>
      <c r="Z285" t="str">
        <f ca="1">IFERROR(IF(0=LEN(ReferenceData!$Z$285),"",ReferenceData!$Z$285),"")</f>
        <v/>
      </c>
      <c r="AA285" t="str">
        <f ca="1">IFERROR(IF(0=LEN(ReferenceData!$AA$285),"",ReferenceData!$AA$285),"")</f>
        <v/>
      </c>
      <c r="AB285" t="str">
        <f ca="1">IFERROR(IF(0=LEN(ReferenceData!$AB$285),"",ReferenceData!$AB$285),"")</f>
        <v/>
      </c>
      <c r="AC285" t="str">
        <f ca="1">IFERROR(IF(0=LEN(ReferenceData!$AC$285),"",ReferenceData!$AC$285),"")</f>
        <v/>
      </c>
      <c r="AD285" t="str">
        <f ca="1">IFERROR(IF(0=LEN(ReferenceData!$AD$285),"",ReferenceData!$AD$285),"")</f>
        <v/>
      </c>
      <c r="AE285" t="str">
        <f ca="1">IFERROR(IF(0=LEN(ReferenceData!$AE$285),"",ReferenceData!$AE$285),"")</f>
        <v/>
      </c>
      <c r="AF285" t="str">
        <f ca="1">IFERROR(IF(0=LEN(ReferenceData!$AF$285),"",ReferenceData!$AF$285),"")</f>
        <v/>
      </c>
      <c r="AG285" t="str">
        <f ca="1">IFERROR(IF(0=LEN(ReferenceData!$AG$285),"",ReferenceData!$AG$285),"")</f>
        <v/>
      </c>
      <c r="AH285" t="str">
        <f ca="1">IFERROR(IF(0=LEN(ReferenceData!$AH$285),"",ReferenceData!$AH$285),"")</f>
        <v/>
      </c>
      <c r="AI285" t="str">
        <f ca="1">IFERROR(IF(0=LEN(ReferenceData!$AI$285),"",ReferenceData!$AI$285),"")</f>
        <v/>
      </c>
      <c r="AJ285" t="str">
        <f ca="1">IFERROR(IF(0=LEN(ReferenceData!$AJ$285),"",ReferenceData!$AJ$285),"")</f>
        <v/>
      </c>
      <c r="AK285" t="str">
        <f ca="1">IFERROR(IF(0=LEN(ReferenceData!$AK$285),"",ReferenceData!$AK$285),"")</f>
        <v/>
      </c>
      <c r="AL285" t="str">
        <f ca="1">IFERROR(IF(0=LEN(ReferenceData!$AL$285),"",ReferenceData!$AL$285),"")</f>
        <v/>
      </c>
    </row>
    <row r="286" spans="1:38" x14ac:dyDescent="0.25">
      <c r="A286" t="str">
        <f>IFERROR(IF(0=LEN(ReferenceData!$A$286),"",ReferenceData!$A$286),"")</f>
        <v xml:space="preserve">    Financial Services Companies</v>
      </c>
      <c r="B286" t="str">
        <f>IFERROR(IF(0=LEN(ReferenceData!$B$286),"",ReferenceData!$B$286),"")</f>
        <v/>
      </c>
      <c r="C286" t="str">
        <f>IFERROR(IF(0=LEN(ReferenceData!$C$286),"",ReferenceData!$C$286),"")</f>
        <v/>
      </c>
      <c r="D286" t="str">
        <f>IFERROR(IF(0=LEN(ReferenceData!$D$286),"",ReferenceData!$D$286),"")</f>
        <v/>
      </c>
      <c r="E286" t="str">
        <f>IFERROR(IF(0=LEN(ReferenceData!$E$286),"",ReferenceData!$E$286),"")</f>
        <v>Median</v>
      </c>
      <c r="F286">
        <f ca="1">IFERROR(IF(0=LEN(ReferenceData!$F$286),"",ReferenceData!$F$286),"")</f>
        <v>9.5629836565000002</v>
      </c>
      <c r="G286">
        <f ca="1">IFERROR(IF(0=LEN(ReferenceData!$G$286),"",ReferenceData!$G$286),"")</f>
        <v>6.8381475949999997</v>
      </c>
      <c r="H286">
        <f ca="1">IFERROR(IF(0=LEN(ReferenceData!$H$286),"",ReferenceData!$H$286),"")</f>
        <v>7.2991586120000003</v>
      </c>
      <c r="I286">
        <f ca="1">IFERROR(IF(0=LEN(ReferenceData!$I$286),"",ReferenceData!$I$286),"")</f>
        <v>6.0171230539999998</v>
      </c>
      <c r="J286">
        <f ca="1">IFERROR(IF(0=LEN(ReferenceData!$J$286),"",ReferenceData!$J$286),"")</f>
        <v>5.6372241760000001</v>
      </c>
      <c r="K286">
        <f ca="1">IFERROR(IF(0=LEN(ReferenceData!$K$286),"",ReferenceData!$K$286),"")</f>
        <v>4.0743385390000002</v>
      </c>
      <c r="L286">
        <f ca="1">IFERROR(IF(0=LEN(ReferenceData!$L$286),"",ReferenceData!$L$286),"")</f>
        <v>4.0559796029999999</v>
      </c>
      <c r="M286">
        <f ca="1">IFERROR(IF(0=LEN(ReferenceData!$M$286),"",ReferenceData!$M$286),"")</f>
        <v>3.3743093919999998</v>
      </c>
      <c r="N286">
        <f ca="1">IFERROR(IF(0=LEN(ReferenceData!$N$286),"",ReferenceData!$N$286),"")</f>
        <v>3.2834418849999998</v>
      </c>
      <c r="O286">
        <f ca="1">IFERROR(IF(0=LEN(ReferenceData!$O$286),"",ReferenceData!$O$286),"")</f>
        <v>3.2834477909999999</v>
      </c>
      <c r="P286">
        <f ca="1">IFERROR(IF(0=LEN(ReferenceData!$P$286),"",ReferenceData!$P$286),"")</f>
        <v>2.9958521560000002</v>
      </c>
      <c r="Q286">
        <f ca="1">IFERROR(IF(0=LEN(ReferenceData!$Q$286),"",ReferenceData!$Q$286),"")</f>
        <v>1.876865155</v>
      </c>
      <c r="R286">
        <f ca="1">IFERROR(IF(0=LEN(ReferenceData!$R$286),"",ReferenceData!$R$286),"")</f>
        <v>1.4995604339999999</v>
      </c>
      <c r="S286">
        <f ca="1">IFERROR(IF(0=LEN(ReferenceData!$S$286),"",ReferenceData!$S$286),"")</f>
        <v>1.2140466679999999</v>
      </c>
      <c r="T286">
        <f ca="1">IFERROR(IF(0=LEN(ReferenceData!$T$286),"",ReferenceData!$T$286),"")</f>
        <v>1.0455736689999999</v>
      </c>
      <c r="U286" t="str">
        <f ca="1">IFERROR(IF(0=LEN(ReferenceData!$U$286),"",ReferenceData!$U$286),"")</f>
        <v/>
      </c>
      <c r="V286" t="str">
        <f ca="1">IFERROR(IF(0=LEN(ReferenceData!$V$286),"",ReferenceData!$V$286),"")</f>
        <v/>
      </c>
      <c r="W286" t="str">
        <f ca="1">IFERROR(IF(0=LEN(ReferenceData!$W$286),"",ReferenceData!$W$286),"")</f>
        <v/>
      </c>
      <c r="X286" t="str">
        <f ca="1">IFERROR(IF(0=LEN(ReferenceData!$X$286),"",ReferenceData!$X$286),"")</f>
        <v/>
      </c>
      <c r="Y286" t="str">
        <f ca="1">IFERROR(IF(0=LEN(ReferenceData!$Y$286),"",ReferenceData!$Y$286),"")</f>
        <v/>
      </c>
      <c r="Z286" t="str">
        <f ca="1">IFERROR(IF(0=LEN(ReferenceData!$Z$286),"",ReferenceData!$Z$286),"")</f>
        <v/>
      </c>
      <c r="AA286" t="str">
        <f ca="1">IFERROR(IF(0=LEN(ReferenceData!$AA$286),"",ReferenceData!$AA$286),"")</f>
        <v/>
      </c>
      <c r="AB286" t="str">
        <f ca="1">IFERROR(IF(0=LEN(ReferenceData!$AB$286),"",ReferenceData!$AB$286),"")</f>
        <v/>
      </c>
      <c r="AC286" t="str">
        <f ca="1">IFERROR(IF(0=LEN(ReferenceData!$AC$286),"",ReferenceData!$AC$286),"")</f>
        <v/>
      </c>
      <c r="AD286" t="str">
        <f ca="1">IFERROR(IF(0=LEN(ReferenceData!$AD$286),"",ReferenceData!$AD$286),"")</f>
        <v/>
      </c>
      <c r="AE286" t="str">
        <f ca="1">IFERROR(IF(0=LEN(ReferenceData!$AE$286),"",ReferenceData!$AE$286),"")</f>
        <v/>
      </c>
      <c r="AF286" t="str">
        <f ca="1">IFERROR(IF(0=LEN(ReferenceData!$AF$286),"",ReferenceData!$AF$286),"")</f>
        <v/>
      </c>
      <c r="AG286" t="str">
        <f ca="1">IFERROR(IF(0=LEN(ReferenceData!$AG$286),"",ReferenceData!$AG$286),"")</f>
        <v/>
      </c>
      <c r="AH286" t="str">
        <f ca="1">IFERROR(IF(0=LEN(ReferenceData!$AH$286),"",ReferenceData!$AH$286),"")</f>
        <v/>
      </c>
      <c r="AI286" t="str">
        <f ca="1">IFERROR(IF(0=LEN(ReferenceData!$AI$286),"",ReferenceData!$AI$286),"")</f>
        <v/>
      </c>
      <c r="AJ286" t="str">
        <f ca="1">IFERROR(IF(0=LEN(ReferenceData!$AJ$286),"",ReferenceData!$AJ$286),"")</f>
        <v/>
      </c>
      <c r="AK286" t="str">
        <f ca="1">IFERROR(IF(0=LEN(ReferenceData!$AK$286),"",ReferenceData!$AK$286),"")</f>
        <v/>
      </c>
      <c r="AL286" t="str">
        <f ca="1">IFERROR(IF(0=LEN(ReferenceData!$AL$286),"",ReferenceData!$AL$286),"")</f>
        <v/>
      </c>
    </row>
    <row r="287" spans="1:38" x14ac:dyDescent="0.25">
      <c r="A287" t="str">
        <f>IFERROR(IF(0=LEN(ReferenceData!$A$287),"",ReferenceData!$A$287),"")</f>
        <v xml:space="preserve">        Bank of America Corp</v>
      </c>
      <c r="B287" t="str">
        <f>IFERROR(IF(0=LEN(ReferenceData!$B$287),"",ReferenceData!$B$287),"")</f>
        <v>BAC US Equity</v>
      </c>
      <c r="C287" t="str">
        <f>IFERROR(IF(0=LEN(ReferenceData!$C$287),"",ReferenceData!$C$287),"")</f>
        <v>F0123</v>
      </c>
      <c r="D287" t="str">
        <f>IFERROR(IF(0=LEN(ReferenceData!$D$287),"",ReferenceData!$D$287),"")</f>
        <v>FED_FINL_SRVC_LNS_%_TOT_LNS_LEAS</v>
      </c>
      <c r="E287" t="str">
        <f>IFERROR(IF(0=LEN(ReferenceData!$E$287),"",ReferenceData!$E$287),"")</f>
        <v>Dynamic</v>
      </c>
      <c r="F287">
        <f ca="1">IFERROR(IF(0=LEN(ReferenceData!$F$287),"",ReferenceData!$F$287),"")</f>
        <v>10.23949657</v>
      </c>
      <c r="G287">
        <f ca="1">IFERROR(IF(0=LEN(ReferenceData!$G$287),"",ReferenceData!$G$287),"")</f>
        <v>8.9495344360000004</v>
      </c>
      <c r="H287">
        <f ca="1">IFERROR(IF(0=LEN(ReferenceData!$H$287),"",ReferenceData!$H$287),"")</f>
        <v>7.8171094170000002</v>
      </c>
      <c r="I287">
        <f ca="1">IFERROR(IF(0=LEN(ReferenceData!$I$287),"",ReferenceData!$I$287),"")</f>
        <v>7.6235418619999997</v>
      </c>
      <c r="J287">
        <f ca="1">IFERROR(IF(0=LEN(ReferenceData!$J$287),"",ReferenceData!$J$287),"")</f>
        <v>5.6372241760000001</v>
      </c>
      <c r="K287">
        <f ca="1">IFERROR(IF(0=LEN(ReferenceData!$K$287),"",ReferenceData!$K$287),"")</f>
        <v>4.7086651379999998</v>
      </c>
      <c r="L287">
        <f ca="1">IFERROR(IF(0=LEN(ReferenceData!$L$287),"",ReferenceData!$L$287),"")</f>
        <v>5.3243640220000001</v>
      </c>
      <c r="M287">
        <f ca="1">IFERROR(IF(0=LEN(ReferenceData!$M$287),"",ReferenceData!$M$287),"")</f>
        <v>4.4889463740000002</v>
      </c>
      <c r="N287">
        <f ca="1">IFERROR(IF(0=LEN(ReferenceData!$N$287),"",ReferenceData!$N$287),"")</f>
        <v>4.3352686609999997</v>
      </c>
      <c r="O287">
        <f ca="1">IFERROR(IF(0=LEN(ReferenceData!$O$287),"",ReferenceData!$O$287),"")</f>
        <v>4.588884663</v>
      </c>
      <c r="P287">
        <f ca="1">IFERROR(IF(0=LEN(ReferenceData!$P$287),"",ReferenceData!$P$287),"")</f>
        <v>3.7173420369999999</v>
      </c>
      <c r="Q287">
        <f ca="1">IFERROR(IF(0=LEN(ReferenceData!$Q$287),"",ReferenceData!$Q$287),"")</f>
        <v>1.0364345909999999</v>
      </c>
      <c r="R287">
        <f ca="1">IFERROR(IF(0=LEN(ReferenceData!$R$287),"",ReferenceData!$R$287),"")</f>
        <v>0.45091293100000002</v>
      </c>
      <c r="S287">
        <f ca="1">IFERROR(IF(0=LEN(ReferenceData!$S$287),"",ReferenceData!$S$287),"")</f>
        <v>0.44243317900000001</v>
      </c>
      <c r="T287">
        <f ca="1">IFERROR(IF(0=LEN(ReferenceData!$T$287),"",ReferenceData!$T$287),"")</f>
        <v>0.40208874900000002</v>
      </c>
      <c r="U287" t="str">
        <f ca="1">IFERROR(IF(0=LEN(ReferenceData!$U$287),"",ReferenceData!$U$287),"")</f>
        <v/>
      </c>
      <c r="V287" t="str">
        <f ca="1">IFERROR(IF(0=LEN(ReferenceData!$V$287),"",ReferenceData!$V$287),"")</f>
        <v/>
      </c>
      <c r="W287" t="str">
        <f ca="1">IFERROR(IF(0=LEN(ReferenceData!$W$287),"",ReferenceData!$W$287),"")</f>
        <v/>
      </c>
      <c r="X287" t="str">
        <f ca="1">IFERROR(IF(0=LEN(ReferenceData!$X$287),"",ReferenceData!$X$287),"")</f>
        <v/>
      </c>
      <c r="Y287" t="str">
        <f ca="1">IFERROR(IF(0=LEN(ReferenceData!$Y$287),"",ReferenceData!$Y$287),"")</f>
        <v/>
      </c>
      <c r="Z287" t="str">
        <f ca="1">IFERROR(IF(0=LEN(ReferenceData!$Z$287),"",ReferenceData!$Z$287),"")</f>
        <v/>
      </c>
      <c r="AA287" t="str">
        <f ca="1">IFERROR(IF(0=LEN(ReferenceData!$AA$287),"",ReferenceData!$AA$287),"")</f>
        <v/>
      </c>
      <c r="AB287" t="str">
        <f ca="1">IFERROR(IF(0=LEN(ReferenceData!$AB$287),"",ReferenceData!$AB$287),"")</f>
        <v/>
      </c>
      <c r="AC287" t="str">
        <f ca="1">IFERROR(IF(0=LEN(ReferenceData!$AC$287),"",ReferenceData!$AC$287),"")</f>
        <v/>
      </c>
      <c r="AD287" t="str">
        <f ca="1">IFERROR(IF(0=LEN(ReferenceData!$AD$287),"",ReferenceData!$AD$287),"")</f>
        <v/>
      </c>
      <c r="AE287" t="str">
        <f ca="1">IFERROR(IF(0=LEN(ReferenceData!$AE$287),"",ReferenceData!$AE$287),"")</f>
        <v/>
      </c>
      <c r="AF287" t="str">
        <f ca="1">IFERROR(IF(0=LEN(ReferenceData!$AF$287),"",ReferenceData!$AF$287),"")</f>
        <v/>
      </c>
      <c r="AG287" t="str">
        <f ca="1">IFERROR(IF(0=LEN(ReferenceData!$AG$287),"",ReferenceData!$AG$287),"")</f>
        <v/>
      </c>
      <c r="AH287" t="str">
        <f ca="1">IFERROR(IF(0=LEN(ReferenceData!$AH$287),"",ReferenceData!$AH$287),"")</f>
        <v/>
      </c>
      <c r="AI287" t="str">
        <f ca="1">IFERROR(IF(0=LEN(ReferenceData!$AI$287),"",ReferenceData!$AI$287),"")</f>
        <v/>
      </c>
      <c r="AJ287" t="str">
        <f ca="1">IFERROR(IF(0=LEN(ReferenceData!$AJ$287),"",ReferenceData!$AJ$287),"")</f>
        <v/>
      </c>
      <c r="AK287" t="str">
        <f ca="1">IFERROR(IF(0=LEN(ReferenceData!$AK$287),"",ReferenceData!$AK$287),"")</f>
        <v/>
      </c>
      <c r="AL287" t="str">
        <f ca="1">IFERROR(IF(0=LEN(ReferenceData!$AL$287),"",ReferenceData!$AL$287),"")</f>
        <v/>
      </c>
    </row>
    <row r="288" spans="1:38" x14ac:dyDescent="0.25">
      <c r="A288" t="str">
        <f>IFERROR(IF(0=LEN(ReferenceData!$A$288),"",ReferenceData!$A$288),"")</f>
        <v xml:space="preserve">        Citigroup Inc</v>
      </c>
      <c r="B288" t="str">
        <f>IFERROR(IF(0=LEN(ReferenceData!$B$288),"",ReferenceData!$B$288),"")</f>
        <v>C US Equity</v>
      </c>
      <c r="C288" t="str">
        <f>IFERROR(IF(0=LEN(ReferenceData!$C$288),"",ReferenceData!$C$288),"")</f>
        <v>F0123</v>
      </c>
      <c r="D288" t="str">
        <f>IFERROR(IF(0=LEN(ReferenceData!$D$288),"",ReferenceData!$D$288),"")</f>
        <v>FED_FINL_SRVC_LNS_%_TOT_LNS_LEAS</v>
      </c>
      <c r="E288" t="str">
        <f>IFERROR(IF(0=LEN(ReferenceData!$E$288),"",ReferenceData!$E$288),"")</f>
        <v>Dynamic</v>
      </c>
      <c r="F288">
        <f ca="1">IFERROR(IF(0=LEN(ReferenceData!$F$288),"",ReferenceData!$F$288),"")</f>
        <v>14.839339519999999</v>
      </c>
      <c r="G288">
        <f ca="1">IFERROR(IF(0=LEN(ReferenceData!$G$288),"",ReferenceData!$G$288),"")</f>
        <v>14.94822274</v>
      </c>
      <c r="H288">
        <f ca="1">IFERROR(IF(0=LEN(ReferenceData!$H$288),"",ReferenceData!$H$288),"")</f>
        <v>11.91252804</v>
      </c>
      <c r="I288">
        <f ca="1">IFERROR(IF(0=LEN(ReferenceData!$I$288),"",ReferenceData!$I$288),"")</f>
        <v>13.274764230000001</v>
      </c>
      <c r="J288">
        <f ca="1">IFERROR(IF(0=LEN(ReferenceData!$J$288),"",ReferenceData!$J$288),"")</f>
        <v>11.732048580000001</v>
      </c>
      <c r="K288">
        <f ca="1">IFERROR(IF(0=LEN(ReferenceData!$K$288),"",ReferenceData!$K$288),"")</f>
        <v>10.707378500000001</v>
      </c>
      <c r="L288">
        <f ca="1">IFERROR(IF(0=LEN(ReferenceData!$L$288),"",ReferenceData!$L$288),"")</f>
        <v>9.4368458119999996</v>
      </c>
      <c r="M288">
        <f ca="1">IFERROR(IF(0=LEN(ReferenceData!$M$288),"",ReferenceData!$M$288),"")</f>
        <v>8.1177222170000007</v>
      </c>
      <c r="N288">
        <f ca="1">IFERROR(IF(0=LEN(ReferenceData!$N$288),"",ReferenceData!$N$288),"")</f>
        <v>7.6806005549999998</v>
      </c>
      <c r="O288">
        <f ca="1">IFERROR(IF(0=LEN(ReferenceData!$O$288),"",ReferenceData!$O$288),"")</f>
        <v>6.9059923569999997</v>
      </c>
      <c r="P288">
        <f ca="1">IFERROR(IF(0=LEN(ReferenceData!$P$288),"",ReferenceData!$P$288),"")</f>
        <v>6.6569373970000001</v>
      </c>
      <c r="Q288">
        <f ca="1">IFERROR(IF(0=LEN(ReferenceData!$Q$288),"",ReferenceData!$Q$288),"")</f>
        <v>5.2044730079999999</v>
      </c>
      <c r="R288">
        <f ca="1">IFERROR(IF(0=LEN(ReferenceData!$R$288),"",ReferenceData!$R$288),"")</f>
        <v>4.5629038299999998</v>
      </c>
      <c r="S288">
        <f ca="1">IFERROR(IF(0=LEN(ReferenceData!$S$288),"",ReferenceData!$S$288),"")</f>
        <v>3.3331809109999999</v>
      </c>
      <c r="T288">
        <f ca="1">IFERROR(IF(0=LEN(ReferenceData!$T$288),"",ReferenceData!$T$288),"")</f>
        <v>2.2486314080000001</v>
      </c>
      <c r="U288" t="str">
        <f ca="1">IFERROR(IF(0=LEN(ReferenceData!$U$288),"",ReferenceData!$U$288),"")</f>
        <v/>
      </c>
      <c r="V288" t="str">
        <f ca="1">IFERROR(IF(0=LEN(ReferenceData!$V$288),"",ReferenceData!$V$288),"")</f>
        <v/>
      </c>
      <c r="W288" t="str">
        <f ca="1">IFERROR(IF(0=LEN(ReferenceData!$W$288),"",ReferenceData!$W$288),"")</f>
        <v/>
      </c>
      <c r="X288" t="str">
        <f ca="1">IFERROR(IF(0=LEN(ReferenceData!$X$288),"",ReferenceData!$X$288),"")</f>
        <v/>
      </c>
      <c r="Y288" t="str">
        <f ca="1">IFERROR(IF(0=LEN(ReferenceData!$Y$288),"",ReferenceData!$Y$288),"")</f>
        <v/>
      </c>
      <c r="Z288" t="str">
        <f ca="1">IFERROR(IF(0=LEN(ReferenceData!$Z$288),"",ReferenceData!$Z$288),"")</f>
        <v/>
      </c>
      <c r="AA288" t="str">
        <f ca="1">IFERROR(IF(0=LEN(ReferenceData!$AA$288),"",ReferenceData!$AA$288),"")</f>
        <v/>
      </c>
      <c r="AB288" t="str">
        <f ca="1">IFERROR(IF(0=LEN(ReferenceData!$AB$288),"",ReferenceData!$AB$288),"")</f>
        <v/>
      </c>
      <c r="AC288" t="str">
        <f ca="1">IFERROR(IF(0=LEN(ReferenceData!$AC$288),"",ReferenceData!$AC$288),"")</f>
        <v/>
      </c>
      <c r="AD288" t="str">
        <f ca="1">IFERROR(IF(0=LEN(ReferenceData!$AD$288),"",ReferenceData!$AD$288),"")</f>
        <v/>
      </c>
      <c r="AE288" t="str">
        <f ca="1">IFERROR(IF(0=LEN(ReferenceData!$AE$288),"",ReferenceData!$AE$288),"")</f>
        <v/>
      </c>
      <c r="AF288" t="str">
        <f ca="1">IFERROR(IF(0=LEN(ReferenceData!$AF$288),"",ReferenceData!$AF$288),"")</f>
        <v/>
      </c>
      <c r="AG288" t="str">
        <f ca="1">IFERROR(IF(0=LEN(ReferenceData!$AG$288),"",ReferenceData!$AG$288),"")</f>
        <v/>
      </c>
      <c r="AH288" t="str">
        <f ca="1">IFERROR(IF(0=LEN(ReferenceData!$AH$288),"",ReferenceData!$AH$288),"")</f>
        <v/>
      </c>
      <c r="AI288" t="str">
        <f ca="1">IFERROR(IF(0=LEN(ReferenceData!$AI$288),"",ReferenceData!$AI$288),"")</f>
        <v/>
      </c>
      <c r="AJ288" t="str">
        <f ca="1">IFERROR(IF(0=LEN(ReferenceData!$AJ$288),"",ReferenceData!$AJ$288),"")</f>
        <v/>
      </c>
      <c r="AK288" t="str">
        <f ca="1">IFERROR(IF(0=LEN(ReferenceData!$AK$288),"",ReferenceData!$AK$288),"")</f>
        <v/>
      </c>
      <c r="AL288" t="str">
        <f ca="1">IFERROR(IF(0=LEN(ReferenceData!$AL$288),"",ReferenceData!$AL$288),"")</f>
        <v/>
      </c>
    </row>
    <row r="289" spans="1:38" x14ac:dyDescent="0.25">
      <c r="A289" t="str">
        <f>IFERROR(IF(0=LEN(ReferenceData!$A$289),"",ReferenceData!$A$289),"")</f>
        <v xml:space="preserve">        Citizens Financial Group Inc</v>
      </c>
      <c r="B289" t="str">
        <f>IFERROR(IF(0=LEN(ReferenceData!$B$289),"",ReferenceData!$B$289),"")</f>
        <v>CFG US Equity</v>
      </c>
      <c r="C289" t="str">
        <f>IFERROR(IF(0=LEN(ReferenceData!$C$289),"",ReferenceData!$C$289),"")</f>
        <v>F0123</v>
      </c>
      <c r="D289" t="str">
        <f>IFERROR(IF(0=LEN(ReferenceData!$D$289),"",ReferenceData!$D$289),"")</f>
        <v>FED_FINL_SRVC_LNS_%_TOT_LNS_LEAS</v>
      </c>
      <c r="E289" t="str">
        <f>IFERROR(IF(0=LEN(ReferenceData!$E$289),"",ReferenceData!$E$289),"")</f>
        <v>Dynamic</v>
      </c>
      <c r="F289">
        <f ca="1">IFERROR(IF(0=LEN(ReferenceData!$F$289),"",ReferenceData!$F$289),"")</f>
        <v>9.2130361670000003</v>
      </c>
      <c r="G289">
        <f ca="1">IFERROR(IF(0=LEN(ReferenceData!$G$289),"",ReferenceData!$G$289),"")</f>
        <v>1.5414086549999999</v>
      </c>
      <c r="H289">
        <f ca="1">IFERROR(IF(0=LEN(ReferenceData!$H$289),"",ReferenceData!$H$289),"")</f>
        <v>1.365921553</v>
      </c>
      <c r="I289">
        <f ca="1">IFERROR(IF(0=LEN(ReferenceData!$I$289),"",ReferenceData!$I$289),"")</f>
        <v>1.6233074830000001</v>
      </c>
      <c r="J289">
        <f ca="1">IFERROR(IF(0=LEN(ReferenceData!$J$289),"",ReferenceData!$J$289),"")</f>
        <v>1.626928613</v>
      </c>
      <c r="K289">
        <f ca="1">IFERROR(IF(0=LEN(ReferenceData!$K$289),"",ReferenceData!$K$289),"")</f>
        <v>2.0174977109999999</v>
      </c>
      <c r="L289">
        <f ca="1">IFERROR(IF(0=LEN(ReferenceData!$L$289),"",ReferenceData!$L$289),"")</f>
        <v>1.8584335750000001</v>
      </c>
      <c r="M289">
        <f ca="1">IFERROR(IF(0=LEN(ReferenceData!$M$289),"",ReferenceData!$M$289),"")</f>
        <v>2.0758350499999998</v>
      </c>
      <c r="N289">
        <f ca="1">IFERROR(IF(0=LEN(ReferenceData!$N$289),"",ReferenceData!$N$289),"")</f>
        <v>2.3714669989999999</v>
      </c>
      <c r="O289">
        <f ca="1">IFERROR(IF(0=LEN(ReferenceData!$O$289),"",ReferenceData!$O$289),"")</f>
        <v>2.5829211750000001</v>
      </c>
      <c r="P289">
        <f ca="1">IFERROR(IF(0=LEN(ReferenceData!$P$289),"",ReferenceData!$P$289),"")</f>
        <v>2.2413312209999998</v>
      </c>
      <c r="Q289">
        <f ca="1">IFERROR(IF(0=LEN(ReferenceData!$Q$289),"",ReferenceData!$Q$289),"")</f>
        <v>1.6693820029999999</v>
      </c>
      <c r="R289">
        <f ca="1">IFERROR(IF(0=LEN(ReferenceData!$R$289),"",ReferenceData!$R$289),"")</f>
        <v>1.2019617119999999</v>
      </c>
      <c r="S289">
        <f ca="1">IFERROR(IF(0=LEN(ReferenceData!$S$289),"",ReferenceData!$S$289),"")</f>
        <v>0.65421641799999997</v>
      </c>
      <c r="T289">
        <f ca="1">IFERROR(IF(0=LEN(ReferenceData!$T$289),"",ReferenceData!$T$289),"")</f>
        <v>0.62476674200000004</v>
      </c>
      <c r="U289" t="str">
        <f ca="1">IFERROR(IF(0=LEN(ReferenceData!$U$289),"",ReferenceData!$U$289),"")</f>
        <v/>
      </c>
      <c r="V289" t="str">
        <f ca="1">IFERROR(IF(0=LEN(ReferenceData!$V$289),"",ReferenceData!$V$289),"")</f>
        <v/>
      </c>
      <c r="W289" t="str">
        <f ca="1">IFERROR(IF(0=LEN(ReferenceData!$W$289),"",ReferenceData!$W$289),"")</f>
        <v/>
      </c>
      <c r="X289" t="str">
        <f ca="1">IFERROR(IF(0=LEN(ReferenceData!$X$289),"",ReferenceData!$X$289),"")</f>
        <v/>
      </c>
      <c r="Y289" t="str">
        <f ca="1">IFERROR(IF(0=LEN(ReferenceData!$Y$289),"",ReferenceData!$Y$289),"")</f>
        <v/>
      </c>
      <c r="Z289" t="str">
        <f ca="1">IFERROR(IF(0=LEN(ReferenceData!$Z$289),"",ReferenceData!$Z$289),"")</f>
        <v/>
      </c>
      <c r="AA289" t="str">
        <f ca="1">IFERROR(IF(0=LEN(ReferenceData!$AA$289),"",ReferenceData!$AA$289),"")</f>
        <v/>
      </c>
      <c r="AB289" t="str">
        <f ca="1">IFERROR(IF(0=LEN(ReferenceData!$AB$289),"",ReferenceData!$AB$289),"")</f>
        <v/>
      </c>
      <c r="AC289" t="str">
        <f ca="1">IFERROR(IF(0=LEN(ReferenceData!$AC$289),"",ReferenceData!$AC$289),"")</f>
        <v/>
      </c>
      <c r="AD289" t="str">
        <f ca="1">IFERROR(IF(0=LEN(ReferenceData!$AD$289),"",ReferenceData!$AD$289),"")</f>
        <v/>
      </c>
      <c r="AE289" t="str">
        <f ca="1">IFERROR(IF(0=LEN(ReferenceData!$AE$289),"",ReferenceData!$AE$289),"")</f>
        <v/>
      </c>
      <c r="AF289" t="str">
        <f ca="1">IFERROR(IF(0=LEN(ReferenceData!$AF$289),"",ReferenceData!$AF$289),"")</f>
        <v/>
      </c>
      <c r="AG289" t="str">
        <f ca="1">IFERROR(IF(0=LEN(ReferenceData!$AG$289),"",ReferenceData!$AG$289),"")</f>
        <v/>
      </c>
      <c r="AH289" t="str">
        <f ca="1">IFERROR(IF(0=LEN(ReferenceData!$AH$289),"",ReferenceData!$AH$289),"")</f>
        <v/>
      </c>
      <c r="AI289" t="str">
        <f ca="1">IFERROR(IF(0=LEN(ReferenceData!$AI$289),"",ReferenceData!$AI$289),"")</f>
        <v/>
      </c>
      <c r="AJ289" t="str">
        <f ca="1">IFERROR(IF(0=LEN(ReferenceData!$AJ$289),"",ReferenceData!$AJ$289),"")</f>
        <v/>
      </c>
      <c r="AK289" t="str">
        <f ca="1">IFERROR(IF(0=LEN(ReferenceData!$AK$289),"",ReferenceData!$AK$289),"")</f>
        <v/>
      </c>
      <c r="AL289" t="str">
        <f ca="1">IFERROR(IF(0=LEN(ReferenceData!$AL$289),"",ReferenceData!$AL$289),"")</f>
        <v/>
      </c>
    </row>
    <row r="290" spans="1:38" x14ac:dyDescent="0.25">
      <c r="A290" t="str">
        <f>IFERROR(IF(0=LEN(ReferenceData!$A$290),"",ReferenceData!$A$290),"")</f>
        <v xml:space="preserve">        Capital One Financial Corp</v>
      </c>
      <c r="B290" t="str">
        <f>IFERROR(IF(0=LEN(ReferenceData!$B$290),"",ReferenceData!$B$290),"")</f>
        <v>COF US Equity</v>
      </c>
      <c r="C290" t="str">
        <f>IFERROR(IF(0=LEN(ReferenceData!$C$290),"",ReferenceData!$C$290),"")</f>
        <v>F0123</v>
      </c>
      <c r="D290" t="str">
        <f>IFERROR(IF(0=LEN(ReferenceData!$D$290),"",ReferenceData!$D$290),"")</f>
        <v>FED_FINL_SRVC_LNS_%_TOT_LNS_LEAS</v>
      </c>
      <c r="E290" t="str">
        <f>IFERROR(IF(0=LEN(ReferenceData!$E$290),"",ReferenceData!$E$290),"")</f>
        <v>Dynamic</v>
      </c>
      <c r="F290">
        <f ca="1">IFERROR(IF(0=LEN(ReferenceData!$F$290),"",ReferenceData!$F$290),"")</f>
        <v>6.6670817150000001</v>
      </c>
      <c r="G290">
        <f ca="1">IFERROR(IF(0=LEN(ReferenceData!$G$290),"",ReferenceData!$G$290),"")</f>
        <v>6.5667272749999999</v>
      </c>
      <c r="H290">
        <f ca="1">IFERROR(IF(0=LEN(ReferenceData!$H$290),"",ReferenceData!$H$290),"")</f>
        <v>6.8439546729999998</v>
      </c>
      <c r="I290">
        <f ca="1">IFERROR(IF(0=LEN(ReferenceData!$I$290),"",ReferenceData!$I$290),"")</f>
        <v>6.0171230539999998</v>
      </c>
      <c r="J290">
        <f ca="1">IFERROR(IF(0=LEN(ReferenceData!$J$290),"",ReferenceData!$J$290),"")</f>
        <v>4.8369631479999997</v>
      </c>
      <c r="K290">
        <f ca="1">IFERROR(IF(0=LEN(ReferenceData!$K$290),"",ReferenceData!$K$290),"")</f>
        <v>4.0743385390000002</v>
      </c>
      <c r="L290">
        <f ca="1">IFERROR(IF(0=LEN(ReferenceData!$L$290),"",ReferenceData!$L$290),"")</f>
        <v>4.454811072</v>
      </c>
      <c r="M290">
        <f ca="1">IFERROR(IF(0=LEN(ReferenceData!$M$290),"",ReferenceData!$M$290),"")</f>
        <v>3.9046434109999999</v>
      </c>
      <c r="N290">
        <f ca="1">IFERROR(IF(0=LEN(ReferenceData!$N$290),"",ReferenceData!$N$290),"")</f>
        <v>4.4037057700000002</v>
      </c>
      <c r="O290">
        <f ca="1">IFERROR(IF(0=LEN(ReferenceData!$O$290),"",ReferenceData!$O$290),"")</f>
        <v>4.5283660540000001</v>
      </c>
      <c r="P290">
        <f ca="1">IFERROR(IF(0=LEN(ReferenceData!$P$290),"",ReferenceData!$P$290),"")</f>
        <v>3.2997526599999998</v>
      </c>
      <c r="Q290">
        <f ca="1">IFERROR(IF(0=LEN(ReferenceData!$Q$290),"",ReferenceData!$Q$290),"")</f>
        <v>2.6224704980000002</v>
      </c>
      <c r="R290">
        <f ca="1">IFERROR(IF(0=LEN(ReferenceData!$R$290),"",ReferenceData!$R$290),"")</f>
        <v>1.791496108</v>
      </c>
      <c r="S290">
        <f ca="1">IFERROR(IF(0=LEN(ReferenceData!$S$290),"",ReferenceData!$S$290),"")</f>
        <v>1.1931515479999999</v>
      </c>
      <c r="T290">
        <f ca="1">IFERROR(IF(0=LEN(ReferenceData!$T$290),"",ReferenceData!$T$290),"")</f>
        <v>0.93634334799999996</v>
      </c>
      <c r="U290" t="str">
        <f ca="1">IFERROR(IF(0=LEN(ReferenceData!$U$290),"",ReferenceData!$U$290),"")</f>
        <v/>
      </c>
      <c r="V290" t="str">
        <f ca="1">IFERROR(IF(0=LEN(ReferenceData!$V$290),"",ReferenceData!$V$290),"")</f>
        <v/>
      </c>
      <c r="W290" t="str">
        <f ca="1">IFERROR(IF(0=LEN(ReferenceData!$W$290),"",ReferenceData!$W$290),"")</f>
        <v/>
      </c>
      <c r="X290" t="str">
        <f ca="1">IFERROR(IF(0=LEN(ReferenceData!$X$290),"",ReferenceData!$X$290),"")</f>
        <v/>
      </c>
      <c r="Y290" t="str">
        <f ca="1">IFERROR(IF(0=LEN(ReferenceData!$Y$290),"",ReferenceData!$Y$290),"")</f>
        <v/>
      </c>
      <c r="Z290" t="str">
        <f ca="1">IFERROR(IF(0=LEN(ReferenceData!$Z$290),"",ReferenceData!$Z$290),"")</f>
        <v/>
      </c>
      <c r="AA290" t="str">
        <f ca="1">IFERROR(IF(0=LEN(ReferenceData!$AA$290),"",ReferenceData!$AA$290),"")</f>
        <v/>
      </c>
      <c r="AB290" t="str">
        <f ca="1">IFERROR(IF(0=LEN(ReferenceData!$AB$290),"",ReferenceData!$AB$290),"")</f>
        <v/>
      </c>
      <c r="AC290" t="str">
        <f ca="1">IFERROR(IF(0=LEN(ReferenceData!$AC$290),"",ReferenceData!$AC$290),"")</f>
        <v/>
      </c>
      <c r="AD290" t="str">
        <f ca="1">IFERROR(IF(0=LEN(ReferenceData!$AD$290),"",ReferenceData!$AD$290),"")</f>
        <v/>
      </c>
      <c r="AE290" t="str">
        <f ca="1">IFERROR(IF(0=LEN(ReferenceData!$AE$290),"",ReferenceData!$AE$290),"")</f>
        <v/>
      </c>
      <c r="AF290" t="str">
        <f ca="1">IFERROR(IF(0=LEN(ReferenceData!$AF$290),"",ReferenceData!$AF$290),"")</f>
        <v/>
      </c>
      <c r="AG290" t="str">
        <f ca="1">IFERROR(IF(0=LEN(ReferenceData!$AG$290),"",ReferenceData!$AG$290),"")</f>
        <v/>
      </c>
      <c r="AH290" t="str">
        <f ca="1">IFERROR(IF(0=LEN(ReferenceData!$AH$290),"",ReferenceData!$AH$290),"")</f>
        <v/>
      </c>
      <c r="AI290" t="str">
        <f ca="1">IFERROR(IF(0=LEN(ReferenceData!$AI$290),"",ReferenceData!$AI$290),"")</f>
        <v/>
      </c>
      <c r="AJ290" t="str">
        <f ca="1">IFERROR(IF(0=LEN(ReferenceData!$AJ$290),"",ReferenceData!$AJ$290),"")</f>
        <v/>
      </c>
      <c r="AK290" t="str">
        <f ca="1">IFERROR(IF(0=LEN(ReferenceData!$AK$290),"",ReferenceData!$AK$290),"")</f>
        <v/>
      </c>
      <c r="AL290" t="str">
        <f ca="1">IFERROR(IF(0=LEN(ReferenceData!$AL$290),"",ReferenceData!$AL$290),"")</f>
        <v/>
      </c>
    </row>
    <row r="291" spans="1:38" x14ac:dyDescent="0.25">
      <c r="A291" t="str">
        <f>IFERROR(IF(0=LEN(ReferenceData!$A$291),"",ReferenceData!$A$291),"")</f>
        <v xml:space="preserve">        Comerica Inc</v>
      </c>
      <c r="B291" t="str">
        <f>IFERROR(IF(0=LEN(ReferenceData!$B$291),"",ReferenceData!$B$291),"")</f>
        <v>CMA US Equity</v>
      </c>
      <c r="C291" t="str">
        <f>IFERROR(IF(0=LEN(ReferenceData!$C$291),"",ReferenceData!$C$291),"")</f>
        <v>F0123</v>
      </c>
      <c r="D291" t="str">
        <f>IFERROR(IF(0=LEN(ReferenceData!$D$291),"",ReferenceData!$D$291),"")</f>
        <v>FED_FINL_SRVC_LNS_%_TOT_LNS_LEAS</v>
      </c>
      <c r="E291" t="str">
        <f>IFERROR(IF(0=LEN(ReferenceData!$E$291),"",ReferenceData!$E$291),"")</f>
        <v>Dynamic</v>
      </c>
      <c r="F291" t="str">
        <f ca="1">IFERROR(IF(0=LEN(ReferenceData!$F$291),"",ReferenceData!$F$291),"")</f>
        <v/>
      </c>
      <c r="G291">
        <f ca="1">IFERROR(IF(0=LEN(ReferenceData!$G$291),"",ReferenceData!$G$291),"")</f>
        <v>6.7761963889999999</v>
      </c>
      <c r="H291">
        <f ca="1">IFERROR(IF(0=LEN(ReferenceData!$H$291),"",ReferenceData!$H$291),"")</f>
        <v>11.812070479999999</v>
      </c>
      <c r="I291">
        <f ca="1">IFERROR(IF(0=LEN(ReferenceData!$I$291),"",ReferenceData!$I$291),"")</f>
        <v>15.22996084</v>
      </c>
      <c r="J291">
        <f ca="1">IFERROR(IF(0=LEN(ReferenceData!$J$291),"",ReferenceData!$J$291),"")</f>
        <v>15.57671715</v>
      </c>
      <c r="K291">
        <f ca="1">IFERROR(IF(0=LEN(ReferenceData!$K$291),"",ReferenceData!$K$291),"")</f>
        <v>12.970462120000001</v>
      </c>
      <c r="L291">
        <f ca="1">IFERROR(IF(0=LEN(ReferenceData!$L$291),"",ReferenceData!$L$291),"")</f>
        <v>11.44940884</v>
      </c>
      <c r="M291">
        <f ca="1">IFERROR(IF(0=LEN(ReferenceData!$M$291),"",ReferenceData!$M$291),"")</f>
        <v>9.8091259869999998</v>
      </c>
      <c r="N291">
        <f ca="1">IFERROR(IF(0=LEN(ReferenceData!$N$291),"",ReferenceData!$N$291),"")</f>
        <v>10.21702541</v>
      </c>
      <c r="O291">
        <f ca="1">IFERROR(IF(0=LEN(ReferenceData!$O$291),"",ReferenceData!$O$291),"")</f>
        <v>10.0061064</v>
      </c>
      <c r="P291">
        <f ca="1">IFERROR(IF(0=LEN(ReferenceData!$P$291),"",ReferenceData!$P$291),"")</f>
        <v>7.5799064940000003</v>
      </c>
      <c r="Q291">
        <f ca="1">IFERROR(IF(0=LEN(ReferenceData!$Q$291),"",ReferenceData!$Q$291),"")</f>
        <v>6.1681622809999999</v>
      </c>
      <c r="R291">
        <f ca="1">IFERROR(IF(0=LEN(ReferenceData!$R$291),"",ReferenceData!$R$291),"")</f>
        <v>8.9354625680000002</v>
      </c>
      <c r="S291">
        <f ca="1">IFERROR(IF(0=LEN(ReferenceData!$S$291),"",ReferenceData!$S$291),"")</f>
        <v>5.5510601780000002</v>
      </c>
      <c r="T291">
        <f ca="1">IFERROR(IF(0=LEN(ReferenceData!$T$291),"",ReferenceData!$T$291),"")</f>
        <v>3.4429840820000002</v>
      </c>
      <c r="U291" t="str">
        <f ca="1">IFERROR(IF(0=LEN(ReferenceData!$U$291),"",ReferenceData!$U$291),"")</f>
        <v/>
      </c>
      <c r="V291" t="str">
        <f ca="1">IFERROR(IF(0=LEN(ReferenceData!$V$291),"",ReferenceData!$V$291),"")</f>
        <v/>
      </c>
      <c r="W291" t="str">
        <f ca="1">IFERROR(IF(0=LEN(ReferenceData!$W$291),"",ReferenceData!$W$291),"")</f>
        <v/>
      </c>
      <c r="X291" t="str">
        <f ca="1">IFERROR(IF(0=LEN(ReferenceData!$X$291),"",ReferenceData!$X$291),"")</f>
        <v/>
      </c>
      <c r="Y291" t="str">
        <f ca="1">IFERROR(IF(0=LEN(ReferenceData!$Y$291),"",ReferenceData!$Y$291),"")</f>
        <v/>
      </c>
      <c r="Z291" t="str">
        <f ca="1">IFERROR(IF(0=LEN(ReferenceData!$Z$291),"",ReferenceData!$Z$291),"")</f>
        <v/>
      </c>
      <c r="AA291" t="str">
        <f ca="1">IFERROR(IF(0=LEN(ReferenceData!$AA$291),"",ReferenceData!$AA$291),"")</f>
        <v/>
      </c>
      <c r="AB291" t="str">
        <f ca="1">IFERROR(IF(0=LEN(ReferenceData!$AB$291),"",ReferenceData!$AB$291),"")</f>
        <v/>
      </c>
      <c r="AC291" t="str">
        <f ca="1">IFERROR(IF(0=LEN(ReferenceData!$AC$291),"",ReferenceData!$AC$291),"")</f>
        <v/>
      </c>
      <c r="AD291" t="str">
        <f ca="1">IFERROR(IF(0=LEN(ReferenceData!$AD$291),"",ReferenceData!$AD$291),"")</f>
        <v/>
      </c>
      <c r="AE291" t="str">
        <f ca="1">IFERROR(IF(0=LEN(ReferenceData!$AE$291),"",ReferenceData!$AE$291),"")</f>
        <v/>
      </c>
      <c r="AF291" t="str">
        <f ca="1">IFERROR(IF(0=LEN(ReferenceData!$AF$291),"",ReferenceData!$AF$291),"")</f>
        <v/>
      </c>
      <c r="AG291" t="str">
        <f ca="1">IFERROR(IF(0=LEN(ReferenceData!$AG$291),"",ReferenceData!$AG$291),"")</f>
        <v/>
      </c>
      <c r="AH291" t="str">
        <f ca="1">IFERROR(IF(0=LEN(ReferenceData!$AH$291),"",ReferenceData!$AH$291),"")</f>
        <v/>
      </c>
      <c r="AI291" t="str">
        <f ca="1">IFERROR(IF(0=LEN(ReferenceData!$AI$291),"",ReferenceData!$AI$291),"")</f>
        <v/>
      </c>
      <c r="AJ291" t="str">
        <f ca="1">IFERROR(IF(0=LEN(ReferenceData!$AJ$291),"",ReferenceData!$AJ$291),"")</f>
        <v/>
      </c>
      <c r="AK291" t="str">
        <f ca="1">IFERROR(IF(0=LEN(ReferenceData!$AK$291),"",ReferenceData!$AK$291),"")</f>
        <v/>
      </c>
      <c r="AL291" t="str">
        <f ca="1">IFERROR(IF(0=LEN(ReferenceData!$AL$291),"",ReferenceData!$AL$291),"")</f>
        <v/>
      </c>
    </row>
    <row r="292" spans="1:38" x14ac:dyDescent="0.25">
      <c r="A292" t="str">
        <f>IFERROR(IF(0=LEN(ReferenceData!$A$292),"",ReferenceData!$A$292),"")</f>
        <v xml:space="preserve">        East West Bancorp Inc</v>
      </c>
      <c r="B292" t="str">
        <f>IFERROR(IF(0=LEN(ReferenceData!$B$292),"",ReferenceData!$B$292),"")</f>
        <v>EWBC US Equity</v>
      </c>
      <c r="C292" t="str">
        <f>IFERROR(IF(0=LEN(ReferenceData!$C$292),"",ReferenceData!$C$292),"")</f>
        <v>F0123</v>
      </c>
      <c r="D292" t="str">
        <f>IFERROR(IF(0=LEN(ReferenceData!$D$292),"",ReferenceData!$D$292),"")</f>
        <v>FED_FINL_SRVC_LNS_%_TOT_LNS_LEAS</v>
      </c>
      <c r="E292" t="str">
        <f>IFERROR(IF(0=LEN(ReferenceData!$E$292),"",ReferenceData!$E$292),"")</f>
        <v>Dynamic</v>
      </c>
      <c r="F292" t="str">
        <f ca="1">IFERROR(IF(0=LEN(ReferenceData!$F$292),"",ReferenceData!$F$292),"")</f>
        <v/>
      </c>
      <c r="G292">
        <f ca="1">IFERROR(IF(0=LEN(ReferenceData!$G$292),"",ReferenceData!$G$292),"")</f>
        <v>10.383029609999999</v>
      </c>
      <c r="H292">
        <f ca="1">IFERROR(IF(0=LEN(ReferenceData!$H$292),"",ReferenceData!$H$292),"")</f>
        <v>9.8198153319999992</v>
      </c>
      <c r="I292">
        <f ca="1">IFERROR(IF(0=LEN(ReferenceData!$I$292),"",ReferenceData!$I$292),"")</f>
        <v>7.4760987419999996</v>
      </c>
      <c r="J292">
        <f ca="1">IFERROR(IF(0=LEN(ReferenceData!$J$292),"",ReferenceData!$J$292),"")</f>
        <v>5.7077731600000003</v>
      </c>
      <c r="K292">
        <f ca="1">IFERROR(IF(0=LEN(ReferenceData!$K$292),"",ReferenceData!$K$292),"")</f>
        <v>3.790715729</v>
      </c>
      <c r="L292">
        <f ca="1">IFERROR(IF(0=LEN(ReferenceData!$L$292),"",ReferenceData!$L$292),"")</f>
        <v>4.0559796029999999</v>
      </c>
      <c r="M292">
        <f ca="1">IFERROR(IF(0=LEN(ReferenceData!$M$292),"",ReferenceData!$M$292),"")</f>
        <v>2.7454052949999999</v>
      </c>
      <c r="N292">
        <f ca="1">IFERROR(IF(0=LEN(ReferenceData!$N$292),"",ReferenceData!$N$292),"")</f>
        <v>2.2462336920000001</v>
      </c>
      <c r="O292">
        <f ca="1">IFERROR(IF(0=LEN(ReferenceData!$O$292),"",ReferenceData!$O$292),"")</f>
        <v>2.5279099629999999</v>
      </c>
      <c r="P292">
        <f ca="1">IFERROR(IF(0=LEN(ReferenceData!$P$292),"",ReferenceData!$P$292),"")</f>
        <v>2.3346235389999999</v>
      </c>
      <c r="Q292">
        <f ca="1">IFERROR(IF(0=LEN(ReferenceData!$Q$292),"",ReferenceData!$Q$292),"")</f>
        <v>0</v>
      </c>
      <c r="R292">
        <f ca="1">IFERROR(IF(0=LEN(ReferenceData!$R$292),"",ReferenceData!$R$292),"")</f>
        <v>0</v>
      </c>
      <c r="S292">
        <f ca="1">IFERROR(IF(0=LEN(ReferenceData!$S$292),"",ReferenceData!$S$292),"")</f>
        <v>0</v>
      </c>
      <c r="T292">
        <f ca="1">IFERROR(IF(0=LEN(ReferenceData!$T$292),"",ReferenceData!$T$292),"")</f>
        <v>0</v>
      </c>
      <c r="U292" t="str">
        <f ca="1">IFERROR(IF(0=LEN(ReferenceData!$U$292),"",ReferenceData!$U$292),"")</f>
        <v/>
      </c>
      <c r="V292" t="str">
        <f ca="1">IFERROR(IF(0=LEN(ReferenceData!$V$292),"",ReferenceData!$V$292),"")</f>
        <v/>
      </c>
      <c r="W292" t="str">
        <f ca="1">IFERROR(IF(0=LEN(ReferenceData!$W$292),"",ReferenceData!$W$292),"")</f>
        <v/>
      </c>
      <c r="X292" t="str">
        <f ca="1">IFERROR(IF(0=LEN(ReferenceData!$X$292),"",ReferenceData!$X$292),"")</f>
        <v/>
      </c>
      <c r="Y292" t="str">
        <f ca="1">IFERROR(IF(0=LEN(ReferenceData!$Y$292),"",ReferenceData!$Y$292),"")</f>
        <v/>
      </c>
      <c r="Z292" t="str">
        <f ca="1">IFERROR(IF(0=LEN(ReferenceData!$Z$292),"",ReferenceData!$Z$292),"")</f>
        <v/>
      </c>
      <c r="AA292" t="str">
        <f ca="1">IFERROR(IF(0=LEN(ReferenceData!$AA$292),"",ReferenceData!$AA$292),"")</f>
        <v/>
      </c>
      <c r="AB292" t="str">
        <f ca="1">IFERROR(IF(0=LEN(ReferenceData!$AB$292),"",ReferenceData!$AB$292),"")</f>
        <v/>
      </c>
      <c r="AC292" t="str">
        <f ca="1">IFERROR(IF(0=LEN(ReferenceData!$AC$292),"",ReferenceData!$AC$292),"")</f>
        <v/>
      </c>
      <c r="AD292" t="str">
        <f ca="1">IFERROR(IF(0=LEN(ReferenceData!$AD$292),"",ReferenceData!$AD$292),"")</f>
        <v/>
      </c>
      <c r="AE292" t="str">
        <f ca="1">IFERROR(IF(0=LEN(ReferenceData!$AE$292),"",ReferenceData!$AE$292),"")</f>
        <v/>
      </c>
      <c r="AF292" t="str">
        <f ca="1">IFERROR(IF(0=LEN(ReferenceData!$AF$292),"",ReferenceData!$AF$292),"")</f>
        <v/>
      </c>
      <c r="AG292" t="str">
        <f ca="1">IFERROR(IF(0=LEN(ReferenceData!$AG$292),"",ReferenceData!$AG$292),"")</f>
        <v/>
      </c>
      <c r="AH292" t="str">
        <f ca="1">IFERROR(IF(0=LEN(ReferenceData!$AH$292),"",ReferenceData!$AH$292),"")</f>
        <v/>
      </c>
      <c r="AI292" t="str">
        <f ca="1">IFERROR(IF(0=LEN(ReferenceData!$AI$292),"",ReferenceData!$AI$292),"")</f>
        <v/>
      </c>
      <c r="AJ292" t="str">
        <f ca="1">IFERROR(IF(0=LEN(ReferenceData!$AJ$292),"",ReferenceData!$AJ$292),"")</f>
        <v/>
      </c>
      <c r="AK292" t="str">
        <f ca="1">IFERROR(IF(0=LEN(ReferenceData!$AK$292),"",ReferenceData!$AK$292),"")</f>
        <v/>
      </c>
      <c r="AL292" t="str">
        <f ca="1">IFERROR(IF(0=LEN(ReferenceData!$AL$292),"",ReferenceData!$AL$292),"")</f>
        <v/>
      </c>
    </row>
    <row r="293" spans="1:38" x14ac:dyDescent="0.25">
      <c r="A293" t="str">
        <f>IFERROR(IF(0=LEN(ReferenceData!$A$293),"",ReferenceData!$A$293),"")</f>
        <v xml:space="preserve">        Fifth Third Bancorp</v>
      </c>
      <c r="B293" t="str">
        <f>IFERROR(IF(0=LEN(ReferenceData!$B$293),"",ReferenceData!$B$293),"")</f>
        <v>FITB US Equity</v>
      </c>
      <c r="C293" t="str">
        <f>IFERROR(IF(0=LEN(ReferenceData!$C$293),"",ReferenceData!$C$293),"")</f>
        <v>F0123</v>
      </c>
      <c r="D293" t="str">
        <f>IFERROR(IF(0=LEN(ReferenceData!$D$293),"",ReferenceData!$D$293),"")</f>
        <v>FED_FINL_SRVC_LNS_%_TOT_LNS_LEAS</v>
      </c>
      <c r="E293" t="str">
        <f>IFERROR(IF(0=LEN(ReferenceData!$E$293),"",ReferenceData!$E$293),"")</f>
        <v>Dynamic</v>
      </c>
      <c r="F293">
        <f ca="1">IFERROR(IF(0=LEN(ReferenceData!$F$293),"",ReferenceData!$F$293),"")</f>
        <v>6.1064011760000003</v>
      </c>
      <c r="G293">
        <f ca="1">IFERROR(IF(0=LEN(ReferenceData!$G$293),"",ReferenceData!$G$293),"")</f>
        <v>5.6822433090000004</v>
      </c>
      <c r="H293">
        <f ca="1">IFERROR(IF(0=LEN(ReferenceData!$H$293),"",ReferenceData!$H$293),"")</f>
        <v>5.4315899329999997</v>
      </c>
      <c r="I293">
        <f ca="1">IFERROR(IF(0=LEN(ReferenceData!$I$293),"",ReferenceData!$I$293),"")</f>
        <v>5.514872961</v>
      </c>
      <c r="J293">
        <f ca="1">IFERROR(IF(0=LEN(ReferenceData!$J$293),"",ReferenceData!$J$293),"")</f>
        <v>2.0180991439999998</v>
      </c>
      <c r="K293">
        <f ca="1">IFERROR(IF(0=LEN(ReferenceData!$K$293),"",ReferenceData!$K$293),"")</f>
        <v>2.1461001300000002</v>
      </c>
      <c r="L293">
        <f ca="1">IFERROR(IF(0=LEN(ReferenceData!$L$293),"",ReferenceData!$L$293),"")</f>
        <v>3.7602251739999999</v>
      </c>
      <c r="M293">
        <f ca="1">IFERROR(IF(0=LEN(ReferenceData!$M$293),"",ReferenceData!$M$293),"")</f>
        <v>2.4191557079999999</v>
      </c>
      <c r="N293">
        <f ca="1">IFERROR(IF(0=LEN(ReferenceData!$N$293),"",ReferenceData!$N$293),"")</f>
        <v>2.46812275</v>
      </c>
      <c r="O293">
        <f ca="1">IFERROR(IF(0=LEN(ReferenceData!$O$293),"",ReferenceData!$O$293),"")</f>
        <v>2.7061363269999998</v>
      </c>
      <c r="P293">
        <f ca="1">IFERROR(IF(0=LEN(ReferenceData!$P$293),"",ReferenceData!$P$293),"")</f>
        <v>2.6672373779999998</v>
      </c>
      <c r="Q293">
        <f ca="1">IFERROR(IF(0=LEN(ReferenceData!$Q$293),"",ReferenceData!$Q$293),"")</f>
        <v>1.876865155</v>
      </c>
      <c r="R293">
        <f ca="1">IFERROR(IF(0=LEN(ReferenceData!$R$293),"",ReferenceData!$R$293),"")</f>
        <v>1.4565188440000001</v>
      </c>
      <c r="S293">
        <f ca="1">IFERROR(IF(0=LEN(ReferenceData!$S$293),"",ReferenceData!$S$293),"")</f>
        <v>1.37052431</v>
      </c>
      <c r="T293">
        <f ca="1">IFERROR(IF(0=LEN(ReferenceData!$T$293),"",ReferenceData!$T$293),"")</f>
        <v>1.3203772620000001</v>
      </c>
      <c r="U293" t="str">
        <f ca="1">IFERROR(IF(0=LEN(ReferenceData!$U$293),"",ReferenceData!$U$293),"")</f>
        <v/>
      </c>
      <c r="V293" t="str">
        <f ca="1">IFERROR(IF(0=LEN(ReferenceData!$V$293),"",ReferenceData!$V$293),"")</f>
        <v/>
      </c>
      <c r="W293" t="str">
        <f ca="1">IFERROR(IF(0=LEN(ReferenceData!$W$293),"",ReferenceData!$W$293),"")</f>
        <v/>
      </c>
      <c r="X293" t="str">
        <f ca="1">IFERROR(IF(0=LEN(ReferenceData!$X$293),"",ReferenceData!$X$293),"")</f>
        <v/>
      </c>
      <c r="Y293" t="str">
        <f ca="1">IFERROR(IF(0=LEN(ReferenceData!$Y$293),"",ReferenceData!$Y$293),"")</f>
        <v/>
      </c>
      <c r="Z293" t="str">
        <f ca="1">IFERROR(IF(0=LEN(ReferenceData!$Z$293),"",ReferenceData!$Z$293),"")</f>
        <v/>
      </c>
      <c r="AA293" t="str">
        <f ca="1">IFERROR(IF(0=LEN(ReferenceData!$AA$293),"",ReferenceData!$AA$293),"")</f>
        <v/>
      </c>
      <c r="AB293" t="str">
        <f ca="1">IFERROR(IF(0=LEN(ReferenceData!$AB$293),"",ReferenceData!$AB$293),"")</f>
        <v/>
      </c>
      <c r="AC293" t="str">
        <f ca="1">IFERROR(IF(0=LEN(ReferenceData!$AC$293),"",ReferenceData!$AC$293),"")</f>
        <v/>
      </c>
      <c r="AD293" t="str">
        <f ca="1">IFERROR(IF(0=LEN(ReferenceData!$AD$293),"",ReferenceData!$AD$293),"")</f>
        <v/>
      </c>
      <c r="AE293" t="str">
        <f ca="1">IFERROR(IF(0=LEN(ReferenceData!$AE$293),"",ReferenceData!$AE$293),"")</f>
        <v/>
      </c>
      <c r="AF293" t="str">
        <f ca="1">IFERROR(IF(0=LEN(ReferenceData!$AF$293),"",ReferenceData!$AF$293),"")</f>
        <v/>
      </c>
      <c r="AG293" t="str">
        <f ca="1">IFERROR(IF(0=LEN(ReferenceData!$AG$293),"",ReferenceData!$AG$293),"")</f>
        <v/>
      </c>
      <c r="AH293" t="str">
        <f ca="1">IFERROR(IF(0=LEN(ReferenceData!$AH$293),"",ReferenceData!$AH$293),"")</f>
        <v/>
      </c>
      <c r="AI293" t="str">
        <f ca="1">IFERROR(IF(0=LEN(ReferenceData!$AI$293),"",ReferenceData!$AI$293),"")</f>
        <v/>
      </c>
      <c r="AJ293" t="str">
        <f ca="1">IFERROR(IF(0=LEN(ReferenceData!$AJ$293),"",ReferenceData!$AJ$293),"")</f>
        <v/>
      </c>
      <c r="AK293" t="str">
        <f ca="1">IFERROR(IF(0=LEN(ReferenceData!$AK$293),"",ReferenceData!$AK$293),"")</f>
        <v/>
      </c>
      <c r="AL293" t="str">
        <f ca="1">IFERROR(IF(0=LEN(ReferenceData!$AL$293),"",ReferenceData!$AL$293),"")</f>
        <v/>
      </c>
    </row>
    <row r="294" spans="1:38" x14ac:dyDescent="0.25">
      <c r="A294" t="str">
        <f>IFERROR(IF(0=LEN(ReferenceData!$A$294),"",ReferenceData!$A$294),"")</f>
        <v xml:space="preserve">        First Citizens BancShares Inc/</v>
      </c>
      <c r="B294" t="str">
        <f>IFERROR(IF(0=LEN(ReferenceData!$B$294),"",ReferenceData!$B$294),"")</f>
        <v>FCNCA US Equity</v>
      </c>
      <c r="C294" t="str">
        <f>IFERROR(IF(0=LEN(ReferenceData!$C$294),"",ReferenceData!$C$294),"")</f>
        <v>F0123</v>
      </c>
      <c r="D294" t="str">
        <f>IFERROR(IF(0=LEN(ReferenceData!$D$294),"",ReferenceData!$D$294),"")</f>
        <v>FED_FINL_SRVC_LNS_%_TOT_LNS_LEAS</v>
      </c>
      <c r="E294" t="str">
        <f>IFERROR(IF(0=LEN(ReferenceData!$E$294),"",ReferenceData!$E$294),"")</f>
        <v>Dynamic</v>
      </c>
      <c r="F294">
        <f ca="1">IFERROR(IF(0=LEN(ReferenceData!$F$294),"",ReferenceData!$F$294),"")</f>
        <v>20.76505848</v>
      </c>
      <c r="G294">
        <f ca="1">IFERROR(IF(0=LEN(ReferenceData!$G$294),"",ReferenceData!$G$294),"")</f>
        <v>2.218734607</v>
      </c>
      <c r="H294">
        <f ca="1">IFERROR(IF(0=LEN(ReferenceData!$H$294),"",ReferenceData!$H$294),"")</f>
        <v>3.0114465830000001</v>
      </c>
      <c r="I294">
        <f ca="1">IFERROR(IF(0=LEN(ReferenceData!$I$294),"",ReferenceData!$I$294),"")</f>
        <v>1.9935162999999999E-2</v>
      </c>
      <c r="J294">
        <f ca="1">IFERROR(IF(0=LEN(ReferenceData!$J$294),"",ReferenceData!$J$294),"")</f>
        <v>0</v>
      </c>
      <c r="K294">
        <f ca="1">IFERROR(IF(0=LEN(ReferenceData!$K$294),"",ReferenceData!$K$294),"")</f>
        <v>0</v>
      </c>
      <c r="L294">
        <f ca="1">IFERROR(IF(0=LEN(ReferenceData!$L$294),"",ReferenceData!$L$294),"")</f>
        <v>0</v>
      </c>
      <c r="M294">
        <f ca="1">IFERROR(IF(0=LEN(ReferenceData!$M$294),"",ReferenceData!$M$294),"")</f>
        <v>0</v>
      </c>
      <c r="N294">
        <f ca="1">IFERROR(IF(0=LEN(ReferenceData!$N$294),"",ReferenceData!$N$294),"")</f>
        <v>0</v>
      </c>
      <c r="O294">
        <f ca="1">IFERROR(IF(0=LEN(ReferenceData!$O$294),"",ReferenceData!$O$294),"")</f>
        <v>0</v>
      </c>
      <c r="P294">
        <f ca="1">IFERROR(IF(0=LEN(ReferenceData!$P$294),"",ReferenceData!$P$294),"")</f>
        <v>1.9433806000000001E-2</v>
      </c>
      <c r="Q294">
        <f ca="1">IFERROR(IF(0=LEN(ReferenceData!$Q$294),"",ReferenceData!$Q$294),"")</f>
        <v>0</v>
      </c>
      <c r="R294">
        <f ca="1">IFERROR(IF(0=LEN(ReferenceData!$R$294),"",ReferenceData!$R$294),"")</f>
        <v>0</v>
      </c>
      <c r="S294">
        <f ca="1">IFERROR(IF(0=LEN(ReferenceData!$S$294),"",ReferenceData!$S$294),"")</f>
        <v>0</v>
      </c>
      <c r="T294">
        <f ca="1">IFERROR(IF(0=LEN(ReferenceData!$T$294),"",ReferenceData!$T$294),"")</f>
        <v>0</v>
      </c>
      <c r="U294" t="str">
        <f ca="1">IFERROR(IF(0=LEN(ReferenceData!$U$294),"",ReferenceData!$U$294),"")</f>
        <v/>
      </c>
      <c r="V294" t="str">
        <f ca="1">IFERROR(IF(0=LEN(ReferenceData!$V$294),"",ReferenceData!$V$294),"")</f>
        <v/>
      </c>
      <c r="W294" t="str">
        <f ca="1">IFERROR(IF(0=LEN(ReferenceData!$W$294),"",ReferenceData!$W$294),"")</f>
        <v/>
      </c>
      <c r="X294" t="str">
        <f ca="1">IFERROR(IF(0=LEN(ReferenceData!$X$294),"",ReferenceData!$X$294),"")</f>
        <v/>
      </c>
      <c r="Y294" t="str">
        <f ca="1">IFERROR(IF(0=LEN(ReferenceData!$Y$294),"",ReferenceData!$Y$294),"")</f>
        <v/>
      </c>
      <c r="Z294" t="str">
        <f ca="1">IFERROR(IF(0=LEN(ReferenceData!$Z$294),"",ReferenceData!$Z$294),"")</f>
        <v/>
      </c>
      <c r="AA294" t="str">
        <f ca="1">IFERROR(IF(0=LEN(ReferenceData!$AA$294),"",ReferenceData!$AA$294),"")</f>
        <v/>
      </c>
      <c r="AB294" t="str">
        <f ca="1">IFERROR(IF(0=LEN(ReferenceData!$AB$294),"",ReferenceData!$AB$294),"")</f>
        <v/>
      </c>
      <c r="AC294" t="str">
        <f ca="1">IFERROR(IF(0=LEN(ReferenceData!$AC$294),"",ReferenceData!$AC$294),"")</f>
        <v/>
      </c>
      <c r="AD294" t="str">
        <f ca="1">IFERROR(IF(0=LEN(ReferenceData!$AD$294),"",ReferenceData!$AD$294),"")</f>
        <v/>
      </c>
      <c r="AE294" t="str">
        <f ca="1">IFERROR(IF(0=LEN(ReferenceData!$AE$294),"",ReferenceData!$AE$294),"")</f>
        <v/>
      </c>
      <c r="AF294" t="str">
        <f ca="1">IFERROR(IF(0=LEN(ReferenceData!$AF$294),"",ReferenceData!$AF$294),"")</f>
        <v/>
      </c>
      <c r="AG294" t="str">
        <f ca="1">IFERROR(IF(0=LEN(ReferenceData!$AG$294),"",ReferenceData!$AG$294),"")</f>
        <v/>
      </c>
      <c r="AH294" t="str">
        <f ca="1">IFERROR(IF(0=LEN(ReferenceData!$AH$294),"",ReferenceData!$AH$294),"")</f>
        <v/>
      </c>
      <c r="AI294" t="str">
        <f ca="1">IFERROR(IF(0=LEN(ReferenceData!$AI$294),"",ReferenceData!$AI$294),"")</f>
        <v/>
      </c>
      <c r="AJ294" t="str">
        <f ca="1">IFERROR(IF(0=LEN(ReferenceData!$AJ$294),"",ReferenceData!$AJ$294),"")</f>
        <v/>
      </c>
      <c r="AK294" t="str">
        <f ca="1">IFERROR(IF(0=LEN(ReferenceData!$AK$294),"",ReferenceData!$AK$294),"")</f>
        <v/>
      </c>
      <c r="AL294" t="str">
        <f ca="1">IFERROR(IF(0=LEN(ReferenceData!$AL$294),"",ReferenceData!$AL$294),"")</f>
        <v/>
      </c>
    </row>
    <row r="295" spans="1:38" x14ac:dyDescent="0.25">
      <c r="A295" t="str">
        <f>IFERROR(IF(0=LEN(ReferenceData!$A$295),"",ReferenceData!$A$295),"")</f>
        <v xml:space="preserve">        Flagstar Financial Inc</v>
      </c>
      <c r="B295" t="str">
        <f>IFERROR(IF(0=LEN(ReferenceData!$B$295),"",ReferenceData!$B$295),"")</f>
        <v>FLG US Equity</v>
      </c>
      <c r="C295" t="str">
        <f>IFERROR(IF(0=LEN(ReferenceData!$C$295),"",ReferenceData!$C$295),"")</f>
        <v>F0123</v>
      </c>
      <c r="D295" t="str">
        <f>IFERROR(IF(0=LEN(ReferenceData!$D$295),"",ReferenceData!$D$295),"")</f>
        <v>FED_FINL_SRVC_LNS_%_TOT_LNS_LEAS</v>
      </c>
      <c r="E295" t="str">
        <f>IFERROR(IF(0=LEN(ReferenceData!$E$295),"",ReferenceData!$E$295),"")</f>
        <v>Dynamic</v>
      </c>
      <c r="F295" t="str">
        <f ca="1">IFERROR(IF(0=LEN(ReferenceData!$F$295),"",ReferenceData!$F$295),"")</f>
        <v/>
      </c>
      <c r="G295">
        <f ca="1">IFERROR(IF(0=LEN(ReferenceData!$G$295),"",ReferenceData!$G$295),"")</f>
        <v>10.547594670000001</v>
      </c>
      <c r="H295">
        <f ca="1">IFERROR(IF(0=LEN(ReferenceData!$H$295),"",ReferenceData!$H$295),"")</f>
        <v>7.777327798</v>
      </c>
      <c r="I295">
        <f ca="1">IFERROR(IF(0=LEN(ReferenceData!$I$295),"",ReferenceData!$I$295),"")</f>
        <v>0.42885749000000001</v>
      </c>
      <c r="J295">
        <f ca="1">IFERROR(IF(0=LEN(ReferenceData!$J$295),"",ReferenceData!$J$295),"")</f>
        <v>0</v>
      </c>
      <c r="K295">
        <f ca="1">IFERROR(IF(0=LEN(ReferenceData!$K$295),"",ReferenceData!$K$295),"")</f>
        <v>0</v>
      </c>
      <c r="L295">
        <f ca="1">IFERROR(IF(0=LEN(ReferenceData!$L$295),"",ReferenceData!$L$295),"")</f>
        <v>0</v>
      </c>
      <c r="M295">
        <f ca="1">IFERROR(IF(0=LEN(ReferenceData!$M$295),"",ReferenceData!$M$295),"")</f>
        <v>0</v>
      </c>
      <c r="N295">
        <f ca="1">IFERROR(IF(0=LEN(ReferenceData!$N$295),"",ReferenceData!$N$295),"")</f>
        <v>0</v>
      </c>
      <c r="O295">
        <f ca="1">IFERROR(IF(0=LEN(ReferenceData!$O$295),"",ReferenceData!$O$295),"")</f>
        <v>0</v>
      </c>
      <c r="P295">
        <f ca="1">IFERROR(IF(0=LEN(ReferenceData!$P$295),"",ReferenceData!$P$295),"")</f>
        <v>0</v>
      </c>
      <c r="Q295">
        <f ca="1">IFERROR(IF(0=LEN(ReferenceData!$Q$295),"",ReferenceData!$Q$295),"")</f>
        <v>0</v>
      </c>
      <c r="R295">
        <f ca="1">IFERROR(IF(0=LEN(ReferenceData!$R$295),"",ReferenceData!$R$295),"")</f>
        <v>0</v>
      </c>
      <c r="S295">
        <f ca="1">IFERROR(IF(0=LEN(ReferenceData!$S$295),"",ReferenceData!$S$295),"")</f>
        <v>0</v>
      </c>
      <c r="T295">
        <f ca="1">IFERROR(IF(0=LEN(ReferenceData!$T$295),"",ReferenceData!$T$295),"")</f>
        <v>0</v>
      </c>
      <c r="U295" t="str">
        <f ca="1">IFERROR(IF(0=LEN(ReferenceData!$U$295),"",ReferenceData!$U$295),"")</f>
        <v/>
      </c>
      <c r="V295" t="str">
        <f ca="1">IFERROR(IF(0=LEN(ReferenceData!$V$295),"",ReferenceData!$V$295),"")</f>
        <v/>
      </c>
      <c r="W295" t="str">
        <f ca="1">IFERROR(IF(0=LEN(ReferenceData!$W$295),"",ReferenceData!$W$295),"")</f>
        <v/>
      </c>
      <c r="X295" t="str">
        <f ca="1">IFERROR(IF(0=LEN(ReferenceData!$X$295),"",ReferenceData!$X$295),"")</f>
        <v/>
      </c>
      <c r="Y295" t="str">
        <f ca="1">IFERROR(IF(0=LEN(ReferenceData!$Y$295),"",ReferenceData!$Y$295),"")</f>
        <v/>
      </c>
      <c r="Z295" t="str">
        <f ca="1">IFERROR(IF(0=LEN(ReferenceData!$Z$295),"",ReferenceData!$Z$295),"")</f>
        <v/>
      </c>
      <c r="AA295" t="str">
        <f ca="1">IFERROR(IF(0=LEN(ReferenceData!$AA$295),"",ReferenceData!$AA$295),"")</f>
        <v/>
      </c>
      <c r="AB295" t="str">
        <f ca="1">IFERROR(IF(0=LEN(ReferenceData!$AB$295),"",ReferenceData!$AB$295),"")</f>
        <v/>
      </c>
      <c r="AC295" t="str">
        <f ca="1">IFERROR(IF(0=LEN(ReferenceData!$AC$295),"",ReferenceData!$AC$295),"")</f>
        <v/>
      </c>
      <c r="AD295" t="str">
        <f ca="1">IFERROR(IF(0=LEN(ReferenceData!$AD$295),"",ReferenceData!$AD$295),"")</f>
        <v/>
      </c>
      <c r="AE295" t="str">
        <f ca="1">IFERROR(IF(0=LEN(ReferenceData!$AE$295),"",ReferenceData!$AE$295),"")</f>
        <v/>
      </c>
      <c r="AF295" t="str">
        <f ca="1">IFERROR(IF(0=LEN(ReferenceData!$AF$295),"",ReferenceData!$AF$295),"")</f>
        <v/>
      </c>
      <c r="AG295" t="str">
        <f ca="1">IFERROR(IF(0=LEN(ReferenceData!$AG$295),"",ReferenceData!$AG$295),"")</f>
        <v/>
      </c>
      <c r="AH295" t="str">
        <f ca="1">IFERROR(IF(0=LEN(ReferenceData!$AH$295),"",ReferenceData!$AH$295),"")</f>
        <v/>
      </c>
      <c r="AI295" t="str">
        <f ca="1">IFERROR(IF(0=LEN(ReferenceData!$AI$295),"",ReferenceData!$AI$295),"")</f>
        <v/>
      </c>
      <c r="AJ295" t="str">
        <f ca="1">IFERROR(IF(0=LEN(ReferenceData!$AJ$295),"",ReferenceData!$AJ$295),"")</f>
        <v/>
      </c>
      <c r="AK295" t="str">
        <f ca="1">IFERROR(IF(0=LEN(ReferenceData!$AK$295),"",ReferenceData!$AK$295),"")</f>
        <v/>
      </c>
      <c r="AL295" t="str">
        <f ca="1">IFERROR(IF(0=LEN(ReferenceData!$AL$295),"",ReferenceData!$AL$295),"")</f>
        <v/>
      </c>
    </row>
    <row r="296" spans="1:38" x14ac:dyDescent="0.25">
      <c r="A296" t="str">
        <f>IFERROR(IF(0=LEN(ReferenceData!$A$296),"",ReferenceData!$A$296),"")</f>
        <v xml:space="preserve">        Huntington Bancshares Inc/OH</v>
      </c>
      <c r="B296" t="str">
        <f>IFERROR(IF(0=LEN(ReferenceData!$B$296),"",ReferenceData!$B$296),"")</f>
        <v>HBAN US Equity</v>
      </c>
      <c r="C296" t="str">
        <f>IFERROR(IF(0=LEN(ReferenceData!$C$296),"",ReferenceData!$C$296),"")</f>
        <v>F0123</v>
      </c>
      <c r="D296" t="str">
        <f>IFERROR(IF(0=LEN(ReferenceData!$D$296),"",ReferenceData!$D$296),"")</f>
        <v>FED_FINL_SRVC_LNS_%_TOT_LNS_LEAS</v>
      </c>
      <c r="E296" t="str">
        <f>IFERROR(IF(0=LEN(ReferenceData!$E$296),"",ReferenceData!$E$296),"")</f>
        <v>Dynamic</v>
      </c>
      <c r="F296">
        <f ca="1">IFERROR(IF(0=LEN(ReferenceData!$F$296),"",ReferenceData!$F$296),"")</f>
        <v>6.9878102090000001</v>
      </c>
      <c r="G296">
        <f ca="1">IFERROR(IF(0=LEN(ReferenceData!$G$296),"",ReferenceData!$G$296),"")</f>
        <v>5.3947340449999999</v>
      </c>
      <c r="H296">
        <f ca="1">IFERROR(IF(0=LEN(ReferenceData!$H$296),"",ReferenceData!$H$296),"")</f>
        <v>5.1010709609999996</v>
      </c>
      <c r="I296">
        <f ca="1">IFERROR(IF(0=LEN(ReferenceData!$I$296),"",ReferenceData!$I$296),"")</f>
        <v>0.96366881999999998</v>
      </c>
      <c r="J296">
        <f ca="1">IFERROR(IF(0=LEN(ReferenceData!$J$296),"",ReferenceData!$J$296),"")</f>
        <v>0.91146679900000005</v>
      </c>
      <c r="K296">
        <f ca="1">IFERROR(IF(0=LEN(ReferenceData!$K$296),"",ReferenceData!$K$296),"")</f>
        <v>0.88930244599999997</v>
      </c>
      <c r="L296">
        <f ca="1">IFERROR(IF(0=LEN(ReferenceData!$L$296),"",ReferenceData!$L$296),"")</f>
        <v>0.940023355</v>
      </c>
      <c r="M296">
        <f ca="1">IFERROR(IF(0=LEN(ReferenceData!$M$296),"",ReferenceData!$M$296),"")</f>
        <v>0.75339959499999998</v>
      </c>
      <c r="N296">
        <f ca="1">IFERROR(IF(0=LEN(ReferenceData!$N$296),"",ReferenceData!$N$296),"")</f>
        <v>0.47444922699999997</v>
      </c>
      <c r="O296">
        <f ca="1">IFERROR(IF(0=LEN(ReferenceData!$O$296),"",ReferenceData!$O$296),"")</f>
        <v>0.80548476599999996</v>
      </c>
      <c r="P296">
        <f ca="1">IFERROR(IF(0=LEN(ReferenceData!$P$296),"",ReferenceData!$P$296),"")</f>
        <v>0.47156124300000002</v>
      </c>
      <c r="Q296">
        <f ca="1">IFERROR(IF(0=LEN(ReferenceData!$Q$296),"",ReferenceData!$Q$296),"")</f>
        <v>0.39117700300000002</v>
      </c>
      <c r="R296">
        <f ca="1">IFERROR(IF(0=LEN(ReferenceData!$R$296),"",ReferenceData!$R$296),"")</f>
        <v>0</v>
      </c>
      <c r="S296">
        <f ca="1">IFERROR(IF(0=LEN(ReferenceData!$S$296),"",ReferenceData!$S$296),"")</f>
        <v>0</v>
      </c>
      <c r="T296">
        <f ca="1">IFERROR(IF(0=LEN(ReferenceData!$T$296),"",ReferenceData!$T$296),"")</f>
        <v>0</v>
      </c>
      <c r="U296" t="str">
        <f ca="1">IFERROR(IF(0=LEN(ReferenceData!$U$296),"",ReferenceData!$U$296),"")</f>
        <v/>
      </c>
      <c r="V296" t="str">
        <f ca="1">IFERROR(IF(0=LEN(ReferenceData!$V$296),"",ReferenceData!$V$296),"")</f>
        <v/>
      </c>
      <c r="W296" t="str">
        <f ca="1">IFERROR(IF(0=LEN(ReferenceData!$W$296),"",ReferenceData!$W$296),"")</f>
        <v/>
      </c>
      <c r="X296" t="str">
        <f ca="1">IFERROR(IF(0=LEN(ReferenceData!$X$296),"",ReferenceData!$X$296),"")</f>
        <v/>
      </c>
      <c r="Y296" t="str">
        <f ca="1">IFERROR(IF(0=LEN(ReferenceData!$Y$296),"",ReferenceData!$Y$296),"")</f>
        <v/>
      </c>
      <c r="Z296" t="str">
        <f ca="1">IFERROR(IF(0=LEN(ReferenceData!$Z$296),"",ReferenceData!$Z$296),"")</f>
        <v/>
      </c>
      <c r="AA296" t="str">
        <f ca="1">IFERROR(IF(0=LEN(ReferenceData!$AA$296),"",ReferenceData!$AA$296),"")</f>
        <v/>
      </c>
      <c r="AB296" t="str">
        <f ca="1">IFERROR(IF(0=LEN(ReferenceData!$AB$296),"",ReferenceData!$AB$296),"")</f>
        <v/>
      </c>
      <c r="AC296" t="str">
        <f ca="1">IFERROR(IF(0=LEN(ReferenceData!$AC$296),"",ReferenceData!$AC$296),"")</f>
        <v/>
      </c>
      <c r="AD296" t="str">
        <f ca="1">IFERROR(IF(0=LEN(ReferenceData!$AD$296),"",ReferenceData!$AD$296),"")</f>
        <v/>
      </c>
      <c r="AE296" t="str">
        <f ca="1">IFERROR(IF(0=LEN(ReferenceData!$AE$296),"",ReferenceData!$AE$296),"")</f>
        <v/>
      </c>
      <c r="AF296" t="str">
        <f ca="1">IFERROR(IF(0=LEN(ReferenceData!$AF$296),"",ReferenceData!$AF$296),"")</f>
        <v/>
      </c>
      <c r="AG296" t="str">
        <f ca="1">IFERROR(IF(0=LEN(ReferenceData!$AG$296),"",ReferenceData!$AG$296),"")</f>
        <v/>
      </c>
      <c r="AH296" t="str">
        <f ca="1">IFERROR(IF(0=LEN(ReferenceData!$AH$296),"",ReferenceData!$AH$296),"")</f>
        <v/>
      </c>
      <c r="AI296" t="str">
        <f ca="1">IFERROR(IF(0=LEN(ReferenceData!$AI$296),"",ReferenceData!$AI$296),"")</f>
        <v/>
      </c>
      <c r="AJ296" t="str">
        <f ca="1">IFERROR(IF(0=LEN(ReferenceData!$AJ$296),"",ReferenceData!$AJ$296),"")</f>
        <v/>
      </c>
      <c r="AK296" t="str">
        <f ca="1">IFERROR(IF(0=LEN(ReferenceData!$AK$296),"",ReferenceData!$AK$296),"")</f>
        <v/>
      </c>
      <c r="AL296" t="str">
        <f ca="1">IFERROR(IF(0=LEN(ReferenceData!$AL$296),"",ReferenceData!$AL$296),"")</f>
        <v/>
      </c>
    </row>
    <row r="297" spans="1:38" x14ac:dyDescent="0.25">
      <c r="A297" t="str">
        <f>IFERROR(IF(0=LEN(ReferenceData!$A$297),"",ReferenceData!$A$297),"")</f>
        <v xml:space="preserve">        JPMorgan Chase &amp; Co</v>
      </c>
      <c r="B297" t="str">
        <f>IFERROR(IF(0=LEN(ReferenceData!$B$297),"",ReferenceData!$B$297),"")</f>
        <v>JPM US Equity</v>
      </c>
      <c r="C297" t="str">
        <f>IFERROR(IF(0=LEN(ReferenceData!$C$297),"",ReferenceData!$C$297),"")</f>
        <v>F0123</v>
      </c>
      <c r="D297" t="str">
        <f>IFERROR(IF(0=LEN(ReferenceData!$D$297),"",ReferenceData!$D$297),"")</f>
        <v>FED_FINL_SRVC_LNS_%_TOT_LNS_LEAS</v>
      </c>
      <c r="E297" t="str">
        <f>IFERROR(IF(0=LEN(ReferenceData!$E$297),"",ReferenceData!$E$297),"")</f>
        <v>Dynamic</v>
      </c>
      <c r="F297">
        <f ca="1">IFERROR(IF(0=LEN(ReferenceData!$F$297),"",ReferenceData!$F$297),"")</f>
        <v>9.5279220129999995</v>
      </c>
      <c r="G297">
        <f ca="1">IFERROR(IF(0=LEN(ReferenceData!$G$297),"",ReferenceData!$G$297),"")</f>
        <v>8.9499244309999995</v>
      </c>
      <c r="H297">
        <f ca="1">IFERROR(IF(0=LEN(ReferenceData!$H$297),"",ReferenceData!$H$297),"")</f>
        <v>9.0652765399999993</v>
      </c>
      <c r="I297">
        <f ca="1">IFERROR(IF(0=LEN(ReferenceData!$I$297),"",ReferenceData!$I$297),"")</f>
        <v>9.4288495129999994</v>
      </c>
      <c r="J297">
        <f ca="1">IFERROR(IF(0=LEN(ReferenceData!$J$297),"",ReferenceData!$J$297),"")</f>
        <v>6.9141543570000001</v>
      </c>
      <c r="K297">
        <f ca="1">IFERROR(IF(0=LEN(ReferenceData!$K$297),"",ReferenceData!$K$297),"")</f>
        <v>5.1747982859999997</v>
      </c>
      <c r="L297">
        <f ca="1">IFERROR(IF(0=LEN(ReferenceData!$L$297),"",ReferenceData!$L$297),"")</f>
        <v>4.1207570230000004</v>
      </c>
      <c r="M297">
        <f ca="1">IFERROR(IF(0=LEN(ReferenceData!$M$297),"",ReferenceData!$M$297),"")</f>
        <v>3.5294707829999998</v>
      </c>
      <c r="N297">
        <f ca="1">IFERROR(IF(0=LEN(ReferenceData!$N$297),"",ReferenceData!$N$297),"")</f>
        <v>3.294752951</v>
      </c>
      <c r="O297">
        <f ca="1">IFERROR(IF(0=LEN(ReferenceData!$O$297),"",ReferenceData!$O$297),"")</f>
        <v>3.1718567069999999</v>
      </c>
      <c r="P297">
        <f ca="1">IFERROR(IF(0=LEN(ReferenceData!$P$297),"",ReferenceData!$P$297),"")</f>
        <v>3.2995585580000002</v>
      </c>
      <c r="Q297">
        <f ca="1">IFERROR(IF(0=LEN(ReferenceData!$Q$297),"",ReferenceData!$Q$297),"")</f>
        <v>3.154342416</v>
      </c>
      <c r="R297">
        <f ca="1">IFERROR(IF(0=LEN(ReferenceData!$R$297),"",ReferenceData!$R$297),"")</f>
        <v>5.2193558250000001</v>
      </c>
      <c r="S297">
        <f ca="1">IFERROR(IF(0=LEN(ReferenceData!$S$297),"",ReferenceData!$S$297),"")</f>
        <v>4.4425107060000002</v>
      </c>
      <c r="T297">
        <f ca="1">IFERROR(IF(0=LEN(ReferenceData!$T$297),"",ReferenceData!$T$297),"")</f>
        <v>3.513581925</v>
      </c>
      <c r="U297" t="str">
        <f ca="1">IFERROR(IF(0=LEN(ReferenceData!$U$297),"",ReferenceData!$U$297),"")</f>
        <v/>
      </c>
      <c r="V297" t="str">
        <f ca="1">IFERROR(IF(0=LEN(ReferenceData!$V$297),"",ReferenceData!$V$297),"")</f>
        <v/>
      </c>
      <c r="W297" t="str">
        <f ca="1">IFERROR(IF(0=LEN(ReferenceData!$W$297),"",ReferenceData!$W$297),"")</f>
        <v/>
      </c>
      <c r="X297" t="str">
        <f ca="1">IFERROR(IF(0=LEN(ReferenceData!$X$297),"",ReferenceData!$X$297),"")</f>
        <v/>
      </c>
      <c r="Y297" t="str">
        <f ca="1">IFERROR(IF(0=LEN(ReferenceData!$Y$297),"",ReferenceData!$Y$297),"")</f>
        <v/>
      </c>
      <c r="Z297" t="str">
        <f ca="1">IFERROR(IF(0=LEN(ReferenceData!$Z$297),"",ReferenceData!$Z$297),"")</f>
        <v/>
      </c>
      <c r="AA297" t="str">
        <f ca="1">IFERROR(IF(0=LEN(ReferenceData!$AA$297),"",ReferenceData!$AA$297),"")</f>
        <v/>
      </c>
      <c r="AB297" t="str">
        <f ca="1">IFERROR(IF(0=LEN(ReferenceData!$AB$297),"",ReferenceData!$AB$297),"")</f>
        <v/>
      </c>
      <c r="AC297" t="str">
        <f ca="1">IFERROR(IF(0=LEN(ReferenceData!$AC$297),"",ReferenceData!$AC$297),"")</f>
        <v/>
      </c>
      <c r="AD297" t="str">
        <f ca="1">IFERROR(IF(0=LEN(ReferenceData!$AD$297),"",ReferenceData!$AD$297),"")</f>
        <v/>
      </c>
      <c r="AE297" t="str">
        <f ca="1">IFERROR(IF(0=LEN(ReferenceData!$AE$297),"",ReferenceData!$AE$297),"")</f>
        <v/>
      </c>
      <c r="AF297" t="str">
        <f ca="1">IFERROR(IF(0=LEN(ReferenceData!$AF$297),"",ReferenceData!$AF$297),"")</f>
        <v/>
      </c>
      <c r="AG297" t="str">
        <f ca="1">IFERROR(IF(0=LEN(ReferenceData!$AG$297),"",ReferenceData!$AG$297),"")</f>
        <v/>
      </c>
      <c r="AH297" t="str">
        <f ca="1">IFERROR(IF(0=LEN(ReferenceData!$AH$297),"",ReferenceData!$AH$297),"")</f>
        <v/>
      </c>
      <c r="AI297" t="str">
        <f ca="1">IFERROR(IF(0=LEN(ReferenceData!$AI$297),"",ReferenceData!$AI$297),"")</f>
        <v/>
      </c>
      <c r="AJ297" t="str">
        <f ca="1">IFERROR(IF(0=LEN(ReferenceData!$AJ$297),"",ReferenceData!$AJ$297),"")</f>
        <v/>
      </c>
      <c r="AK297" t="str">
        <f ca="1">IFERROR(IF(0=LEN(ReferenceData!$AK$297),"",ReferenceData!$AK$297),"")</f>
        <v/>
      </c>
      <c r="AL297" t="str">
        <f ca="1">IFERROR(IF(0=LEN(ReferenceData!$AL$297),"",ReferenceData!$AL$297),"")</f>
        <v/>
      </c>
    </row>
    <row r="298" spans="1:38" x14ac:dyDescent="0.25">
      <c r="A298" t="str">
        <f>IFERROR(IF(0=LEN(ReferenceData!$A$298),"",ReferenceData!$A$298),"")</f>
        <v xml:space="preserve">        KeyCorp</v>
      </c>
      <c r="B298" t="str">
        <f>IFERROR(IF(0=LEN(ReferenceData!$B$298),"",ReferenceData!$B$298),"")</f>
        <v>KEY US Equity</v>
      </c>
      <c r="C298" t="str">
        <f>IFERROR(IF(0=LEN(ReferenceData!$C$298),"",ReferenceData!$C$298),"")</f>
        <v>F0123</v>
      </c>
      <c r="D298" t="str">
        <f>IFERROR(IF(0=LEN(ReferenceData!$D$298),"",ReferenceData!$D$298),"")</f>
        <v>FED_FINL_SRVC_LNS_%_TOT_LNS_LEAS</v>
      </c>
      <c r="E298" t="str">
        <f>IFERROR(IF(0=LEN(ReferenceData!$E$298),"",ReferenceData!$E$298),"")</f>
        <v>Dynamic</v>
      </c>
      <c r="F298">
        <f ca="1">IFERROR(IF(0=LEN(ReferenceData!$F$298),"",ReferenceData!$F$298),"")</f>
        <v>16.62186123</v>
      </c>
      <c r="G298">
        <f ca="1">IFERROR(IF(0=LEN(ReferenceData!$G$298),"",ReferenceData!$G$298),"")</f>
        <v>5.3027076360000001</v>
      </c>
      <c r="H298">
        <f ca="1">IFERROR(IF(0=LEN(ReferenceData!$H$298),"",ReferenceData!$H$298),"")</f>
        <v>4.900164835</v>
      </c>
      <c r="I298">
        <f ca="1">IFERROR(IF(0=LEN(ReferenceData!$I$298),"",ReferenceData!$I$298),"")</f>
        <v>3.7000624860000002</v>
      </c>
      <c r="J298">
        <f ca="1">IFERROR(IF(0=LEN(ReferenceData!$J$298),"",ReferenceData!$J$298),"")</f>
        <v>3.8141680789999999</v>
      </c>
      <c r="K298">
        <f ca="1">IFERROR(IF(0=LEN(ReferenceData!$K$298),"",ReferenceData!$K$298),"")</f>
        <v>3.6299765599999998</v>
      </c>
      <c r="L298">
        <f ca="1">IFERROR(IF(0=LEN(ReferenceData!$L$298),"",ReferenceData!$L$298),"")</f>
        <v>3.1643617750000002</v>
      </c>
      <c r="M298">
        <f ca="1">IFERROR(IF(0=LEN(ReferenceData!$M$298),"",ReferenceData!$M$298),"")</f>
        <v>2.9360650179999999</v>
      </c>
      <c r="N298">
        <f ca="1">IFERROR(IF(0=LEN(ReferenceData!$N$298),"",ReferenceData!$N$298),"")</f>
        <v>2.4713082169999998</v>
      </c>
      <c r="O298">
        <f ca="1">IFERROR(IF(0=LEN(ReferenceData!$O$298),"",ReferenceData!$O$298),"")</f>
        <v>3.2834477909999999</v>
      </c>
      <c r="P298">
        <f ca="1">IFERROR(IF(0=LEN(ReferenceData!$P$298),"",ReferenceData!$P$298),"")</f>
        <v>1.7600620739999999</v>
      </c>
      <c r="Q298">
        <f ca="1">IFERROR(IF(0=LEN(ReferenceData!$Q$298),"",ReferenceData!$Q$298),"")</f>
        <v>1.525702592</v>
      </c>
      <c r="R298">
        <f ca="1">IFERROR(IF(0=LEN(ReferenceData!$R$298),"",ReferenceData!$R$298),"")</f>
        <v>1.4995604339999999</v>
      </c>
      <c r="S298">
        <f ca="1">IFERROR(IF(0=LEN(ReferenceData!$S$298),"",ReferenceData!$S$298),"")</f>
        <v>1.2473827040000001</v>
      </c>
      <c r="T298">
        <f ca="1">IFERROR(IF(0=LEN(ReferenceData!$T$298),"",ReferenceData!$T$298),"")</f>
        <v>1.08778101</v>
      </c>
      <c r="U298" t="str">
        <f ca="1">IFERROR(IF(0=LEN(ReferenceData!$U$298),"",ReferenceData!$U$298),"")</f>
        <v/>
      </c>
      <c r="V298" t="str">
        <f ca="1">IFERROR(IF(0=LEN(ReferenceData!$V$298),"",ReferenceData!$V$298),"")</f>
        <v/>
      </c>
      <c r="W298" t="str">
        <f ca="1">IFERROR(IF(0=LEN(ReferenceData!$W$298),"",ReferenceData!$W$298),"")</f>
        <v/>
      </c>
      <c r="X298" t="str">
        <f ca="1">IFERROR(IF(0=LEN(ReferenceData!$X$298),"",ReferenceData!$X$298),"")</f>
        <v/>
      </c>
      <c r="Y298" t="str">
        <f ca="1">IFERROR(IF(0=LEN(ReferenceData!$Y$298),"",ReferenceData!$Y$298),"")</f>
        <v/>
      </c>
      <c r="Z298" t="str">
        <f ca="1">IFERROR(IF(0=LEN(ReferenceData!$Z$298),"",ReferenceData!$Z$298),"")</f>
        <v/>
      </c>
      <c r="AA298" t="str">
        <f ca="1">IFERROR(IF(0=LEN(ReferenceData!$AA$298),"",ReferenceData!$AA$298),"")</f>
        <v/>
      </c>
      <c r="AB298" t="str">
        <f ca="1">IFERROR(IF(0=LEN(ReferenceData!$AB$298),"",ReferenceData!$AB$298),"")</f>
        <v/>
      </c>
      <c r="AC298" t="str">
        <f ca="1">IFERROR(IF(0=LEN(ReferenceData!$AC$298),"",ReferenceData!$AC$298),"")</f>
        <v/>
      </c>
      <c r="AD298" t="str">
        <f ca="1">IFERROR(IF(0=LEN(ReferenceData!$AD$298),"",ReferenceData!$AD$298),"")</f>
        <v/>
      </c>
      <c r="AE298" t="str">
        <f ca="1">IFERROR(IF(0=LEN(ReferenceData!$AE$298),"",ReferenceData!$AE$298),"")</f>
        <v/>
      </c>
      <c r="AF298" t="str">
        <f ca="1">IFERROR(IF(0=LEN(ReferenceData!$AF$298),"",ReferenceData!$AF$298),"")</f>
        <v/>
      </c>
      <c r="AG298" t="str">
        <f ca="1">IFERROR(IF(0=LEN(ReferenceData!$AG$298),"",ReferenceData!$AG$298),"")</f>
        <v/>
      </c>
      <c r="AH298" t="str">
        <f ca="1">IFERROR(IF(0=LEN(ReferenceData!$AH$298),"",ReferenceData!$AH$298),"")</f>
        <v/>
      </c>
      <c r="AI298" t="str">
        <f ca="1">IFERROR(IF(0=LEN(ReferenceData!$AI$298),"",ReferenceData!$AI$298),"")</f>
        <v/>
      </c>
      <c r="AJ298" t="str">
        <f ca="1">IFERROR(IF(0=LEN(ReferenceData!$AJ$298),"",ReferenceData!$AJ$298),"")</f>
        <v/>
      </c>
      <c r="AK298" t="str">
        <f ca="1">IFERROR(IF(0=LEN(ReferenceData!$AK$298),"",ReferenceData!$AK$298),"")</f>
        <v/>
      </c>
      <c r="AL298" t="str">
        <f ca="1">IFERROR(IF(0=LEN(ReferenceData!$AL$298),"",ReferenceData!$AL$298),"")</f>
        <v/>
      </c>
    </row>
    <row r="299" spans="1:38" x14ac:dyDescent="0.25">
      <c r="A299" t="str">
        <f>IFERROR(IF(0=LEN(ReferenceData!$A$299),"",ReferenceData!$A$299),"")</f>
        <v xml:space="preserve">        M&amp;T Bank Corp</v>
      </c>
      <c r="B299" t="str">
        <f>IFERROR(IF(0=LEN(ReferenceData!$B$299),"",ReferenceData!$B$299),"")</f>
        <v>MTB US Equity</v>
      </c>
      <c r="C299" t="str">
        <f>IFERROR(IF(0=LEN(ReferenceData!$C$299),"",ReferenceData!$C$299),"")</f>
        <v>F0123</v>
      </c>
      <c r="D299" t="str">
        <f>IFERROR(IF(0=LEN(ReferenceData!$D$299),"",ReferenceData!$D$299),"")</f>
        <v>FED_FINL_SRVC_LNS_%_TOT_LNS_LEAS</v>
      </c>
      <c r="E299" t="str">
        <f>IFERROR(IF(0=LEN(ReferenceData!$E$299),"",ReferenceData!$E$299),"")</f>
        <v>Dynamic</v>
      </c>
      <c r="F299">
        <f ca="1">IFERROR(IF(0=LEN(ReferenceData!$F$299),"",ReferenceData!$F$299),"")</f>
        <v>7.5739482850000002</v>
      </c>
      <c r="G299">
        <f ca="1">IFERROR(IF(0=LEN(ReferenceData!$G$299),"",ReferenceData!$G$299),"")</f>
        <v>6.8381475949999997</v>
      </c>
      <c r="H299">
        <f ca="1">IFERROR(IF(0=LEN(ReferenceData!$H$299),"",ReferenceData!$H$299),"")</f>
        <v>4.5723508329999998</v>
      </c>
      <c r="I299">
        <f ca="1">IFERROR(IF(0=LEN(ReferenceData!$I$299),"",ReferenceData!$I$299),"")</f>
        <v>2.3467457299999999</v>
      </c>
      <c r="J299">
        <f ca="1">IFERROR(IF(0=LEN(ReferenceData!$J$299),"",ReferenceData!$J$299),"")</f>
        <v>1.421713781</v>
      </c>
      <c r="K299">
        <f ca="1">IFERROR(IF(0=LEN(ReferenceData!$K$299),"",ReferenceData!$K$299),"")</f>
        <v>1.2340470690000001</v>
      </c>
      <c r="L299">
        <f ca="1">IFERROR(IF(0=LEN(ReferenceData!$L$299),"",ReferenceData!$L$299),"")</f>
        <v>1.34770824</v>
      </c>
      <c r="M299">
        <f ca="1">IFERROR(IF(0=LEN(ReferenceData!$M$299),"",ReferenceData!$M$299),"")</f>
        <v>1.262363721</v>
      </c>
      <c r="N299">
        <f ca="1">IFERROR(IF(0=LEN(ReferenceData!$N$299),"",ReferenceData!$N$299),"")</f>
        <v>1.094440962</v>
      </c>
      <c r="O299">
        <f ca="1">IFERROR(IF(0=LEN(ReferenceData!$O$299),"",ReferenceData!$O$299),"")</f>
        <v>0.80177279300000004</v>
      </c>
      <c r="P299">
        <f ca="1">IFERROR(IF(0=LEN(ReferenceData!$P$299),"",ReferenceData!$P$299),"")</f>
        <v>1.1502438589999999</v>
      </c>
      <c r="Q299">
        <f ca="1">IFERROR(IF(0=LEN(ReferenceData!$Q$299),"",ReferenceData!$Q$299),"")</f>
        <v>0.742891419</v>
      </c>
      <c r="R299">
        <f ca="1">IFERROR(IF(0=LEN(ReferenceData!$R$299),"",ReferenceData!$R$299),"")</f>
        <v>0.65889694200000004</v>
      </c>
      <c r="S299">
        <f ca="1">IFERROR(IF(0=LEN(ReferenceData!$S$299),"",ReferenceData!$S$299),"")</f>
        <v>0.63353129699999999</v>
      </c>
      <c r="T299">
        <f ca="1">IFERROR(IF(0=LEN(ReferenceData!$T$299),"",ReferenceData!$T$299),"")</f>
        <v>0.56817047399999998</v>
      </c>
      <c r="U299" t="str">
        <f ca="1">IFERROR(IF(0=LEN(ReferenceData!$U$299),"",ReferenceData!$U$299),"")</f>
        <v/>
      </c>
      <c r="V299" t="str">
        <f ca="1">IFERROR(IF(0=LEN(ReferenceData!$V$299),"",ReferenceData!$V$299),"")</f>
        <v/>
      </c>
      <c r="W299" t="str">
        <f ca="1">IFERROR(IF(0=LEN(ReferenceData!$W$299),"",ReferenceData!$W$299),"")</f>
        <v/>
      </c>
      <c r="X299" t="str">
        <f ca="1">IFERROR(IF(0=LEN(ReferenceData!$X$299),"",ReferenceData!$X$299),"")</f>
        <v/>
      </c>
      <c r="Y299" t="str">
        <f ca="1">IFERROR(IF(0=LEN(ReferenceData!$Y$299),"",ReferenceData!$Y$299),"")</f>
        <v/>
      </c>
      <c r="Z299" t="str">
        <f ca="1">IFERROR(IF(0=LEN(ReferenceData!$Z$299),"",ReferenceData!$Z$299),"")</f>
        <v/>
      </c>
      <c r="AA299" t="str">
        <f ca="1">IFERROR(IF(0=LEN(ReferenceData!$AA$299),"",ReferenceData!$AA$299),"")</f>
        <v/>
      </c>
      <c r="AB299" t="str">
        <f ca="1">IFERROR(IF(0=LEN(ReferenceData!$AB$299),"",ReferenceData!$AB$299),"")</f>
        <v/>
      </c>
      <c r="AC299" t="str">
        <f ca="1">IFERROR(IF(0=LEN(ReferenceData!$AC$299),"",ReferenceData!$AC$299),"")</f>
        <v/>
      </c>
      <c r="AD299" t="str">
        <f ca="1">IFERROR(IF(0=LEN(ReferenceData!$AD$299),"",ReferenceData!$AD$299),"")</f>
        <v/>
      </c>
      <c r="AE299" t="str">
        <f ca="1">IFERROR(IF(0=LEN(ReferenceData!$AE$299),"",ReferenceData!$AE$299),"")</f>
        <v/>
      </c>
      <c r="AF299" t="str">
        <f ca="1">IFERROR(IF(0=LEN(ReferenceData!$AF$299),"",ReferenceData!$AF$299),"")</f>
        <v/>
      </c>
      <c r="AG299" t="str">
        <f ca="1">IFERROR(IF(0=LEN(ReferenceData!$AG$299),"",ReferenceData!$AG$299),"")</f>
        <v/>
      </c>
      <c r="AH299" t="str">
        <f ca="1">IFERROR(IF(0=LEN(ReferenceData!$AH$299),"",ReferenceData!$AH$299),"")</f>
        <v/>
      </c>
      <c r="AI299" t="str">
        <f ca="1">IFERROR(IF(0=LEN(ReferenceData!$AI$299),"",ReferenceData!$AI$299),"")</f>
        <v/>
      </c>
      <c r="AJ299" t="str">
        <f ca="1">IFERROR(IF(0=LEN(ReferenceData!$AJ$299),"",ReferenceData!$AJ$299),"")</f>
        <v/>
      </c>
      <c r="AK299" t="str">
        <f ca="1">IFERROR(IF(0=LEN(ReferenceData!$AK$299),"",ReferenceData!$AK$299),"")</f>
        <v/>
      </c>
      <c r="AL299" t="str">
        <f ca="1">IFERROR(IF(0=LEN(ReferenceData!$AL$299),"",ReferenceData!$AL$299),"")</f>
        <v/>
      </c>
    </row>
    <row r="300" spans="1:38" x14ac:dyDescent="0.25">
      <c r="A300" t="str">
        <f>IFERROR(IF(0=LEN(ReferenceData!$A$300),"",ReferenceData!$A$300),"")</f>
        <v xml:space="preserve">        PNC Financial Services Group I</v>
      </c>
      <c r="B300" t="str">
        <f>IFERROR(IF(0=LEN(ReferenceData!$B$300),"",ReferenceData!$B$300),"")</f>
        <v>PNC US Equity</v>
      </c>
      <c r="C300" t="str">
        <f>IFERROR(IF(0=LEN(ReferenceData!$C$300),"",ReferenceData!$C$300),"")</f>
        <v>F0123</v>
      </c>
      <c r="D300" t="str">
        <f>IFERROR(IF(0=LEN(ReferenceData!$D$300),"",ReferenceData!$D$300),"")</f>
        <v>FED_FINL_SRVC_LNS_%_TOT_LNS_LEAS</v>
      </c>
      <c r="E300" t="str">
        <f>IFERROR(IF(0=LEN(ReferenceData!$E$300),"",ReferenceData!$E$300),"")</f>
        <v>Dynamic</v>
      </c>
      <c r="F300" t="str">
        <f ca="1">IFERROR(IF(0=LEN(ReferenceData!$F$300),"",ReferenceData!$F$300),"")</f>
        <v/>
      </c>
      <c r="G300">
        <f ca="1">IFERROR(IF(0=LEN(ReferenceData!$G$300),"",ReferenceData!$G$300),"")</f>
        <v>7.712811114</v>
      </c>
      <c r="H300">
        <f ca="1">IFERROR(IF(0=LEN(ReferenceData!$H$300),"",ReferenceData!$H$300),"")</f>
        <v>5.8817227880000003</v>
      </c>
      <c r="I300">
        <f ca="1">IFERROR(IF(0=LEN(ReferenceData!$I$300),"",ReferenceData!$I$300),"")</f>
        <v>5.7348350610000001</v>
      </c>
      <c r="J300">
        <f ca="1">IFERROR(IF(0=LEN(ReferenceData!$J$300),"",ReferenceData!$J$300),"")</f>
        <v>6.1892384900000001</v>
      </c>
      <c r="K300">
        <f ca="1">IFERROR(IF(0=LEN(ReferenceData!$K$300),"",ReferenceData!$K$300),"")</f>
        <v>5.2010105549999999</v>
      </c>
      <c r="L300">
        <f ca="1">IFERROR(IF(0=LEN(ReferenceData!$L$300),"",ReferenceData!$L$300),"")</f>
        <v>5.0460263550000004</v>
      </c>
      <c r="M300">
        <f ca="1">IFERROR(IF(0=LEN(ReferenceData!$M$300),"",ReferenceData!$M$300),"")</f>
        <v>4.729753766</v>
      </c>
      <c r="N300">
        <f ca="1">IFERROR(IF(0=LEN(ReferenceData!$N$300),"",ReferenceData!$N$300),"")</f>
        <v>4.0401886879999998</v>
      </c>
      <c r="O300">
        <f ca="1">IFERROR(IF(0=LEN(ReferenceData!$O$300),"",ReferenceData!$O$300),"")</f>
        <v>4.1929758189999999</v>
      </c>
      <c r="P300">
        <f ca="1">IFERROR(IF(0=LEN(ReferenceData!$P$300),"",ReferenceData!$P$300),"")</f>
        <v>3.3680766809999998</v>
      </c>
      <c r="Q300">
        <f ca="1">IFERROR(IF(0=LEN(ReferenceData!$Q$300),"",ReferenceData!$Q$300),"")</f>
        <v>2.3985145220000001</v>
      </c>
      <c r="R300">
        <f ca="1">IFERROR(IF(0=LEN(ReferenceData!$R$300),"",ReferenceData!$R$300),"")</f>
        <v>2.6947522230000001</v>
      </c>
      <c r="S300">
        <f ca="1">IFERROR(IF(0=LEN(ReferenceData!$S$300),"",ReferenceData!$S$300),"")</f>
        <v>1.936595716</v>
      </c>
      <c r="T300">
        <f ca="1">IFERROR(IF(0=LEN(ReferenceData!$T$300),"",ReferenceData!$T$300),"")</f>
        <v>1.2869693019999999</v>
      </c>
      <c r="U300" t="str">
        <f ca="1">IFERROR(IF(0=LEN(ReferenceData!$U$300),"",ReferenceData!$U$300),"")</f>
        <v/>
      </c>
      <c r="V300" t="str">
        <f ca="1">IFERROR(IF(0=LEN(ReferenceData!$V$300),"",ReferenceData!$V$300),"")</f>
        <v/>
      </c>
      <c r="W300" t="str">
        <f ca="1">IFERROR(IF(0=LEN(ReferenceData!$W$300),"",ReferenceData!$W$300),"")</f>
        <v/>
      </c>
      <c r="X300" t="str">
        <f ca="1">IFERROR(IF(0=LEN(ReferenceData!$X$300),"",ReferenceData!$X$300),"")</f>
        <v/>
      </c>
      <c r="Y300" t="str">
        <f ca="1">IFERROR(IF(0=LEN(ReferenceData!$Y$300),"",ReferenceData!$Y$300),"")</f>
        <v/>
      </c>
      <c r="Z300" t="str">
        <f ca="1">IFERROR(IF(0=LEN(ReferenceData!$Z$300),"",ReferenceData!$Z$300),"")</f>
        <v/>
      </c>
      <c r="AA300" t="str">
        <f ca="1">IFERROR(IF(0=LEN(ReferenceData!$AA$300),"",ReferenceData!$AA$300),"")</f>
        <v/>
      </c>
      <c r="AB300" t="str">
        <f ca="1">IFERROR(IF(0=LEN(ReferenceData!$AB$300),"",ReferenceData!$AB$300),"")</f>
        <v/>
      </c>
      <c r="AC300" t="str">
        <f ca="1">IFERROR(IF(0=LEN(ReferenceData!$AC$300),"",ReferenceData!$AC$300),"")</f>
        <v/>
      </c>
      <c r="AD300" t="str">
        <f ca="1">IFERROR(IF(0=LEN(ReferenceData!$AD$300),"",ReferenceData!$AD$300),"")</f>
        <v/>
      </c>
      <c r="AE300" t="str">
        <f ca="1">IFERROR(IF(0=LEN(ReferenceData!$AE$300),"",ReferenceData!$AE$300),"")</f>
        <v/>
      </c>
      <c r="AF300" t="str">
        <f ca="1">IFERROR(IF(0=LEN(ReferenceData!$AF$300),"",ReferenceData!$AF$300),"")</f>
        <v/>
      </c>
      <c r="AG300" t="str">
        <f ca="1">IFERROR(IF(0=LEN(ReferenceData!$AG$300),"",ReferenceData!$AG$300),"")</f>
        <v/>
      </c>
      <c r="AH300" t="str">
        <f ca="1">IFERROR(IF(0=LEN(ReferenceData!$AH$300),"",ReferenceData!$AH$300),"")</f>
        <v/>
      </c>
      <c r="AI300" t="str">
        <f ca="1">IFERROR(IF(0=LEN(ReferenceData!$AI$300),"",ReferenceData!$AI$300),"")</f>
        <v/>
      </c>
      <c r="AJ300" t="str">
        <f ca="1">IFERROR(IF(0=LEN(ReferenceData!$AJ$300),"",ReferenceData!$AJ$300),"")</f>
        <v/>
      </c>
      <c r="AK300" t="str">
        <f ca="1">IFERROR(IF(0=LEN(ReferenceData!$AK$300),"",ReferenceData!$AK$300),"")</f>
        <v/>
      </c>
      <c r="AL300" t="str">
        <f ca="1">IFERROR(IF(0=LEN(ReferenceData!$AL$300),"",ReferenceData!$AL$300),"")</f>
        <v/>
      </c>
    </row>
    <row r="301" spans="1:38" x14ac:dyDescent="0.25">
      <c r="A301" t="str">
        <f>IFERROR(IF(0=LEN(ReferenceData!$A$301),"",ReferenceData!$A$301),"")</f>
        <v xml:space="preserve">        Regions Financial Corp</v>
      </c>
      <c r="B301" t="str">
        <f>IFERROR(IF(0=LEN(ReferenceData!$B$301),"",ReferenceData!$B$301),"")</f>
        <v>RF US Equity</v>
      </c>
      <c r="C301" t="str">
        <f>IFERROR(IF(0=LEN(ReferenceData!$C$301),"",ReferenceData!$C$301),"")</f>
        <v>F0123</v>
      </c>
      <c r="D301" t="str">
        <f>IFERROR(IF(0=LEN(ReferenceData!$D$301),"",ReferenceData!$D$301),"")</f>
        <v>FED_FINL_SRVC_LNS_%_TOT_LNS_LEAS</v>
      </c>
      <c r="E301" t="str">
        <f>IFERROR(IF(0=LEN(ReferenceData!$E$301),"",ReferenceData!$E$301),"")</f>
        <v>Dynamic</v>
      </c>
      <c r="F301" t="str">
        <f ca="1">IFERROR(IF(0=LEN(ReferenceData!$F$301),"",ReferenceData!$F$301),"")</f>
        <v/>
      </c>
      <c r="G301">
        <f ca="1">IFERROR(IF(0=LEN(ReferenceData!$G$301),"",ReferenceData!$G$301),"")</f>
        <v>8.4161924629999998</v>
      </c>
      <c r="H301">
        <f ca="1">IFERROR(IF(0=LEN(ReferenceData!$H$301),"",ReferenceData!$H$301),"")</f>
        <v>8.0598272160000004</v>
      </c>
      <c r="I301">
        <f ca="1">IFERROR(IF(0=LEN(ReferenceData!$I$301),"",ReferenceData!$I$301),"")</f>
        <v>6.6900218530000002</v>
      </c>
      <c r="J301">
        <f ca="1">IFERROR(IF(0=LEN(ReferenceData!$J$301),"",ReferenceData!$J$301),"")</f>
        <v>6.4705612410000004</v>
      </c>
      <c r="K301">
        <f ca="1">IFERROR(IF(0=LEN(ReferenceData!$K$301),"",ReferenceData!$K$301),"")</f>
        <v>7.4497607659999998</v>
      </c>
      <c r="L301">
        <f ca="1">IFERROR(IF(0=LEN(ReferenceData!$L$301),"",ReferenceData!$L$301),"")</f>
        <v>7.0112689909999997</v>
      </c>
      <c r="M301">
        <f ca="1">IFERROR(IF(0=LEN(ReferenceData!$M$301),"",ReferenceData!$M$301),"")</f>
        <v>6.8558841040000003</v>
      </c>
      <c r="N301">
        <f ca="1">IFERROR(IF(0=LEN(ReferenceData!$N$301),"",ReferenceData!$N$301),"")</f>
        <v>6.5320577770000003</v>
      </c>
      <c r="O301">
        <f ca="1">IFERROR(IF(0=LEN(ReferenceData!$O$301),"",ReferenceData!$O$301),"")</f>
        <v>6.4759194830000002</v>
      </c>
      <c r="P301">
        <f ca="1">IFERROR(IF(0=LEN(ReferenceData!$P$301),"",ReferenceData!$P$301),"")</f>
        <v>5.5831369789999998</v>
      </c>
      <c r="Q301">
        <f ca="1">IFERROR(IF(0=LEN(ReferenceData!$Q$301),"",ReferenceData!$Q$301),"")</f>
        <v>4.3094747780000002</v>
      </c>
      <c r="R301">
        <f ca="1">IFERROR(IF(0=LEN(ReferenceData!$R$301),"",ReferenceData!$R$301),"")</f>
        <v>3.0356155399999998</v>
      </c>
      <c r="S301">
        <f ca="1">IFERROR(IF(0=LEN(ReferenceData!$S$301),"",ReferenceData!$S$301),"")</f>
        <v>1.9896139639999999</v>
      </c>
      <c r="T301">
        <f ca="1">IFERROR(IF(0=LEN(ReferenceData!$T$301),"",ReferenceData!$T$301),"")</f>
        <v>1.5053923</v>
      </c>
      <c r="U301" t="str">
        <f ca="1">IFERROR(IF(0=LEN(ReferenceData!$U$301),"",ReferenceData!$U$301),"")</f>
        <v/>
      </c>
      <c r="V301" t="str">
        <f ca="1">IFERROR(IF(0=LEN(ReferenceData!$V$301),"",ReferenceData!$V$301),"")</f>
        <v/>
      </c>
      <c r="W301" t="str">
        <f ca="1">IFERROR(IF(0=LEN(ReferenceData!$W$301),"",ReferenceData!$W$301),"")</f>
        <v/>
      </c>
      <c r="X301" t="str">
        <f ca="1">IFERROR(IF(0=LEN(ReferenceData!$X$301),"",ReferenceData!$X$301),"")</f>
        <v/>
      </c>
      <c r="Y301" t="str">
        <f ca="1">IFERROR(IF(0=LEN(ReferenceData!$Y$301),"",ReferenceData!$Y$301),"")</f>
        <v/>
      </c>
      <c r="Z301" t="str">
        <f ca="1">IFERROR(IF(0=LEN(ReferenceData!$Z$301),"",ReferenceData!$Z$301),"")</f>
        <v/>
      </c>
      <c r="AA301" t="str">
        <f ca="1">IFERROR(IF(0=LEN(ReferenceData!$AA$301),"",ReferenceData!$AA$301),"")</f>
        <v/>
      </c>
      <c r="AB301" t="str">
        <f ca="1">IFERROR(IF(0=LEN(ReferenceData!$AB$301),"",ReferenceData!$AB$301),"")</f>
        <v/>
      </c>
      <c r="AC301" t="str">
        <f ca="1">IFERROR(IF(0=LEN(ReferenceData!$AC$301),"",ReferenceData!$AC$301),"")</f>
        <v/>
      </c>
      <c r="AD301" t="str">
        <f ca="1">IFERROR(IF(0=LEN(ReferenceData!$AD$301),"",ReferenceData!$AD$301),"")</f>
        <v/>
      </c>
      <c r="AE301" t="str">
        <f ca="1">IFERROR(IF(0=LEN(ReferenceData!$AE$301),"",ReferenceData!$AE$301),"")</f>
        <v/>
      </c>
      <c r="AF301" t="str">
        <f ca="1">IFERROR(IF(0=LEN(ReferenceData!$AF$301),"",ReferenceData!$AF$301),"")</f>
        <v/>
      </c>
      <c r="AG301" t="str">
        <f ca="1">IFERROR(IF(0=LEN(ReferenceData!$AG$301),"",ReferenceData!$AG$301),"")</f>
        <v/>
      </c>
      <c r="AH301" t="str">
        <f ca="1">IFERROR(IF(0=LEN(ReferenceData!$AH$301),"",ReferenceData!$AH$301),"")</f>
        <v/>
      </c>
      <c r="AI301" t="str">
        <f ca="1">IFERROR(IF(0=LEN(ReferenceData!$AI$301),"",ReferenceData!$AI$301),"")</f>
        <v/>
      </c>
      <c r="AJ301" t="str">
        <f ca="1">IFERROR(IF(0=LEN(ReferenceData!$AJ$301),"",ReferenceData!$AJ$301),"")</f>
        <v/>
      </c>
      <c r="AK301" t="str">
        <f ca="1">IFERROR(IF(0=LEN(ReferenceData!$AK$301),"",ReferenceData!$AK$301),"")</f>
        <v/>
      </c>
      <c r="AL301" t="str">
        <f ca="1">IFERROR(IF(0=LEN(ReferenceData!$AL$301),"",ReferenceData!$AL$301),"")</f>
        <v/>
      </c>
    </row>
    <row r="302" spans="1:38" x14ac:dyDescent="0.25">
      <c r="A302" t="str">
        <f>IFERROR(IF(0=LEN(ReferenceData!$A$302),"",ReferenceData!$A$302),"")</f>
        <v xml:space="preserve">        Truist Financial Corp</v>
      </c>
      <c r="B302" t="str">
        <f>IFERROR(IF(0=LEN(ReferenceData!$B$302),"",ReferenceData!$B$302),"")</f>
        <v>TFC US Equity</v>
      </c>
      <c r="C302" t="str">
        <f>IFERROR(IF(0=LEN(ReferenceData!$C$302),"",ReferenceData!$C$302),"")</f>
        <v>F0123</v>
      </c>
      <c r="D302" t="str">
        <f>IFERROR(IF(0=LEN(ReferenceData!$D$302),"",ReferenceData!$D$302),"")</f>
        <v>FED_FINL_SRVC_LNS_%_TOT_LNS_LEAS</v>
      </c>
      <c r="E302" t="str">
        <f>IFERROR(IF(0=LEN(ReferenceData!$E$302),"",ReferenceData!$E$302),"")</f>
        <v>Dynamic</v>
      </c>
      <c r="F302">
        <f ca="1">IFERROR(IF(0=LEN(ReferenceData!$F$302),"",ReferenceData!$F$302),"")</f>
        <v>9.5980453000000008</v>
      </c>
      <c r="G302">
        <f ca="1">IFERROR(IF(0=LEN(ReferenceData!$G$302),"",ReferenceData!$G$302),"")</f>
        <v>6.6202635470000004</v>
      </c>
      <c r="H302">
        <f ca="1">IFERROR(IF(0=LEN(ReferenceData!$H$302),"",ReferenceData!$H$302),"")</f>
        <v>7.2991586120000003</v>
      </c>
      <c r="I302">
        <f ca="1">IFERROR(IF(0=LEN(ReferenceData!$I$302),"",ReferenceData!$I$302),"")</f>
        <v>6.5424275889999999</v>
      </c>
      <c r="J302">
        <f ca="1">IFERROR(IF(0=LEN(ReferenceData!$J$302),"",ReferenceData!$J$302),"")</f>
        <v>5.9399659250000001</v>
      </c>
      <c r="K302">
        <f ca="1">IFERROR(IF(0=LEN(ReferenceData!$K$302),"",ReferenceData!$K$302),"")</f>
        <v>4.6613565210000001</v>
      </c>
      <c r="L302">
        <f ca="1">IFERROR(IF(0=LEN(ReferenceData!$L$302),"",ReferenceData!$L$302),"")</f>
        <v>3.4539769730000001</v>
      </c>
      <c r="M302">
        <f ca="1">IFERROR(IF(0=LEN(ReferenceData!$M$302),"",ReferenceData!$M$302),"")</f>
        <v>3.3743093919999998</v>
      </c>
      <c r="N302">
        <f ca="1">IFERROR(IF(0=LEN(ReferenceData!$N$302),"",ReferenceData!$N$302),"")</f>
        <v>3.2834418849999998</v>
      </c>
      <c r="O302">
        <f ca="1">IFERROR(IF(0=LEN(ReferenceData!$O$302),"",ReferenceData!$O$302),"")</f>
        <v>3.30696485</v>
      </c>
      <c r="P302">
        <f ca="1">IFERROR(IF(0=LEN(ReferenceData!$P$302),"",ReferenceData!$P$302),"")</f>
        <v>2.9958521560000002</v>
      </c>
      <c r="Q302">
        <f ca="1">IFERROR(IF(0=LEN(ReferenceData!$Q$302),"",ReferenceData!$Q$302),"")</f>
        <v>2.028307978</v>
      </c>
      <c r="R302">
        <f ca="1">IFERROR(IF(0=LEN(ReferenceData!$R$302),"",ReferenceData!$R$302),"")</f>
        <v>2.232686234</v>
      </c>
      <c r="S302">
        <f ca="1">IFERROR(IF(0=LEN(ReferenceData!$S$302),"",ReferenceData!$S$302),"")</f>
        <v>1.843058265</v>
      </c>
      <c r="T302">
        <f ca="1">IFERROR(IF(0=LEN(ReferenceData!$T$302),"",ReferenceData!$T$302),"")</f>
        <v>1.0455736689999999</v>
      </c>
      <c r="U302" t="str">
        <f ca="1">IFERROR(IF(0=LEN(ReferenceData!$U$302),"",ReferenceData!$U$302),"")</f>
        <v/>
      </c>
      <c r="V302" t="str">
        <f ca="1">IFERROR(IF(0=LEN(ReferenceData!$V$302),"",ReferenceData!$V$302),"")</f>
        <v/>
      </c>
      <c r="W302" t="str">
        <f ca="1">IFERROR(IF(0=LEN(ReferenceData!$W$302),"",ReferenceData!$W$302),"")</f>
        <v/>
      </c>
      <c r="X302" t="str">
        <f ca="1">IFERROR(IF(0=LEN(ReferenceData!$X$302),"",ReferenceData!$X$302),"")</f>
        <v/>
      </c>
      <c r="Y302" t="str">
        <f ca="1">IFERROR(IF(0=LEN(ReferenceData!$Y$302),"",ReferenceData!$Y$302),"")</f>
        <v/>
      </c>
      <c r="Z302" t="str">
        <f ca="1">IFERROR(IF(0=LEN(ReferenceData!$Z$302),"",ReferenceData!$Z$302),"")</f>
        <v/>
      </c>
      <c r="AA302" t="str">
        <f ca="1">IFERROR(IF(0=LEN(ReferenceData!$AA$302),"",ReferenceData!$AA$302),"")</f>
        <v/>
      </c>
      <c r="AB302" t="str">
        <f ca="1">IFERROR(IF(0=LEN(ReferenceData!$AB$302),"",ReferenceData!$AB$302),"")</f>
        <v/>
      </c>
      <c r="AC302" t="str">
        <f ca="1">IFERROR(IF(0=LEN(ReferenceData!$AC$302),"",ReferenceData!$AC$302),"")</f>
        <v/>
      </c>
      <c r="AD302" t="str">
        <f ca="1">IFERROR(IF(0=LEN(ReferenceData!$AD$302),"",ReferenceData!$AD$302),"")</f>
        <v/>
      </c>
      <c r="AE302" t="str">
        <f ca="1">IFERROR(IF(0=LEN(ReferenceData!$AE$302),"",ReferenceData!$AE$302),"")</f>
        <v/>
      </c>
      <c r="AF302" t="str">
        <f ca="1">IFERROR(IF(0=LEN(ReferenceData!$AF$302),"",ReferenceData!$AF$302),"")</f>
        <v/>
      </c>
      <c r="AG302" t="str">
        <f ca="1">IFERROR(IF(0=LEN(ReferenceData!$AG$302),"",ReferenceData!$AG$302),"")</f>
        <v/>
      </c>
      <c r="AH302" t="str">
        <f ca="1">IFERROR(IF(0=LEN(ReferenceData!$AH$302),"",ReferenceData!$AH$302),"")</f>
        <v/>
      </c>
      <c r="AI302" t="str">
        <f ca="1">IFERROR(IF(0=LEN(ReferenceData!$AI$302),"",ReferenceData!$AI$302),"")</f>
        <v/>
      </c>
      <c r="AJ302" t="str">
        <f ca="1">IFERROR(IF(0=LEN(ReferenceData!$AJ$302),"",ReferenceData!$AJ$302),"")</f>
        <v/>
      </c>
      <c r="AK302" t="str">
        <f ca="1">IFERROR(IF(0=LEN(ReferenceData!$AK$302),"",ReferenceData!$AK$302),"")</f>
        <v/>
      </c>
      <c r="AL302" t="str">
        <f ca="1">IFERROR(IF(0=LEN(ReferenceData!$AL$302),"",ReferenceData!$AL$302),"")</f>
        <v/>
      </c>
    </row>
    <row r="303" spans="1:38" x14ac:dyDescent="0.25">
      <c r="A303" t="str">
        <f>IFERROR(IF(0=LEN(ReferenceData!$A$303),"",ReferenceData!$A$303),"")</f>
        <v xml:space="preserve">        US Bancorp</v>
      </c>
      <c r="B303" t="str">
        <f>IFERROR(IF(0=LEN(ReferenceData!$B$303),"",ReferenceData!$B$303),"")</f>
        <v>USB US Equity</v>
      </c>
      <c r="C303" t="str">
        <f>IFERROR(IF(0=LEN(ReferenceData!$C$303),"",ReferenceData!$C$303),"")</f>
        <v>F0123</v>
      </c>
      <c r="D303" t="str">
        <f>IFERROR(IF(0=LEN(ReferenceData!$D$303),"",ReferenceData!$D$303),"")</f>
        <v>FED_FINL_SRVC_LNS_%_TOT_LNS_LEAS</v>
      </c>
      <c r="E303" t="str">
        <f>IFERROR(IF(0=LEN(ReferenceData!$E$303),"",ReferenceData!$E$303),"")</f>
        <v>Dynamic</v>
      </c>
      <c r="F303">
        <f ca="1">IFERROR(IF(0=LEN(ReferenceData!$F$303),"",ReferenceData!$F$303),"")</f>
        <v>6.2744995489999997</v>
      </c>
      <c r="G303">
        <f ca="1">IFERROR(IF(0=LEN(ReferenceData!$G$303),"",ReferenceData!$G$303),"")</f>
        <v>3.5704028339999998</v>
      </c>
      <c r="H303">
        <f ca="1">IFERROR(IF(0=LEN(ReferenceData!$H$303),"",ReferenceData!$H$303),"")</f>
        <v>3.0862189529999999</v>
      </c>
      <c r="I303">
        <f ca="1">IFERROR(IF(0=LEN(ReferenceData!$I$303),"",ReferenceData!$I$303),"")</f>
        <v>3.2595066340000001</v>
      </c>
      <c r="J303">
        <f ca="1">IFERROR(IF(0=LEN(ReferenceData!$J$303),"",ReferenceData!$J$303),"")</f>
        <v>1.7336230859999999</v>
      </c>
      <c r="K303">
        <f ca="1">IFERROR(IF(0=LEN(ReferenceData!$K$303),"",ReferenceData!$K$303),"")</f>
        <v>1.6563908780000001</v>
      </c>
      <c r="L303">
        <f ca="1">IFERROR(IF(0=LEN(ReferenceData!$L$303),"",ReferenceData!$L$303),"")</f>
        <v>0.89412481700000002</v>
      </c>
      <c r="M303">
        <f ca="1">IFERROR(IF(0=LEN(ReferenceData!$M$303),"",ReferenceData!$M$303),"")</f>
        <v>0.89229010499999994</v>
      </c>
      <c r="N303">
        <f ca="1">IFERROR(IF(0=LEN(ReferenceData!$N$303),"",ReferenceData!$N$303),"")</f>
        <v>0.86571029700000002</v>
      </c>
      <c r="O303">
        <f ca="1">IFERROR(IF(0=LEN(ReferenceData!$O$303),"",ReferenceData!$O$303),"")</f>
        <v>0.89239204400000005</v>
      </c>
      <c r="P303">
        <f ca="1">IFERROR(IF(0=LEN(ReferenceData!$P$303),"",ReferenceData!$P$303),"")</f>
        <v>0.81362240900000005</v>
      </c>
      <c r="Q303">
        <f ca="1">IFERROR(IF(0=LEN(ReferenceData!$Q$303),"",ReferenceData!$Q$303),"")</f>
        <v>0.452927992</v>
      </c>
      <c r="R303">
        <f ca="1">IFERROR(IF(0=LEN(ReferenceData!$R$303),"",ReferenceData!$R$303),"")</f>
        <v>0.63123573499999996</v>
      </c>
      <c r="S303">
        <f ca="1">IFERROR(IF(0=LEN(ReferenceData!$S$303),"",ReferenceData!$S$303),"")</f>
        <v>0.53435292499999998</v>
      </c>
      <c r="T303">
        <f ca="1">IFERROR(IF(0=LEN(ReferenceData!$T$303),"",ReferenceData!$T$303),"")</f>
        <v>0.42116710699999999</v>
      </c>
      <c r="U303" t="str">
        <f ca="1">IFERROR(IF(0=LEN(ReferenceData!$U$303),"",ReferenceData!$U$303),"")</f>
        <v/>
      </c>
      <c r="V303" t="str">
        <f ca="1">IFERROR(IF(0=LEN(ReferenceData!$V$303),"",ReferenceData!$V$303),"")</f>
        <v/>
      </c>
      <c r="W303" t="str">
        <f ca="1">IFERROR(IF(0=LEN(ReferenceData!$W$303),"",ReferenceData!$W$303),"")</f>
        <v/>
      </c>
      <c r="X303" t="str">
        <f ca="1">IFERROR(IF(0=LEN(ReferenceData!$X$303),"",ReferenceData!$X$303),"")</f>
        <v/>
      </c>
      <c r="Y303" t="str">
        <f ca="1">IFERROR(IF(0=LEN(ReferenceData!$Y$303),"",ReferenceData!$Y$303),"")</f>
        <v/>
      </c>
      <c r="Z303" t="str">
        <f ca="1">IFERROR(IF(0=LEN(ReferenceData!$Z$303),"",ReferenceData!$Z$303),"")</f>
        <v/>
      </c>
      <c r="AA303" t="str">
        <f ca="1">IFERROR(IF(0=LEN(ReferenceData!$AA$303),"",ReferenceData!$AA$303),"")</f>
        <v/>
      </c>
      <c r="AB303" t="str">
        <f ca="1">IFERROR(IF(0=LEN(ReferenceData!$AB$303),"",ReferenceData!$AB$303),"")</f>
        <v/>
      </c>
      <c r="AC303" t="str">
        <f ca="1">IFERROR(IF(0=LEN(ReferenceData!$AC$303),"",ReferenceData!$AC$303),"")</f>
        <v/>
      </c>
      <c r="AD303" t="str">
        <f ca="1">IFERROR(IF(0=LEN(ReferenceData!$AD$303),"",ReferenceData!$AD$303),"")</f>
        <v/>
      </c>
      <c r="AE303" t="str">
        <f ca="1">IFERROR(IF(0=LEN(ReferenceData!$AE$303),"",ReferenceData!$AE$303),"")</f>
        <v/>
      </c>
      <c r="AF303" t="str">
        <f ca="1">IFERROR(IF(0=LEN(ReferenceData!$AF$303),"",ReferenceData!$AF$303),"")</f>
        <v/>
      </c>
      <c r="AG303" t="str">
        <f ca="1">IFERROR(IF(0=LEN(ReferenceData!$AG$303),"",ReferenceData!$AG$303),"")</f>
        <v/>
      </c>
      <c r="AH303" t="str">
        <f ca="1">IFERROR(IF(0=LEN(ReferenceData!$AH$303),"",ReferenceData!$AH$303),"")</f>
        <v/>
      </c>
      <c r="AI303" t="str">
        <f ca="1">IFERROR(IF(0=LEN(ReferenceData!$AI$303),"",ReferenceData!$AI$303),"")</f>
        <v/>
      </c>
      <c r="AJ303" t="str">
        <f ca="1">IFERROR(IF(0=LEN(ReferenceData!$AJ$303),"",ReferenceData!$AJ$303),"")</f>
        <v/>
      </c>
      <c r="AK303" t="str">
        <f ca="1">IFERROR(IF(0=LEN(ReferenceData!$AK$303),"",ReferenceData!$AK$303),"")</f>
        <v/>
      </c>
      <c r="AL303" t="str">
        <f ca="1">IFERROR(IF(0=LEN(ReferenceData!$AL$303),"",ReferenceData!$AL$303),"")</f>
        <v/>
      </c>
    </row>
    <row r="304" spans="1:38" x14ac:dyDescent="0.25">
      <c r="A304" t="str">
        <f>IFERROR(IF(0=LEN(ReferenceData!$A$304),"",ReferenceData!$A$304),"")</f>
        <v xml:space="preserve">        Wells Fargo &amp; Co</v>
      </c>
      <c r="B304" t="str">
        <f>IFERROR(IF(0=LEN(ReferenceData!$B$304),"",ReferenceData!$B$304),"")</f>
        <v>WFC US Equity</v>
      </c>
      <c r="C304" t="str">
        <f>IFERROR(IF(0=LEN(ReferenceData!$C$304),"",ReferenceData!$C$304),"")</f>
        <v>F0123</v>
      </c>
      <c r="D304" t="str">
        <f>IFERROR(IF(0=LEN(ReferenceData!$D$304),"",ReferenceData!$D$304),"")</f>
        <v>FED_FINL_SRVC_LNS_%_TOT_LNS_LEAS</v>
      </c>
      <c r="E304" t="str">
        <f>IFERROR(IF(0=LEN(ReferenceData!$E$304),"",ReferenceData!$E$304),"")</f>
        <v>Dynamic</v>
      </c>
      <c r="F304">
        <f ca="1">IFERROR(IF(0=LEN(ReferenceData!$F$304),"",ReferenceData!$F$304),"")</f>
        <v>17.29242816</v>
      </c>
      <c r="G304">
        <f ca="1">IFERROR(IF(0=LEN(ReferenceData!$G$304),"",ReferenceData!$G$304),"")</f>
        <v>16.215465649999999</v>
      </c>
      <c r="H304">
        <f ca="1">IFERROR(IF(0=LEN(ReferenceData!$H$304),"",ReferenceData!$H$304),"")</f>
        <v>16.00349035</v>
      </c>
      <c r="I304">
        <f ca="1">IFERROR(IF(0=LEN(ReferenceData!$I$304),"",ReferenceData!$I$304),"")</f>
        <v>15.5855476</v>
      </c>
      <c r="J304">
        <f ca="1">IFERROR(IF(0=LEN(ReferenceData!$J$304),"",ReferenceData!$J$304),"")</f>
        <v>12.78609374</v>
      </c>
      <c r="K304">
        <f ca="1">IFERROR(IF(0=LEN(ReferenceData!$K$304),"",ReferenceData!$K$304),"")</f>
        <v>11.84957335</v>
      </c>
      <c r="L304">
        <f ca="1">IFERROR(IF(0=LEN(ReferenceData!$L$304),"",ReferenceData!$L$304),"")</f>
        <v>10.87326034</v>
      </c>
      <c r="M304">
        <f ca="1">IFERROR(IF(0=LEN(ReferenceData!$M$304),"",ReferenceData!$M$304),"")</f>
        <v>9.1904304719999992</v>
      </c>
      <c r="N304">
        <f ca="1">IFERROR(IF(0=LEN(ReferenceData!$N$304),"",ReferenceData!$N$304),"")</f>
        <v>8.4601739120000001</v>
      </c>
      <c r="O304">
        <f ca="1">IFERROR(IF(0=LEN(ReferenceData!$O$304),"",ReferenceData!$O$304),"")</f>
        <v>7.974521363</v>
      </c>
      <c r="P304">
        <f ca="1">IFERROR(IF(0=LEN(ReferenceData!$P$304),"",ReferenceData!$P$304),"")</f>
        <v>6.2820331759999997</v>
      </c>
      <c r="Q304">
        <f ca="1">IFERROR(IF(0=LEN(ReferenceData!$Q$304),"",ReferenceData!$Q$304),"")</f>
        <v>4.5617318339999997</v>
      </c>
      <c r="R304">
        <f ca="1">IFERROR(IF(0=LEN(ReferenceData!$R$304),"",ReferenceData!$R$304),"")</f>
        <v>2.8459639810000001</v>
      </c>
      <c r="S304">
        <f ca="1">IFERROR(IF(0=LEN(ReferenceData!$S$304),"",ReferenceData!$S$304),"")</f>
        <v>1.2140466679999999</v>
      </c>
      <c r="T304">
        <f ca="1">IFERROR(IF(0=LEN(ReferenceData!$T$304),"",ReferenceData!$T$304),"")</f>
        <v>1.7534388400000001</v>
      </c>
      <c r="U304" t="str">
        <f ca="1">IFERROR(IF(0=LEN(ReferenceData!$U$304),"",ReferenceData!$U$304),"")</f>
        <v/>
      </c>
      <c r="V304" t="str">
        <f ca="1">IFERROR(IF(0=LEN(ReferenceData!$V$304),"",ReferenceData!$V$304),"")</f>
        <v/>
      </c>
      <c r="W304" t="str">
        <f ca="1">IFERROR(IF(0=LEN(ReferenceData!$W$304),"",ReferenceData!$W$304),"")</f>
        <v/>
      </c>
      <c r="X304" t="str">
        <f ca="1">IFERROR(IF(0=LEN(ReferenceData!$X$304),"",ReferenceData!$X$304),"")</f>
        <v/>
      </c>
      <c r="Y304" t="str">
        <f ca="1">IFERROR(IF(0=LEN(ReferenceData!$Y$304),"",ReferenceData!$Y$304),"")</f>
        <v/>
      </c>
      <c r="Z304" t="str">
        <f ca="1">IFERROR(IF(0=LEN(ReferenceData!$Z$304),"",ReferenceData!$Z$304),"")</f>
        <v/>
      </c>
      <c r="AA304" t="str">
        <f ca="1">IFERROR(IF(0=LEN(ReferenceData!$AA$304),"",ReferenceData!$AA$304),"")</f>
        <v/>
      </c>
      <c r="AB304" t="str">
        <f ca="1">IFERROR(IF(0=LEN(ReferenceData!$AB$304),"",ReferenceData!$AB$304),"")</f>
        <v/>
      </c>
      <c r="AC304" t="str">
        <f ca="1">IFERROR(IF(0=LEN(ReferenceData!$AC$304),"",ReferenceData!$AC$304),"")</f>
        <v/>
      </c>
      <c r="AD304" t="str">
        <f ca="1">IFERROR(IF(0=LEN(ReferenceData!$AD$304),"",ReferenceData!$AD$304),"")</f>
        <v/>
      </c>
      <c r="AE304" t="str">
        <f ca="1">IFERROR(IF(0=LEN(ReferenceData!$AE$304),"",ReferenceData!$AE$304),"")</f>
        <v/>
      </c>
      <c r="AF304" t="str">
        <f ca="1">IFERROR(IF(0=LEN(ReferenceData!$AF$304),"",ReferenceData!$AF$304),"")</f>
        <v/>
      </c>
      <c r="AG304" t="str">
        <f ca="1">IFERROR(IF(0=LEN(ReferenceData!$AG$304),"",ReferenceData!$AG$304),"")</f>
        <v/>
      </c>
      <c r="AH304" t="str">
        <f ca="1">IFERROR(IF(0=LEN(ReferenceData!$AH$304),"",ReferenceData!$AH$304),"")</f>
        <v/>
      </c>
      <c r="AI304" t="str">
        <f ca="1">IFERROR(IF(0=LEN(ReferenceData!$AI$304),"",ReferenceData!$AI$304),"")</f>
        <v/>
      </c>
      <c r="AJ304" t="str">
        <f ca="1">IFERROR(IF(0=LEN(ReferenceData!$AJ$304),"",ReferenceData!$AJ$304),"")</f>
        <v/>
      </c>
      <c r="AK304" t="str">
        <f ca="1">IFERROR(IF(0=LEN(ReferenceData!$AK$304),"",ReferenceData!$AK$304),"")</f>
        <v/>
      </c>
      <c r="AL304" t="str">
        <f ca="1">IFERROR(IF(0=LEN(ReferenceData!$AL$304),"",ReferenceData!$AL$304),"")</f>
        <v/>
      </c>
    </row>
    <row r="305" spans="1:38" x14ac:dyDescent="0.25">
      <c r="A305" t="str">
        <f>IFERROR(IF(0=LEN(ReferenceData!$A$305),"",ReferenceData!$A$305),"")</f>
        <v xml:space="preserve">        Western Alliance Bancorp</v>
      </c>
      <c r="B305" t="str">
        <f>IFERROR(IF(0=LEN(ReferenceData!$B$305),"",ReferenceData!$B$305),"")</f>
        <v>WAL US Equity</v>
      </c>
      <c r="C305" t="str">
        <f>IFERROR(IF(0=LEN(ReferenceData!$C$305),"",ReferenceData!$C$305),"")</f>
        <v>F0123</v>
      </c>
      <c r="D305" t="str">
        <f>IFERROR(IF(0=LEN(ReferenceData!$D$305),"",ReferenceData!$D$305),"")</f>
        <v>FED_FINL_SRVC_LNS_%_TOT_LNS_LEAS</v>
      </c>
      <c r="E305" t="str">
        <f>IFERROR(IF(0=LEN(ReferenceData!$E$305),"",ReferenceData!$E$305),"")</f>
        <v>Dynamic</v>
      </c>
      <c r="F305">
        <f ca="1">IFERROR(IF(0=LEN(ReferenceData!$F$305),"",ReferenceData!$F$305),"")</f>
        <v>19.761674240000001</v>
      </c>
      <c r="G305">
        <f ca="1">IFERROR(IF(0=LEN(ReferenceData!$G$305),"",ReferenceData!$G$305),"")</f>
        <v>15.863834880000001</v>
      </c>
      <c r="H305">
        <f ca="1">IFERROR(IF(0=LEN(ReferenceData!$H$305),"",ReferenceData!$H$305),"")</f>
        <v>12.477352440000001</v>
      </c>
      <c r="I305">
        <f ca="1">IFERROR(IF(0=LEN(ReferenceData!$I$305),"",ReferenceData!$I$305),"")</f>
        <v>12.11347739</v>
      </c>
      <c r="J305">
        <f ca="1">IFERROR(IF(0=LEN(ReferenceData!$J$305),"",ReferenceData!$J$305),"")</f>
        <v>16.55648549</v>
      </c>
      <c r="K305">
        <f ca="1">IFERROR(IF(0=LEN(ReferenceData!$K$305),"",ReferenceData!$K$305),"")</f>
        <v>10.323871799999999</v>
      </c>
      <c r="L305">
        <f ca="1">IFERROR(IF(0=LEN(ReferenceData!$L$305),"",ReferenceData!$L$305),"")</f>
        <v>8.9056182019999994</v>
      </c>
      <c r="M305">
        <f ca="1">IFERROR(IF(0=LEN(ReferenceData!$M$305),"",ReferenceData!$M$305),"")</f>
        <v>7.2361183479999998</v>
      </c>
      <c r="N305">
        <f ca="1">IFERROR(IF(0=LEN(ReferenceData!$N$305),"",ReferenceData!$N$305),"")</f>
        <v>6.2276638960000001</v>
      </c>
      <c r="O305">
        <f ca="1">IFERROR(IF(0=LEN(ReferenceData!$O$305),"",ReferenceData!$O$305),"")</f>
        <v>4.0058947639999998</v>
      </c>
      <c r="P305">
        <f ca="1">IFERROR(IF(0=LEN(ReferenceData!$P$305),"",ReferenceData!$P$305),"")</f>
        <v>4.2775739990000003</v>
      </c>
      <c r="Q305">
        <f ca="1">IFERROR(IF(0=LEN(ReferenceData!$Q$305),"",ReferenceData!$Q$305),"")</f>
        <v>2.199441025</v>
      </c>
      <c r="R305">
        <f ca="1">IFERROR(IF(0=LEN(ReferenceData!$R$305),"",ReferenceData!$R$305),"")</f>
        <v>4.6370624859999996</v>
      </c>
      <c r="S305">
        <f ca="1">IFERROR(IF(0=LEN(ReferenceData!$S$305),"",ReferenceData!$S$305),"")</f>
        <v>3.8618915359999999</v>
      </c>
      <c r="T305">
        <f ca="1">IFERROR(IF(0=LEN(ReferenceData!$T$305),"",ReferenceData!$T$305),"")</f>
        <v>1.081528882</v>
      </c>
      <c r="U305" t="str">
        <f ca="1">IFERROR(IF(0=LEN(ReferenceData!$U$305),"",ReferenceData!$U$305),"")</f>
        <v/>
      </c>
      <c r="V305" t="str">
        <f ca="1">IFERROR(IF(0=LEN(ReferenceData!$V$305),"",ReferenceData!$V$305),"")</f>
        <v/>
      </c>
      <c r="W305" t="str">
        <f ca="1">IFERROR(IF(0=LEN(ReferenceData!$W$305),"",ReferenceData!$W$305),"")</f>
        <v/>
      </c>
      <c r="X305" t="str">
        <f ca="1">IFERROR(IF(0=LEN(ReferenceData!$X$305),"",ReferenceData!$X$305),"")</f>
        <v/>
      </c>
      <c r="Y305" t="str">
        <f ca="1">IFERROR(IF(0=LEN(ReferenceData!$Y$305),"",ReferenceData!$Y$305),"")</f>
        <v/>
      </c>
      <c r="Z305" t="str">
        <f ca="1">IFERROR(IF(0=LEN(ReferenceData!$Z$305),"",ReferenceData!$Z$305),"")</f>
        <v/>
      </c>
      <c r="AA305" t="str">
        <f ca="1">IFERROR(IF(0=LEN(ReferenceData!$AA$305),"",ReferenceData!$AA$305),"")</f>
        <v/>
      </c>
      <c r="AB305" t="str">
        <f ca="1">IFERROR(IF(0=LEN(ReferenceData!$AB$305),"",ReferenceData!$AB$305),"")</f>
        <v/>
      </c>
      <c r="AC305" t="str">
        <f ca="1">IFERROR(IF(0=LEN(ReferenceData!$AC$305),"",ReferenceData!$AC$305),"")</f>
        <v/>
      </c>
      <c r="AD305" t="str">
        <f ca="1">IFERROR(IF(0=LEN(ReferenceData!$AD$305),"",ReferenceData!$AD$305),"")</f>
        <v/>
      </c>
      <c r="AE305" t="str">
        <f ca="1">IFERROR(IF(0=LEN(ReferenceData!$AE$305),"",ReferenceData!$AE$305),"")</f>
        <v/>
      </c>
      <c r="AF305" t="str">
        <f ca="1">IFERROR(IF(0=LEN(ReferenceData!$AF$305),"",ReferenceData!$AF$305),"")</f>
        <v/>
      </c>
      <c r="AG305" t="str">
        <f ca="1">IFERROR(IF(0=LEN(ReferenceData!$AG$305),"",ReferenceData!$AG$305),"")</f>
        <v/>
      </c>
      <c r="AH305" t="str">
        <f ca="1">IFERROR(IF(0=LEN(ReferenceData!$AH$305),"",ReferenceData!$AH$305),"")</f>
        <v/>
      </c>
      <c r="AI305" t="str">
        <f ca="1">IFERROR(IF(0=LEN(ReferenceData!$AI$305),"",ReferenceData!$AI$305),"")</f>
        <v/>
      </c>
      <c r="AJ305" t="str">
        <f ca="1">IFERROR(IF(0=LEN(ReferenceData!$AJ$305),"",ReferenceData!$AJ$305),"")</f>
        <v/>
      </c>
      <c r="AK305" t="str">
        <f ca="1">IFERROR(IF(0=LEN(ReferenceData!$AK$305),"",ReferenceData!$AK$305),"")</f>
        <v/>
      </c>
      <c r="AL305" t="str">
        <f ca="1">IFERROR(IF(0=LEN(ReferenceData!$AL$305),"",ReferenceData!$AL$305),"")</f>
        <v/>
      </c>
    </row>
    <row r="306" spans="1:38" x14ac:dyDescent="0.25">
      <c r="A306" t="str">
        <f>IFERROR(IF(0=LEN(ReferenceData!$A$306),"",ReferenceData!$A$306),"")</f>
        <v xml:space="preserve">        Zions Bancorp NA</v>
      </c>
      <c r="B306" t="str">
        <f>IFERROR(IF(0=LEN(ReferenceData!$B$306),"",ReferenceData!$B$306),"")</f>
        <v>ZION US Equity</v>
      </c>
      <c r="C306" t="str">
        <f>IFERROR(IF(0=LEN(ReferenceData!$C$306),"",ReferenceData!$C$306),"")</f>
        <v>F0123</v>
      </c>
      <c r="D306" t="str">
        <f>IFERROR(IF(0=LEN(ReferenceData!$D$306),"",ReferenceData!$D$306),"")</f>
        <v>FED_FINL_SRVC_LNS_%_TOT_LNS_LEAS</v>
      </c>
      <c r="E306" t="str">
        <f>IFERROR(IF(0=LEN(ReferenceData!$E$306),"",ReferenceData!$E$306),"")</f>
        <v>Dynamic</v>
      </c>
      <c r="F306" t="str">
        <f ca="1">IFERROR(IF(0=LEN(ReferenceData!$F$306),"",ReferenceData!$F$306),"")</f>
        <v/>
      </c>
      <c r="G306" t="str">
        <f ca="1">IFERROR(IF(0=LEN(ReferenceData!$G$306),"",ReferenceData!$G$306),"")</f>
        <v/>
      </c>
      <c r="H306" t="str">
        <f ca="1">IFERROR(IF(0=LEN(ReferenceData!$H$306),"",ReferenceData!$H$306),"")</f>
        <v/>
      </c>
      <c r="I306" t="str">
        <f ca="1">IFERROR(IF(0=LEN(ReferenceData!$I$306),"",ReferenceData!$I$306),"")</f>
        <v/>
      </c>
      <c r="J306" t="str">
        <f ca="1">IFERROR(IF(0=LEN(ReferenceData!$J$306),"",ReferenceData!$J$306),"")</f>
        <v/>
      </c>
      <c r="K306" t="str">
        <f ca="1">IFERROR(IF(0=LEN(ReferenceData!$K$306),"",ReferenceData!$K$306),"")</f>
        <v/>
      </c>
      <c r="L306" t="str">
        <f ca="1">IFERROR(IF(0=LEN(ReferenceData!$L$306),"",ReferenceData!$L$306),"")</f>
        <v/>
      </c>
      <c r="M306" t="str">
        <f ca="1">IFERROR(IF(0=LEN(ReferenceData!$M$306),"",ReferenceData!$M$306),"")</f>
        <v/>
      </c>
      <c r="N306" t="str">
        <f ca="1">IFERROR(IF(0=LEN(ReferenceData!$N$306),"",ReferenceData!$N$306),"")</f>
        <v/>
      </c>
      <c r="O306" t="str">
        <f ca="1">IFERROR(IF(0=LEN(ReferenceData!$O$306),"",ReferenceData!$O$306),"")</f>
        <v/>
      </c>
      <c r="P306" t="str">
        <f ca="1">IFERROR(IF(0=LEN(ReferenceData!$P$306),"",ReferenceData!$P$306),"")</f>
        <v/>
      </c>
      <c r="Q306" t="str">
        <f ca="1">IFERROR(IF(0=LEN(ReferenceData!$Q$306),"",ReferenceData!$Q$306),"")</f>
        <v/>
      </c>
      <c r="R306" t="str">
        <f ca="1">IFERROR(IF(0=LEN(ReferenceData!$R$306),"",ReferenceData!$R$306),"")</f>
        <v/>
      </c>
      <c r="S306" t="str">
        <f ca="1">IFERROR(IF(0=LEN(ReferenceData!$S$306),"",ReferenceData!$S$306),"")</f>
        <v/>
      </c>
      <c r="T306" t="str">
        <f ca="1">IFERROR(IF(0=LEN(ReferenceData!$T$306),"",ReferenceData!$T$306),"")</f>
        <v/>
      </c>
      <c r="U306" t="str">
        <f ca="1">IFERROR(IF(0=LEN(ReferenceData!$U$306),"",ReferenceData!$U$306),"")</f>
        <v/>
      </c>
      <c r="V306" t="str">
        <f ca="1">IFERROR(IF(0=LEN(ReferenceData!$V$306),"",ReferenceData!$V$306),"")</f>
        <v/>
      </c>
      <c r="W306" t="str">
        <f ca="1">IFERROR(IF(0=LEN(ReferenceData!$W$306),"",ReferenceData!$W$306),"")</f>
        <v/>
      </c>
      <c r="X306" t="str">
        <f ca="1">IFERROR(IF(0=LEN(ReferenceData!$X$306),"",ReferenceData!$X$306),"")</f>
        <v/>
      </c>
      <c r="Y306" t="str">
        <f ca="1">IFERROR(IF(0=LEN(ReferenceData!$Y$306),"",ReferenceData!$Y$306),"")</f>
        <v/>
      </c>
      <c r="Z306" t="str">
        <f ca="1">IFERROR(IF(0=LEN(ReferenceData!$Z$306),"",ReferenceData!$Z$306),"")</f>
        <v/>
      </c>
      <c r="AA306" t="str">
        <f ca="1">IFERROR(IF(0=LEN(ReferenceData!$AA$306),"",ReferenceData!$AA$306),"")</f>
        <v/>
      </c>
      <c r="AB306" t="str">
        <f ca="1">IFERROR(IF(0=LEN(ReferenceData!$AB$306),"",ReferenceData!$AB$306),"")</f>
        <v/>
      </c>
      <c r="AC306" t="str">
        <f ca="1">IFERROR(IF(0=LEN(ReferenceData!$AC$306),"",ReferenceData!$AC$306),"")</f>
        <v/>
      </c>
      <c r="AD306" t="str">
        <f ca="1">IFERROR(IF(0=LEN(ReferenceData!$AD$306),"",ReferenceData!$AD$306),"")</f>
        <v/>
      </c>
      <c r="AE306" t="str">
        <f ca="1">IFERROR(IF(0=LEN(ReferenceData!$AE$306),"",ReferenceData!$AE$306),"")</f>
        <v/>
      </c>
      <c r="AF306" t="str">
        <f ca="1">IFERROR(IF(0=LEN(ReferenceData!$AF$306),"",ReferenceData!$AF$306),"")</f>
        <v/>
      </c>
      <c r="AG306" t="str">
        <f ca="1">IFERROR(IF(0=LEN(ReferenceData!$AG$306),"",ReferenceData!$AG$306),"")</f>
        <v/>
      </c>
      <c r="AH306" t="str">
        <f ca="1">IFERROR(IF(0=LEN(ReferenceData!$AH$306),"",ReferenceData!$AH$306),"")</f>
        <v/>
      </c>
      <c r="AI306" t="str">
        <f ca="1">IFERROR(IF(0=LEN(ReferenceData!$AI$306),"",ReferenceData!$AI$306),"")</f>
        <v/>
      </c>
      <c r="AJ306" t="str">
        <f ca="1">IFERROR(IF(0=LEN(ReferenceData!$AJ$306),"",ReferenceData!$AJ$306),"")</f>
        <v/>
      </c>
      <c r="AK306" t="str">
        <f ca="1">IFERROR(IF(0=LEN(ReferenceData!$AK$306),"",ReferenceData!$AK$306),"")</f>
        <v/>
      </c>
      <c r="AL306" t="str">
        <f ca="1">IFERROR(IF(0=LEN(ReferenceData!$AL$306),"",ReferenceData!$AL$306),"")</f>
        <v/>
      </c>
    </row>
    <row r="307" spans="1:38" x14ac:dyDescent="0.25">
      <c r="A307" t="str">
        <f>IFERROR(IF(0=LEN(ReferenceData!$A$307),"",ReferenceData!$A$307),"")</f>
        <v xml:space="preserve">    Bankers Acceptances: Foreign banks</v>
      </c>
      <c r="B307" t="str">
        <f>IFERROR(IF(0=LEN(ReferenceData!$B$307),"",ReferenceData!$B$307),"")</f>
        <v/>
      </c>
      <c r="C307" t="str">
        <f>IFERROR(IF(0=LEN(ReferenceData!$C$307),"",ReferenceData!$C$307),"")</f>
        <v/>
      </c>
      <c r="D307" t="str">
        <f>IFERROR(IF(0=LEN(ReferenceData!$D$307),"",ReferenceData!$D$307),"")</f>
        <v/>
      </c>
      <c r="E307" t="str">
        <f>IFERROR(IF(0=LEN(ReferenceData!$E$307),"",ReferenceData!$E$307),"")</f>
        <v>Median</v>
      </c>
      <c r="F307">
        <f ca="1">IFERROR(IF(0=LEN(ReferenceData!$F$307),"",ReferenceData!$F$307),"")</f>
        <v>9.8848080000000005E-2</v>
      </c>
      <c r="G307">
        <f ca="1">IFERROR(IF(0=LEN(ReferenceData!$G$307),"",ReferenceData!$G$307),"")</f>
        <v>6.0752489999999996E-3</v>
      </c>
      <c r="H307">
        <f ca="1">IFERROR(IF(0=LEN(ReferenceData!$H$307),"",ReferenceData!$H$307),"")</f>
        <v>1.7673591999999998E-2</v>
      </c>
      <c r="I307">
        <f ca="1">IFERROR(IF(0=LEN(ReferenceData!$I$307),"",ReferenceData!$I$307),"")</f>
        <v>5.3157730000000002E-3</v>
      </c>
      <c r="J307">
        <f ca="1">IFERROR(IF(0=LEN(ReferenceData!$J$307),"",ReferenceData!$J$307),"")</f>
        <v>6.4096359999999998E-3</v>
      </c>
      <c r="K307">
        <f ca="1">IFERROR(IF(0=LEN(ReferenceData!$K$307),"",ReferenceData!$K$307),"")</f>
        <v>2.299981E-3</v>
      </c>
      <c r="L307" t="str">
        <f ca="1">IFERROR(IF(0=LEN(ReferenceData!$L$307),"",ReferenceData!$L$307),"")</f>
        <v/>
      </c>
      <c r="M307">
        <f ca="1">IFERROR(IF(0=LEN(ReferenceData!$M$307),"",ReferenceData!$M$307),"")</f>
        <v>2.1169399999999999E-3</v>
      </c>
      <c r="N307">
        <f ca="1">IFERROR(IF(0=LEN(ReferenceData!$N$307),"",ReferenceData!$N$307),"")</f>
        <v>3.253134E-3</v>
      </c>
      <c r="O307">
        <f ca="1">IFERROR(IF(0=LEN(ReferenceData!$O$307),"",ReferenceData!$O$307),"")</f>
        <v>3.2148005E-2</v>
      </c>
      <c r="P307">
        <f ca="1">IFERROR(IF(0=LEN(ReferenceData!$P$307),"",ReferenceData!$P$307),"")</f>
        <v>5.2303835999999999E-2</v>
      </c>
      <c r="Q307">
        <f ca="1">IFERROR(IF(0=LEN(ReferenceData!$Q$307),"",ReferenceData!$Q$307),"")</f>
        <v>1.8573002000000002E-2</v>
      </c>
      <c r="R307">
        <f ca="1">IFERROR(IF(0=LEN(ReferenceData!$R$307),"",ReferenceData!$R$307),"")</f>
        <v>5.4296489999999999E-3</v>
      </c>
      <c r="S307">
        <f ca="1">IFERROR(IF(0=LEN(ReferenceData!$S$307),"",ReferenceData!$S$307),"")</f>
        <v>5.4554355999999998E-2</v>
      </c>
      <c r="T307">
        <f ca="1">IFERROR(IF(0=LEN(ReferenceData!$T$307),"",ReferenceData!$T$307),"")</f>
        <v>1.5470027000000001E-2</v>
      </c>
      <c r="U307">
        <f ca="1">IFERROR(IF(0=LEN(ReferenceData!$U$307),"",ReferenceData!$U$307),"")</f>
        <v>1.5035560000000001E-3</v>
      </c>
      <c r="V307">
        <f ca="1">IFERROR(IF(0=LEN(ReferenceData!$V$307),"",ReferenceData!$V$307),"")</f>
        <v>1.1205768E-2</v>
      </c>
      <c r="W307">
        <f ca="1">IFERROR(IF(0=LEN(ReferenceData!$W$307),"",ReferenceData!$W$307),"")</f>
        <v>5.6305399999999999E-3</v>
      </c>
      <c r="X307">
        <f ca="1">IFERROR(IF(0=LEN(ReferenceData!$X$307),"",ReferenceData!$X$307),"")</f>
        <v>1.0911745E-2</v>
      </c>
      <c r="Y307">
        <f ca="1">IFERROR(IF(0=LEN(ReferenceData!$Y$307),"",ReferenceData!$Y$307),"")</f>
        <v>3.4913549999999998E-3</v>
      </c>
      <c r="Z307">
        <f ca="1">IFERROR(IF(0=LEN(ReferenceData!$Z$307),"",ReferenceData!$Z$307),"")</f>
        <v>1.5233029999999999E-3</v>
      </c>
      <c r="AA307">
        <f ca="1">IFERROR(IF(0=LEN(ReferenceData!$AA$307),"",ReferenceData!$AA$307),"")</f>
        <v>1.625711E-3</v>
      </c>
      <c r="AB307">
        <f ca="1">IFERROR(IF(0=LEN(ReferenceData!$AB$307),"",ReferenceData!$AB$307),"")</f>
        <v>3.9463989999999997E-3</v>
      </c>
      <c r="AC307">
        <f ca="1">IFERROR(IF(0=LEN(ReferenceData!$AC$307),"",ReferenceData!$AC$307),"")</f>
        <v>6.2579499999999995E-4</v>
      </c>
      <c r="AD307" t="str">
        <f ca="1">IFERROR(IF(0=LEN(ReferenceData!$AD$307),"",ReferenceData!$AD$307),"")</f>
        <v/>
      </c>
      <c r="AE307" t="str">
        <f ca="1">IFERROR(IF(0=LEN(ReferenceData!$AE$307),"",ReferenceData!$AE$307),"")</f>
        <v/>
      </c>
      <c r="AF307" t="str">
        <f ca="1">IFERROR(IF(0=LEN(ReferenceData!$AF$307),"",ReferenceData!$AF$307),"")</f>
        <v/>
      </c>
      <c r="AG307" t="str">
        <f ca="1">IFERROR(IF(0=LEN(ReferenceData!$AG$307),"",ReferenceData!$AG$307),"")</f>
        <v/>
      </c>
      <c r="AH307" t="str">
        <f ca="1">IFERROR(IF(0=LEN(ReferenceData!$AH$307),"",ReferenceData!$AH$307),"")</f>
        <v/>
      </c>
      <c r="AI307" t="str">
        <f ca="1">IFERROR(IF(0=LEN(ReferenceData!$AI$307),"",ReferenceData!$AI$307),"")</f>
        <v/>
      </c>
      <c r="AJ307" t="str">
        <f ca="1">IFERROR(IF(0=LEN(ReferenceData!$AJ$307),"",ReferenceData!$AJ$307),"")</f>
        <v/>
      </c>
      <c r="AK307" t="str">
        <f ca="1">IFERROR(IF(0=LEN(ReferenceData!$AK$307),"",ReferenceData!$AK$307),"")</f>
        <v/>
      </c>
      <c r="AL307" t="str">
        <f ca="1">IFERROR(IF(0=LEN(ReferenceData!$AL$307),"",ReferenceData!$AL$307),"")</f>
        <v/>
      </c>
    </row>
    <row r="308" spans="1:38" x14ac:dyDescent="0.25">
      <c r="A308" t="str">
        <f>IFERROR(IF(0=LEN(ReferenceData!$A$308),"",ReferenceData!$A$308),"")</f>
        <v xml:space="preserve">        Bank of America Corp</v>
      </c>
      <c r="B308" t="str">
        <f>IFERROR(IF(0=LEN(ReferenceData!$B$308),"",ReferenceData!$B$308),"")</f>
        <v>BAC US Equity</v>
      </c>
      <c r="C308" t="str">
        <f>IFERROR(IF(0=LEN(ReferenceData!$C$308),"",ReferenceData!$C$308),"")</f>
        <v>F0124</v>
      </c>
      <c r="D308" t="str">
        <f>IFERROR(IF(0=LEN(ReferenceData!$D$308),"",ReferenceData!$D$308),"")</f>
        <v>FED_FOR_BANK_LNS_%_TOT_LNS_LEAS</v>
      </c>
      <c r="E308" t="str">
        <f>IFERROR(IF(0=LEN(ReferenceData!$E$308),"",ReferenceData!$E$308),"")</f>
        <v>Dynamic</v>
      </c>
      <c r="F308">
        <f ca="1">IFERROR(IF(0=LEN(ReferenceData!$F$308),"",ReferenceData!$F$308),"")</f>
        <v>1.2918582919999999</v>
      </c>
      <c r="G308">
        <f ca="1">IFERROR(IF(0=LEN(ReferenceData!$G$308),"",ReferenceData!$G$308),"")</f>
        <v>1.144396193</v>
      </c>
      <c r="H308">
        <f ca="1">IFERROR(IF(0=LEN(ReferenceData!$H$308),"",ReferenceData!$H$308),"")</f>
        <v>1.0945228570000001</v>
      </c>
      <c r="I308">
        <f ca="1">IFERROR(IF(0=LEN(ReferenceData!$I$308),"",ReferenceData!$I$308),"")</f>
        <v>1.368352695</v>
      </c>
      <c r="J308">
        <f ca="1">IFERROR(IF(0=LEN(ReferenceData!$J$308),"",ReferenceData!$J$308),"")</f>
        <v>1.216740275</v>
      </c>
      <c r="K308">
        <f ca="1">IFERROR(IF(0=LEN(ReferenceData!$K$308),"",ReferenceData!$K$308),"")</f>
        <v>1.886849317</v>
      </c>
      <c r="L308">
        <f ca="1">IFERROR(IF(0=LEN(ReferenceData!$L$308),"",ReferenceData!$L$308),"")</f>
        <v>1.7512597160000001</v>
      </c>
      <c r="M308">
        <f ca="1">IFERROR(IF(0=LEN(ReferenceData!$M$308),"",ReferenceData!$M$308),"")</f>
        <v>2.0962137599999999</v>
      </c>
      <c r="N308">
        <f ca="1">IFERROR(IF(0=LEN(ReferenceData!$N$308),"",ReferenceData!$N$308),"")</f>
        <v>2.0383249870000002</v>
      </c>
      <c r="O308">
        <f ca="1">IFERROR(IF(0=LEN(ReferenceData!$O$308),"",ReferenceData!$O$308),"")</f>
        <v>2.0674474520000001</v>
      </c>
      <c r="P308">
        <f ca="1">IFERROR(IF(0=LEN(ReferenceData!$P$308),"",ReferenceData!$P$308),"")</f>
        <v>1.933070184</v>
      </c>
      <c r="Q308">
        <f ca="1">IFERROR(IF(0=LEN(ReferenceData!$Q$308),"",ReferenceData!$Q$308),"")</f>
        <v>1.8135284270000001</v>
      </c>
      <c r="R308">
        <f ca="1">IFERROR(IF(0=LEN(ReferenceData!$R$308),"",ReferenceData!$R$308),"")</f>
        <v>1.437094833</v>
      </c>
      <c r="S308">
        <f ca="1">IFERROR(IF(0=LEN(ReferenceData!$S$308),"",ReferenceData!$S$308),"")</f>
        <v>1.1732549299999999</v>
      </c>
      <c r="T308">
        <f ca="1">IFERROR(IF(0=LEN(ReferenceData!$T$308),"",ReferenceData!$T$308),"")</f>
        <v>0.69894275100000003</v>
      </c>
      <c r="U308">
        <f ca="1">IFERROR(IF(0=LEN(ReferenceData!$U$308),"",ReferenceData!$U$308),"")</f>
        <v>0.5395027</v>
      </c>
      <c r="V308">
        <f ca="1">IFERROR(IF(0=LEN(ReferenceData!$V$308),"",ReferenceData!$V$308),"")</f>
        <v>0.45220654799999999</v>
      </c>
      <c r="W308">
        <f ca="1">IFERROR(IF(0=LEN(ReferenceData!$W$308),"",ReferenceData!$W$308),"")</f>
        <v>0.51999672500000005</v>
      </c>
      <c r="X308">
        <f ca="1">IFERROR(IF(0=LEN(ReferenceData!$X$308),"",ReferenceData!$X$308),"")</f>
        <v>0.123685591</v>
      </c>
      <c r="Y308">
        <f ca="1">IFERROR(IF(0=LEN(ReferenceData!$Y$308),"",ReferenceData!$Y$308),"")</f>
        <v>0.110370808</v>
      </c>
      <c r="Z308">
        <f ca="1">IFERROR(IF(0=LEN(ReferenceData!$Z$308),"",ReferenceData!$Z$308),"")</f>
        <v>0.20598696699999999</v>
      </c>
      <c r="AA308">
        <f ca="1">IFERROR(IF(0=LEN(ReferenceData!$AA$308),"",ReferenceData!$AA$308),"")</f>
        <v>0.31662578800000002</v>
      </c>
      <c r="AB308">
        <f ca="1">IFERROR(IF(0=LEN(ReferenceData!$AB$308),"",ReferenceData!$AB$308),"")</f>
        <v>0.53395253899999995</v>
      </c>
      <c r="AC308">
        <f ca="1">IFERROR(IF(0=LEN(ReferenceData!$AC$308),"",ReferenceData!$AC$308),"")</f>
        <v>0.77015166000000002</v>
      </c>
      <c r="AD308" t="str">
        <f ca="1">IFERROR(IF(0=LEN(ReferenceData!$AD$308),"",ReferenceData!$AD$308),"")</f>
        <v/>
      </c>
      <c r="AE308" t="str">
        <f ca="1">IFERROR(IF(0=LEN(ReferenceData!$AE$308),"",ReferenceData!$AE$308),"")</f>
        <v/>
      </c>
      <c r="AF308" t="str">
        <f ca="1">IFERROR(IF(0=LEN(ReferenceData!$AF$308),"",ReferenceData!$AF$308),"")</f>
        <v/>
      </c>
      <c r="AG308" t="str">
        <f ca="1">IFERROR(IF(0=LEN(ReferenceData!$AG$308),"",ReferenceData!$AG$308),"")</f>
        <v/>
      </c>
      <c r="AH308" t="str">
        <f ca="1">IFERROR(IF(0=LEN(ReferenceData!$AH$308),"",ReferenceData!$AH$308),"")</f>
        <v/>
      </c>
      <c r="AI308" t="str">
        <f ca="1">IFERROR(IF(0=LEN(ReferenceData!$AI$308),"",ReferenceData!$AI$308),"")</f>
        <v/>
      </c>
      <c r="AJ308" t="str">
        <f ca="1">IFERROR(IF(0=LEN(ReferenceData!$AJ$308),"",ReferenceData!$AJ$308),"")</f>
        <v/>
      </c>
      <c r="AK308" t="str">
        <f ca="1">IFERROR(IF(0=LEN(ReferenceData!$AK$308),"",ReferenceData!$AK$308),"")</f>
        <v/>
      </c>
      <c r="AL308" t="str">
        <f ca="1">IFERROR(IF(0=LEN(ReferenceData!$AL$308),"",ReferenceData!$AL$308),"")</f>
        <v/>
      </c>
    </row>
    <row r="309" spans="1:38" x14ac:dyDescent="0.25">
      <c r="A309" t="str">
        <f>IFERROR(IF(0=LEN(ReferenceData!$A$309),"",ReferenceData!$A$309),"")</f>
        <v xml:space="preserve">        Citigroup Inc</v>
      </c>
      <c r="B309" t="str">
        <f>IFERROR(IF(0=LEN(ReferenceData!$B$309),"",ReferenceData!$B$309),"")</f>
        <v>C US Equity</v>
      </c>
      <c r="C309" t="str">
        <f>IFERROR(IF(0=LEN(ReferenceData!$C$309),"",ReferenceData!$C$309),"")</f>
        <v>F0124</v>
      </c>
      <c r="D309" t="str">
        <f>IFERROR(IF(0=LEN(ReferenceData!$D$309),"",ReferenceData!$D$309),"")</f>
        <v>FED_FOR_BANK_LNS_%_TOT_LNS_LEAS</v>
      </c>
      <c r="E309" t="str">
        <f>IFERROR(IF(0=LEN(ReferenceData!$E$309),"",ReferenceData!$E$309),"")</f>
        <v>Dynamic</v>
      </c>
      <c r="F309">
        <f ca="1">IFERROR(IF(0=LEN(ReferenceData!$F$309),"",ReferenceData!$F$309),"")</f>
        <v>1.5525947980000001</v>
      </c>
      <c r="G309">
        <f ca="1">IFERROR(IF(0=LEN(ReferenceData!$G$309),"",ReferenceData!$G$309),"")</f>
        <v>1.693529982</v>
      </c>
      <c r="H309">
        <f ca="1">IFERROR(IF(0=LEN(ReferenceData!$H$309),"",ReferenceData!$H$309),"")</f>
        <v>1.5731976560000001</v>
      </c>
      <c r="I309">
        <f ca="1">IFERROR(IF(0=LEN(ReferenceData!$I$309),"",ReferenceData!$I$309),"")</f>
        <v>1.372757569</v>
      </c>
      <c r="J309">
        <f ca="1">IFERROR(IF(0=LEN(ReferenceData!$J$309),"",ReferenceData!$J$309),"")</f>
        <v>1.635734915</v>
      </c>
      <c r="K309">
        <f ca="1">IFERROR(IF(0=LEN(ReferenceData!$K$309),"",ReferenceData!$K$309),"")</f>
        <v>1.8819829969999999</v>
      </c>
      <c r="L309">
        <f ca="1">IFERROR(IF(0=LEN(ReferenceData!$L$309),"",ReferenceData!$L$309),"")</f>
        <v>2.34673715</v>
      </c>
      <c r="M309">
        <f ca="1">IFERROR(IF(0=LEN(ReferenceData!$M$309),"",ReferenceData!$M$309),"")</f>
        <v>2.7557568890000002</v>
      </c>
      <c r="N309">
        <f ca="1">IFERROR(IF(0=LEN(ReferenceData!$N$309),"",ReferenceData!$N$309),"")</f>
        <v>2.633184253</v>
      </c>
      <c r="O309">
        <f ca="1">IFERROR(IF(0=LEN(ReferenceData!$O$309),"",ReferenceData!$O$309),"")</f>
        <v>3.094960323</v>
      </c>
      <c r="P309">
        <f ca="1">IFERROR(IF(0=LEN(ReferenceData!$P$309),"",ReferenceData!$P$309),"")</f>
        <v>3.4816668810000002</v>
      </c>
      <c r="Q309">
        <f ca="1">IFERROR(IF(0=LEN(ReferenceData!$Q$309),"",ReferenceData!$Q$309),"")</f>
        <v>3.971819166</v>
      </c>
      <c r="R309">
        <f ca="1">IFERROR(IF(0=LEN(ReferenceData!$R$309),"",ReferenceData!$R$309),"")</f>
        <v>3.8397316510000001</v>
      </c>
      <c r="S309">
        <f ca="1">IFERROR(IF(0=LEN(ReferenceData!$S$309),"",ReferenceData!$S$309),"")</f>
        <v>3.7051896850000001</v>
      </c>
      <c r="T309">
        <f ca="1">IFERROR(IF(0=LEN(ReferenceData!$T$309),"",ReferenceData!$T$309),"")</f>
        <v>2.5574456090000002</v>
      </c>
      <c r="U309">
        <f ca="1">IFERROR(IF(0=LEN(ReferenceData!$U$309),"",ReferenceData!$U$309),"")</f>
        <v>1.3603536700000001</v>
      </c>
      <c r="V309">
        <f ca="1">IFERROR(IF(0=LEN(ReferenceData!$V$309),"",ReferenceData!$V$309),"")</f>
        <v>1.0563975779999999</v>
      </c>
      <c r="W309">
        <f ca="1">IFERROR(IF(0=LEN(ReferenceData!$W$309),"",ReferenceData!$W$309),"")</f>
        <v>0.86644333500000004</v>
      </c>
      <c r="X309">
        <f ca="1">IFERROR(IF(0=LEN(ReferenceData!$X$309),"",ReferenceData!$X$309),"")</f>
        <v>1.1447628350000001</v>
      </c>
      <c r="Y309">
        <f ca="1">IFERROR(IF(0=LEN(ReferenceData!$Y$309),"",ReferenceData!$Y$309),"")</f>
        <v>1.1392614830000001</v>
      </c>
      <c r="Z309">
        <f ca="1">IFERROR(IF(0=LEN(ReferenceData!$Z$309),"",ReferenceData!$Z$309),"")</f>
        <v>1.051670195</v>
      </c>
      <c r="AA309">
        <f ca="1">IFERROR(IF(0=LEN(ReferenceData!$AA$309),"",ReferenceData!$AA$309),"")</f>
        <v>1.1838248039999999</v>
      </c>
      <c r="AB309">
        <f ca="1">IFERROR(IF(0=LEN(ReferenceData!$AB$309),"",ReferenceData!$AB$309),"")</f>
        <v>1.2206891099999999</v>
      </c>
      <c r="AC309">
        <f ca="1">IFERROR(IF(0=LEN(ReferenceData!$AC$309),"",ReferenceData!$AC$309),"")</f>
        <v>1.372497452</v>
      </c>
      <c r="AD309" t="str">
        <f ca="1">IFERROR(IF(0=LEN(ReferenceData!$AD$309),"",ReferenceData!$AD$309),"")</f>
        <v/>
      </c>
      <c r="AE309" t="str">
        <f ca="1">IFERROR(IF(0=LEN(ReferenceData!$AE$309),"",ReferenceData!$AE$309),"")</f>
        <v/>
      </c>
      <c r="AF309" t="str">
        <f ca="1">IFERROR(IF(0=LEN(ReferenceData!$AF$309),"",ReferenceData!$AF$309),"")</f>
        <v/>
      </c>
      <c r="AG309" t="str">
        <f ca="1">IFERROR(IF(0=LEN(ReferenceData!$AG$309),"",ReferenceData!$AG$309),"")</f>
        <v/>
      </c>
      <c r="AH309" t="str">
        <f ca="1">IFERROR(IF(0=LEN(ReferenceData!$AH$309),"",ReferenceData!$AH$309),"")</f>
        <v/>
      </c>
      <c r="AI309" t="str">
        <f ca="1">IFERROR(IF(0=LEN(ReferenceData!$AI$309),"",ReferenceData!$AI$309),"")</f>
        <v/>
      </c>
      <c r="AJ309" t="str">
        <f ca="1">IFERROR(IF(0=LEN(ReferenceData!$AJ$309),"",ReferenceData!$AJ$309),"")</f>
        <v/>
      </c>
      <c r="AK309" t="str">
        <f ca="1">IFERROR(IF(0=LEN(ReferenceData!$AK$309),"",ReferenceData!$AK$309),"")</f>
        <v/>
      </c>
      <c r="AL309" t="str">
        <f ca="1">IFERROR(IF(0=LEN(ReferenceData!$AL$309),"",ReferenceData!$AL$309),"")</f>
        <v/>
      </c>
    </row>
    <row r="310" spans="1:38" x14ac:dyDescent="0.25">
      <c r="A310" t="str">
        <f>IFERROR(IF(0=LEN(ReferenceData!$A$310),"",ReferenceData!$A$310),"")</f>
        <v xml:space="preserve">        Citizens Financial Group Inc</v>
      </c>
      <c r="B310" t="str">
        <f>IFERROR(IF(0=LEN(ReferenceData!$B$310),"",ReferenceData!$B$310),"")</f>
        <v>CFG US Equity</v>
      </c>
      <c r="C310" t="str">
        <f>IFERROR(IF(0=LEN(ReferenceData!$C$310),"",ReferenceData!$C$310),"")</f>
        <v>F0124</v>
      </c>
      <c r="D310" t="str">
        <f>IFERROR(IF(0=LEN(ReferenceData!$D$310),"",ReferenceData!$D$310),"")</f>
        <v>FED_FOR_BANK_LNS_%_TOT_LNS_LEAS</v>
      </c>
      <c r="E310" t="str">
        <f>IFERROR(IF(0=LEN(ReferenceData!$E$310),"",ReferenceData!$E$310),"")</f>
        <v>Dynamic</v>
      </c>
      <c r="F310">
        <f ca="1">IFERROR(IF(0=LEN(ReferenceData!$F$310),"",ReferenceData!$F$310),"")</f>
        <v>9.4533434999999999E-2</v>
      </c>
      <c r="G310">
        <f ca="1">IFERROR(IF(0=LEN(ReferenceData!$G$310),"",ReferenceData!$G$310),"")</f>
        <v>4.3476005999999998E-2</v>
      </c>
      <c r="H310">
        <f ca="1">IFERROR(IF(0=LEN(ReferenceData!$H$310),"",ReferenceData!$H$310),"")</f>
        <v>6.6229515000000003E-2</v>
      </c>
      <c r="I310">
        <f ca="1">IFERROR(IF(0=LEN(ReferenceData!$I$310),"",ReferenceData!$I$310),"")</f>
        <v>9.4556659000000001E-2</v>
      </c>
      <c r="J310">
        <f ca="1">IFERROR(IF(0=LEN(ReferenceData!$J$310),"",ReferenceData!$J$310),"")</f>
        <v>7.7315004000000007E-2</v>
      </c>
      <c r="K310">
        <f ca="1">IFERROR(IF(0=LEN(ReferenceData!$K$310),"",ReferenceData!$K$310),"")</f>
        <v>0.118740898</v>
      </c>
      <c r="L310">
        <f ca="1">IFERROR(IF(0=LEN(ReferenceData!$L$310),"",ReferenceData!$L$310),"")</f>
        <v>0</v>
      </c>
      <c r="M310">
        <f ca="1">IFERROR(IF(0=LEN(ReferenceData!$M$310),"",ReferenceData!$M$310),"")</f>
        <v>0</v>
      </c>
      <c r="N310">
        <f ca="1">IFERROR(IF(0=LEN(ReferenceData!$N$310),"",ReferenceData!$N$310),"")</f>
        <v>0</v>
      </c>
      <c r="O310">
        <f ca="1">IFERROR(IF(0=LEN(ReferenceData!$O$310),"",ReferenceData!$O$310),"")</f>
        <v>0</v>
      </c>
      <c r="P310">
        <f ca="1">IFERROR(IF(0=LEN(ReferenceData!$P$310),"",ReferenceData!$P$310),"")</f>
        <v>0</v>
      </c>
      <c r="Q310">
        <f ca="1">IFERROR(IF(0=LEN(ReferenceData!$Q$310),"",ReferenceData!$Q$310),"")</f>
        <v>0</v>
      </c>
      <c r="R310">
        <f ca="1">IFERROR(IF(0=LEN(ReferenceData!$R$310),"",ReferenceData!$R$310),"")</f>
        <v>0</v>
      </c>
      <c r="S310">
        <f ca="1">IFERROR(IF(0=LEN(ReferenceData!$S$310),"",ReferenceData!$S$310),"")</f>
        <v>0</v>
      </c>
      <c r="T310">
        <f ca="1">IFERROR(IF(0=LEN(ReferenceData!$T$310),"",ReferenceData!$T$310),"")</f>
        <v>0</v>
      </c>
      <c r="U310">
        <f ca="1">IFERROR(IF(0=LEN(ReferenceData!$U$310),"",ReferenceData!$U$310),"")</f>
        <v>0</v>
      </c>
      <c r="V310">
        <f ca="1">IFERROR(IF(0=LEN(ReferenceData!$V$310),"",ReferenceData!$V$310),"")</f>
        <v>0</v>
      </c>
      <c r="W310">
        <f ca="1">IFERROR(IF(0=LEN(ReferenceData!$W$310),"",ReferenceData!$W$310),"")</f>
        <v>0</v>
      </c>
      <c r="X310">
        <f ca="1">IFERROR(IF(0=LEN(ReferenceData!$X$310),"",ReferenceData!$X$310),"")</f>
        <v>0</v>
      </c>
      <c r="Y310">
        <f ca="1">IFERROR(IF(0=LEN(ReferenceData!$Y$310),"",ReferenceData!$Y$310),"")</f>
        <v>0</v>
      </c>
      <c r="Z310">
        <f ca="1">IFERROR(IF(0=LEN(ReferenceData!$Z$310),"",ReferenceData!$Z$310),"")</f>
        <v>0</v>
      </c>
      <c r="AA310">
        <f ca="1">IFERROR(IF(0=LEN(ReferenceData!$AA$310),"",ReferenceData!$AA$310),"")</f>
        <v>0</v>
      </c>
      <c r="AB310">
        <f ca="1">IFERROR(IF(0=LEN(ReferenceData!$AB$310),"",ReferenceData!$AB$310),"")</f>
        <v>0</v>
      </c>
      <c r="AC310">
        <f ca="1">IFERROR(IF(0=LEN(ReferenceData!$AC$310),"",ReferenceData!$AC$310),"")</f>
        <v>0</v>
      </c>
      <c r="AD310" t="str">
        <f ca="1">IFERROR(IF(0=LEN(ReferenceData!$AD$310),"",ReferenceData!$AD$310),"")</f>
        <v/>
      </c>
      <c r="AE310" t="str">
        <f ca="1">IFERROR(IF(0=LEN(ReferenceData!$AE$310),"",ReferenceData!$AE$310),"")</f>
        <v/>
      </c>
      <c r="AF310" t="str">
        <f ca="1">IFERROR(IF(0=LEN(ReferenceData!$AF$310),"",ReferenceData!$AF$310),"")</f>
        <v/>
      </c>
      <c r="AG310" t="str">
        <f ca="1">IFERROR(IF(0=LEN(ReferenceData!$AG$310),"",ReferenceData!$AG$310),"")</f>
        <v/>
      </c>
      <c r="AH310" t="str">
        <f ca="1">IFERROR(IF(0=LEN(ReferenceData!$AH$310),"",ReferenceData!$AH$310),"")</f>
        <v/>
      </c>
      <c r="AI310" t="str">
        <f ca="1">IFERROR(IF(0=LEN(ReferenceData!$AI$310),"",ReferenceData!$AI$310),"")</f>
        <v/>
      </c>
      <c r="AJ310" t="str">
        <f ca="1">IFERROR(IF(0=LEN(ReferenceData!$AJ$310),"",ReferenceData!$AJ$310),"")</f>
        <v/>
      </c>
      <c r="AK310" t="str">
        <f ca="1">IFERROR(IF(0=LEN(ReferenceData!$AK$310),"",ReferenceData!$AK$310),"")</f>
        <v/>
      </c>
      <c r="AL310" t="str">
        <f ca="1">IFERROR(IF(0=LEN(ReferenceData!$AL$310),"",ReferenceData!$AL$310),"")</f>
        <v/>
      </c>
    </row>
    <row r="311" spans="1:38" x14ac:dyDescent="0.25">
      <c r="A311" t="str">
        <f>IFERROR(IF(0=LEN(ReferenceData!$A$311),"",ReferenceData!$A$311),"")</f>
        <v xml:space="preserve">        Capital One Financial Corp</v>
      </c>
      <c r="B311" t="str">
        <f>IFERROR(IF(0=LEN(ReferenceData!$B$311),"",ReferenceData!$B$311),"")</f>
        <v>COF US Equity</v>
      </c>
      <c r="C311" t="str">
        <f>IFERROR(IF(0=LEN(ReferenceData!$C$311),"",ReferenceData!$C$311),"")</f>
        <v>F0124</v>
      </c>
      <c r="D311" t="str">
        <f>IFERROR(IF(0=LEN(ReferenceData!$D$311),"",ReferenceData!$D$311),"")</f>
        <v>FED_FOR_BANK_LNS_%_TOT_LNS_LEAS</v>
      </c>
      <c r="E311" t="str">
        <f>IFERROR(IF(0=LEN(ReferenceData!$E$311),"",ReferenceData!$E$311),"")</f>
        <v>Dynamic</v>
      </c>
      <c r="F311">
        <f ca="1">IFERROR(IF(0=LEN(ReferenceData!$F$311),"",ReferenceData!$F$311),"")</f>
        <v>0</v>
      </c>
      <c r="G311">
        <f ca="1">IFERROR(IF(0=LEN(ReferenceData!$G$311),"",ReferenceData!$G$311),"")</f>
        <v>0</v>
      </c>
      <c r="H311">
        <f ca="1">IFERROR(IF(0=LEN(ReferenceData!$H$311),"",ReferenceData!$H$311),"")</f>
        <v>0</v>
      </c>
      <c r="I311">
        <f ca="1">IFERROR(IF(0=LEN(ReferenceData!$I$311),"",ReferenceData!$I$311),"")</f>
        <v>0</v>
      </c>
      <c r="J311">
        <f ca="1">IFERROR(IF(0=LEN(ReferenceData!$J$311),"",ReferenceData!$J$311),"")</f>
        <v>0</v>
      </c>
      <c r="K311">
        <f ca="1">IFERROR(IF(0=LEN(ReferenceData!$K$311),"",ReferenceData!$K$311),"")</f>
        <v>0</v>
      </c>
      <c r="L311">
        <f ca="1">IFERROR(IF(0=LEN(ReferenceData!$L$311),"",ReferenceData!$L$311),"")</f>
        <v>0</v>
      </c>
      <c r="M311">
        <f ca="1">IFERROR(IF(0=LEN(ReferenceData!$M$311),"",ReferenceData!$M$311),"")</f>
        <v>0</v>
      </c>
      <c r="N311">
        <f ca="1">IFERROR(IF(0=LEN(ReferenceData!$N$311),"",ReferenceData!$N$311),"")</f>
        <v>0</v>
      </c>
      <c r="O311">
        <f ca="1">IFERROR(IF(0=LEN(ReferenceData!$O$311),"",ReferenceData!$O$311),"")</f>
        <v>1.5953307999999999E-2</v>
      </c>
      <c r="P311">
        <f ca="1">IFERROR(IF(0=LEN(ReferenceData!$P$311),"",ReferenceData!$P$311),"")</f>
        <v>0</v>
      </c>
      <c r="Q311">
        <f ca="1">IFERROR(IF(0=LEN(ReferenceData!$Q$311),"",ReferenceData!$Q$311),"")</f>
        <v>0</v>
      </c>
      <c r="R311">
        <f ca="1">IFERROR(IF(0=LEN(ReferenceData!$R$311),"",ReferenceData!$R$311),"")</f>
        <v>0</v>
      </c>
      <c r="S311">
        <f ca="1">IFERROR(IF(0=LEN(ReferenceData!$S$311),"",ReferenceData!$S$311),"")</f>
        <v>0.22416438999999999</v>
      </c>
      <c r="T311">
        <f ca="1">IFERROR(IF(0=LEN(ReferenceData!$T$311),"",ReferenceData!$T$311),"")</f>
        <v>0.29583181800000002</v>
      </c>
      <c r="U311">
        <f ca="1">IFERROR(IF(0=LEN(ReferenceData!$U$311),"",ReferenceData!$U$311),"")</f>
        <v>0.57430105200000003</v>
      </c>
      <c r="V311">
        <f ca="1">IFERROR(IF(0=LEN(ReferenceData!$V$311),"",ReferenceData!$V$311),"")</f>
        <v>0.55856320699999995</v>
      </c>
      <c r="W311">
        <f ca="1">IFERROR(IF(0=LEN(ReferenceData!$W$311),"",ReferenceData!$W$311),"")</f>
        <v>0.76505051599999996</v>
      </c>
      <c r="X311">
        <f ca="1">IFERROR(IF(0=LEN(ReferenceData!$X$311),"",ReferenceData!$X$311),"")</f>
        <v>0.42767205000000003</v>
      </c>
      <c r="Y311">
        <f ca="1">IFERROR(IF(0=LEN(ReferenceData!$Y$311),"",ReferenceData!$Y$311),"")</f>
        <v>0.24748246099999999</v>
      </c>
      <c r="Z311">
        <f ca="1">IFERROR(IF(0=LEN(ReferenceData!$Z$311),"",ReferenceData!$Z$311),"")</f>
        <v>1.337723888</v>
      </c>
      <c r="AA311" t="str">
        <f ca="1">IFERROR(IF(0=LEN(ReferenceData!$AA$311),"",ReferenceData!$AA$311),"")</f>
        <v/>
      </c>
      <c r="AB311" t="str">
        <f ca="1">IFERROR(IF(0=LEN(ReferenceData!$AB$311),"",ReferenceData!$AB$311),"")</f>
        <v/>
      </c>
      <c r="AC311" t="str">
        <f ca="1">IFERROR(IF(0=LEN(ReferenceData!$AC$311),"",ReferenceData!$AC$311),"")</f>
        <v/>
      </c>
      <c r="AD311" t="str">
        <f ca="1">IFERROR(IF(0=LEN(ReferenceData!$AD$311),"",ReferenceData!$AD$311),"")</f>
        <v/>
      </c>
      <c r="AE311" t="str">
        <f ca="1">IFERROR(IF(0=LEN(ReferenceData!$AE$311),"",ReferenceData!$AE$311),"")</f>
        <v/>
      </c>
      <c r="AF311" t="str">
        <f ca="1">IFERROR(IF(0=LEN(ReferenceData!$AF$311),"",ReferenceData!$AF$311),"")</f>
        <v/>
      </c>
      <c r="AG311" t="str">
        <f ca="1">IFERROR(IF(0=LEN(ReferenceData!$AG$311),"",ReferenceData!$AG$311),"")</f>
        <v/>
      </c>
      <c r="AH311" t="str">
        <f ca="1">IFERROR(IF(0=LEN(ReferenceData!$AH$311),"",ReferenceData!$AH$311),"")</f>
        <v/>
      </c>
      <c r="AI311" t="str">
        <f ca="1">IFERROR(IF(0=LEN(ReferenceData!$AI$311),"",ReferenceData!$AI$311),"")</f>
        <v/>
      </c>
      <c r="AJ311" t="str">
        <f ca="1">IFERROR(IF(0=LEN(ReferenceData!$AJ$311),"",ReferenceData!$AJ$311),"")</f>
        <v/>
      </c>
      <c r="AK311" t="str">
        <f ca="1">IFERROR(IF(0=LEN(ReferenceData!$AK$311),"",ReferenceData!$AK$311),"")</f>
        <v/>
      </c>
      <c r="AL311" t="str">
        <f ca="1">IFERROR(IF(0=LEN(ReferenceData!$AL$311),"",ReferenceData!$AL$311),"")</f>
        <v/>
      </c>
    </row>
    <row r="312" spans="1:38" x14ac:dyDescent="0.25">
      <c r="A312" t="str">
        <f>IFERROR(IF(0=LEN(ReferenceData!$A$312),"",ReferenceData!$A$312),"")</f>
        <v xml:space="preserve">        Comerica Inc</v>
      </c>
      <c r="B312" t="str">
        <f>IFERROR(IF(0=LEN(ReferenceData!$B$312),"",ReferenceData!$B$312),"")</f>
        <v>CMA US Equity</v>
      </c>
      <c r="C312" t="str">
        <f>IFERROR(IF(0=LEN(ReferenceData!$C$312),"",ReferenceData!$C$312),"")</f>
        <v>F0124</v>
      </c>
      <c r="D312" t="str">
        <f>IFERROR(IF(0=LEN(ReferenceData!$D$312),"",ReferenceData!$D$312),"")</f>
        <v>FED_FOR_BANK_LNS_%_TOT_LNS_LEAS</v>
      </c>
      <c r="E312" t="str">
        <f>IFERROR(IF(0=LEN(ReferenceData!$E$312),"",ReferenceData!$E$312),"")</f>
        <v>Dynamic</v>
      </c>
      <c r="F312" t="str">
        <f ca="1">IFERROR(IF(0=LEN(ReferenceData!$F$312),"",ReferenceData!$F$312),"")</f>
        <v/>
      </c>
      <c r="G312">
        <f ca="1">IFERROR(IF(0=LEN(ReferenceData!$G$312),"",ReferenceData!$G$312),"")</f>
        <v>0</v>
      </c>
      <c r="H312">
        <f ca="1">IFERROR(IF(0=LEN(ReferenceData!$H$312),"",ReferenceData!$H$312),"")</f>
        <v>0</v>
      </c>
      <c r="I312">
        <f ca="1">IFERROR(IF(0=LEN(ReferenceData!$I$312),"",ReferenceData!$I$312),"")</f>
        <v>0</v>
      </c>
      <c r="J312">
        <f ca="1">IFERROR(IF(0=LEN(ReferenceData!$J$312),"",ReferenceData!$J$312),"")</f>
        <v>0</v>
      </c>
      <c r="K312">
        <f ca="1">IFERROR(IF(0=LEN(ReferenceData!$K$312),"",ReferenceData!$K$312),"")</f>
        <v>0</v>
      </c>
      <c r="L312">
        <f ca="1">IFERROR(IF(0=LEN(ReferenceData!$L$312),"",ReferenceData!$L$312),"")</f>
        <v>0</v>
      </c>
      <c r="M312">
        <f ca="1">IFERROR(IF(0=LEN(ReferenceData!$M$312),"",ReferenceData!$M$312),"")</f>
        <v>8.9820620000000007E-3</v>
      </c>
      <c r="N312">
        <f ca="1">IFERROR(IF(0=LEN(ReferenceData!$N$312),"",ReferenceData!$N$312),"")</f>
        <v>3.253134E-3</v>
      </c>
      <c r="O312">
        <f ca="1">IFERROR(IF(0=LEN(ReferenceData!$O$312),"",ReferenceData!$O$312),"")</f>
        <v>0</v>
      </c>
      <c r="P312">
        <f ca="1">IFERROR(IF(0=LEN(ReferenceData!$P$312),"",ReferenceData!$P$312),"")</f>
        <v>6.2918806999999993E-2</v>
      </c>
      <c r="Q312">
        <f ca="1">IFERROR(IF(0=LEN(ReferenceData!$Q$312),"",ReferenceData!$Q$312),"")</f>
        <v>9.1855019999999999E-3</v>
      </c>
      <c r="R312">
        <f ca="1">IFERROR(IF(0=LEN(ReferenceData!$R$312),"",ReferenceData!$R$312),"")</f>
        <v>3.8660489999999999E-3</v>
      </c>
      <c r="S312">
        <f ca="1">IFERROR(IF(0=LEN(ReferenceData!$S$312),"",ReferenceData!$S$312),"")</f>
        <v>4.0985169000000002E-2</v>
      </c>
      <c r="T312">
        <f ca="1">IFERROR(IF(0=LEN(ReferenceData!$T$312),"",ReferenceData!$T$312),"")</f>
        <v>5.7752102E-2</v>
      </c>
      <c r="U312">
        <f ca="1">IFERROR(IF(0=LEN(ReferenceData!$U$312),"",ReferenceData!$U$312),"")</f>
        <v>1.2348979999999999E-3</v>
      </c>
      <c r="V312">
        <f ca="1">IFERROR(IF(0=LEN(ReferenceData!$V$312),"",ReferenceData!$V$312),"")</f>
        <v>1.4416326E-2</v>
      </c>
      <c r="W312">
        <f ca="1">IFERROR(IF(0=LEN(ReferenceData!$W$312),"",ReferenceData!$W$312),"")</f>
        <v>5.2281306E-2</v>
      </c>
      <c r="X312">
        <f ca="1">IFERROR(IF(0=LEN(ReferenceData!$X$312),"",ReferenceData!$X$312),"")</f>
        <v>9.8208801999999998E-2</v>
      </c>
      <c r="Y312">
        <f ca="1">IFERROR(IF(0=LEN(ReferenceData!$Y$312),"",ReferenceData!$Y$312),"")</f>
        <v>0.10536728400000001</v>
      </c>
      <c r="Z312">
        <f ca="1">IFERROR(IF(0=LEN(ReferenceData!$Z$312),"",ReferenceData!$Z$312),"")</f>
        <v>2.6633384999999999E-2</v>
      </c>
      <c r="AA312">
        <f ca="1">IFERROR(IF(0=LEN(ReferenceData!$AA$312),"",ReferenceData!$AA$312),"")</f>
        <v>0.109991509</v>
      </c>
      <c r="AB312">
        <f ca="1">IFERROR(IF(0=LEN(ReferenceData!$AB$312),"",ReferenceData!$AB$312),"")</f>
        <v>0.47115985999999999</v>
      </c>
      <c r="AC312">
        <f ca="1">IFERROR(IF(0=LEN(ReferenceData!$AC$312),"",ReferenceData!$AC$312),"")</f>
        <v>1.030877869</v>
      </c>
      <c r="AD312" t="str">
        <f ca="1">IFERROR(IF(0=LEN(ReferenceData!$AD$312),"",ReferenceData!$AD$312),"")</f>
        <v/>
      </c>
      <c r="AE312" t="str">
        <f ca="1">IFERROR(IF(0=LEN(ReferenceData!$AE$312),"",ReferenceData!$AE$312),"")</f>
        <v/>
      </c>
      <c r="AF312" t="str">
        <f ca="1">IFERROR(IF(0=LEN(ReferenceData!$AF$312),"",ReferenceData!$AF$312),"")</f>
        <v/>
      </c>
      <c r="AG312" t="str">
        <f ca="1">IFERROR(IF(0=LEN(ReferenceData!$AG$312),"",ReferenceData!$AG$312),"")</f>
        <v/>
      </c>
      <c r="AH312" t="str">
        <f ca="1">IFERROR(IF(0=LEN(ReferenceData!$AH$312),"",ReferenceData!$AH$312),"")</f>
        <v/>
      </c>
      <c r="AI312" t="str">
        <f ca="1">IFERROR(IF(0=LEN(ReferenceData!$AI$312),"",ReferenceData!$AI$312),"")</f>
        <v/>
      </c>
      <c r="AJ312" t="str">
        <f ca="1">IFERROR(IF(0=LEN(ReferenceData!$AJ$312),"",ReferenceData!$AJ$312),"")</f>
        <v/>
      </c>
      <c r="AK312" t="str">
        <f ca="1">IFERROR(IF(0=LEN(ReferenceData!$AK$312),"",ReferenceData!$AK$312),"")</f>
        <v/>
      </c>
      <c r="AL312" t="str">
        <f ca="1">IFERROR(IF(0=LEN(ReferenceData!$AL$312),"",ReferenceData!$AL$312),"")</f>
        <v/>
      </c>
    </row>
    <row r="313" spans="1:38" x14ac:dyDescent="0.25">
      <c r="A313" t="str">
        <f>IFERROR(IF(0=LEN(ReferenceData!$A$313),"",ReferenceData!$A$313),"")</f>
        <v xml:space="preserve">        East West Bancorp Inc</v>
      </c>
      <c r="B313" t="str">
        <f>IFERROR(IF(0=LEN(ReferenceData!$B$313),"",ReferenceData!$B$313),"")</f>
        <v>EWBC US Equity</v>
      </c>
      <c r="C313" t="str">
        <f>IFERROR(IF(0=LEN(ReferenceData!$C$313),"",ReferenceData!$C$313),"")</f>
        <v>F0124</v>
      </c>
      <c r="D313" t="str">
        <f>IFERROR(IF(0=LEN(ReferenceData!$D$313),"",ReferenceData!$D$313),"")</f>
        <v>FED_FOR_BANK_LNS_%_TOT_LNS_LEAS</v>
      </c>
      <c r="E313" t="str">
        <f>IFERROR(IF(0=LEN(ReferenceData!$E$313),"",ReferenceData!$E$313),"")</f>
        <v>Dynamic</v>
      </c>
      <c r="F313" t="str">
        <f ca="1">IFERROR(IF(0=LEN(ReferenceData!$F$313),"",ReferenceData!$F$313),"")</f>
        <v/>
      </c>
      <c r="G313">
        <f ca="1">IFERROR(IF(0=LEN(ReferenceData!$G$313),"",ReferenceData!$G$313),"")</f>
        <v>5.6221978999999998E-2</v>
      </c>
      <c r="H313">
        <f ca="1">IFERROR(IF(0=LEN(ReferenceData!$H$313),"",ReferenceData!$H$313),"")</f>
        <v>0.213639519</v>
      </c>
      <c r="I313">
        <f ca="1">IFERROR(IF(0=LEN(ReferenceData!$I$313),"",ReferenceData!$I$313),"")</f>
        <v>0.317323197</v>
      </c>
      <c r="J313">
        <f ca="1">IFERROR(IF(0=LEN(ReferenceData!$J$313),"",ReferenceData!$J$313),"")</f>
        <v>0.53456794200000002</v>
      </c>
      <c r="K313">
        <f ca="1">IFERROR(IF(0=LEN(ReferenceData!$K$313),"",ReferenceData!$K$313),"")</f>
        <v>0.53503592499999997</v>
      </c>
      <c r="L313">
        <f ca="1">IFERROR(IF(0=LEN(ReferenceData!$L$313),"",ReferenceData!$L$313),"")</f>
        <v>1.0086652899999999</v>
      </c>
      <c r="M313">
        <f ca="1">IFERROR(IF(0=LEN(ReferenceData!$M$313),"",ReferenceData!$M$313),"")</f>
        <v>0.91234395199999996</v>
      </c>
      <c r="N313">
        <f ca="1">IFERROR(IF(0=LEN(ReferenceData!$N$313),"",ReferenceData!$N$313),"")</f>
        <v>1.277915747</v>
      </c>
      <c r="O313">
        <f ca="1">IFERROR(IF(0=LEN(ReferenceData!$O$313),"",ReferenceData!$O$313),"")</f>
        <v>0.48976407700000002</v>
      </c>
      <c r="P313">
        <f ca="1">IFERROR(IF(0=LEN(ReferenceData!$P$313),"",ReferenceData!$P$313),"")</f>
        <v>0.380406621</v>
      </c>
      <c r="Q313">
        <f ca="1">IFERROR(IF(0=LEN(ReferenceData!$Q$313),"",ReferenceData!$Q$313),"")</f>
        <v>0.43228500399999997</v>
      </c>
      <c r="R313">
        <f ca="1">IFERROR(IF(0=LEN(ReferenceData!$R$313),"",ReferenceData!$R$313),"")</f>
        <v>0.27494706499999999</v>
      </c>
      <c r="S313">
        <f ca="1">IFERROR(IF(0=LEN(ReferenceData!$S$313),"",ReferenceData!$S$313),"")</f>
        <v>3.0061637079999999</v>
      </c>
      <c r="T313">
        <f ca="1">IFERROR(IF(0=LEN(ReferenceData!$T$313),"",ReferenceData!$T$313),"")</f>
        <v>0</v>
      </c>
      <c r="U313">
        <f ca="1">IFERROR(IF(0=LEN(ReferenceData!$U$313),"",ReferenceData!$U$313),"")</f>
        <v>0</v>
      </c>
      <c r="V313">
        <f ca="1">IFERROR(IF(0=LEN(ReferenceData!$V$313),"",ReferenceData!$V$313),"")</f>
        <v>0</v>
      </c>
      <c r="W313">
        <f ca="1">IFERROR(IF(0=LEN(ReferenceData!$W$313),"",ReferenceData!$W$313),"")</f>
        <v>0</v>
      </c>
      <c r="X313">
        <f ca="1">IFERROR(IF(0=LEN(ReferenceData!$X$313),"",ReferenceData!$X$313),"")</f>
        <v>0</v>
      </c>
      <c r="Y313">
        <f ca="1">IFERROR(IF(0=LEN(ReferenceData!$Y$313),"",ReferenceData!$Y$313),"")</f>
        <v>0</v>
      </c>
      <c r="Z313">
        <f ca="1">IFERROR(IF(0=LEN(ReferenceData!$Z$313),"",ReferenceData!$Z$313),"")</f>
        <v>0</v>
      </c>
      <c r="AA313">
        <f ca="1">IFERROR(IF(0=LEN(ReferenceData!$AA$313),"",ReferenceData!$AA$313),"")</f>
        <v>0</v>
      </c>
      <c r="AB313">
        <f ca="1">IFERROR(IF(0=LEN(ReferenceData!$AB$313),"",ReferenceData!$AB$313),"")</f>
        <v>0</v>
      </c>
      <c r="AC313">
        <f ca="1">IFERROR(IF(0=LEN(ReferenceData!$AC$313),"",ReferenceData!$AC$313),"")</f>
        <v>0</v>
      </c>
      <c r="AD313" t="str">
        <f ca="1">IFERROR(IF(0=LEN(ReferenceData!$AD$313),"",ReferenceData!$AD$313),"")</f>
        <v/>
      </c>
      <c r="AE313" t="str">
        <f ca="1">IFERROR(IF(0=LEN(ReferenceData!$AE$313),"",ReferenceData!$AE$313),"")</f>
        <v/>
      </c>
      <c r="AF313" t="str">
        <f ca="1">IFERROR(IF(0=LEN(ReferenceData!$AF$313),"",ReferenceData!$AF$313),"")</f>
        <v/>
      </c>
      <c r="AG313" t="str">
        <f ca="1">IFERROR(IF(0=LEN(ReferenceData!$AG$313),"",ReferenceData!$AG$313),"")</f>
        <v/>
      </c>
      <c r="AH313" t="str">
        <f ca="1">IFERROR(IF(0=LEN(ReferenceData!$AH$313),"",ReferenceData!$AH$313),"")</f>
        <v/>
      </c>
      <c r="AI313" t="str">
        <f ca="1">IFERROR(IF(0=LEN(ReferenceData!$AI$313),"",ReferenceData!$AI$313),"")</f>
        <v/>
      </c>
      <c r="AJ313" t="str">
        <f ca="1">IFERROR(IF(0=LEN(ReferenceData!$AJ$313),"",ReferenceData!$AJ$313),"")</f>
        <v/>
      </c>
      <c r="AK313" t="str">
        <f ca="1">IFERROR(IF(0=LEN(ReferenceData!$AK$313),"",ReferenceData!$AK$313),"")</f>
        <v/>
      </c>
      <c r="AL313" t="str">
        <f ca="1">IFERROR(IF(0=LEN(ReferenceData!$AL$313),"",ReferenceData!$AL$313),"")</f>
        <v/>
      </c>
    </row>
    <row r="314" spans="1:38" x14ac:dyDescent="0.25">
      <c r="A314" t="str">
        <f>IFERROR(IF(0=LEN(ReferenceData!$A$314),"",ReferenceData!$A$314),"")</f>
        <v xml:space="preserve">        Fifth Third Bancorp</v>
      </c>
      <c r="B314" t="str">
        <f>IFERROR(IF(0=LEN(ReferenceData!$B$314),"",ReferenceData!$B$314),"")</f>
        <v>FITB US Equity</v>
      </c>
      <c r="C314" t="str">
        <f>IFERROR(IF(0=LEN(ReferenceData!$C$314),"",ReferenceData!$C$314),"")</f>
        <v>F0124</v>
      </c>
      <c r="D314" t="str">
        <f>IFERROR(IF(0=LEN(ReferenceData!$D$314),"",ReferenceData!$D$314),"")</f>
        <v>FED_FOR_BANK_LNS_%_TOT_LNS_LEAS</v>
      </c>
      <c r="E314" t="str">
        <f>IFERROR(IF(0=LEN(ReferenceData!$E$314),"",ReferenceData!$E$314),"")</f>
        <v>Dynamic</v>
      </c>
      <c r="F314">
        <f ca="1">IFERROR(IF(0=LEN(ReferenceData!$F$314),"",ReferenceData!$F$314),"")</f>
        <v>0.40687198499999999</v>
      </c>
      <c r="G314">
        <f ca="1">IFERROR(IF(0=LEN(ReferenceData!$G$314),"",ReferenceData!$G$314),"")</f>
        <v>8.5025300000000003E-4</v>
      </c>
      <c r="H314">
        <f ca="1">IFERROR(IF(0=LEN(ReferenceData!$H$314),"",ReferenceData!$H$314),"")</f>
        <v>3.8730890000000001E-3</v>
      </c>
      <c r="I314">
        <f ca="1">IFERROR(IF(0=LEN(ReferenceData!$I$314),"",ReferenceData!$I$314),"")</f>
        <v>1.7876649999999999E-3</v>
      </c>
      <c r="J314">
        <f ca="1">IFERROR(IF(0=LEN(ReferenceData!$J$314),"",ReferenceData!$J$314),"")</f>
        <v>4.8615819999999997E-3</v>
      </c>
      <c r="K314">
        <f ca="1">IFERROR(IF(0=LEN(ReferenceData!$K$314),"",ReferenceData!$K$314),"")</f>
        <v>2.299981E-3</v>
      </c>
      <c r="L314">
        <f ca="1">IFERROR(IF(0=LEN(ReferenceData!$L$314),"",ReferenceData!$L$314),"")</f>
        <v>0</v>
      </c>
      <c r="M314">
        <f ca="1">IFERROR(IF(0=LEN(ReferenceData!$M$314),"",ReferenceData!$M$314),"")</f>
        <v>0</v>
      </c>
      <c r="N314">
        <f ca="1">IFERROR(IF(0=LEN(ReferenceData!$N$314),"",ReferenceData!$N$314),"")</f>
        <v>3.9849299999999998E-5</v>
      </c>
      <c r="O314">
        <f ca="1">IFERROR(IF(0=LEN(ReferenceData!$O$314),"",ReferenceData!$O$314),"")</f>
        <v>5.6458333999999999E-2</v>
      </c>
      <c r="P314">
        <f ca="1">IFERROR(IF(0=LEN(ReferenceData!$P$314),"",ReferenceData!$P$314),"")</f>
        <v>0.56015546100000002</v>
      </c>
      <c r="Q314">
        <f ca="1">IFERROR(IF(0=LEN(ReferenceData!$Q$314),"",ReferenceData!$Q$314),"")</f>
        <v>1.3041719519999999</v>
      </c>
      <c r="R314">
        <f ca="1">IFERROR(IF(0=LEN(ReferenceData!$R$314),"",ReferenceData!$R$314),"")</f>
        <v>0.81237983000000002</v>
      </c>
      <c r="S314">
        <f ca="1">IFERROR(IF(0=LEN(ReferenceData!$S$314),"",ReferenceData!$S$314),"")</f>
        <v>0.98852161500000002</v>
      </c>
      <c r="T314">
        <f ca="1">IFERROR(IF(0=LEN(ReferenceData!$T$314),"",ReferenceData!$T$314),"")</f>
        <v>0.52084620599999998</v>
      </c>
      <c r="U314">
        <f ca="1">IFERROR(IF(0=LEN(ReferenceData!$U$314),"",ReferenceData!$U$314),"")</f>
        <v>0.210900106</v>
      </c>
      <c r="V314">
        <f ca="1">IFERROR(IF(0=LEN(ReferenceData!$V$314),"",ReferenceData!$V$314),"")</f>
        <v>5.6365804999999998E-2</v>
      </c>
      <c r="W314">
        <f ca="1">IFERROR(IF(0=LEN(ReferenceData!$W$314),"",ReferenceData!$W$314),"")</f>
        <v>5.1785299999999998E-4</v>
      </c>
      <c r="X314">
        <f ca="1">IFERROR(IF(0=LEN(ReferenceData!$X$314),"",ReferenceData!$X$314),"")</f>
        <v>1.2026179999999999E-3</v>
      </c>
      <c r="Y314">
        <f ca="1">IFERROR(IF(0=LEN(ReferenceData!$Y$314),"",ReferenceData!$Y$314),"")</f>
        <v>8.0023699999999998E-5</v>
      </c>
      <c r="Z314">
        <f ca="1">IFERROR(IF(0=LEN(ReferenceData!$Z$314),"",ReferenceData!$Z$314),"")</f>
        <v>0</v>
      </c>
      <c r="AA314">
        <f ca="1">IFERROR(IF(0=LEN(ReferenceData!$AA$314),"",ReferenceData!$AA$314),"")</f>
        <v>0</v>
      </c>
      <c r="AB314">
        <f ca="1">IFERROR(IF(0=LEN(ReferenceData!$AB$314),"",ReferenceData!$AB$314),"")</f>
        <v>0</v>
      </c>
      <c r="AC314">
        <f ca="1">IFERROR(IF(0=LEN(ReferenceData!$AC$314),"",ReferenceData!$AC$314),"")</f>
        <v>0</v>
      </c>
      <c r="AD314" t="str">
        <f ca="1">IFERROR(IF(0=LEN(ReferenceData!$AD$314),"",ReferenceData!$AD$314),"")</f>
        <v/>
      </c>
      <c r="AE314" t="str">
        <f ca="1">IFERROR(IF(0=LEN(ReferenceData!$AE$314),"",ReferenceData!$AE$314),"")</f>
        <v/>
      </c>
      <c r="AF314" t="str">
        <f ca="1">IFERROR(IF(0=LEN(ReferenceData!$AF$314),"",ReferenceData!$AF$314),"")</f>
        <v/>
      </c>
      <c r="AG314" t="str">
        <f ca="1">IFERROR(IF(0=LEN(ReferenceData!$AG$314),"",ReferenceData!$AG$314),"")</f>
        <v/>
      </c>
      <c r="AH314" t="str">
        <f ca="1">IFERROR(IF(0=LEN(ReferenceData!$AH$314),"",ReferenceData!$AH$314),"")</f>
        <v/>
      </c>
      <c r="AI314" t="str">
        <f ca="1">IFERROR(IF(0=LEN(ReferenceData!$AI$314),"",ReferenceData!$AI$314),"")</f>
        <v/>
      </c>
      <c r="AJ314" t="str">
        <f ca="1">IFERROR(IF(0=LEN(ReferenceData!$AJ$314),"",ReferenceData!$AJ$314),"")</f>
        <v/>
      </c>
      <c r="AK314" t="str">
        <f ca="1">IFERROR(IF(0=LEN(ReferenceData!$AK$314),"",ReferenceData!$AK$314),"")</f>
        <v/>
      </c>
      <c r="AL314" t="str">
        <f ca="1">IFERROR(IF(0=LEN(ReferenceData!$AL$314),"",ReferenceData!$AL$314),"")</f>
        <v/>
      </c>
    </row>
    <row r="315" spans="1:38" x14ac:dyDescent="0.25">
      <c r="A315" t="str">
        <f>IFERROR(IF(0=LEN(ReferenceData!$A$315),"",ReferenceData!$A$315),"")</f>
        <v xml:space="preserve">        First Citizens BancShares Inc/</v>
      </c>
      <c r="B315" t="str">
        <f>IFERROR(IF(0=LEN(ReferenceData!$B$315),"",ReferenceData!$B$315),"")</f>
        <v>FCNCA US Equity</v>
      </c>
      <c r="C315" t="str">
        <f>IFERROR(IF(0=LEN(ReferenceData!$C$315),"",ReferenceData!$C$315),"")</f>
        <v>F0124</v>
      </c>
      <c r="D315" t="str">
        <f>IFERROR(IF(0=LEN(ReferenceData!$D$315),"",ReferenceData!$D$315),"")</f>
        <v>FED_FOR_BANK_LNS_%_TOT_LNS_LEAS</v>
      </c>
      <c r="E315" t="str">
        <f>IFERROR(IF(0=LEN(ReferenceData!$E$315),"",ReferenceData!$E$315),"")</f>
        <v>Dynamic</v>
      </c>
      <c r="F315">
        <f ca="1">IFERROR(IF(0=LEN(ReferenceData!$F$315),"",ReferenceData!$F$315),"")</f>
        <v>0</v>
      </c>
      <c r="G315">
        <f ca="1">IFERROR(IF(0=LEN(ReferenceData!$G$315),"",ReferenceData!$G$315),"")</f>
        <v>1.5820100000000001E-4</v>
      </c>
      <c r="H315">
        <f ca="1">IFERROR(IF(0=LEN(ReferenceData!$H$315),"",ReferenceData!$H$315),"")</f>
        <v>6.4376699999999995E-4</v>
      </c>
      <c r="I315">
        <f ca="1">IFERROR(IF(0=LEN(ReferenceData!$I$315),"",ReferenceData!$I$315),"")</f>
        <v>0</v>
      </c>
      <c r="J315">
        <f ca="1">IFERROR(IF(0=LEN(ReferenceData!$J$315),"",ReferenceData!$J$315),"")</f>
        <v>0</v>
      </c>
      <c r="K315">
        <f ca="1">IFERROR(IF(0=LEN(ReferenceData!$K$315),"",ReferenceData!$K$315),"")</f>
        <v>0</v>
      </c>
      <c r="L315">
        <f ca="1">IFERROR(IF(0=LEN(ReferenceData!$L$315),"",ReferenceData!$L$315),"")</f>
        <v>0</v>
      </c>
      <c r="M315">
        <f ca="1">IFERROR(IF(0=LEN(ReferenceData!$M$315),"",ReferenceData!$M$315),"")</f>
        <v>0</v>
      </c>
      <c r="N315">
        <f ca="1">IFERROR(IF(0=LEN(ReferenceData!$N$315),"",ReferenceData!$N$315),"")</f>
        <v>0</v>
      </c>
      <c r="O315">
        <f ca="1">IFERROR(IF(0=LEN(ReferenceData!$O$315),"",ReferenceData!$O$315),"")</f>
        <v>0</v>
      </c>
      <c r="P315">
        <f ca="1">IFERROR(IF(0=LEN(ReferenceData!$P$315),"",ReferenceData!$P$315),"")</f>
        <v>0</v>
      </c>
      <c r="Q315">
        <f ca="1">IFERROR(IF(0=LEN(ReferenceData!$Q$315),"",ReferenceData!$Q$315),"")</f>
        <v>0</v>
      </c>
      <c r="R315">
        <f ca="1">IFERROR(IF(0=LEN(ReferenceData!$R$315),"",ReferenceData!$R$315),"")</f>
        <v>0</v>
      </c>
      <c r="S315">
        <f ca="1">IFERROR(IF(0=LEN(ReferenceData!$S$315),"",ReferenceData!$S$315),"")</f>
        <v>0</v>
      </c>
      <c r="T315">
        <f ca="1">IFERROR(IF(0=LEN(ReferenceData!$T$315),"",ReferenceData!$T$315),"")</f>
        <v>0</v>
      </c>
      <c r="U315">
        <f ca="1">IFERROR(IF(0=LEN(ReferenceData!$U$315),"",ReferenceData!$U$315),"")</f>
        <v>0</v>
      </c>
      <c r="V315">
        <f ca="1">IFERROR(IF(0=LEN(ReferenceData!$V$315),"",ReferenceData!$V$315),"")</f>
        <v>0</v>
      </c>
      <c r="W315">
        <f ca="1">IFERROR(IF(0=LEN(ReferenceData!$W$315),"",ReferenceData!$W$315),"")</f>
        <v>0</v>
      </c>
      <c r="X315">
        <f ca="1">IFERROR(IF(0=LEN(ReferenceData!$X$315),"",ReferenceData!$X$315),"")</f>
        <v>0</v>
      </c>
      <c r="Y315">
        <f ca="1">IFERROR(IF(0=LEN(ReferenceData!$Y$315),"",ReferenceData!$Y$315),"")</f>
        <v>0</v>
      </c>
      <c r="Z315">
        <f ca="1">IFERROR(IF(0=LEN(ReferenceData!$Z$315),"",ReferenceData!$Z$315),"")</f>
        <v>0</v>
      </c>
      <c r="AA315">
        <f ca="1">IFERROR(IF(0=LEN(ReferenceData!$AA$315),"",ReferenceData!$AA$315),"")</f>
        <v>0</v>
      </c>
      <c r="AB315">
        <f ca="1">IFERROR(IF(0=LEN(ReferenceData!$AB$315),"",ReferenceData!$AB$315),"")</f>
        <v>0</v>
      </c>
      <c r="AC315">
        <f ca="1">IFERROR(IF(0=LEN(ReferenceData!$AC$315),"",ReferenceData!$AC$315),"")</f>
        <v>0</v>
      </c>
      <c r="AD315" t="str">
        <f ca="1">IFERROR(IF(0=LEN(ReferenceData!$AD$315),"",ReferenceData!$AD$315),"")</f>
        <v/>
      </c>
      <c r="AE315" t="str">
        <f ca="1">IFERROR(IF(0=LEN(ReferenceData!$AE$315),"",ReferenceData!$AE$315),"")</f>
        <v/>
      </c>
      <c r="AF315" t="str">
        <f ca="1">IFERROR(IF(0=LEN(ReferenceData!$AF$315),"",ReferenceData!$AF$315),"")</f>
        <v/>
      </c>
      <c r="AG315" t="str">
        <f ca="1">IFERROR(IF(0=LEN(ReferenceData!$AG$315),"",ReferenceData!$AG$315),"")</f>
        <v/>
      </c>
      <c r="AH315" t="str">
        <f ca="1">IFERROR(IF(0=LEN(ReferenceData!$AH$315),"",ReferenceData!$AH$315),"")</f>
        <v/>
      </c>
      <c r="AI315" t="str">
        <f ca="1">IFERROR(IF(0=LEN(ReferenceData!$AI$315),"",ReferenceData!$AI$315),"")</f>
        <v/>
      </c>
      <c r="AJ315" t="str">
        <f ca="1">IFERROR(IF(0=LEN(ReferenceData!$AJ$315),"",ReferenceData!$AJ$315),"")</f>
        <v/>
      </c>
      <c r="AK315" t="str">
        <f ca="1">IFERROR(IF(0=LEN(ReferenceData!$AK$315),"",ReferenceData!$AK$315),"")</f>
        <v/>
      </c>
      <c r="AL315" t="str">
        <f ca="1">IFERROR(IF(0=LEN(ReferenceData!$AL$315),"",ReferenceData!$AL$315),"")</f>
        <v/>
      </c>
    </row>
    <row r="316" spans="1:38" x14ac:dyDescent="0.25">
      <c r="A316" t="str">
        <f>IFERROR(IF(0=LEN(ReferenceData!$A$316),"",ReferenceData!$A$316),"")</f>
        <v xml:space="preserve">        Flagstar Financial Inc</v>
      </c>
      <c r="B316" t="str">
        <f>IFERROR(IF(0=LEN(ReferenceData!$B$316),"",ReferenceData!$B$316),"")</f>
        <v>FLG US Equity</v>
      </c>
      <c r="C316" t="str">
        <f>IFERROR(IF(0=LEN(ReferenceData!$C$316),"",ReferenceData!$C$316),"")</f>
        <v>F0124</v>
      </c>
      <c r="D316" t="str">
        <f>IFERROR(IF(0=LEN(ReferenceData!$D$316),"",ReferenceData!$D$316),"")</f>
        <v>FED_FOR_BANK_LNS_%_TOT_LNS_LEAS</v>
      </c>
      <c r="E316" t="str">
        <f>IFERROR(IF(0=LEN(ReferenceData!$E$316),"",ReferenceData!$E$316),"")</f>
        <v>Dynamic</v>
      </c>
      <c r="F316" t="str">
        <f ca="1">IFERROR(IF(0=LEN(ReferenceData!$F$316),"",ReferenceData!$F$316),"")</f>
        <v/>
      </c>
      <c r="G316">
        <f ca="1">IFERROR(IF(0=LEN(ReferenceData!$G$316),"",ReferenceData!$G$316),"")</f>
        <v>0</v>
      </c>
      <c r="H316">
        <f ca="1">IFERROR(IF(0=LEN(ReferenceData!$H$316),"",ReferenceData!$H$316),"")</f>
        <v>0</v>
      </c>
      <c r="I316">
        <f ca="1">IFERROR(IF(0=LEN(ReferenceData!$I$316),"",ReferenceData!$I$316),"")</f>
        <v>0</v>
      </c>
      <c r="J316">
        <f ca="1">IFERROR(IF(0=LEN(ReferenceData!$J$316),"",ReferenceData!$J$316),"")</f>
        <v>0</v>
      </c>
      <c r="K316">
        <f ca="1">IFERROR(IF(0=LEN(ReferenceData!$K$316),"",ReferenceData!$K$316),"")</f>
        <v>0</v>
      </c>
      <c r="L316">
        <f ca="1">IFERROR(IF(0=LEN(ReferenceData!$L$316),"",ReferenceData!$L$316),"")</f>
        <v>0</v>
      </c>
      <c r="M316">
        <f ca="1">IFERROR(IF(0=LEN(ReferenceData!$M$316),"",ReferenceData!$M$316),"")</f>
        <v>0</v>
      </c>
      <c r="N316">
        <f ca="1">IFERROR(IF(0=LEN(ReferenceData!$N$316),"",ReferenceData!$N$316),"")</f>
        <v>0</v>
      </c>
      <c r="O316">
        <f ca="1">IFERROR(IF(0=LEN(ReferenceData!$O$316),"",ReferenceData!$O$316),"")</f>
        <v>0</v>
      </c>
      <c r="P316">
        <f ca="1">IFERROR(IF(0=LEN(ReferenceData!$P$316),"",ReferenceData!$P$316),"")</f>
        <v>0</v>
      </c>
      <c r="Q316">
        <f ca="1">IFERROR(IF(0=LEN(ReferenceData!$Q$316),"",ReferenceData!$Q$316),"")</f>
        <v>0</v>
      </c>
      <c r="R316">
        <f ca="1">IFERROR(IF(0=LEN(ReferenceData!$R$316),"",ReferenceData!$R$316),"")</f>
        <v>0</v>
      </c>
      <c r="S316">
        <f ca="1">IFERROR(IF(0=LEN(ReferenceData!$S$316),"",ReferenceData!$S$316),"")</f>
        <v>0</v>
      </c>
      <c r="T316">
        <f ca="1">IFERROR(IF(0=LEN(ReferenceData!$T$316),"",ReferenceData!$T$316),"")</f>
        <v>0</v>
      </c>
      <c r="U316">
        <f ca="1">IFERROR(IF(0=LEN(ReferenceData!$U$316),"",ReferenceData!$U$316),"")</f>
        <v>0</v>
      </c>
      <c r="V316">
        <f ca="1">IFERROR(IF(0=LEN(ReferenceData!$V$316),"",ReferenceData!$V$316),"")</f>
        <v>0</v>
      </c>
      <c r="W316">
        <f ca="1">IFERROR(IF(0=LEN(ReferenceData!$W$316),"",ReferenceData!$W$316),"")</f>
        <v>0</v>
      </c>
      <c r="X316">
        <f ca="1">IFERROR(IF(0=LEN(ReferenceData!$X$316),"",ReferenceData!$X$316),"")</f>
        <v>0</v>
      </c>
      <c r="Y316">
        <f ca="1">IFERROR(IF(0=LEN(ReferenceData!$Y$316),"",ReferenceData!$Y$316),"")</f>
        <v>0</v>
      </c>
      <c r="Z316">
        <f ca="1">IFERROR(IF(0=LEN(ReferenceData!$Z$316),"",ReferenceData!$Z$316),"")</f>
        <v>0</v>
      </c>
      <c r="AA316">
        <f ca="1">IFERROR(IF(0=LEN(ReferenceData!$AA$316),"",ReferenceData!$AA$316),"")</f>
        <v>0</v>
      </c>
      <c r="AB316">
        <f ca="1">IFERROR(IF(0=LEN(ReferenceData!$AB$316),"",ReferenceData!$AB$316),"")</f>
        <v>0</v>
      </c>
      <c r="AC316">
        <f ca="1">IFERROR(IF(0=LEN(ReferenceData!$AC$316),"",ReferenceData!$AC$316),"")</f>
        <v>0</v>
      </c>
      <c r="AD316" t="str">
        <f ca="1">IFERROR(IF(0=LEN(ReferenceData!$AD$316),"",ReferenceData!$AD$316),"")</f>
        <v/>
      </c>
      <c r="AE316" t="str">
        <f ca="1">IFERROR(IF(0=LEN(ReferenceData!$AE$316),"",ReferenceData!$AE$316),"")</f>
        <v/>
      </c>
      <c r="AF316" t="str">
        <f ca="1">IFERROR(IF(0=LEN(ReferenceData!$AF$316),"",ReferenceData!$AF$316),"")</f>
        <v/>
      </c>
      <c r="AG316" t="str">
        <f ca="1">IFERROR(IF(0=LEN(ReferenceData!$AG$316),"",ReferenceData!$AG$316),"")</f>
        <v/>
      </c>
      <c r="AH316" t="str">
        <f ca="1">IFERROR(IF(0=LEN(ReferenceData!$AH$316),"",ReferenceData!$AH$316),"")</f>
        <v/>
      </c>
      <c r="AI316" t="str">
        <f ca="1">IFERROR(IF(0=LEN(ReferenceData!$AI$316),"",ReferenceData!$AI$316),"")</f>
        <v/>
      </c>
      <c r="AJ316" t="str">
        <f ca="1">IFERROR(IF(0=LEN(ReferenceData!$AJ$316),"",ReferenceData!$AJ$316),"")</f>
        <v/>
      </c>
      <c r="AK316" t="str">
        <f ca="1">IFERROR(IF(0=LEN(ReferenceData!$AK$316),"",ReferenceData!$AK$316),"")</f>
        <v/>
      </c>
      <c r="AL316" t="str">
        <f ca="1">IFERROR(IF(0=LEN(ReferenceData!$AL$316),"",ReferenceData!$AL$316),"")</f>
        <v/>
      </c>
    </row>
    <row r="317" spans="1:38" x14ac:dyDescent="0.25">
      <c r="A317" t="str">
        <f>IFERROR(IF(0=LEN(ReferenceData!$A$317),"",ReferenceData!$A$317),"")</f>
        <v xml:space="preserve">        Huntington Bancshares Inc/OH</v>
      </c>
      <c r="B317" t="str">
        <f>IFERROR(IF(0=LEN(ReferenceData!$B$317),"",ReferenceData!$B$317),"")</f>
        <v>HBAN US Equity</v>
      </c>
      <c r="C317" t="str">
        <f>IFERROR(IF(0=LEN(ReferenceData!$C$317),"",ReferenceData!$C$317),"")</f>
        <v>F0124</v>
      </c>
      <c r="D317" t="str">
        <f>IFERROR(IF(0=LEN(ReferenceData!$D$317),"",ReferenceData!$D$317),"")</f>
        <v>FED_FOR_BANK_LNS_%_TOT_LNS_LEAS</v>
      </c>
      <c r="E317" t="str">
        <f>IFERROR(IF(0=LEN(ReferenceData!$E$317),"",ReferenceData!$E$317),"")</f>
        <v>Dynamic</v>
      </c>
      <c r="F317">
        <f ca="1">IFERROR(IF(0=LEN(ReferenceData!$F$317),"",ReferenceData!$F$317),"")</f>
        <v>0.54653681399999998</v>
      </c>
      <c r="G317">
        <f ca="1">IFERROR(IF(0=LEN(ReferenceData!$G$317),"",ReferenceData!$G$317),"")</f>
        <v>0.202846372</v>
      </c>
      <c r="H317">
        <f ca="1">IFERROR(IF(0=LEN(ReferenceData!$H$317),"",ReferenceData!$H$317),"")</f>
        <v>0.29152480600000003</v>
      </c>
      <c r="I317">
        <f ca="1">IFERROR(IF(0=LEN(ReferenceData!$I$317),"",ReferenceData!$I$317),"")</f>
        <v>0.612623739</v>
      </c>
      <c r="J317">
        <f ca="1">IFERROR(IF(0=LEN(ReferenceData!$J$317),"",ReferenceData!$J$317),"")</f>
        <v>0.67522896200000004</v>
      </c>
      <c r="K317">
        <f ca="1">IFERROR(IF(0=LEN(ReferenceData!$K$317),"",ReferenceData!$K$317),"")</f>
        <v>0.64681725599999995</v>
      </c>
      <c r="L317">
        <f ca="1">IFERROR(IF(0=LEN(ReferenceData!$L$317),"",ReferenceData!$L$317),"")</f>
        <v>0.79612936999999995</v>
      </c>
      <c r="M317">
        <f ca="1">IFERROR(IF(0=LEN(ReferenceData!$M$317),"",ReferenceData!$M$317),"")</f>
        <v>0.68656519999999999</v>
      </c>
      <c r="N317">
        <f ca="1">IFERROR(IF(0=LEN(ReferenceData!$N$317),"",ReferenceData!$N$317),"")</f>
        <v>0.41636768200000002</v>
      </c>
      <c r="O317">
        <f ca="1">IFERROR(IF(0=LEN(ReferenceData!$O$317),"",ReferenceData!$O$317),"")</f>
        <v>0.941449651</v>
      </c>
      <c r="P317">
        <f ca="1">IFERROR(IF(0=LEN(ReferenceData!$P$317),"",ReferenceData!$P$317),"")</f>
        <v>1.2158508530000001</v>
      </c>
      <c r="Q317">
        <f ca="1">IFERROR(IF(0=LEN(ReferenceData!$Q$317),"",ReferenceData!$Q$317),"")</f>
        <v>0</v>
      </c>
      <c r="R317">
        <f ca="1">IFERROR(IF(0=LEN(ReferenceData!$R$317),"",ReferenceData!$R$317),"")</f>
        <v>0</v>
      </c>
      <c r="S317">
        <f ca="1">IFERROR(IF(0=LEN(ReferenceData!$S$317),"",ReferenceData!$S$317),"")</f>
        <v>0</v>
      </c>
      <c r="T317">
        <f ca="1">IFERROR(IF(0=LEN(ReferenceData!$T$317),"",ReferenceData!$T$317),"")</f>
        <v>0</v>
      </c>
      <c r="U317">
        <f ca="1">IFERROR(IF(0=LEN(ReferenceData!$U$317),"",ReferenceData!$U$317),"")</f>
        <v>0</v>
      </c>
      <c r="V317">
        <f ca="1">IFERROR(IF(0=LEN(ReferenceData!$V$317),"",ReferenceData!$V$317),"")</f>
        <v>0</v>
      </c>
      <c r="W317">
        <f ca="1">IFERROR(IF(0=LEN(ReferenceData!$W$317),"",ReferenceData!$W$317),"")</f>
        <v>0</v>
      </c>
      <c r="X317">
        <f ca="1">IFERROR(IF(0=LEN(ReferenceData!$X$317),"",ReferenceData!$X$317),"")</f>
        <v>0</v>
      </c>
      <c r="Y317">
        <f ca="1">IFERROR(IF(0=LEN(ReferenceData!$Y$317),"",ReferenceData!$Y$317),"")</f>
        <v>0</v>
      </c>
      <c r="Z317">
        <f ca="1">IFERROR(IF(0=LEN(ReferenceData!$Z$317),"",ReferenceData!$Z$317),"")</f>
        <v>0</v>
      </c>
      <c r="AA317">
        <f ca="1">IFERROR(IF(0=LEN(ReferenceData!$AA$317),"",ReferenceData!$AA$317),"")</f>
        <v>1.512467E-3</v>
      </c>
      <c r="AB317">
        <f ca="1">IFERROR(IF(0=LEN(ReferenceData!$AB$317),"",ReferenceData!$AB$317),"")</f>
        <v>7.7523499999999999E-4</v>
      </c>
      <c r="AC317">
        <f ca="1">IFERROR(IF(0=LEN(ReferenceData!$AC$317),"",ReferenceData!$AC$317),"")</f>
        <v>0</v>
      </c>
      <c r="AD317" t="str">
        <f ca="1">IFERROR(IF(0=LEN(ReferenceData!$AD$317),"",ReferenceData!$AD$317),"")</f>
        <v/>
      </c>
      <c r="AE317" t="str">
        <f ca="1">IFERROR(IF(0=LEN(ReferenceData!$AE$317),"",ReferenceData!$AE$317),"")</f>
        <v/>
      </c>
      <c r="AF317" t="str">
        <f ca="1">IFERROR(IF(0=LEN(ReferenceData!$AF$317),"",ReferenceData!$AF$317),"")</f>
        <v/>
      </c>
      <c r="AG317" t="str">
        <f ca="1">IFERROR(IF(0=LEN(ReferenceData!$AG$317),"",ReferenceData!$AG$317),"")</f>
        <v/>
      </c>
      <c r="AH317" t="str">
        <f ca="1">IFERROR(IF(0=LEN(ReferenceData!$AH$317),"",ReferenceData!$AH$317),"")</f>
        <v/>
      </c>
      <c r="AI317" t="str">
        <f ca="1">IFERROR(IF(0=LEN(ReferenceData!$AI$317),"",ReferenceData!$AI$317),"")</f>
        <v/>
      </c>
      <c r="AJ317" t="str">
        <f ca="1">IFERROR(IF(0=LEN(ReferenceData!$AJ$317),"",ReferenceData!$AJ$317),"")</f>
        <v/>
      </c>
      <c r="AK317" t="str">
        <f ca="1">IFERROR(IF(0=LEN(ReferenceData!$AK$317),"",ReferenceData!$AK$317),"")</f>
        <v/>
      </c>
      <c r="AL317" t="str">
        <f ca="1">IFERROR(IF(0=LEN(ReferenceData!$AL$317),"",ReferenceData!$AL$317),"")</f>
        <v/>
      </c>
    </row>
    <row r="318" spans="1:38" x14ac:dyDescent="0.25">
      <c r="A318" t="str">
        <f>IFERROR(IF(0=LEN(ReferenceData!$A$318),"",ReferenceData!$A$318),"")</f>
        <v xml:space="preserve">        JPMorgan Chase &amp; Co</v>
      </c>
      <c r="B318" t="str">
        <f>IFERROR(IF(0=LEN(ReferenceData!$B$318),"",ReferenceData!$B$318),"")</f>
        <v>JPM US Equity</v>
      </c>
      <c r="C318" t="str">
        <f>IFERROR(IF(0=LEN(ReferenceData!$C$318),"",ReferenceData!$C$318),"")</f>
        <v>F0124</v>
      </c>
      <c r="D318" t="str">
        <f>IFERROR(IF(0=LEN(ReferenceData!$D$318),"",ReferenceData!$D$318),"")</f>
        <v>FED_FOR_BANK_LNS_%_TOT_LNS_LEAS</v>
      </c>
      <c r="E318" t="str">
        <f>IFERROR(IF(0=LEN(ReferenceData!$E$318),"",ReferenceData!$E$318),"")</f>
        <v>Dynamic</v>
      </c>
      <c r="F318">
        <f ca="1">IFERROR(IF(0=LEN(ReferenceData!$F$318),"",ReferenceData!$F$318),"")</f>
        <v>0.67718300399999998</v>
      </c>
      <c r="G318">
        <f ca="1">IFERROR(IF(0=LEN(ReferenceData!$G$318),"",ReferenceData!$G$318),"")</f>
        <v>0.61571012300000005</v>
      </c>
      <c r="H318">
        <f ca="1">IFERROR(IF(0=LEN(ReferenceData!$H$318),"",ReferenceData!$H$318),"")</f>
        <v>0.80215844300000005</v>
      </c>
      <c r="I318">
        <f ca="1">IFERROR(IF(0=LEN(ReferenceData!$I$318),"",ReferenceData!$I$318),"")</f>
        <v>0.694672187</v>
      </c>
      <c r="J318">
        <f ca="1">IFERROR(IF(0=LEN(ReferenceData!$J$318),"",ReferenceData!$J$318),"")</f>
        <v>0.65728310400000001</v>
      </c>
      <c r="K318">
        <f ca="1">IFERROR(IF(0=LEN(ReferenceData!$K$318),"",ReferenceData!$K$318),"")</f>
        <v>0.69955550600000005</v>
      </c>
      <c r="L318">
        <f ca="1">IFERROR(IF(0=LEN(ReferenceData!$L$318),"",ReferenceData!$L$318),"")</f>
        <v>0.96416411700000004</v>
      </c>
      <c r="M318">
        <f ca="1">IFERROR(IF(0=LEN(ReferenceData!$M$318),"",ReferenceData!$M$318),"")</f>
        <v>0.91134361500000005</v>
      </c>
      <c r="N318">
        <f ca="1">IFERROR(IF(0=LEN(ReferenceData!$N$318),"",ReferenceData!$N$318),"")</f>
        <v>0.910976444</v>
      </c>
      <c r="O318">
        <f ca="1">IFERROR(IF(0=LEN(ReferenceData!$O$318),"",ReferenceData!$O$318),"")</f>
        <v>1.520807963</v>
      </c>
      <c r="P318">
        <f ca="1">IFERROR(IF(0=LEN(ReferenceData!$P$318),"",ReferenceData!$P$318),"")</f>
        <v>1.9910032849999999</v>
      </c>
      <c r="Q318">
        <f ca="1">IFERROR(IF(0=LEN(ReferenceData!$Q$318),"",ReferenceData!$Q$318),"")</f>
        <v>2.4745655489999998</v>
      </c>
      <c r="R318">
        <f ca="1">IFERROR(IF(0=LEN(ReferenceData!$R$318),"",ReferenceData!$R$318),"")</f>
        <v>2.7533492559999999</v>
      </c>
      <c r="S318">
        <f ca="1">IFERROR(IF(0=LEN(ReferenceData!$S$318),"",ReferenceData!$S$318),"")</f>
        <v>3.3982916940000001</v>
      </c>
      <c r="T318">
        <f ca="1">IFERROR(IF(0=LEN(ReferenceData!$T$318),"",ReferenceData!$T$318),"")</f>
        <v>2.1994106659999999</v>
      </c>
      <c r="U318">
        <f ca="1">IFERROR(IF(0=LEN(ReferenceData!$U$318),"",ReferenceData!$U$318),"")</f>
        <v>1.4189900360000001</v>
      </c>
      <c r="V318">
        <f ca="1">IFERROR(IF(0=LEN(ReferenceData!$V$318),"",ReferenceData!$V$318),"")</f>
        <v>1.543775109</v>
      </c>
      <c r="W318">
        <f ca="1">IFERROR(IF(0=LEN(ReferenceData!$W$318),"",ReferenceData!$W$318),"")</f>
        <v>2.3433731039999999</v>
      </c>
      <c r="X318">
        <f ca="1">IFERROR(IF(0=LEN(ReferenceData!$X$318),"",ReferenceData!$X$318),"")</f>
        <v>1.4590366509999999</v>
      </c>
      <c r="Y318">
        <f ca="1">IFERROR(IF(0=LEN(ReferenceData!$Y$318),"",ReferenceData!$Y$318),"")</f>
        <v>1.0160663679999999</v>
      </c>
      <c r="Z318">
        <f ca="1">IFERROR(IF(0=LEN(ReferenceData!$Z$318),"",ReferenceData!$Z$318),"")</f>
        <v>0.79500087600000002</v>
      </c>
      <c r="AA318">
        <f ca="1">IFERROR(IF(0=LEN(ReferenceData!$AA$318),"",ReferenceData!$AA$318),"")</f>
        <v>1.152069534</v>
      </c>
      <c r="AB318">
        <f ca="1">IFERROR(IF(0=LEN(ReferenceData!$AB$318),"",ReferenceData!$AB$318),"")</f>
        <v>1.0385983080000001</v>
      </c>
      <c r="AC318">
        <f ca="1">IFERROR(IF(0=LEN(ReferenceData!$AC$318),"",ReferenceData!$AC$318),"")</f>
        <v>1.855131396</v>
      </c>
      <c r="AD318" t="str">
        <f ca="1">IFERROR(IF(0=LEN(ReferenceData!$AD$318),"",ReferenceData!$AD$318),"")</f>
        <v/>
      </c>
      <c r="AE318" t="str">
        <f ca="1">IFERROR(IF(0=LEN(ReferenceData!$AE$318),"",ReferenceData!$AE$318),"")</f>
        <v/>
      </c>
      <c r="AF318" t="str">
        <f ca="1">IFERROR(IF(0=LEN(ReferenceData!$AF$318),"",ReferenceData!$AF$318),"")</f>
        <v/>
      </c>
      <c r="AG318" t="str">
        <f ca="1">IFERROR(IF(0=LEN(ReferenceData!$AG$318),"",ReferenceData!$AG$318),"")</f>
        <v/>
      </c>
      <c r="AH318" t="str">
        <f ca="1">IFERROR(IF(0=LEN(ReferenceData!$AH$318),"",ReferenceData!$AH$318),"")</f>
        <v/>
      </c>
      <c r="AI318" t="str">
        <f ca="1">IFERROR(IF(0=LEN(ReferenceData!$AI$318),"",ReferenceData!$AI$318),"")</f>
        <v/>
      </c>
      <c r="AJ318" t="str">
        <f ca="1">IFERROR(IF(0=LEN(ReferenceData!$AJ$318),"",ReferenceData!$AJ$318),"")</f>
        <v/>
      </c>
      <c r="AK318" t="str">
        <f ca="1">IFERROR(IF(0=LEN(ReferenceData!$AK$318),"",ReferenceData!$AK$318),"")</f>
        <v/>
      </c>
      <c r="AL318" t="str">
        <f ca="1">IFERROR(IF(0=LEN(ReferenceData!$AL$318),"",ReferenceData!$AL$318),"")</f>
        <v/>
      </c>
    </row>
    <row r="319" spans="1:38" x14ac:dyDescent="0.25">
      <c r="A319" t="str">
        <f>IFERROR(IF(0=LEN(ReferenceData!$A$319),"",ReferenceData!$A$319),"")</f>
        <v xml:space="preserve">        KeyCorp</v>
      </c>
      <c r="B319" t="str">
        <f>IFERROR(IF(0=LEN(ReferenceData!$B$319),"",ReferenceData!$B$319),"")</f>
        <v>KEY US Equity</v>
      </c>
      <c r="C319" t="str">
        <f>IFERROR(IF(0=LEN(ReferenceData!$C$319),"",ReferenceData!$C$319),"")</f>
        <v>F0124</v>
      </c>
      <c r="D319" t="str">
        <f>IFERROR(IF(0=LEN(ReferenceData!$D$319),"",ReferenceData!$D$319),"")</f>
        <v>FED_FOR_BANK_LNS_%_TOT_LNS_LEAS</v>
      </c>
      <c r="E319" t="str">
        <f>IFERROR(IF(0=LEN(ReferenceData!$E$319),"",ReferenceData!$E$319),"")</f>
        <v>Dynamic</v>
      </c>
      <c r="F319">
        <f ca="1">IFERROR(IF(0=LEN(ReferenceData!$F$319),"",ReferenceData!$F$319),"")</f>
        <v>2.9549659999999998E-3</v>
      </c>
      <c r="G319">
        <f ca="1">IFERROR(IF(0=LEN(ReferenceData!$G$319),"",ReferenceData!$G$319),"")</f>
        <v>6.0752489999999996E-3</v>
      </c>
      <c r="H319">
        <f ca="1">IFERROR(IF(0=LEN(ReferenceData!$H$319),"",ReferenceData!$H$319),"")</f>
        <v>4.0585668999999998E-2</v>
      </c>
      <c r="I319">
        <f ca="1">IFERROR(IF(0=LEN(ReferenceData!$I$319),"",ReferenceData!$I$319),"")</f>
        <v>2.1472921999999998E-2</v>
      </c>
      <c r="J319">
        <f ca="1">IFERROR(IF(0=LEN(ReferenceData!$J$319),"",ReferenceData!$J$319),"")</f>
        <v>1.4374003999999999E-2</v>
      </c>
      <c r="K319">
        <f ca="1">IFERROR(IF(0=LEN(ReferenceData!$K$319),"",ReferenceData!$K$319),"")</f>
        <v>7.8154557E-2</v>
      </c>
      <c r="L319">
        <f ca="1">IFERROR(IF(0=LEN(ReferenceData!$L$319),"",ReferenceData!$L$319),"")</f>
        <v>0.15399933699999999</v>
      </c>
      <c r="M319">
        <f ca="1">IFERROR(IF(0=LEN(ReferenceData!$M$319),"",ReferenceData!$M$319),"")</f>
        <v>4.7193835000000003E-2</v>
      </c>
      <c r="N319">
        <f ca="1">IFERROR(IF(0=LEN(ReferenceData!$N$319),"",ReferenceData!$N$319),"")</f>
        <v>4.6965907000000001E-2</v>
      </c>
      <c r="O319">
        <f ca="1">IFERROR(IF(0=LEN(ReferenceData!$O$319),"",ReferenceData!$O$319),"")</f>
        <v>4.5240246999999997E-2</v>
      </c>
      <c r="P319">
        <f ca="1">IFERROR(IF(0=LEN(ReferenceData!$P$319),"",ReferenceData!$P$319),"")</f>
        <v>5.2303835999999999E-2</v>
      </c>
      <c r="Q319">
        <f ca="1">IFERROR(IF(0=LEN(ReferenceData!$Q$319),"",ReferenceData!$Q$319),"")</f>
        <v>3.7631106999999997E-2</v>
      </c>
      <c r="R319">
        <f ca="1">IFERROR(IF(0=LEN(ReferenceData!$R$319),"",ReferenceData!$R$319),"")</f>
        <v>5.4296489999999999E-3</v>
      </c>
      <c r="S319">
        <f ca="1">IFERROR(IF(0=LEN(ReferenceData!$S$319),"",ReferenceData!$S$319),"")</f>
        <v>4.2765615E-2</v>
      </c>
      <c r="T319">
        <f ca="1">IFERROR(IF(0=LEN(ReferenceData!$T$319),"",ReferenceData!$T$319),"")</f>
        <v>1.5470027000000001E-2</v>
      </c>
      <c r="U319">
        <f ca="1">IFERROR(IF(0=LEN(ReferenceData!$U$319),"",ReferenceData!$U$319),"")</f>
        <v>1.6908263E-2</v>
      </c>
      <c r="V319">
        <f ca="1">IFERROR(IF(0=LEN(ReferenceData!$V$319),"",ReferenceData!$V$319),"")</f>
        <v>1.1205768E-2</v>
      </c>
      <c r="W319">
        <f ca="1">IFERROR(IF(0=LEN(ReferenceData!$W$319),"",ReferenceData!$W$319),"")</f>
        <v>3.0622340000000001E-2</v>
      </c>
      <c r="X319">
        <f ca="1">IFERROR(IF(0=LEN(ReferenceData!$X$319),"",ReferenceData!$X$319),"")</f>
        <v>2.7185541000000001E-2</v>
      </c>
      <c r="Y319">
        <f ca="1">IFERROR(IF(0=LEN(ReferenceData!$Y$319),"",ReferenceData!$Y$319),"")</f>
        <v>3.4913549999999998E-3</v>
      </c>
      <c r="Z319">
        <f ca="1">IFERROR(IF(0=LEN(ReferenceData!$Z$319),"",ReferenceData!$Z$319),"")</f>
        <v>0</v>
      </c>
      <c r="AA319">
        <f ca="1">IFERROR(IF(0=LEN(ReferenceData!$AA$319),"",ReferenceData!$AA$319),"")</f>
        <v>6.7811900000000003E-3</v>
      </c>
      <c r="AB319">
        <f ca="1">IFERROR(IF(0=LEN(ReferenceData!$AB$319),"",ReferenceData!$AB$319),"")</f>
        <v>7.5787859999999997E-3</v>
      </c>
      <c r="AC319">
        <f ca="1">IFERROR(IF(0=LEN(ReferenceData!$AC$319),"",ReferenceData!$AC$319),"")</f>
        <v>8.1446829999999998E-3</v>
      </c>
      <c r="AD319" t="str">
        <f ca="1">IFERROR(IF(0=LEN(ReferenceData!$AD$319),"",ReferenceData!$AD$319),"")</f>
        <v/>
      </c>
      <c r="AE319" t="str">
        <f ca="1">IFERROR(IF(0=LEN(ReferenceData!$AE$319),"",ReferenceData!$AE$319),"")</f>
        <v/>
      </c>
      <c r="AF319" t="str">
        <f ca="1">IFERROR(IF(0=LEN(ReferenceData!$AF$319),"",ReferenceData!$AF$319),"")</f>
        <v/>
      </c>
      <c r="AG319" t="str">
        <f ca="1">IFERROR(IF(0=LEN(ReferenceData!$AG$319),"",ReferenceData!$AG$319),"")</f>
        <v/>
      </c>
      <c r="AH319" t="str">
        <f ca="1">IFERROR(IF(0=LEN(ReferenceData!$AH$319),"",ReferenceData!$AH$319),"")</f>
        <v/>
      </c>
      <c r="AI319" t="str">
        <f ca="1">IFERROR(IF(0=LEN(ReferenceData!$AI$319),"",ReferenceData!$AI$319),"")</f>
        <v/>
      </c>
      <c r="AJ319" t="str">
        <f ca="1">IFERROR(IF(0=LEN(ReferenceData!$AJ$319),"",ReferenceData!$AJ$319),"")</f>
        <v/>
      </c>
      <c r="AK319" t="str">
        <f ca="1">IFERROR(IF(0=LEN(ReferenceData!$AK$319),"",ReferenceData!$AK$319),"")</f>
        <v/>
      </c>
      <c r="AL319" t="str">
        <f ca="1">IFERROR(IF(0=LEN(ReferenceData!$AL$319),"",ReferenceData!$AL$319),"")</f>
        <v/>
      </c>
    </row>
    <row r="320" spans="1:38" x14ac:dyDescent="0.25">
      <c r="A320" t="str">
        <f>IFERROR(IF(0=LEN(ReferenceData!$A$320),"",ReferenceData!$A$320),"")</f>
        <v xml:space="preserve">        M&amp;T Bank Corp</v>
      </c>
      <c r="B320" t="str">
        <f>IFERROR(IF(0=LEN(ReferenceData!$B$320),"",ReferenceData!$B$320),"")</f>
        <v>MTB US Equity</v>
      </c>
      <c r="C320" t="str">
        <f>IFERROR(IF(0=LEN(ReferenceData!$C$320),"",ReferenceData!$C$320),"")</f>
        <v>F0124</v>
      </c>
      <c r="D320" t="str">
        <f>IFERROR(IF(0=LEN(ReferenceData!$D$320),"",ReferenceData!$D$320),"")</f>
        <v>FED_FOR_BANK_LNS_%_TOT_LNS_LEAS</v>
      </c>
      <c r="E320" t="str">
        <f>IFERROR(IF(0=LEN(ReferenceData!$E$320),"",ReferenceData!$E$320),"")</f>
        <v>Dynamic</v>
      </c>
      <c r="F320">
        <f ca="1">IFERROR(IF(0=LEN(ReferenceData!$F$320),"",ReferenceData!$F$320),"")</f>
        <v>0</v>
      </c>
      <c r="G320">
        <f ca="1">IFERROR(IF(0=LEN(ReferenceData!$G$320),"",ReferenceData!$G$320),"")</f>
        <v>0</v>
      </c>
      <c r="H320">
        <f ca="1">IFERROR(IF(0=LEN(ReferenceData!$H$320),"",ReferenceData!$H$320),"")</f>
        <v>0</v>
      </c>
      <c r="I320">
        <f ca="1">IFERROR(IF(0=LEN(ReferenceData!$I$320),"",ReferenceData!$I$320),"")</f>
        <v>0</v>
      </c>
      <c r="J320">
        <f ca="1">IFERROR(IF(0=LEN(ReferenceData!$J$320),"",ReferenceData!$J$320),"")</f>
        <v>0</v>
      </c>
      <c r="K320">
        <f ca="1">IFERROR(IF(0=LEN(ReferenceData!$K$320),"",ReferenceData!$K$320),"")</f>
        <v>1.02284E-4</v>
      </c>
      <c r="L320">
        <f ca="1">IFERROR(IF(0=LEN(ReferenceData!$L$320),"",ReferenceData!$L$320),"")</f>
        <v>0</v>
      </c>
      <c r="M320">
        <f ca="1">IFERROR(IF(0=LEN(ReferenceData!$M$320),"",ReferenceData!$M$320),"")</f>
        <v>0</v>
      </c>
      <c r="N320">
        <f ca="1">IFERROR(IF(0=LEN(ReferenceData!$N$320),"",ReferenceData!$N$320),"")</f>
        <v>0</v>
      </c>
      <c r="O320">
        <f ca="1">IFERROR(IF(0=LEN(ReferenceData!$O$320),"",ReferenceData!$O$320),"")</f>
        <v>0</v>
      </c>
      <c r="P320">
        <f ca="1">IFERROR(IF(0=LEN(ReferenceData!$P$320),"",ReferenceData!$P$320),"")</f>
        <v>0</v>
      </c>
      <c r="Q320">
        <f ca="1">IFERROR(IF(0=LEN(ReferenceData!$Q$320),"",ReferenceData!$Q$320),"")</f>
        <v>0</v>
      </c>
      <c r="R320">
        <f ca="1">IFERROR(IF(0=LEN(ReferenceData!$R$320),"",ReferenceData!$R$320),"")</f>
        <v>0</v>
      </c>
      <c r="S320">
        <f ca="1">IFERROR(IF(0=LEN(ReferenceData!$S$320),"",ReferenceData!$S$320),"")</f>
        <v>0</v>
      </c>
      <c r="T320">
        <f ca="1">IFERROR(IF(0=LEN(ReferenceData!$T$320),"",ReferenceData!$T$320),"")</f>
        <v>0</v>
      </c>
      <c r="U320">
        <f ca="1">IFERROR(IF(0=LEN(ReferenceData!$U$320),"",ReferenceData!$U$320),"")</f>
        <v>0</v>
      </c>
      <c r="V320">
        <f ca="1">IFERROR(IF(0=LEN(ReferenceData!$V$320),"",ReferenceData!$V$320),"")</f>
        <v>1.8163089999999999E-3</v>
      </c>
      <c r="W320">
        <f ca="1">IFERROR(IF(0=LEN(ReferenceData!$W$320),"",ReferenceData!$W$320),"")</f>
        <v>5.2059899999999999E-5</v>
      </c>
      <c r="X320">
        <f ca="1">IFERROR(IF(0=LEN(ReferenceData!$X$320),"",ReferenceData!$X$320),"")</f>
        <v>1.5274539999999999E-3</v>
      </c>
      <c r="Y320">
        <f ca="1">IFERROR(IF(0=LEN(ReferenceData!$Y$320),"",ReferenceData!$Y$320),"")</f>
        <v>2.6429034000000001E-2</v>
      </c>
      <c r="Z320">
        <f ca="1">IFERROR(IF(0=LEN(ReferenceData!$Z$320),"",ReferenceData!$Z$320),"")</f>
        <v>7.8753120000000006E-3</v>
      </c>
      <c r="AA320">
        <f ca="1">IFERROR(IF(0=LEN(ReferenceData!$AA$320),"",ReferenceData!$AA$320),"")</f>
        <v>2.3707020000000001E-3</v>
      </c>
      <c r="AB320">
        <f ca="1">IFERROR(IF(0=LEN(ReferenceData!$AB$320),"",ReferenceData!$AB$320),"")</f>
        <v>0</v>
      </c>
      <c r="AC320">
        <f ca="1">IFERROR(IF(0=LEN(ReferenceData!$AC$320),"",ReferenceData!$AC$320),"")</f>
        <v>0</v>
      </c>
      <c r="AD320" t="str">
        <f ca="1">IFERROR(IF(0=LEN(ReferenceData!$AD$320),"",ReferenceData!$AD$320),"")</f>
        <v/>
      </c>
      <c r="AE320" t="str">
        <f ca="1">IFERROR(IF(0=LEN(ReferenceData!$AE$320),"",ReferenceData!$AE$320),"")</f>
        <v/>
      </c>
      <c r="AF320" t="str">
        <f ca="1">IFERROR(IF(0=LEN(ReferenceData!$AF$320),"",ReferenceData!$AF$320),"")</f>
        <v/>
      </c>
      <c r="AG320" t="str">
        <f ca="1">IFERROR(IF(0=LEN(ReferenceData!$AG$320),"",ReferenceData!$AG$320),"")</f>
        <v/>
      </c>
      <c r="AH320" t="str">
        <f ca="1">IFERROR(IF(0=LEN(ReferenceData!$AH$320),"",ReferenceData!$AH$320),"")</f>
        <v/>
      </c>
      <c r="AI320" t="str">
        <f ca="1">IFERROR(IF(0=LEN(ReferenceData!$AI$320),"",ReferenceData!$AI$320),"")</f>
        <v/>
      </c>
      <c r="AJ320" t="str">
        <f ca="1">IFERROR(IF(0=LEN(ReferenceData!$AJ$320),"",ReferenceData!$AJ$320),"")</f>
        <v/>
      </c>
      <c r="AK320" t="str">
        <f ca="1">IFERROR(IF(0=LEN(ReferenceData!$AK$320),"",ReferenceData!$AK$320),"")</f>
        <v/>
      </c>
      <c r="AL320" t="str">
        <f ca="1">IFERROR(IF(0=LEN(ReferenceData!$AL$320),"",ReferenceData!$AL$320),"")</f>
        <v/>
      </c>
    </row>
    <row r="321" spans="1:38" x14ac:dyDescent="0.25">
      <c r="A321" t="str">
        <f>IFERROR(IF(0=LEN(ReferenceData!$A$321),"",ReferenceData!$A$321),"")</f>
        <v xml:space="preserve">        PNC Financial Services Group I</v>
      </c>
      <c r="B321" t="str">
        <f>IFERROR(IF(0=LEN(ReferenceData!$B$321),"",ReferenceData!$B$321),"")</f>
        <v>PNC US Equity</v>
      </c>
      <c r="C321" t="str">
        <f>IFERROR(IF(0=LEN(ReferenceData!$C$321),"",ReferenceData!$C$321),"")</f>
        <v>F0124</v>
      </c>
      <c r="D321" t="str">
        <f>IFERROR(IF(0=LEN(ReferenceData!$D$321),"",ReferenceData!$D$321),"")</f>
        <v>FED_FOR_BANK_LNS_%_TOT_LNS_LEAS</v>
      </c>
      <c r="E321" t="str">
        <f>IFERROR(IF(0=LEN(ReferenceData!$E$321),"",ReferenceData!$E$321),"")</f>
        <v>Dynamic</v>
      </c>
      <c r="F321" t="str">
        <f ca="1">IFERROR(IF(0=LEN(ReferenceData!$F$321),"",ReferenceData!$F$321),"")</f>
        <v/>
      </c>
      <c r="G321">
        <f ca="1">IFERROR(IF(0=LEN(ReferenceData!$G$321),"",ReferenceData!$G$321),"")</f>
        <v>2.8850767999999999E-2</v>
      </c>
      <c r="H321">
        <f ca="1">IFERROR(IF(0=LEN(ReferenceData!$H$321),"",ReferenceData!$H$321),"")</f>
        <v>5.1825731999999999E-2</v>
      </c>
      <c r="I321">
        <f ca="1">IFERROR(IF(0=LEN(ReferenceData!$I$321),"",ReferenceData!$I$321),"")</f>
        <v>1.0363298E-2</v>
      </c>
      <c r="J321">
        <f ca="1">IFERROR(IF(0=LEN(ReferenceData!$J$321),"",ReferenceData!$J$321),"")</f>
        <v>6.4096359999999998E-3</v>
      </c>
      <c r="K321">
        <f ca="1">IFERROR(IF(0=LEN(ReferenceData!$K$321),"",ReferenceData!$K$321),"")</f>
        <v>6.69475E-4</v>
      </c>
      <c r="L321">
        <f ca="1">IFERROR(IF(0=LEN(ReferenceData!$L$321),"",ReferenceData!$L$321),"")</f>
        <v>4.9896250000000001E-3</v>
      </c>
      <c r="M321">
        <f ca="1">IFERROR(IF(0=LEN(ReferenceData!$M$321),"",ReferenceData!$M$321),"")</f>
        <v>2.4084471999999999E-2</v>
      </c>
      <c r="N321">
        <f ca="1">IFERROR(IF(0=LEN(ReferenceData!$N$321),"",ReferenceData!$N$321),"")</f>
        <v>2.6533167E-2</v>
      </c>
      <c r="O321">
        <f ca="1">IFERROR(IF(0=LEN(ReferenceData!$O$321),"",ReferenceData!$O$321),"")</f>
        <v>3.2148005E-2</v>
      </c>
      <c r="P321">
        <f ca="1">IFERROR(IF(0=LEN(ReferenceData!$P$321),"",ReferenceData!$P$321),"")</f>
        <v>5.0613511999999999E-2</v>
      </c>
      <c r="Q321">
        <f ca="1">IFERROR(IF(0=LEN(ReferenceData!$Q$321),"",ReferenceData!$Q$321),"")</f>
        <v>3.2903306E-2</v>
      </c>
      <c r="R321">
        <f ca="1">IFERROR(IF(0=LEN(ReferenceData!$R$321),"",ReferenceData!$R$321),"")</f>
        <v>4.2752827E-2</v>
      </c>
      <c r="S321">
        <f ca="1">IFERROR(IF(0=LEN(ReferenceData!$S$321),"",ReferenceData!$S$321),"")</f>
        <v>8.3108100000000004E-2</v>
      </c>
      <c r="T321">
        <f ca="1">IFERROR(IF(0=LEN(ReferenceData!$T$321),"",ReferenceData!$T$321),"")</f>
        <v>9.2361814E-2</v>
      </c>
      <c r="U321">
        <f ca="1">IFERROR(IF(0=LEN(ReferenceData!$U$321),"",ReferenceData!$U$321),"")</f>
        <v>0.16850915499999999</v>
      </c>
      <c r="V321">
        <f ca="1">IFERROR(IF(0=LEN(ReferenceData!$V$321),"",ReferenceData!$V$321),"")</f>
        <v>0.481373728</v>
      </c>
      <c r="W321">
        <f ca="1">IFERROR(IF(0=LEN(ReferenceData!$W$321),"",ReferenceData!$W$321),"")</f>
        <v>5.6305399999999999E-3</v>
      </c>
      <c r="X321">
        <f ca="1">IFERROR(IF(0=LEN(ReferenceData!$X$321),"",ReferenceData!$X$321),"")</f>
        <v>1.0911745E-2</v>
      </c>
      <c r="Y321">
        <f ca="1">IFERROR(IF(0=LEN(ReferenceData!$Y$321),"",ReferenceData!$Y$321),"")</f>
        <v>5.79394E-4</v>
      </c>
      <c r="Z321">
        <f ca="1">IFERROR(IF(0=LEN(ReferenceData!$Z$321),"",ReferenceData!$Z$321),"")</f>
        <v>1.5233029999999999E-3</v>
      </c>
      <c r="AA321">
        <f ca="1">IFERROR(IF(0=LEN(ReferenceData!$AA$321),"",ReferenceData!$AA$321),"")</f>
        <v>1.625711E-3</v>
      </c>
      <c r="AB321">
        <f ca="1">IFERROR(IF(0=LEN(ReferenceData!$AB$321),"",ReferenceData!$AB$321),"")</f>
        <v>9.3906481999999999E-2</v>
      </c>
      <c r="AC321">
        <f ca="1">IFERROR(IF(0=LEN(ReferenceData!$AC$321),"",ReferenceData!$AC$321),"")</f>
        <v>1.8597288E-2</v>
      </c>
      <c r="AD321" t="str">
        <f ca="1">IFERROR(IF(0=LEN(ReferenceData!$AD$321),"",ReferenceData!$AD$321),"")</f>
        <v/>
      </c>
      <c r="AE321" t="str">
        <f ca="1">IFERROR(IF(0=LEN(ReferenceData!$AE$321),"",ReferenceData!$AE$321),"")</f>
        <v/>
      </c>
      <c r="AF321" t="str">
        <f ca="1">IFERROR(IF(0=LEN(ReferenceData!$AF$321),"",ReferenceData!$AF$321),"")</f>
        <v/>
      </c>
      <c r="AG321" t="str">
        <f ca="1">IFERROR(IF(0=LEN(ReferenceData!$AG$321),"",ReferenceData!$AG$321),"")</f>
        <v/>
      </c>
      <c r="AH321" t="str">
        <f ca="1">IFERROR(IF(0=LEN(ReferenceData!$AH$321),"",ReferenceData!$AH$321),"")</f>
        <v/>
      </c>
      <c r="AI321" t="str">
        <f ca="1">IFERROR(IF(0=LEN(ReferenceData!$AI$321),"",ReferenceData!$AI$321),"")</f>
        <v/>
      </c>
      <c r="AJ321" t="str">
        <f ca="1">IFERROR(IF(0=LEN(ReferenceData!$AJ$321),"",ReferenceData!$AJ$321),"")</f>
        <v/>
      </c>
      <c r="AK321" t="str">
        <f ca="1">IFERROR(IF(0=LEN(ReferenceData!$AK$321),"",ReferenceData!$AK$321),"")</f>
        <v/>
      </c>
      <c r="AL321" t="str">
        <f ca="1">IFERROR(IF(0=LEN(ReferenceData!$AL$321),"",ReferenceData!$AL$321),"")</f>
        <v/>
      </c>
    </row>
    <row r="322" spans="1:38" x14ac:dyDescent="0.25">
      <c r="A322" t="str">
        <f>IFERROR(IF(0=LEN(ReferenceData!$A$322),"",ReferenceData!$A$322),"")</f>
        <v xml:space="preserve">        Regions Financial Corp</v>
      </c>
      <c r="B322" t="str">
        <f>IFERROR(IF(0=LEN(ReferenceData!$B$322),"",ReferenceData!$B$322),"")</f>
        <v>RF US Equity</v>
      </c>
      <c r="C322" t="str">
        <f>IFERROR(IF(0=LEN(ReferenceData!$C$322),"",ReferenceData!$C$322),"")</f>
        <v>F0124</v>
      </c>
      <c r="D322" t="str">
        <f>IFERROR(IF(0=LEN(ReferenceData!$D$322),"",ReferenceData!$D$322),"")</f>
        <v>FED_FOR_BANK_LNS_%_TOT_LNS_LEAS</v>
      </c>
      <c r="E322" t="str">
        <f>IFERROR(IF(0=LEN(ReferenceData!$E$322),"",ReferenceData!$E$322),"")</f>
        <v>Dynamic</v>
      </c>
      <c r="F322" t="str">
        <f ca="1">IFERROR(IF(0=LEN(ReferenceData!$F$322),"",ReferenceData!$F$322),"")</f>
        <v/>
      </c>
      <c r="G322">
        <f ca="1">IFERROR(IF(0=LEN(ReferenceData!$G$322),"",ReferenceData!$G$322),"")</f>
        <v>0</v>
      </c>
      <c r="H322">
        <f ca="1">IFERROR(IF(0=LEN(ReferenceData!$H$322),"",ReferenceData!$H$322),"")</f>
        <v>0</v>
      </c>
      <c r="I322">
        <f ca="1">IFERROR(IF(0=LEN(ReferenceData!$I$322),"",ReferenceData!$I$322),"")</f>
        <v>0</v>
      </c>
      <c r="J322">
        <f ca="1">IFERROR(IF(0=LEN(ReferenceData!$J$322),"",ReferenceData!$J$322),"")</f>
        <v>0</v>
      </c>
      <c r="K322">
        <f ca="1">IFERROR(IF(0=LEN(ReferenceData!$K$322),"",ReferenceData!$K$322),"")</f>
        <v>0</v>
      </c>
      <c r="L322">
        <f ca="1">IFERROR(IF(0=LEN(ReferenceData!$L$322),"",ReferenceData!$L$322),"")</f>
        <v>0</v>
      </c>
      <c r="M322">
        <f ca="1">IFERROR(IF(0=LEN(ReferenceData!$M$322),"",ReferenceData!$M$322),"")</f>
        <v>0</v>
      </c>
      <c r="N322">
        <f ca="1">IFERROR(IF(0=LEN(ReferenceData!$N$322),"",ReferenceData!$N$322),"")</f>
        <v>0</v>
      </c>
      <c r="O322">
        <f ca="1">IFERROR(IF(0=LEN(ReferenceData!$O$322),"",ReferenceData!$O$322),"")</f>
        <v>0</v>
      </c>
      <c r="P322">
        <f ca="1">IFERROR(IF(0=LEN(ReferenceData!$P$322),"",ReferenceData!$P$322),"")</f>
        <v>0</v>
      </c>
      <c r="Q322">
        <f ca="1">IFERROR(IF(0=LEN(ReferenceData!$Q$322),"",ReferenceData!$Q$322),"")</f>
        <v>0</v>
      </c>
      <c r="R322">
        <f ca="1">IFERROR(IF(0=LEN(ReferenceData!$R$322),"",ReferenceData!$R$322),"")</f>
        <v>0</v>
      </c>
      <c r="S322">
        <f ca="1">IFERROR(IF(0=LEN(ReferenceData!$S$322),"",ReferenceData!$S$322),"")</f>
        <v>0</v>
      </c>
      <c r="T322">
        <f ca="1">IFERROR(IF(0=LEN(ReferenceData!$T$322),"",ReferenceData!$T$322),"")</f>
        <v>2.3692470000000001E-3</v>
      </c>
      <c r="U322">
        <f ca="1">IFERROR(IF(0=LEN(ReferenceData!$U$322),"",ReferenceData!$U$322),"")</f>
        <v>4.3363459999999996E-3</v>
      </c>
      <c r="V322">
        <f ca="1">IFERROR(IF(0=LEN(ReferenceData!$V$322),"",ReferenceData!$V$322),"")</f>
        <v>6.0691929999999996E-3</v>
      </c>
      <c r="W322">
        <f ca="1">IFERROR(IF(0=LEN(ReferenceData!$W$322),"",ReferenceData!$W$322),"")</f>
        <v>2.745413E-2</v>
      </c>
      <c r="X322">
        <f ca="1">IFERROR(IF(0=LEN(ReferenceData!$X$322),"",ReferenceData!$X$322),"")</f>
        <v>0.41715753</v>
      </c>
      <c r="Y322">
        <f ca="1">IFERROR(IF(0=LEN(ReferenceData!$Y$322),"",ReferenceData!$Y$322),"")</f>
        <v>0.60465260600000004</v>
      </c>
      <c r="Z322">
        <f ca="1">IFERROR(IF(0=LEN(ReferenceData!$Z$322),"",ReferenceData!$Z$322),"")</f>
        <v>0.55145407000000002</v>
      </c>
      <c r="AA322" t="str">
        <f ca="1">IFERROR(IF(0=LEN(ReferenceData!$AA$322),"",ReferenceData!$AA$322),"")</f>
        <v/>
      </c>
      <c r="AB322" t="str">
        <f ca="1">IFERROR(IF(0=LEN(ReferenceData!$AB$322),"",ReferenceData!$AB$322),"")</f>
        <v/>
      </c>
      <c r="AC322" t="str">
        <f ca="1">IFERROR(IF(0=LEN(ReferenceData!$AC$322),"",ReferenceData!$AC$322),"")</f>
        <v/>
      </c>
      <c r="AD322" t="str">
        <f ca="1">IFERROR(IF(0=LEN(ReferenceData!$AD$322),"",ReferenceData!$AD$322),"")</f>
        <v/>
      </c>
      <c r="AE322" t="str">
        <f ca="1">IFERROR(IF(0=LEN(ReferenceData!$AE$322),"",ReferenceData!$AE$322),"")</f>
        <v/>
      </c>
      <c r="AF322" t="str">
        <f ca="1">IFERROR(IF(0=LEN(ReferenceData!$AF$322),"",ReferenceData!$AF$322),"")</f>
        <v/>
      </c>
      <c r="AG322" t="str">
        <f ca="1">IFERROR(IF(0=LEN(ReferenceData!$AG$322),"",ReferenceData!$AG$322),"")</f>
        <v/>
      </c>
      <c r="AH322" t="str">
        <f ca="1">IFERROR(IF(0=LEN(ReferenceData!$AH$322),"",ReferenceData!$AH$322),"")</f>
        <v/>
      </c>
      <c r="AI322" t="str">
        <f ca="1">IFERROR(IF(0=LEN(ReferenceData!$AI$322),"",ReferenceData!$AI$322),"")</f>
        <v/>
      </c>
      <c r="AJ322" t="str">
        <f ca="1">IFERROR(IF(0=LEN(ReferenceData!$AJ$322),"",ReferenceData!$AJ$322),"")</f>
        <v/>
      </c>
      <c r="AK322" t="str">
        <f ca="1">IFERROR(IF(0=LEN(ReferenceData!$AK$322),"",ReferenceData!$AK$322),"")</f>
        <v/>
      </c>
      <c r="AL322" t="str">
        <f ca="1">IFERROR(IF(0=LEN(ReferenceData!$AL$322),"",ReferenceData!$AL$322),"")</f>
        <v/>
      </c>
    </row>
    <row r="323" spans="1:38" x14ac:dyDescent="0.25">
      <c r="A323" t="str">
        <f>IFERROR(IF(0=LEN(ReferenceData!$A$323),"",ReferenceData!$A$323),"")</f>
        <v xml:space="preserve">        Truist Financial Corp</v>
      </c>
      <c r="B323" t="str">
        <f>IFERROR(IF(0=LEN(ReferenceData!$B$323),"",ReferenceData!$B$323),"")</f>
        <v>TFC US Equity</v>
      </c>
      <c r="C323" t="str">
        <f>IFERROR(IF(0=LEN(ReferenceData!$C$323),"",ReferenceData!$C$323),"")</f>
        <v>F0124</v>
      </c>
      <c r="D323" t="str">
        <f>IFERROR(IF(0=LEN(ReferenceData!$D$323),"",ReferenceData!$D$323),"")</f>
        <v>FED_FOR_BANK_LNS_%_TOT_LNS_LEAS</v>
      </c>
      <c r="E323" t="str">
        <f>IFERROR(IF(0=LEN(ReferenceData!$E$323),"",ReferenceData!$E$323),"")</f>
        <v>Dynamic</v>
      </c>
      <c r="F323">
        <f ca="1">IFERROR(IF(0=LEN(ReferenceData!$F$323),"",ReferenceData!$F$323),"")</f>
        <v>0</v>
      </c>
      <c r="G323">
        <f ca="1">IFERROR(IF(0=LEN(ReferenceData!$G$323),"",ReferenceData!$G$323),"")</f>
        <v>0</v>
      </c>
      <c r="H323">
        <f ca="1">IFERROR(IF(0=LEN(ReferenceData!$H$323),"",ReferenceData!$H$323),"")</f>
        <v>0</v>
      </c>
      <c r="I323">
        <f ca="1">IFERROR(IF(0=LEN(ReferenceData!$I$323),"",ReferenceData!$I$323),"")</f>
        <v>0</v>
      </c>
      <c r="J323">
        <f ca="1">IFERROR(IF(0=LEN(ReferenceData!$J$323),"",ReferenceData!$J$323),"")</f>
        <v>0</v>
      </c>
      <c r="K323">
        <f ca="1">IFERROR(IF(0=LEN(ReferenceData!$K$323),"",ReferenceData!$K$323),"")</f>
        <v>6.4889799999999997E-4</v>
      </c>
      <c r="L323">
        <f ca="1">IFERROR(IF(0=LEN(ReferenceData!$L$323),"",ReferenceData!$L$323),"")</f>
        <v>0</v>
      </c>
      <c r="M323">
        <f ca="1">IFERROR(IF(0=LEN(ReferenceData!$M$323),"",ReferenceData!$M$323),"")</f>
        <v>0</v>
      </c>
      <c r="N323">
        <f ca="1">IFERROR(IF(0=LEN(ReferenceData!$N$323),"",ReferenceData!$N$323),"")</f>
        <v>1.2900100000000001E-3</v>
      </c>
      <c r="O323">
        <f ca="1">IFERROR(IF(0=LEN(ReferenceData!$O$323),"",ReferenceData!$O$323),"")</f>
        <v>7.3768915000000004E-2</v>
      </c>
      <c r="P323">
        <f ca="1">IFERROR(IF(0=LEN(ReferenceData!$P$323),"",ReferenceData!$P$323),"")</f>
        <v>0.116730163</v>
      </c>
      <c r="Q323">
        <f ca="1">IFERROR(IF(0=LEN(ReferenceData!$Q$323),"",ReferenceData!$Q$323),"")</f>
        <v>0.110242007</v>
      </c>
      <c r="R323">
        <f ca="1">IFERROR(IF(0=LEN(ReferenceData!$R$323),"",ReferenceData!$R$323),"")</f>
        <v>6.0524949999999998E-3</v>
      </c>
      <c r="S323">
        <f ca="1">IFERROR(IF(0=LEN(ReferenceData!$S$323),"",ReferenceData!$S$323),"")</f>
        <v>0.21673300100000001</v>
      </c>
      <c r="T323">
        <f ca="1">IFERROR(IF(0=LEN(ReferenceData!$T$323),"",ReferenceData!$T$323),"")</f>
        <v>0.22859478</v>
      </c>
      <c r="U323">
        <f ca="1">IFERROR(IF(0=LEN(ReferenceData!$U$323),"",ReferenceData!$U$323),"")</f>
        <v>0</v>
      </c>
      <c r="V323">
        <f ca="1">IFERROR(IF(0=LEN(ReferenceData!$V$323),"",ReferenceData!$V$323),"")</f>
        <v>0</v>
      </c>
      <c r="W323">
        <f ca="1">IFERROR(IF(0=LEN(ReferenceData!$W$323),"",ReferenceData!$W$323),"")</f>
        <v>0</v>
      </c>
      <c r="X323">
        <f ca="1">IFERROR(IF(0=LEN(ReferenceData!$X$323),"",ReferenceData!$X$323),"")</f>
        <v>0</v>
      </c>
      <c r="Y323">
        <f ca="1">IFERROR(IF(0=LEN(ReferenceData!$Y$323),"",ReferenceData!$Y$323),"")</f>
        <v>0</v>
      </c>
      <c r="Z323">
        <f ca="1">IFERROR(IF(0=LEN(ReferenceData!$Z$323),"",ReferenceData!$Z$323),"")</f>
        <v>0</v>
      </c>
      <c r="AA323">
        <f ca="1">IFERROR(IF(0=LEN(ReferenceData!$AA$323),"",ReferenceData!$AA$323),"")</f>
        <v>0</v>
      </c>
      <c r="AB323">
        <f ca="1">IFERROR(IF(0=LEN(ReferenceData!$AB$323),"",ReferenceData!$AB$323),"")</f>
        <v>3.9463989999999997E-3</v>
      </c>
      <c r="AC323">
        <f ca="1">IFERROR(IF(0=LEN(ReferenceData!$AC$323),"",ReferenceData!$AC$323),"")</f>
        <v>6.2579499999999995E-4</v>
      </c>
      <c r="AD323" t="str">
        <f ca="1">IFERROR(IF(0=LEN(ReferenceData!$AD$323),"",ReferenceData!$AD$323),"")</f>
        <v/>
      </c>
      <c r="AE323" t="str">
        <f ca="1">IFERROR(IF(0=LEN(ReferenceData!$AE$323),"",ReferenceData!$AE$323),"")</f>
        <v/>
      </c>
      <c r="AF323" t="str">
        <f ca="1">IFERROR(IF(0=LEN(ReferenceData!$AF$323),"",ReferenceData!$AF$323),"")</f>
        <v/>
      </c>
      <c r="AG323" t="str">
        <f ca="1">IFERROR(IF(0=LEN(ReferenceData!$AG$323),"",ReferenceData!$AG$323),"")</f>
        <v/>
      </c>
      <c r="AH323" t="str">
        <f ca="1">IFERROR(IF(0=LEN(ReferenceData!$AH$323),"",ReferenceData!$AH$323),"")</f>
        <v/>
      </c>
      <c r="AI323" t="str">
        <f ca="1">IFERROR(IF(0=LEN(ReferenceData!$AI$323),"",ReferenceData!$AI$323),"")</f>
        <v/>
      </c>
      <c r="AJ323" t="str">
        <f ca="1">IFERROR(IF(0=LEN(ReferenceData!$AJ$323),"",ReferenceData!$AJ$323),"")</f>
        <v/>
      </c>
      <c r="AK323" t="str">
        <f ca="1">IFERROR(IF(0=LEN(ReferenceData!$AK$323),"",ReferenceData!$AK$323),"")</f>
        <v/>
      </c>
      <c r="AL323" t="str">
        <f ca="1">IFERROR(IF(0=LEN(ReferenceData!$AL$323),"",ReferenceData!$AL$323),"")</f>
        <v/>
      </c>
    </row>
    <row r="324" spans="1:38" x14ac:dyDescent="0.25">
      <c r="A324" t="str">
        <f>IFERROR(IF(0=LEN(ReferenceData!$A$324),"",ReferenceData!$A$324),"")</f>
        <v xml:space="preserve">        US Bancorp</v>
      </c>
      <c r="B324" t="str">
        <f>IFERROR(IF(0=LEN(ReferenceData!$B$324),"",ReferenceData!$B$324),"")</f>
        <v>USB US Equity</v>
      </c>
      <c r="C324" t="str">
        <f>IFERROR(IF(0=LEN(ReferenceData!$C$324),"",ReferenceData!$C$324),"")</f>
        <v>F0124</v>
      </c>
      <c r="D324" t="str">
        <f>IFERROR(IF(0=LEN(ReferenceData!$D$324),"",ReferenceData!$D$324),"")</f>
        <v>FED_FOR_BANK_LNS_%_TOT_LNS_LEAS</v>
      </c>
      <c r="E324" t="str">
        <f>IFERROR(IF(0=LEN(ReferenceData!$E$324),"",ReferenceData!$E$324),"")</f>
        <v>Dynamic</v>
      </c>
      <c r="F324">
        <f ca="1">IFERROR(IF(0=LEN(ReferenceData!$F$324),"",ReferenceData!$F$324),"")</f>
        <v>9.8848080000000005E-2</v>
      </c>
      <c r="G324">
        <f ca="1">IFERROR(IF(0=LEN(ReferenceData!$G$324),"",ReferenceData!$G$324),"")</f>
        <v>6.9408248000000006E-2</v>
      </c>
      <c r="H324">
        <f ca="1">IFERROR(IF(0=LEN(ReferenceData!$H$324),"",ReferenceData!$H$324),"")</f>
        <v>1.7673591999999998E-2</v>
      </c>
      <c r="I324">
        <f ca="1">IFERROR(IF(0=LEN(ReferenceData!$I$324),"",ReferenceData!$I$324),"")</f>
        <v>5.3157730000000002E-3</v>
      </c>
      <c r="J324">
        <f ca="1">IFERROR(IF(0=LEN(ReferenceData!$J$324),"",ReferenceData!$J$324),"")</f>
        <v>1.0441547000000001E-2</v>
      </c>
      <c r="K324">
        <f ca="1">IFERROR(IF(0=LEN(ReferenceData!$K$324),"",ReferenceData!$K$324),"")</f>
        <v>6.2980639999999999E-3</v>
      </c>
      <c r="L324">
        <f ca="1">IFERROR(IF(0=LEN(ReferenceData!$L$324),"",ReferenceData!$L$324),"")</f>
        <v>7.2721230000000001E-3</v>
      </c>
      <c r="M324">
        <f ca="1">IFERROR(IF(0=LEN(ReferenceData!$M$324),"",ReferenceData!$M$324),"")</f>
        <v>2.1169399999999999E-3</v>
      </c>
      <c r="N324">
        <f ca="1">IFERROR(IF(0=LEN(ReferenceData!$N$324),"",ReferenceData!$N$324),"")</f>
        <v>1.2985653999999999E-2</v>
      </c>
      <c r="O324">
        <f ca="1">IFERROR(IF(0=LEN(ReferenceData!$O$324),"",ReferenceData!$O$324),"")</f>
        <v>1.0266121E-2</v>
      </c>
      <c r="P324">
        <f ca="1">IFERROR(IF(0=LEN(ReferenceData!$P$324),"",ReferenceData!$P$324),"")</f>
        <v>1.3122942E-2</v>
      </c>
      <c r="Q324">
        <f ca="1">IFERROR(IF(0=LEN(ReferenceData!$Q$324),"",ReferenceData!$Q$324),"")</f>
        <v>1.8573002000000002E-2</v>
      </c>
      <c r="R324">
        <f ca="1">IFERROR(IF(0=LEN(ReferenceData!$R$324),"",ReferenceData!$R$324),"")</f>
        <v>2.3910444999999999E-2</v>
      </c>
      <c r="S324">
        <f ca="1">IFERROR(IF(0=LEN(ReferenceData!$S$324),"",ReferenceData!$S$324),"")</f>
        <v>5.4554355999999998E-2</v>
      </c>
      <c r="T324">
        <f ca="1">IFERROR(IF(0=LEN(ReferenceData!$T$324),"",ReferenceData!$T$324),"")</f>
        <v>2.471638E-3</v>
      </c>
      <c r="U324">
        <f ca="1">IFERROR(IF(0=LEN(ReferenceData!$U$324),"",ReferenceData!$U$324),"")</f>
        <v>1.5035560000000001E-3</v>
      </c>
      <c r="V324">
        <f ca="1">IFERROR(IF(0=LEN(ReferenceData!$V$324),"",ReferenceData!$V$324),"")</f>
        <v>5.1019052000000002E-2</v>
      </c>
      <c r="W324">
        <f ca="1">IFERROR(IF(0=LEN(ReferenceData!$W$324),"",ReferenceData!$W$324),"")</f>
        <v>9.5810799000000002E-2</v>
      </c>
      <c r="X324">
        <f ca="1">IFERROR(IF(0=LEN(ReferenceData!$X$324),"",ReferenceData!$X$324),"")</f>
        <v>5.4476245E-2</v>
      </c>
      <c r="Y324">
        <f ca="1">IFERROR(IF(0=LEN(ReferenceData!$Y$324),"",ReferenceData!$Y$324),"")</f>
        <v>4.3730105999999998E-2</v>
      </c>
      <c r="Z324">
        <f ca="1">IFERROR(IF(0=LEN(ReferenceData!$Z$324),"",ReferenceData!$Z$324),"")</f>
        <v>5.3227296E-2</v>
      </c>
      <c r="AA324">
        <f ca="1">IFERROR(IF(0=LEN(ReferenceData!$AA$324),"",ReferenceData!$AA$324),"")</f>
        <v>6.1837751000000003E-2</v>
      </c>
      <c r="AB324">
        <f ca="1">IFERROR(IF(0=LEN(ReferenceData!$AB$324),"",ReferenceData!$AB$324),"")</f>
        <v>7.9727596999999997E-2</v>
      </c>
      <c r="AC324">
        <f ca="1">IFERROR(IF(0=LEN(ReferenceData!$AC$324),"",ReferenceData!$AC$324),"")</f>
        <v>0.174877373</v>
      </c>
      <c r="AD324" t="str">
        <f ca="1">IFERROR(IF(0=LEN(ReferenceData!$AD$324),"",ReferenceData!$AD$324),"")</f>
        <v/>
      </c>
      <c r="AE324" t="str">
        <f ca="1">IFERROR(IF(0=LEN(ReferenceData!$AE$324),"",ReferenceData!$AE$324),"")</f>
        <v/>
      </c>
      <c r="AF324" t="str">
        <f ca="1">IFERROR(IF(0=LEN(ReferenceData!$AF$324),"",ReferenceData!$AF$324),"")</f>
        <v/>
      </c>
      <c r="AG324" t="str">
        <f ca="1">IFERROR(IF(0=LEN(ReferenceData!$AG$324),"",ReferenceData!$AG$324),"")</f>
        <v/>
      </c>
      <c r="AH324" t="str">
        <f ca="1">IFERROR(IF(0=LEN(ReferenceData!$AH$324),"",ReferenceData!$AH$324),"")</f>
        <v/>
      </c>
      <c r="AI324" t="str">
        <f ca="1">IFERROR(IF(0=LEN(ReferenceData!$AI$324),"",ReferenceData!$AI$324),"")</f>
        <v/>
      </c>
      <c r="AJ324" t="str">
        <f ca="1">IFERROR(IF(0=LEN(ReferenceData!$AJ$324),"",ReferenceData!$AJ$324),"")</f>
        <v/>
      </c>
      <c r="AK324" t="str">
        <f ca="1">IFERROR(IF(0=LEN(ReferenceData!$AK$324),"",ReferenceData!$AK$324),"")</f>
        <v/>
      </c>
      <c r="AL324" t="str">
        <f ca="1">IFERROR(IF(0=LEN(ReferenceData!$AL$324),"",ReferenceData!$AL$324),"")</f>
        <v/>
      </c>
    </row>
    <row r="325" spans="1:38" x14ac:dyDescent="0.25">
      <c r="A325" t="str">
        <f>IFERROR(IF(0=LEN(ReferenceData!$A$325),"",ReferenceData!$A$325),"")</f>
        <v xml:space="preserve">        Wells Fargo &amp; Co</v>
      </c>
      <c r="B325" t="str">
        <f>IFERROR(IF(0=LEN(ReferenceData!$B$325),"",ReferenceData!$B$325),"")</f>
        <v>WFC US Equity</v>
      </c>
      <c r="C325" t="str">
        <f>IFERROR(IF(0=LEN(ReferenceData!$C$325),"",ReferenceData!$C$325),"")</f>
        <v>F0124</v>
      </c>
      <c r="D325" t="str">
        <f>IFERROR(IF(0=LEN(ReferenceData!$D$325),"",ReferenceData!$D$325),"")</f>
        <v>FED_FOR_BANK_LNS_%_TOT_LNS_LEAS</v>
      </c>
      <c r="E325" t="str">
        <f>IFERROR(IF(0=LEN(ReferenceData!$E$325),"",ReferenceData!$E$325),"")</f>
        <v>Dynamic</v>
      </c>
      <c r="F325">
        <f ca="1">IFERROR(IF(0=LEN(ReferenceData!$F$325),"",ReferenceData!$F$325),"")</f>
        <v>0.80356733199999997</v>
      </c>
      <c r="G325">
        <f ca="1">IFERROR(IF(0=LEN(ReferenceData!$G$325),"",ReferenceData!$G$325),"")</f>
        <v>1.2170350860000001</v>
      </c>
      <c r="H325">
        <f ca="1">IFERROR(IF(0=LEN(ReferenceData!$H$325),"",ReferenceData!$H$325),"")</f>
        <v>1.464468871</v>
      </c>
      <c r="I325">
        <f ca="1">IFERROR(IF(0=LEN(ReferenceData!$I$325),"",ReferenceData!$I$325),"")</f>
        <v>1.7413397239999999</v>
      </c>
      <c r="J325">
        <f ca="1">IFERROR(IF(0=LEN(ReferenceData!$J$325),"",ReferenceData!$J$325),"")</f>
        <v>1.35109726</v>
      </c>
      <c r="K325">
        <f ca="1">IFERROR(IF(0=LEN(ReferenceData!$K$325),"",ReferenceData!$K$325),"")</f>
        <v>2.0181566950000001</v>
      </c>
      <c r="L325">
        <f ca="1">IFERROR(IF(0=LEN(ReferenceData!$L$325),"",ReferenceData!$L$325),"")</f>
        <v>1.64834937</v>
      </c>
      <c r="M325">
        <f ca="1">IFERROR(IF(0=LEN(ReferenceData!$M$325),"",ReferenceData!$M$325),"")</f>
        <v>1.688050837</v>
      </c>
      <c r="N325">
        <f ca="1">IFERROR(IF(0=LEN(ReferenceData!$N$325),"",ReferenceData!$N$325),"")</f>
        <v>1.7386177229999999</v>
      </c>
      <c r="O325">
        <f ca="1">IFERROR(IF(0=LEN(ReferenceData!$O$325),"",ReferenceData!$O$325),"")</f>
        <v>1.9364364679999999</v>
      </c>
      <c r="P325">
        <f ca="1">IFERROR(IF(0=LEN(ReferenceData!$P$325),"",ReferenceData!$P$325),"")</f>
        <v>1.855133736</v>
      </c>
      <c r="Q325">
        <f ca="1">IFERROR(IF(0=LEN(ReferenceData!$Q$325),"",ReferenceData!$Q$325),"")</f>
        <v>2.3796768529999999</v>
      </c>
      <c r="R325">
        <f ca="1">IFERROR(IF(0=LEN(ReferenceData!$R$325),"",ReferenceData!$R$325),"")</f>
        <v>1.8313469389999999</v>
      </c>
      <c r="S325">
        <f ca="1">IFERROR(IF(0=LEN(ReferenceData!$S$325),"",ReferenceData!$S$325),"")</f>
        <v>2.5716259460000002</v>
      </c>
      <c r="T325">
        <f ca="1">IFERROR(IF(0=LEN(ReferenceData!$T$325),"",ReferenceData!$T$325),"")</f>
        <v>1.7111620569999999</v>
      </c>
      <c r="U325">
        <f ca="1">IFERROR(IF(0=LEN(ReferenceData!$U$325),"",ReferenceData!$U$325),"")</f>
        <v>1.023324154</v>
      </c>
      <c r="V325">
        <f ca="1">IFERROR(IF(0=LEN(ReferenceData!$V$325),"",ReferenceData!$V$325),"")</f>
        <v>1.2363716339999999</v>
      </c>
      <c r="W325">
        <f ca="1">IFERROR(IF(0=LEN(ReferenceData!$W$325),"",ReferenceData!$W$325),"")</f>
        <v>0.11854872900000001</v>
      </c>
      <c r="X325">
        <f ca="1">IFERROR(IF(0=LEN(ReferenceData!$X$325),"",ReferenceData!$X$325),"")</f>
        <v>0.44487144099999998</v>
      </c>
      <c r="Y325">
        <f ca="1">IFERROR(IF(0=LEN(ReferenceData!$Y$325),"",ReferenceData!$Y$325),"")</f>
        <v>0.19802092700000001</v>
      </c>
      <c r="Z325">
        <f ca="1">IFERROR(IF(0=LEN(ReferenceData!$Z$325),"",ReferenceData!$Z$325),"")</f>
        <v>0.21469231499999999</v>
      </c>
      <c r="AA325">
        <f ca="1">IFERROR(IF(0=LEN(ReferenceData!$AA$325),"",ReferenceData!$AA$325),"")</f>
        <v>7.0097410999999998E-2</v>
      </c>
      <c r="AB325">
        <f ca="1">IFERROR(IF(0=LEN(ReferenceData!$AB$325),"",ReferenceData!$AB$325),"")</f>
        <v>7.5062978000000002E-2</v>
      </c>
      <c r="AC325">
        <f ca="1">IFERROR(IF(0=LEN(ReferenceData!$AC$325),"",ReferenceData!$AC$325),"")</f>
        <v>2.9376495999999998E-2</v>
      </c>
      <c r="AD325" t="str">
        <f ca="1">IFERROR(IF(0=LEN(ReferenceData!$AD$325),"",ReferenceData!$AD$325),"")</f>
        <v/>
      </c>
      <c r="AE325" t="str">
        <f ca="1">IFERROR(IF(0=LEN(ReferenceData!$AE$325),"",ReferenceData!$AE$325),"")</f>
        <v/>
      </c>
      <c r="AF325" t="str">
        <f ca="1">IFERROR(IF(0=LEN(ReferenceData!$AF$325),"",ReferenceData!$AF$325),"")</f>
        <v/>
      </c>
      <c r="AG325" t="str">
        <f ca="1">IFERROR(IF(0=LEN(ReferenceData!$AG$325),"",ReferenceData!$AG$325),"")</f>
        <v/>
      </c>
      <c r="AH325" t="str">
        <f ca="1">IFERROR(IF(0=LEN(ReferenceData!$AH$325),"",ReferenceData!$AH$325),"")</f>
        <v/>
      </c>
      <c r="AI325" t="str">
        <f ca="1">IFERROR(IF(0=LEN(ReferenceData!$AI$325),"",ReferenceData!$AI$325),"")</f>
        <v/>
      </c>
      <c r="AJ325" t="str">
        <f ca="1">IFERROR(IF(0=LEN(ReferenceData!$AJ$325),"",ReferenceData!$AJ$325),"")</f>
        <v/>
      </c>
      <c r="AK325" t="str">
        <f ca="1">IFERROR(IF(0=LEN(ReferenceData!$AK$325),"",ReferenceData!$AK$325),"")</f>
        <v/>
      </c>
      <c r="AL325" t="str">
        <f ca="1">IFERROR(IF(0=LEN(ReferenceData!$AL$325),"",ReferenceData!$AL$325),"")</f>
        <v/>
      </c>
    </row>
    <row r="326" spans="1:38" x14ac:dyDescent="0.25">
      <c r="A326" t="str">
        <f>IFERROR(IF(0=LEN(ReferenceData!$A$326),"",ReferenceData!$A$326),"")</f>
        <v xml:space="preserve">        Western Alliance Bancorp</v>
      </c>
      <c r="B326" t="str">
        <f>IFERROR(IF(0=LEN(ReferenceData!$B$326),"",ReferenceData!$B$326),"")</f>
        <v>WAL US Equity</v>
      </c>
      <c r="C326" t="str">
        <f>IFERROR(IF(0=LEN(ReferenceData!$C$326),"",ReferenceData!$C$326),"")</f>
        <v>F0124</v>
      </c>
      <c r="D326" t="str">
        <f>IFERROR(IF(0=LEN(ReferenceData!$D$326),"",ReferenceData!$D$326),"")</f>
        <v>FED_FOR_BANK_LNS_%_TOT_LNS_LEAS</v>
      </c>
      <c r="E326" t="str">
        <f>IFERROR(IF(0=LEN(ReferenceData!$E$326),"",ReferenceData!$E$326),"")</f>
        <v>Dynamic</v>
      </c>
      <c r="F326" t="str">
        <f ca="1">IFERROR(IF(0=LEN(ReferenceData!$F$326),"",ReferenceData!$F$326),"")</f>
        <v/>
      </c>
      <c r="G326">
        <f ca="1">IFERROR(IF(0=LEN(ReferenceData!$G$326),"",ReferenceData!$G$326),"")</f>
        <v>0</v>
      </c>
      <c r="H326">
        <f ca="1">IFERROR(IF(0=LEN(ReferenceData!$H$326),"",ReferenceData!$H$326),"")</f>
        <v>0</v>
      </c>
      <c r="I326">
        <f ca="1">IFERROR(IF(0=LEN(ReferenceData!$I$326),"",ReferenceData!$I$326),"")</f>
        <v>0</v>
      </c>
      <c r="J326">
        <f ca="1">IFERROR(IF(0=LEN(ReferenceData!$J$326),"",ReferenceData!$J$326),"")</f>
        <v>0</v>
      </c>
      <c r="K326">
        <f ca="1">IFERROR(IF(0=LEN(ReferenceData!$K$326),"",ReferenceData!$K$326),"")</f>
        <v>0</v>
      </c>
      <c r="L326">
        <f ca="1">IFERROR(IF(0=LEN(ReferenceData!$L$326),"",ReferenceData!$L$326),"")</f>
        <v>0</v>
      </c>
      <c r="M326">
        <f ca="1">IFERROR(IF(0=LEN(ReferenceData!$M$326),"",ReferenceData!$M$326),"")</f>
        <v>0</v>
      </c>
      <c r="N326">
        <f ca="1">IFERROR(IF(0=LEN(ReferenceData!$N$326),"",ReferenceData!$N$326),"")</f>
        <v>0</v>
      </c>
      <c r="O326">
        <f ca="1">IFERROR(IF(0=LEN(ReferenceData!$O$326),"",ReferenceData!$O$326),"")</f>
        <v>0</v>
      </c>
      <c r="P326">
        <f ca="1">IFERROR(IF(0=LEN(ReferenceData!$P$326),"",ReferenceData!$P$326),"")</f>
        <v>0</v>
      </c>
      <c r="Q326">
        <f ca="1">IFERROR(IF(0=LEN(ReferenceData!$Q$326),"",ReferenceData!$Q$326),"")</f>
        <v>0</v>
      </c>
      <c r="R326">
        <f ca="1">IFERROR(IF(0=LEN(ReferenceData!$R$326),"",ReferenceData!$R$326),"")</f>
        <v>0</v>
      </c>
      <c r="S326">
        <f ca="1">IFERROR(IF(0=LEN(ReferenceData!$S$326),"",ReferenceData!$S$326),"")</f>
        <v>0</v>
      </c>
      <c r="T326">
        <f ca="1">IFERROR(IF(0=LEN(ReferenceData!$T$326),"",ReferenceData!$T$326),"")</f>
        <v>0</v>
      </c>
      <c r="U326">
        <f ca="1">IFERROR(IF(0=LEN(ReferenceData!$U$326),"",ReferenceData!$U$326),"")</f>
        <v>0</v>
      </c>
      <c r="V326">
        <f ca="1">IFERROR(IF(0=LEN(ReferenceData!$V$326),"",ReferenceData!$V$326),"")</f>
        <v>0</v>
      </c>
      <c r="W326">
        <f ca="1">IFERROR(IF(0=LEN(ReferenceData!$W$326),"",ReferenceData!$W$326),"")</f>
        <v>0</v>
      </c>
      <c r="X326">
        <f ca="1">IFERROR(IF(0=LEN(ReferenceData!$X$326),"",ReferenceData!$X$326),"")</f>
        <v>0</v>
      </c>
      <c r="Y326">
        <f ca="1">IFERROR(IF(0=LEN(ReferenceData!$Y$326),"",ReferenceData!$Y$326),"")</f>
        <v>0</v>
      </c>
      <c r="Z326">
        <f ca="1">IFERROR(IF(0=LEN(ReferenceData!$Z$326),"",ReferenceData!$Z$326),"")</f>
        <v>0</v>
      </c>
      <c r="AA326">
        <f ca="1">IFERROR(IF(0=LEN(ReferenceData!$AA$326),"",ReferenceData!$AA$326),"")</f>
        <v>0</v>
      </c>
      <c r="AB326">
        <f ca="1">IFERROR(IF(0=LEN(ReferenceData!$AB$326),"",ReferenceData!$AB$326),"")</f>
        <v>0</v>
      </c>
      <c r="AC326">
        <f ca="1">IFERROR(IF(0=LEN(ReferenceData!$AC$326),"",ReferenceData!$AC$326),"")</f>
        <v>0</v>
      </c>
      <c r="AD326" t="str">
        <f ca="1">IFERROR(IF(0=LEN(ReferenceData!$AD$326),"",ReferenceData!$AD$326),"")</f>
        <v/>
      </c>
      <c r="AE326" t="str">
        <f ca="1">IFERROR(IF(0=LEN(ReferenceData!$AE$326),"",ReferenceData!$AE$326),"")</f>
        <v/>
      </c>
      <c r="AF326" t="str">
        <f ca="1">IFERROR(IF(0=LEN(ReferenceData!$AF$326),"",ReferenceData!$AF$326),"")</f>
        <v/>
      </c>
      <c r="AG326" t="str">
        <f ca="1">IFERROR(IF(0=LEN(ReferenceData!$AG$326),"",ReferenceData!$AG$326),"")</f>
        <v/>
      </c>
      <c r="AH326" t="str">
        <f ca="1">IFERROR(IF(0=LEN(ReferenceData!$AH$326),"",ReferenceData!$AH$326),"")</f>
        <v/>
      </c>
      <c r="AI326" t="str">
        <f ca="1">IFERROR(IF(0=LEN(ReferenceData!$AI$326),"",ReferenceData!$AI$326),"")</f>
        <v/>
      </c>
      <c r="AJ326" t="str">
        <f ca="1">IFERROR(IF(0=LEN(ReferenceData!$AJ$326),"",ReferenceData!$AJ$326),"")</f>
        <v/>
      </c>
      <c r="AK326" t="str">
        <f ca="1">IFERROR(IF(0=LEN(ReferenceData!$AK$326),"",ReferenceData!$AK$326),"")</f>
        <v/>
      </c>
      <c r="AL326" t="str">
        <f ca="1">IFERROR(IF(0=LEN(ReferenceData!$AL$326),"",ReferenceData!$AL$326),"")</f>
        <v/>
      </c>
    </row>
    <row r="327" spans="1:38" x14ac:dyDescent="0.25">
      <c r="A327" t="str">
        <f>IFERROR(IF(0=LEN(ReferenceData!$A$327),"",ReferenceData!$A$327),"")</f>
        <v xml:space="preserve">        Zions Bancorp NA</v>
      </c>
      <c r="B327" t="str">
        <f>IFERROR(IF(0=LEN(ReferenceData!$B$327),"",ReferenceData!$B$327),"")</f>
        <v>ZION US Equity</v>
      </c>
      <c r="C327" t="str">
        <f>IFERROR(IF(0=LEN(ReferenceData!$C$327),"",ReferenceData!$C$327),"")</f>
        <v>F0124</v>
      </c>
      <c r="D327" t="str">
        <f>IFERROR(IF(0=LEN(ReferenceData!$D$327),"",ReferenceData!$D$327),"")</f>
        <v>FED_FOR_BANK_LNS_%_TOT_LNS_LEAS</v>
      </c>
      <c r="E327" t="str">
        <f>IFERROR(IF(0=LEN(ReferenceData!$E$327),"",ReferenceData!$E$327),"")</f>
        <v>Dynamic</v>
      </c>
      <c r="F327" t="str">
        <f ca="1">IFERROR(IF(0=LEN(ReferenceData!$F$327),"",ReferenceData!$F$327),"")</f>
        <v/>
      </c>
      <c r="G327" t="str">
        <f ca="1">IFERROR(IF(0=LEN(ReferenceData!$G$327),"",ReferenceData!$G$327),"")</f>
        <v/>
      </c>
      <c r="H327" t="str">
        <f ca="1">IFERROR(IF(0=LEN(ReferenceData!$H$327),"",ReferenceData!$H$327),"")</f>
        <v/>
      </c>
      <c r="I327" t="str">
        <f ca="1">IFERROR(IF(0=LEN(ReferenceData!$I$327),"",ReferenceData!$I$327),"")</f>
        <v/>
      </c>
      <c r="J327" t="str">
        <f ca="1">IFERROR(IF(0=LEN(ReferenceData!$J$327),"",ReferenceData!$J$327),"")</f>
        <v/>
      </c>
      <c r="K327" t="str">
        <f ca="1">IFERROR(IF(0=LEN(ReferenceData!$K$327),"",ReferenceData!$K$327),"")</f>
        <v/>
      </c>
      <c r="L327" t="str">
        <f ca="1">IFERROR(IF(0=LEN(ReferenceData!$L$327),"",ReferenceData!$L$327),"")</f>
        <v/>
      </c>
      <c r="M327" t="str">
        <f ca="1">IFERROR(IF(0=LEN(ReferenceData!$M$327),"",ReferenceData!$M$327),"")</f>
        <v/>
      </c>
      <c r="N327" t="str">
        <f ca="1">IFERROR(IF(0=LEN(ReferenceData!$N$327),"",ReferenceData!$N$327),"")</f>
        <v/>
      </c>
      <c r="O327" t="str">
        <f ca="1">IFERROR(IF(0=LEN(ReferenceData!$O$327),"",ReferenceData!$O$327),"")</f>
        <v/>
      </c>
      <c r="P327" t="str">
        <f ca="1">IFERROR(IF(0=LEN(ReferenceData!$P$327),"",ReferenceData!$P$327),"")</f>
        <v/>
      </c>
      <c r="Q327" t="str">
        <f ca="1">IFERROR(IF(0=LEN(ReferenceData!$Q$327),"",ReferenceData!$Q$327),"")</f>
        <v/>
      </c>
      <c r="R327" t="str">
        <f ca="1">IFERROR(IF(0=LEN(ReferenceData!$R$327),"",ReferenceData!$R$327),"")</f>
        <v/>
      </c>
      <c r="S327" t="str">
        <f ca="1">IFERROR(IF(0=LEN(ReferenceData!$S$327),"",ReferenceData!$S$327),"")</f>
        <v/>
      </c>
      <c r="T327" t="str">
        <f ca="1">IFERROR(IF(0=LEN(ReferenceData!$T$327),"",ReferenceData!$T$327),"")</f>
        <v/>
      </c>
      <c r="U327" t="str">
        <f ca="1">IFERROR(IF(0=LEN(ReferenceData!$U$327),"",ReferenceData!$U$327),"")</f>
        <v/>
      </c>
      <c r="V327" t="str">
        <f ca="1">IFERROR(IF(0=LEN(ReferenceData!$V$327),"",ReferenceData!$V$327),"")</f>
        <v/>
      </c>
      <c r="W327" t="str">
        <f ca="1">IFERROR(IF(0=LEN(ReferenceData!$W$327),"",ReferenceData!$W$327),"")</f>
        <v/>
      </c>
      <c r="X327" t="str">
        <f ca="1">IFERROR(IF(0=LEN(ReferenceData!$X$327),"",ReferenceData!$X$327),"")</f>
        <v/>
      </c>
      <c r="Y327" t="str">
        <f ca="1">IFERROR(IF(0=LEN(ReferenceData!$Y$327),"",ReferenceData!$Y$327),"")</f>
        <v/>
      </c>
      <c r="Z327" t="str">
        <f ca="1">IFERROR(IF(0=LEN(ReferenceData!$Z$327),"",ReferenceData!$Z$327),"")</f>
        <v/>
      </c>
      <c r="AA327" t="str">
        <f ca="1">IFERROR(IF(0=LEN(ReferenceData!$AA$327),"",ReferenceData!$AA$327),"")</f>
        <v/>
      </c>
      <c r="AB327" t="str">
        <f ca="1">IFERROR(IF(0=LEN(ReferenceData!$AB$327),"",ReferenceData!$AB$327),"")</f>
        <v/>
      </c>
      <c r="AC327" t="str">
        <f ca="1">IFERROR(IF(0=LEN(ReferenceData!$AC$327),"",ReferenceData!$AC$327),"")</f>
        <v/>
      </c>
      <c r="AD327" t="str">
        <f ca="1">IFERROR(IF(0=LEN(ReferenceData!$AD$327),"",ReferenceData!$AD$327),"")</f>
        <v/>
      </c>
      <c r="AE327" t="str">
        <f ca="1">IFERROR(IF(0=LEN(ReferenceData!$AE$327),"",ReferenceData!$AE$327),"")</f>
        <v/>
      </c>
      <c r="AF327" t="str">
        <f ca="1">IFERROR(IF(0=LEN(ReferenceData!$AF$327),"",ReferenceData!$AF$327),"")</f>
        <v/>
      </c>
      <c r="AG327" t="str">
        <f ca="1">IFERROR(IF(0=LEN(ReferenceData!$AG$327),"",ReferenceData!$AG$327),"")</f>
        <v/>
      </c>
      <c r="AH327" t="str">
        <f ca="1">IFERROR(IF(0=LEN(ReferenceData!$AH$327),"",ReferenceData!$AH$327),"")</f>
        <v/>
      </c>
      <c r="AI327" t="str">
        <f ca="1">IFERROR(IF(0=LEN(ReferenceData!$AI$327),"",ReferenceData!$AI$327),"")</f>
        <v/>
      </c>
      <c r="AJ327" t="str">
        <f ca="1">IFERROR(IF(0=LEN(ReferenceData!$AJ$327),"",ReferenceData!$AJ$327),"")</f>
        <v/>
      </c>
      <c r="AK327" t="str">
        <f ca="1">IFERROR(IF(0=LEN(ReferenceData!$AK$327),"",ReferenceData!$AK$327),"")</f>
        <v/>
      </c>
      <c r="AL327" t="str">
        <f ca="1">IFERROR(IF(0=LEN(ReferenceData!$AL$327),"",ReferenceData!$AL$327),"")</f>
        <v/>
      </c>
    </row>
    <row r="328" spans="1:38" x14ac:dyDescent="0.25">
      <c r="A328" t="str">
        <f>IFERROR(IF(0=LEN(ReferenceData!$A$328),"",ReferenceData!$A$328),"")</f>
        <v xml:space="preserve">    Bankers Acceptances: US banks &amp; thrifts</v>
      </c>
      <c r="B328" t="str">
        <f>IFERROR(IF(0=LEN(ReferenceData!$B$328),"",ReferenceData!$B$328),"")</f>
        <v/>
      </c>
      <c r="C328" t="str">
        <f>IFERROR(IF(0=LEN(ReferenceData!$C$328),"",ReferenceData!$C$328),"")</f>
        <v/>
      </c>
      <c r="D328" t="str">
        <f>IFERROR(IF(0=LEN(ReferenceData!$D$328),"",ReferenceData!$D$328),"")</f>
        <v/>
      </c>
      <c r="E328" t="str">
        <f>IFERROR(IF(0=LEN(ReferenceData!$E$328),"",ReferenceData!$E$328),"")</f>
        <v>Median</v>
      </c>
      <c r="F328">
        <f ca="1">IFERROR(IF(0=LEN(ReferenceData!$F$328),"",ReferenceData!$F$328),"")</f>
        <v>7.1274299999999995E-4</v>
      </c>
      <c r="G328">
        <f ca="1">IFERROR(IF(0=LEN(ReferenceData!$G$328),"",ReferenceData!$G$328),"")</f>
        <v>1.700507E-3</v>
      </c>
      <c r="H328">
        <f ca="1">IFERROR(IF(0=LEN(ReferenceData!$H$328),"",ReferenceData!$H$328),"")</f>
        <v>4.4132729999999997E-3</v>
      </c>
      <c r="I328">
        <f ca="1">IFERROR(IF(0=LEN(ReferenceData!$I$328),"",ReferenceData!$I$328),"")</f>
        <v>9.6714299999999995E-4</v>
      </c>
      <c r="J328">
        <f ca="1">IFERROR(IF(0=LEN(ReferenceData!$J$328),"",ReferenceData!$J$328),"")</f>
        <v>1.8097799999999999E-4</v>
      </c>
      <c r="K328">
        <f ca="1">IFERROR(IF(0=LEN(ReferenceData!$K$328),"",ReferenceData!$K$328),"")</f>
        <v>2.7121889999999998E-3</v>
      </c>
      <c r="L328">
        <f ca="1">IFERROR(IF(0=LEN(ReferenceData!$L$328),"",ReferenceData!$L$328),"")</f>
        <v>6.6666200000000005E-4</v>
      </c>
      <c r="M328">
        <f ca="1">IFERROR(IF(0=LEN(ReferenceData!$M$328),"",ReferenceData!$M$328),"")</f>
        <v>1.3812150000000001E-3</v>
      </c>
      <c r="N328">
        <f ca="1">IFERROR(IF(0=LEN(ReferenceData!$N$328),"",ReferenceData!$N$328),"")</f>
        <v>1.9360860000000001E-3</v>
      </c>
      <c r="O328">
        <f ca="1">IFERROR(IF(0=LEN(ReferenceData!$O$328),"",ReferenceData!$O$328),"")</f>
        <v>6.5456400000000001E-3</v>
      </c>
      <c r="P328">
        <f ca="1">IFERROR(IF(0=LEN(ReferenceData!$P$328),"",ReferenceData!$P$328),"")</f>
        <v>6.1678159999999996E-3</v>
      </c>
      <c r="Q328">
        <f ca="1">IFERROR(IF(0=LEN(ReferenceData!$Q$328),"",ReferenceData!$Q$328),"")</f>
        <v>1.9584888000000002E-2</v>
      </c>
      <c r="R328">
        <f ca="1">IFERROR(IF(0=LEN(ReferenceData!$R$328),"",ReferenceData!$R$328),"")</f>
        <v>4.59298E-3</v>
      </c>
      <c r="S328">
        <f ca="1">IFERROR(IF(0=LEN(ReferenceData!$S$328),"",ReferenceData!$S$328),"")</f>
        <v>4.8676800000000001E-3</v>
      </c>
      <c r="T328">
        <f ca="1">IFERROR(IF(0=LEN(ReferenceData!$T$328),"",ReferenceData!$T$328),"")</f>
        <v>3.2305810000000002E-3</v>
      </c>
      <c r="U328">
        <f ca="1">IFERROR(IF(0=LEN(ReferenceData!$U$328),"",ReferenceData!$U$328),"")</f>
        <v>1.7534812E-2</v>
      </c>
      <c r="V328">
        <f ca="1">IFERROR(IF(0=LEN(ReferenceData!$V$328),"",ReferenceData!$V$328),"")</f>
        <v>1.3756536E-2</v>
      </c>
      <c r="W328">
        <f ca="1">IFERROR(IF(0=LEN(ReferenceData!$W$328),"",ReferenceData!$W$328),"")</f>
        <v>1.8722840000000001E-2</v>
      </c>
      <c r="X328">
        <f ca="1">IFERROR(IF(0=LEN(ReferenceData!$X$328),"",ReferenceData!$X$328),"")</f>
        <v>9.8395949999999996E-3</v>
      </c>
      <c r="Y328">
        <f ca="1">IFERROR(IF(0=LEN(ReferenceData!$Y$328),"",ReferenceData!$Y$328),"")</f>
        <v>1.3317417E-2</v>
      </c>
      <c r="Z328">
        <f ca="1">IFERROR(IF(0=LEN(ReferenceData!$Z$328),"",ReferenceData!$Z$328),"")</f>
        <v>1.5782714E-2</v>
      </c>
      <c r="AA328">
        <f ca="1">IFERROR(IF(0=LEN(ReferenceData!$AA$328),"",ReferenceData!$AA$328),"")</f>
        <v>2.7969903000000001E-2</v>
      </c>
      <c r="AB328">
        <f ca="1">IFERROR(IF(0=LEN(ReferenceData!$AB$328),"",ReferenceData!$AB$328),"")</f>
        <v>1.9343003000000001E-2</v>
      </c>
      <c r="AC328">
        <f ca="1">IFERROR(IF(0=LEN(ReferenceData!$AC$328),"",ReferenceData!$AC$328),"")</f>
        <v>4.0452879999999997E-2</v>
      </c>
      <c r="AD328" t="str">
        <f ca="1">IFERROR(IF(0=LEN(ReferenceData!$AD$328),"",ReferenceData!$AD$328),"")</f>
        <v/>
      </c>
      <c r="AE328" t="str">
        <f ca="1">IFERROR(IF(0=LEN(ReferenceData!$AE$328),"",ReferenceData!$AE$328),"")</f>
        <v/>
      </c>
      <c r="AF328" t="str">
        <f ca="1">IFERROR(IF(0=LEN(ReferenceData!$AF$328),"",ReferenceData!$AF$328),"")</f>
        <v/>
      </c>
      <c r="AG328" t="str">
        <f ca="1">IFERROR(IF(0=LEN(ReferenceData!$AG$328),"",ReferenceData!$AG$328),"")</f>
        <v/>
      </c>
      <c r="AH328" t="str">
        <f ca="1">IFERROR(IF(0=LEN(ReferenceData!$AH$328),"",ReferenceData!$AH$328),"")</f>
        <v/>
      </c>
      <c r="AI328" t="str">
        <f ca="1">IFERROR(IF(0=LEN(ReferenceData!$AI$328),"",ReferenceData!$AI$328),"")</f>
        <v/>
      </c>
      <c r="AJ328" t="str">
        <f ca="1">IFERROR(IF(0=LEN(ReferenceData!$AJ$328),"",ReferenceData!$AJ$328),"")</f>
        <v/>
      </c>
      <c r="AK328" t="str">
        <f ca="1">IFERROR(IF(0=LEN(ReferenceData!$AK$328),"",ReferenceData!$AK$328),"")</f>
        <v/>
      </c>
      <c r="AL328" t="str">
        <f ca="1">IFERROR(IF(0=LEN(ReferenceData!$AL$328),"",ReferenceData!$AL$328),"")</f>
        <v/>
      </c>
    </row>
    <row r="329" spans="1:38" x14ac:dyDescent="0.25">
      <c r="A329" t="str">
        <f>IFERROR(IF(0=LEN(ReferenceData!$A$329),"",ReferenceData!$A$329),"")</f>
        <v xml:space="preserve">        Bank of America Corp</v>
      </c>
      <c r="B329" t="str">
        <f>IFERROR(IF(0=LEN(ReferenceData!$B$329),"",ReferenceData!$B$329),"")</f>
        <v>BAC US Equity</v>
      </c>
      <c r="C329" t="str">
        <f>IFERROR(IF(0=LEN(ReferenceData!$C$329),"",ReferenceData!$C$329),"")</f>
        <v>F0125</v>
      </c>
      <c r="D329" t="str">
        <f>IFERROR(IF(0=LEN(ReferenceData!$D$329),"",ReferenceData!$D$329),"")</f>
        <v>FED_US_BANK_LOANS_%_TOT_LNS_LEAS</v>
      </c>
      <c r="E329" t="str">
        <f>IFERROR(IF(0=LEN(ReferenceData!$E$329),"",ReferenceData!$E$329),"")</f>
        <v>Dynamic</v>
      </c>
      <c r="F329">
        <f ca="1">IFERROR(IF(0=LEN(ReferenceData!$F$329),"",ReferenceData!$F$329),"")</f>
        <v>1.3142525E-2</v>
      </c>
      <c r="G329">
        <f ca="1">IFERROR(IF(0=LEN(ReferenceData!$G$329),"",ReferenceData!$G$329),"")</f>
        <v>4.0890759999999996E-3</v>
      </c>
      <c r="H329">
        <f ca="1">IFERROR(IF(0=LEN(ReferenceData!$H$329),"",ReferenceData!$H$329),"")</f>
        <v>4.990647E-3</v>
      </c>
      <c r="I329">
        <f ca="1">IFERROR(IF(0=LEN(ReferenceData!$I$329),"",ReferenceData!$I$329),"")</f>
        <v>5.0989729999999997E-3</v>
      </c>
      <c r="J329">
        <f ca="1">IFERROR(IF(0=LEN(ReferenceData!$J$329),"",ReferenceData!$J$329),"")</f>
        <v>3.5964790000000001E-3</v>
      </c>
      <c r="K329">
        <f ca="1">IFERROR(IF(0=LEN(ReferenceData!$K$329),"",ReferenceData!$K$329),"")</f>
        <v>1.9638477000000001E-2</v>
      </c>
      <c r="L329">
        <f ca="1">IFERROR(IF(0=LEN(ReferenceData!$L$329),"",ReferenceData!$L$329),"")</f>
        <v>2.0196249999999999E-2</v>
      </c>
      <c r="M329">
        <f ca="1">IFERROR(IF(0=LEN(ReferenceData!$M$329),"",ReferenceData!$M$329),"")</f>
        <v>7.1632659999999997E-3</v>
      </c>
      <c r="N329">
        <f ca="1">IFERROR(IF(0=LEN(ReferenceData!$N$329),"",ReferenceData!$N$329),"")</f>
        <v>7.6033259999999997E-3</v>
      </c>
      <c r="O329">
        <f ca="1">IFERROR(IF(0=LEN(ReferenceData!$O$329),"",ReferenceData!$O$329),"")</f>
        <v>1.0420494000000001E-2</v>
      </c>
      <c r="P329">
        <f ca="1">IFERROR(IF(0=LEN(ReferenceData!$P$329),"",ReferenceData!$P$329),"")</f>
        <v>8.7207810000000004E-3</v>
      </c>
      <c r="Q329">
        <f ca="1">IFERROR(IF(0=LEN(ReferenceData!$Q$329),"",ReferenceData!$Q$329),"")</f>
        <v>2.5067543000000001E-2</v>
      </c>
      <c r="R329">
        <f ca="1">IFERROR(IF(0=LEN(ReferenceData!$R$329),"",ReferenceData!$R$329),"")</f>
        <v>1.8022488E-2</v>
      </c>
      <c r="S329">
        <f ca="1">IFERROR(IF(0=LEN(ReferenceData!$S$329),"",ReferenceData!$S$329),"")</f>
        <v>1.8144895000000001E-2</v>
      </c>
      <c r="T329">
        <f ca="1">IFERROR(IF(0=LEN(ReferenceData!$T$329),"",ReferenceData!$T$329),"")</f>
        <v>2.6015528E-2</v>
      </c>
      <c r="U329">
        <f ca="1">IFERROR(IF(0=LEN(ReferenceData!$U$329),"",ReferenceData!$U$329),"")</f>
        <v>2.7502872000000001E-2</v>
      </c>
      <c r="V329">
        <f ca="1">IFERROR(IF(0=LEN(ReferenceData!$V$329),"",ReferenceData!$V$329),"")</f>
        <v>3.7394667999999999E-2</v>
      </c>
      <c r="W329">
        <f ca="1">IFERROR(IF(0=LEN(ReferenceData!$W$329),"",ReferenceData!$W$329),"")</f>
        <v>1.3690630000000001E-2</v>
      </c>
      <c r="X329">
        <f ca="1">IFERROR(IF(0=LEN(ReferenceData!$X$329),"",ReferenceData!$X$329),"")</f>
        <v>7.604843E-3</v>
      </c>
      <c r="Y329">
        <f ca="1">IFERROR(IF(0=LEN(ReferenceData!$Y$329),"",ReferenceData!$Y$329),"")</f>
        <v>1.3769722999999999E-2</v>
      </c>
      <c r="Z329">
        <f ca="1">IFERROR(IF(0=LEN(ReferenceData!$Z$329),"",ReferenceData!$Z$329),"")</f>
        <v>1.290732E-2</v>
      </c>
      <c r="AA329">
        <f ca="1">IFERROR(IF(0=LEN(ReferenceData!$AA$329),"",ReferenceData!$AA$329),"")</f>
        <v>0.34602334800000001</v>
      </c>
      <c r="AB329">
        <f ca="1">IFERROR(IF(0=LEN(ReferenceData!$AB$329),"",ReferenceData!$AB$329),"")</f>
        <v>0.41925370000000001</v>
      </c>
      <c r="AC329">
        <f ca="1">IFERROR(IF(0=LEN(ReferenceData!$AC$329),"",ReferenceData!$AC$329),"")</f>
        <v>0.66199261600000003</v>
      </c>
      <c r="AD329" t="str">
        <f ca="1">IFERROR(IF(0=LEN(ReferenceData!$AD$329),"",ReferenceData!$AD$329),"")</f>
        <v/>
      </c>
      <c r="AE329" t="str">
        <f ca="1">IFERROR(IF(0=LEN(ReferenceData!$AE$329),"",ReferenceData!$AE$329),"")</f>
        <v/>
      </c>
      <c r="AF329" t="str">
        <f ca="1">IFERROR(IF(0=LEN(ReferenceData!$AF$329),"",ReferenceData!$AF$329),"")</f>
        <v/>
      </c>
      <c r="AG329" t="str">
        <f ca="1">IFERROR(IF(0=LEN(ReferenceData!$AG$329),"",ReferenceData!$AG$329),"")</f>
        <v/>
      </c>
      <c r="AH329" t="str">
        <f ca="1">IFERROR(IF(0=LEN(ReferenceData!$AH$329),"",ReferenceData!$AH$329),"")</f>
        <v/>
      </c>
      <c r="AI329" t="str">
        <f ca="1">IFERROR(IF(0=LEN(ReferenceData!$AI$329),"",ReferenceData!$AI$329),"")</f>
        <v/>
      </c>
      <c r="AJ329" t="str">
        <f ca="1">IFERROR(IF(0=LEN(ReferenceData!$AJ$329),"",ReferenceData!$AJ$329),"")</f>
        <v/>
      </c>
      <c r="AK329" t="str">
        <f ca="1">IFERROR(IF(0=LEN(ReferenceData!$AK$329),"",ReferenceData!$AK$329),"")</f>
        <v/>
      </c>
      <c r="AL329" t="str">
        <f ca="1">IFERROR(IF(0=LEN(ReferenceData!$AL$329),"",ReferenceData!$AL$329),"")</f>
        <v/>
      </c>
    </row>
    <row r="330" spans="1:38" x14ac:dyDescent="0.25">
      <c r="A330" t="str">
        <f>IFERROR(IF(0=LEN(ReferenceData!$A$330),"",ReferenceData!$A$330),"")</f>
        <v xml:space="preserve">        Citigroup Inc</v>
      </c>
      <c r="B330" t="str">
        <f>IFERROR(IF(0=LEN(ReferenceData!$B$330),"",ReferenceData!$B$330),"")</f>
        <v>C US Equity</v>
      </c>
      <c r="C330" t="str">
        <f>IFERROR(IF(0=LEN(ReferenceData!$C$330),"",ReferenceData!$C$330),"")</f>
        <v>F0125</v>
      </c>
      <c r="D330" t="str">
        <f>IFERROR(IF(0=LEN(ReferenceData!$D$330),"",ReferenceData!$D$330),"")</f>
        <v>FED_US_BANK_LOANS_%_TOT_LNS_LEAS</v>
      </c>
      <c r="E330" t="str">
        <f>IFERROR(IF(0=LEN(ReferenceData!$E$330),"",ReferenceData!$E$330),"")</f>
        <v>Dynamic</v>
      </c>
      <c r="F330">
        <f ca="1">IFERROR(IF(0=LEN(ReferenceData!$F$330),"",ReferenceData!$F$330),"")</f>
        <v>1.6153840999999999E-2</v>
      </c>
      <c r="G330">
        <f ca="1">IFERROR(IF(0=LEN(ReferenceData!$G$330),"",ReferenceData!$G$330),"")</f>
        <v>1.1838876999999999E-2</v>
      </c>
      <c r="H330">
        <f ca="1">IFERROR(IF(0=LEN(ReferenceData!$H$330),"",ReferenceData!$H$330),"")</f>
        <v>7.9269079999999999E-3</v>
      </c>
      <c r="I330">
        <f ca="1">IFERROR(IF(0=LEN(ReferenceData!$I$330),"",ReferenceData!$I$330),"")</f>
        <v>1.9003049000000001E-2</v>
      </c>
      <c r="J330">
        <f ca="1">IFERROR(IF(0=LEN(ReferenceData!$J$330),"",ReferenceData!$J$330),"")</f>
        <v>2.5470667999999998E-2</v>
      </c>
      <c r="K330">
        <f ca="1">IFERROR(IF(0=LEN(ReferenceData!$K$330),"",ReferenceData!$K$330),"")</f>
        <v>4.1741449999999998E-3</v>
      </c>
      <c r="L330">
        <f ca="1">IFERROR(IF(0=LEN(ReferenceData!$L$330),"",ReferenceData!$L$330),"")</f>
        <v>1.2545585E-2</v>
      </c>
      <c r="M330">
        <f ca="1">IFERROR(IF(0=LEN(ReferenceData!$M$330),"",ReferenceData!$M$330),"")</f>
        <v>3.629817E-3</v>
      </c>
      <c r="N330">
        <f ca="1">IFERROR(IF(0=LEN(ReferenceData!$N$330),"",ReferenceData!$N$330),"")</f>
        <v>3.2679430000000001E-3</v>
      </c>
      <c r="O330">
        <f ca="1">IFERROR(IF(0=LEN(ReferenceData!$O$330),"",ReferenceData!$O$330),"")</f>
        <v>1.2494163000000001E-2</v>
      </c>
      <c r="P330">
        <f ca="1">IFERROR(IF(0=LEN(ReferenceData!$P$330),"",ReferenceData!$P$330),"")</f>
        <v>2.6314397E-2</v>
      </c>
      <c r="Q330">
        <f ca="1">IFERROR(IF(0=LEN(ReferenceData!$Q$330),"",ReferenceData!$Q$330),"")</f>
        <v>4.4170586999999997E-2</v>
      </c>
      <c r="R330">
        <f ca="1">IFERROR(IF(0=LEN(ReferenceData!$R$330),"",ReferenceData!$R$330),"")</f>
        <v>4.59298E-3</v>
      </c>
      <c r="S330">
        <f ca="1">IFERROR(IF(0=LEN(ReferenceData!$S$330),"",ReferenceData!$S$330),"")</f>
        <v>4.8676800000000001E-3</v>
      </c>
      <c r="T330">
        <f ca="1">IFERROR(IF(0=LEN(ReferenceData!$T$330),"",ReferenceData!$T$330),"")</f>
        <v>3.2305810000000002E-3</v>
      </c>
      <c r="U330">
        <f ca="1">IFERROR(IF(0=LEN(ReferenceData!$U$330),"",ReferenceData!$U$330),"")</f>
        <v>5.5701032999999997E-2</v>
      </c>
      <c r="V330">
        <f ca="1">IFERROR(IF(0=LEN(ReferenceData!$V$330),"",ReferenceData!$V$330),"")</f>
        <v>1.1274841000000001E-2</v>
      </c>
      <c r="W330">
        <f ca="1">IFERROR(IF(0=LEN(ReferenceData!$W$330),"",ReferenceData!$W$330),"")</f>
        <v>5.9178531999999999E-2</v>
      </c>
      <c r="X330">
        <f ca="1">IFERROR(IF(0=LEN(ReferenceData!$X$330),"",ReferenceData!$X$330),"")</f>
        <v>0.204065212</v>
      </c>
      <c r="Y330">
        <f ca="1">IFERROR(IF(0=LEN(ReferenceData!$Y$330),"",ReferenceData!$Y$330),"")</f>
        <v>4.4405616000000002E-2</v>
      </c>
      <c r="Z330">
        <f ca="1">IFERROR(IF(0=LEN(ReferenceData!$Z$330),"",ReferenceData!$Z$330),"")</f>
        <v>2.1389901999999999E-2</v>
      </c>
      <c r="AA330">
        <f ca="1">IFERROR(IF(0=LEN(ReferenceData!$AA$330),"",ReferenceData!$AA$330),"")</f>
        <v>1.3987612E-2</v>
      </c>
      <c r="AB330">
        <f ca="1">IFERROR(IF(0=LEN(ReferenceData!$AB$330),"",ReferenceData!$AB$330),"")</f>
        <v>1.9343003000000001E-2</v>
      </c>
      <c r="AC330">
        <f ca="1">IFERROR(IF(0=LEN(ReferenceData!$AC$330),"",ReferenceData!$AC$330),"")</f>
        <v>5.6590570999999999E-2</v>
      </c>
      <c r="AD330" t="str">
        <f ca="1">IFERROR(IF(0=LEN(ReferenceData!$AD$330),"",ReferenceData!$AD$330),"")</f>
        <v/>
      </c>
      <c r="AE330" t="str">
        <f ca="1">IFERROR(IF(0=LEN(ReferenceData!$AE$330),"",ReferenceData!$AE$330),"")</f>
        <v/>
      </c>
      <c r="AF330" t="str">
        <f ca="1">IFERROR(IF(0=LEN(ReferenceData!$AF$330),"",ReferenceData!$AF$330),"")</f>
        <v/>
      </c>
      <c r="AG330" t="str">
        <f ca="1">IFERROR(IF(0=LEN(ReferenceData!$AG$330),"",ReferenceData!$AG$330),"")</f>
        <v/>
      </c>
      <c r="AH330" t="str">
        <f ca="1">IFERROR(IF(0=LEN(ReferenceData!$AH$330),"",ReferenceData!$AH$330),"")</f>
        <v/>
      </c>
      <c r="AI330" t="str">
        <f ca="1">IFERROR(IF(0=LEN(ReferenceData!$AI$330),"",ReferenceData!$AI$330),"")</f>
        <v/>
      </c>
      <c r="AJ330" t="str">
        <f ca="1">IFERROR(IF(0=LEN(ReferenceData!$AJ$330),"",ReferenceData!$AJ$330),"")</f>
        <v/>
      </c>
      <c r="AK330" t="str">
        <f ca="1">IFERROR(IF(0=LEN(ReferenceData!$AK$330),"",ReferenceData!$AK$330),"")</f>
        <v/>
      </c>
      <c r="AL330" t="str">
        <f ca="1">IFERROR(IF(0=LEN(ReferenceData!$AL$330),"",ReferenceData!$AL$330),"")</f>
        <v/>
      </c>
    </row>
    <row r="331" spans="1:38" x14ac:dyDescent="0.25">
      <c r="A331" t="str">
        <f>IFERROR(IF(0=LEN(ReferenceData!$A$331),"",ReferenceData!$A$331),"")</f>
        <v xml:space="preserve">        Citizens Financial Group Inc</v>
      </c>
      <c r="B331" t="str">
        <f>IFERROR(IF(0=LEN(ReferenceData!$B$331),"",ReferenceData!$B$331),"")</f>
        <v>CFG US Equity</v>
      </c>
      <c r="C331" t="str">
        <f>IFERROR(IF(0=LEN(ReferenceData!$C$331),"",ReferenceData!$C$331),"")</f>
        <v>F0125</v>
      </c>
      <c r="D331" t="str">
        <f>IFERROR(IF(0=LEN(ReferenceData!$D$331),"",ReferenceData!$D$331),"")</f>
        <v>FED_US_BANK_LOANS_%_TOT_LNS_LEAS</v>
      </c>
      <c r="E331" t="str">
        <f>IFERROR(IF(0=LEN(ReferenceData!$E$331),"",ReferenceData!$E$331),"")</f>
        <v>Dynamic</v>
      </c>
      <c r="F331">
        <f ca="1">IFERROR(IF(0=LEN(ReferenceData!$F$331),"",ReferenceData!$F$331),"")</f>
        <v>2.4535099999999999E-4</v>
      </c>
      <c r="G331">
        <f ca="1">IFERROR(IF(0=LEN(ReferenceData!$G$331),"",ReferenceData!$G$331),"")</f>
        <v>1.531358E-3</v>
      </c>
      <c r="H331">
        <f ca="1">IFERROR(IF(0=LEN(ReferenceData!$H$331),"",ReferenceData!$H$331),"")</f>
        <v>4.4132729999999997E-3</v>
      </c>
      <c r="I331">
        <f ca="1">IFERROR(IF(0=LEN(ReferenceData!$I$331),"",ReferenceData!$I$331),"")</f>
        <v>7.4450500000000001E-5</v>
      </c>
      <c r="J331">
        <f ca="1">IFERROR(IF(0=LEN(ReferenceData!$J$331),"",ReferenceData!$J$331),"")</f>
        <v>6.0118100000000003E-5</v>
      </c>
      <c r="K331">
        <f ca="1">IFERROR(IF(0=LEN(ReferenceData!$K$331),"",ReferenceData!$K$331),"")</f>
        <v>4.8539280000000004E-3</v>
      </c>
      <c r="L331">
        <f ca="1">IFERROR(IF(0=LEN(ReferenceData!$L$331),"",ReferenceData!$L$331),"")</f>
        <v>4.3993400000000001E-4</v>
      </c>
      <c r="M331">
        <f ca="1">IFERROR(IF(0=LEN(ReferenceData!$M$331),"",ReferenceData!$M$331),"")</f>
        <v>3.4700429999999999E-3</v>
      </c>
      <c r="N331">
        <f ca="1">IFERROR(IF(0=LEN(ReferenceData!$N$331),"",ReferenceData!$N$331),"")</f>
        <v>1.0368448000000001E-2</v>
      </c>
      <c r="O331">
        <f ca="1">IFERROR(IF(0=LEN(ReferenceData!$O$331),"",ReferenceData!$O$331),"")</f>
        <v>2.5177016E-2</v>
      </c>
      <c r="P331">
        <f ca="1">IFERROR(IF(0=LEN(ReferenceData!$P$331),"",ReferenceData!$P$331),"")</f>
        <v>3.7740748999999997E-2</v>
      </c>
      <c r="Q331">
        <f ca="1">IFERROR(IF(0=LEN(ReferenceData!$Q$331),"",ReferenceData!$Q$331),"")</f>
        <v>4.9963761000000002E-2</v>
      </c>
      <c r="R331">
        <f ca="1">IFERROR(IF(0=LEN(ReferenceData!$R$331),"",ReferenceData!$R$331),"")</f>
        <v>8.3997698999999995E-2</v>
      </c>
      <c r="S331">
        <f ca="1">IFERROR(IF(0=LEN(ReferenceData!$S$331),"",ReferenceData!$S$331),"")</f>
        <v>7.0338947999999998E-2</v>
      </c>
      <c r="T331">
        <f ca="1">IFERROR(IF(0=LEN(ReferenceData!$T$331),"",ReferenceData!$T$331),"")</f>
        <v>7.1028536000000003E-2</v>
      </c>
      <c r="U331">
        <f ca="1">IFERROR(IF(0=LEN(ReferenceData!$U$331),"",ReferenceData!$U$331),"")</f>
        <v>7.7454388999999998E-2</v>
      </c>
      <c r="V331">
        <f ca="1">IFERROR(IF(0=LEN(ReferenceData!$V$331),"",ReferenceData!$V$331),"")</f>
        <v>0</v>
      </c>
      <c r="W331">
        <f ca="1">IFERROR(IF(0=LEN(ReferenceData!$W$331),"",ReferenceData!$W$331),"")</f>
        <v>0</v>
      </c>
      <c r="X331">
        <f ca="1">IFERROR(IF(0=LEN(ReferenceData!$X$331),"",ReferenceData!$X$331),"")</f>
        <v>0</v>
      </c>
      <c r="Y331">
        <f ca="1">IFERROR(IF(0=LEN(ReferenceData!$Y$331),"",ReferenceData!$Y$331),"")</f>
        <v>0</v>
      </c>
      <c r="Z331">
        <f ca="1">IFERROR(IF(0=LEN(ReferenceData!$Z$331),"",ReferenceData!$Z$331),"")</f>
        <v>0</v>
      </c>
      <c r="AA331">
        <f ca="1">IFERROR(IF(0=LEN(ReferenceData!$AA$331),"",ReferenceData!$AA$331),"")</f>
        <v>0</v>
      </c>
      <c r="AB331">
        <f ca="1">IFERROR(IF(0=LEN(ReferenceData!$AB$331),"",ReferenceData!$AB$331),"")</f>
        <v>0</v>
      </c>
      <c r="AC331">
        <f ca="1">IFERROR(IF(0=LEN(ReferenceData!$AC$331),"",ReferenceData!$AC$331),"")</f>
        <v>0</v>
      </c>
      <c r="AD331" t="str">
        <f ca="1">IFERROR(IF(0=LEN(ReferenceData!$AD$331),"",ReferenceData!$AD$331),"")</f>
        <v/>
      </c>
      <c r="AE331" t="str">
        <f ca="1">IFERROR(IF(0=LEN(ReferenceData!$AE$331),"",ReferenceData!$AE$331),"")</f>
        <v/>
      </c>
      <c r="AF331" t="str">
        <f ca="1">IFERROR(IF(0=LEN(ReferenceData!$AF$331),"",ReferenceData!$AF$331),"")</f>
        <v/>
      </c>
      <c r="AG331" t="str">
        <f ca="1">IFERROR(IF(0=LEN(ReferenceData!$AG$331),"",ReferenceData!$AG$331),"")</f>
        <v/>
      </c>
      <c r="AH331" t="str">
        <f ca="1">IFERROR(IF(0=LEN(ReferenceData!$AH$331),"",ReferenceData!$AH$331),"")</f>
        <v/>
      </c>
      <c r="AI331" t="str">
        <f ca="1">IFERROR(IF(0=LEN(ReferenceData!$AI$331),"",ReferenceData!$AI$331),"")</f>
        <v/>
      </c>
      <c r="AJ331" t="str">
        <f ca="1">IFERROR(IF(0=LEN(ReferenceData!$AJ$331),"",ReferenceData!$AJ$331),"")</f>
        <v/>
      </c>
      <c r="AK331" t="str">
        <f ca="1">IFERROR(IF(0=LEN(ReferenceData!$AK$331),"",ReferenceData!$AK$331),"")</f>
        <v/>
      </c>
      <c r="AL331" t="str">
        <f ca="1">IFERROR(IF(0=LEN(ReferenceData!$AL$331),"",ReferenceData!$AL$331),"")</f>
        <v/>
      </c>
    </row>
    <row r="332" spans="1:38" x14ac:dyDescent="0.25">
      <c r="A332" t="str">
        <f>IFERROR(IF(0=LEN(ReferenceData!$A$332),"",ReferenceData!$A$332),"")</f>
        <v xml:space="preserve">        Capital One Financial Corp</v>
      </c>
      <c r="B332" t="str">
        <f>IFERROR(IF(0=LEN(ReferenceData!$B$332),"",ReferenceData!$B$332),"")</f>
        <v>COF US Equity</v>
      </c>
      <c r="C332" t="str">
        <f>IFERROR(IF(0=LEN(ReferenceData!$C$332),"",ReferenceData!$C$332),"")</f>
        <v>F0125</v>
      </c>
      <c r="D332" t="str">
        <f>IFERROR(IF(0=LEN(ReferenceData!$D$332),"",ReferenceData!$D$332),"")</f>
        <v>FED_US_BANK_LOANS_%_TOT_LNS_LEAS</v>
      </c>
      <c r="E332" t="str">
        <f>IFERROR(IF(0=LEN(ReferenceData!$E$332),"",ReferenceData!$E$332),"")</f>
        <v>Dynamic</v>
      </c>
      <c r="F332">
        <f ca="1">IFERROR(IF(0=LEN(ReferenceData!$F$332),"",ReferenceData!$F$332),"")</f>
        <v>0</v>
      </c>
      <c r="G332">
        <f ca="1">IFERROR(IF(0=LEN(ReferenceData!$G$332),"",ReferenceData!$G$332),"")</f>
        <v>0</v>
      </c>
      <c r="H332">
        <f ca="1">IFERROR(IF(0=LEN(ReferenceData!$H$332),"",ReferenceData!$H$332),"")</f>
        <v>0</v>
      </c>
      <c r="I332">
        <f ca="1">IFERROR(IF(0=LEN(ReferenceData!$I$332),"",ReferenceData!$I$332),"")</f>
        <v>0</v>
      </c>
      <c r="J332">
        <f ca="1">IFERROR(IF(0=LEN(ReferenceData!$J$332),"",ReferenceData!$J$332),"")</f>
        <v>0</v>
      </c>
      <c r="K332">
        <f ca="1">IFERROR(IF(0=LEN(ReferenceData!$K$332),"",ReferenceData!$K$332),"")</f>
        <v>0</v>
      </c>
      <c r="L332">
        <f ca="1">IFERROR(IF(0=LEN(ReferenceData!$L$332),"",ReferenceData!$L$332),"")</f>
        <v>0</v>
      </c>
      <c r="M332">
        <f ca="1">IFERROR(IF(0=LEN(ReferenceData!$M$332),"",ReferenceData!$M$332),"")</f>
        <v>0</v>
      </c>
      <c r="N332">
        <f ca="1">IFERROR(IF(0=LEN(ReferenceData!$N$332),"",ReferenceData!$N$332),"")</f>
        <v>0</v>
      </c>
      <c r="O332">
        <f ca="1">IFERROR(IF(0=LEN(ReferenceData!$O$332),"",ReferenceData!$O$332),"")</f>
        <v>0</v>
      </c>
      <c r="P332">
        <f ca="1">IFERROR(IF(0=LEN(ReferenceData!$P$332),"",ReferenceData!$P$332),"")</f>
        <v>0</v>
      </c>
      <c r="Q332">
        <f ca="1">IFERROR(IF(0=LEN(ReferenceData!$Q$332),"",ReferenceData!$Q$332),"")</f>
        <v>0.17086717100000001</v>
      </c>
      <c r="R332">
        <f ca="1">IFERROR(IF(0=LEN(ReferenceData!$R$332),"",ReferenceData!$R$332),"")</f>
        <v>0</v>
      </c>
      <c r="S332">
        <f ca="1">IFERROR(IF(0=LEN(ReferenceData!$S$332),"",ReferenceData!$S$332),"")</f>
        <v>0</v>
      </c>
      <c r="T332">
        <f ca="1">IFERROR(IF(0=LEN(ReferenceData!$T$332),"",ReferenceData!$T$332),"")</f>
        <v>0</v>
      </c>
      <c r="U332">
        <f ca="1">IFERROR(IF(0=LEN(ReferenceData!$U$332),"",ReferenceData!$U$332),"")</f>
        <v>0</v>
      </c>
      <c r="V332">
        <f ca="1">IFERROR(IF(0=LEN(ReferenceData!$V$332),"",ReferenceData!$V$332),"")</f>
        <v>0</v>
      </c>
      <c r="W332">
        <f ca="1">IFERROR(IF(0=LEN(ReferenceData!$W$332),"",ReferenceData!$W$332),"")</f>
        <v>0</v>
      </c>
      <c r="X332">
        <f ca="1">IFERROR(IF(0=LEN(ReferenceData!$X$332),"",ReferenceData!$X$332),"")</f>
        <v>0</v>
      </c>
      <c r="Y332">
        <f ca="1">IFERROR(IF(0=LEN(ReferenceData!$Y$332),"",ReferenceData!$Y$332),"")</f>
        <v>0</v>
      </c>
      <c r="Z332">
        <f ca="1">IFERROR(IF(0=LEN(ReferenceData!$Z$332),"",ReferenceData!$Z$332),"")</f>
        <v>0</v>
      </c>
      <c r="AA332" t="str">
        <f ca="1">IFERROR(IF(0=LEN(ReferenceData!$AA$332),"",ReferenceData!$AA$332),"")</f>
        <v/>
      </c>
      <c r="AB332" t="str">
        <f ca="1">IFERROR(IF(0=LEN(ReferenceData!$AB$332),"",ReferenceData!$AB$332),"")</f>
        <v/>
      </c>
      <c r="AC332" t="str">
        <f ca="1">IFERROR(IF(0=LEN(ReferenceData!$AC$332),"",ReferenceData!$AC$332),"")</f>
        <v/>
      </c>
      <c r="AD332" t="str">
        <f ca="1">IFERROR(IF(0=LEN(ReferenceData!$AD$332),"",ReferenceData!$AD$332),"")</f>
        <v/>
      </c>
      <c r="AE332" t="str">
        <f ca="1">IFERROR(IF(0=LEN(ReferenceData!$AE$332),"",ReferenceData!$AE$332),"")</f>
        <v/>
      </c>
      <c r="AF332" t="str">
        <f ca="1">IFERROR(IF(0=LEN(ReferenceData!$AF$332),"",ReferenceData!$AF$332),"")</f>
        <v/>
      </c>
      <c r="AG332" t="str">
        <f ca="1">IFERROR(IF(0=LEN(ReferenceData!$AG$332),"",ReferenceData!$AG$332),"")</f>
        <v/>
      </c>
      <c r="AH332" t="str">
        <f ca="1">IFERROR(IF(0=LEN(ReferenceData!$AH$332),"",ReferenceData!$AH$332),"")</f>
        <v/>
      </c>
      <c r="AI332" t="str">
        <f ca="1">IFERROR(IF(0=LEN(ReferenceData!$AI$332),"",ReferenceData!$AI$332),"")</f>
        <v/>
      </c>
      <c r="AJ332" t="str">
        <f ca="1">IFERROR(IF(0=LEN(ReferenceData!$AJ$332),"",ReferenceData!$AJ$332),"")</f>
        <v/>
      </c>
      <c r="AK332" t="str">
        <f ca="1">IFERROR(IF(0=LEN(ReferenceData!$AK$332),"",ReferenceData!$AK$332),"")</f>
        <v/>
      </c>
      <c r="AL332" t="str">
        <f ca="1">IFERROR(IF(0=LEN(ReferenceData!$AL$332),"",ReferenceData!$AL$332),"")</f>
        <v/>
      </c>
    </row>
    <row r="333" spans="1:38" x14ac:dyDescent="0.25">
      <c r="A333" t="str">
        <f>IFERROR(IF(0=LEN(ReferenceData!$A$333),"",ReferenceData!$A$333),"")</f>
        <v xml:space="preserve">        Comerica Inc</v>
      </c>
      <c r="B333" t="str">
        <f>IFERROR(IF(0=LEN(ReferenceData!$B$333),"",ReferenceData!$B$333),"")</f>
        <v>CMA US Equity</v>
      </c>
      <c r="C333" t="str">
        <f>IFERROR(IF(0=LEN(ReferenceData!$C$333),"",ReferenceData!$C$333),"")</f>
        <v>F0125</v>
      </c>
      <c r="D333" t="str">
        <f>IFERROR(IF(0=LEN(ReferenceData!$D$333),"",ReferenceData!$D$333),"")</f>
        <v>FED_US_BANK_LOANS_%_TOT_LNS_LEAS</v>
      </c>
      <c r="E333" t="str">
        <f>IFERROR(IF(0=LEN(ReferenceData!$E$333),"",ReferenceData!$E$333),"")</f>
        <v>Dynamic</v>
      </c>
      <c r="F333" t="str">
        <f ca="1">IFERROR(IF(0=LEN(ReferenceData!$F$333),"",ReferenceData!$F$333),"")</f>
        <v/>
      </c>
      <c r="G333">
        <f ca="1">IFERROR(IF(0=LEN(ReferenceData!$G$333),"",ReferenceData!$G$333),"")</f>
        <v>9.5520109999999991E-3</v>
      </c>
      <c r="H333">
        <f ca="1">IFERROR(IF(0=LEN(ReferenceData!$H$333),"",ReferenceData!$H$333),"")</f>
        <v>1.3107878E-2</v>
      </c>
      <c r="I333">
        <f ca="1">IFERROR(IF(0=LEN(ReferenceData!$I$333),"",ReferenceData!$I$333),"")</f>
        <v>1.8258910999999999E-2</v>
      </c>
      <c r="J333">
        <f ca="1">IFERROR(IF(0=LEN(ReferenceData!$J$333),"",ReferenceData!$J$333),"")</f>
        <v>0</v>
      </c>
      <c r="K333">
        <f ca="1">IFERROR(IF(0=LEN(ReferenceData!$K$333),"",ReferenceData!$K$333),"")</f>
        <v>0</v>
      </c>
      <c r="L333">
        <f ca="1">IFERROR(IF(0=LEN(ReferenceData!$L$333),"",ReferenceData!$L$333),"")</f>
        <v>1.644551E-3</v>
      </c>
      <c r="M333">
        <f ca="1">IFERROR(IF(0=LEN(ReferenceData!$M$333),"",ReferenceData!$M$333),"")</f>
        <v>1.071666E-3</v>
      </c>
      <c r="N333">
        <f ca="1">IFERROR(IF(0=LEN(ReferenceData!$N$333),"",ReferenceData!$N$333),"")</f>
        <v>0</v>
      </c>
      <c r="O333">
        <f ca="1">IFERROR(IF(0=LEN(ReferenceData!$O$333),"",ReferenceData!$O$333),"")</f>
        <v>1.9183690000000001E-3</v>
      </c>
      <c r="P333">
        <f ca="1">IFERROR(IF(0=LEN(ReferenceData!$P$333),"",ReferenceData!$P$333),"")</f>
        <v>1.3735259999999999E-2</v>
      </c>
      <c r="Q333">
        <f ca="1">IFERROR(IF(0=LEN(ReferenceData!$Q$333),"",ReferenceData!$Q$333),"")</f>
        <v>1.9584888000000002E-2</v>
      </c>
      <c r="R333">
        <f ca="1">IFERROR(IF(0=LEN(ReferenceData!$R$333),"",ReferenceData!$R$333),"")</f>
        <v>1.4415740999999999E-2</v>
      </c>
      <c r="S333">
        <f ca="1">IFERROR(IF(0=LEN(ReferenceData!$S$333),"",ReferenceData!$S$333),"")</f>
        <v>4.7905775999999997E-2</v>
      </c>
      <c r="T333">
        <f ca="1">IFERROR(IF(0=LEN(ReferenceData!$T$333),"",ReferenceData!$T$333),"")</f>
        <v>5.8477419000000003E-2</v>
      </c>
      <c r="U333">
        <f ca="1">IFERROR(IF(0=LEN(ReferenceData!$U$333),"",ReferenceData!$U$333),"")</f>
        <v>0.124674912</v>
      </c>
      <c r="V333">
        <f ca="1">IFERROR(IF(0=LEN(ReferenceData!$V$333),"",ReferenceData!$V$333),"")</f>
        <v>9.3593339999999997E-2</v>
      </c>
      <c r="W333">
        <f ca="1">IFERROR(IF(0=LEN(ReferenceData!$W$333),"",ReferenceData!$W$333),"")</f>
        <v>0.161757493</v>
      </c>
      <c r="X333">
        <f ca="1">IFERROR(IF(0=LEN(ReferenceData!$X$333),"",ReferenceData!$X$333),"")</f>
        <v>9.5730778000000002E-2</v>
      </c>
      <c r="Y333">
        <f ca="1">IFERROR(IF(0=LEN(ReferenceData!$Y$333),"",ReferenceData!$Y$333),"")</f>
        <v>7.0906948999999997E-2</v>
      </c>
      <c r="Z333">
        <f ca="1">IFERROR(IF(0=LEN(ReferenceData!$Z$333),"",ReferenceData!$Z$333),"")</f>
        <v>7.1811967000000004E-2</v>
      </c>
      <c r="AA333">
        <f ca="1">IFERROR(IF(0=LEN(ReferenceData!$AA$333),"",ReferenceData!$AA$333),"")</f>
        <v>9.5626549999999998E-3</v>
      </c>
      <c r="AB333">
        <f ca="1">IFERROR(IF(0=LEN(ReferenceData!$AB$333),"",ReferenceData!$AB$333),"")</f>
        <v>0.115033685</v>
      </c>
      <c r="AC333">
        <f ca="1">IFERROR(IF(0=LEN(ReferenceData!$AC$333),"",ReferenceData!$AC$333),"")</f>
        <v>6.3388631000000001E-2</v>
      </c>
      <c r="AD333" t="str">
        <f ca="1">IFERROR(IF(0=LEN(ReferenceData!$AD$333),"",ReferenceData!$AD$333),"")</f>
        <v/>
      </c>
      <c r="AE333" t="str">
        <f ca="1">IFERROR(IF(0=LEN(ReferenceData!$AE$333),"",ReferenceData!$AE$333),"")</f>
        <v/>
      </c>
      <c r="AF333" t="str">
        <f ca="1">IFERROR(IF(0=LEN(ReferenceData!$AF$333),"",ReferenceData!$AF$333),"")</f>
        <v/>
      </c>
      <c r="AG333" t="str">
        <f ca="1">IFERROR(IF(0=LEN(ReferenceData!$AG$333),"",ReferenceData!$AG$333),"")</f>
        <v/>
      </c>
      <c r="AH333" t="str">
        <f ca="1">IFERROR(IF(0=LEN(ReferenceData!$AH$333),"",ReferenceData!$AH$333),"")</f>
        <v/>
      </c>
      <c r="AI333" t="str">
        <f ca="1">IFERROR(IF(0=LEN(ReferenceData!$AI$333),"",ReferenceData!$AI$333),"")</f>
        <v/>
      </c>
      <c r="AJ333" t="str">
        <f ca="1">IFERROR(IF(0=LEN(ReferenceData!$AJ$333),"",ReferenceData!$AJ$333),"")</f>
        <v/>
      </c>
      <c r="AK333" t="str">
        <f ca="1">IFERROR(IF(0=LEN(ReferenceData!$AK$333),"",ReferenceData!$AK$333),"")</f>
        <v/>
      </c>
      <c r="AL333" t="str">
        <f ca="1">IFERROR(IF(0=LEN(ReferenceData!$AL$333),"",ReferenceData!$AL$333),"")</f>
        <v/>
      </c>
    </row>
    <row r="334" spans="1:38" x14ac:dyDescent="0.25">
      <c r="A334" t="str">
        <f>IFERROR(IF(0=LEN(ReferenceData!$A$334),"",ReferenceData!$A$334),"")</f>
        <v xml:space="preserve">        East West Bancorp Inc</v>
      </c>
      <c r="B334" t="str">
        <f>IFERROR(IF(0=LEN(ReferenceData!$B$334),"",ReferenceData!$B$334),"")</f>
        <v>EWBC US Equity</v>
      </c>
      <c r="C334" t="str">
        <f>IFERROR(IF(0=LEN(ReferenceData!$C$334),"",ReferenceData!$C$334),"")</f>
        <v>F0125</v>
      </c>
      <c r="D334" t="str">
        <f>IFERROR(IF(0=LEN(ReferenceData!$D$334),"",ReferenceData!$D$334),"")</f>
        <v>FED_US_BANK_LOANS_%_TOT_LNS_LEAS</v>
      </c>
      <c r="E334" t="str">
        <f>IFERROR(IF(0=LEN(ReferenceData!$E$334),"",ReferenceData!$E$334),"")</f>
        <v>Dynamic</v>
      </c>
      <c r="F334" t="str">
        <f ca="1">IFERROR(IF(0=LEN(ReferenceData!$F$334),"",ReferenceData!$F$334),"")</f>
        <v/>
      </c>
      <c r="G334">
        <f ca="1">IFERROR(IF(0=LEN(ReferenceData!$G$334),"",ReferenceData!$G$334),"")</f>
        <v>0</v>
      </c>
      <c r="H334">
        <f ca="1">IFERROR(IF(0=LEN(ReferenceData!$H$334),"",ReferenceData!$H$334),"")</f>
        <v>0</v>
      </c>
      <c r="I334">
        <f ca="1">IFERROR(IF(0=LEN(ReferenceData!$I$334),"",ReferenceData!$I$334),"")</f>
        <v>0</v>
      </c>
      <c r="J334">
        <f ca="1">IFERROR(IF(0=LEN(ReferenceData!$J$334),"",ReferenceData!$J$334),"")</f>
        <v>0</v>
      </c>
      <c r="K334">
        <f ca="1">IFERROR(IF(0=LEN(ReferenceData!$K$334),"",ReferenceData!$K$334),"")</f>
        <v>0</v>
      </c>
      <c r="L334">
        <f ca="1">IFERROR(IF(0=LEN(ReferenceData!$L$334),"",ReferenceData!$L$334),"")</f>
        <v>0.21568017</v>
      </c>
      <c r="M334">
        <f ca="1">IFERROR(IF(0=LEN(ReferenceData!$M$334),"",ReferenceData!$M$334),"")</f>
        <v>0.171798069</v>
      </c>
      <c r="N334">
        <f ca="1">IFERROR(IF(0=LEN(ReferenceData!$N$334),"",ReferenceData!$N$334),"")</f>
        <v>9.7842705000000002E-2</v>
      </c>
      <c r="O334">
        <f ca="1">IFERROR(IF(0=LEN(ReferenceData!$O$334),"",ReferenceData!$O$334),"")</f>
        <v>0</v>
      </c>
      <c r="P334">
        <f ca="1">IFERROR(IF(0=LEN(ReferenceData!$P$334),"",ReferenceData!$P$334),"")</f>
        <v>0</v>
      </c>
      <c r="Q334">
        <f ca="1">IFERROR(IF(0=LEN(ReferenceData!$Q$334),"",ReferenceData!$Q$334),"")</f>
        <v>0</v>
      </c>
      <c r="R334">
        <f ca="1">IFERROR(IF(0=LEN(ReferenceData!$R$334),"",ReferenceData!$R$334),"")</f>
        <v>0</v>
      </c>
      <c r="S334">
        <f ca="1">IFERROR(IF(0=LEN(ReferenceData!$S$334),"",ReferenceData!$S$334),"")</f>
        <v>0.167087069</v>
      </c>
      <c r="T334">
        <f ca="1">IFERROR(IF(0=LEN(ReferenceData!$T$334),"",ReferenceData!$T$334),"")</f>
        <v>0</v>
      </c>
      <c r="U334">
        <f ca="1">IFERROR(IF(0=LEN(ReferenceData!$U$334),"",ReferenceData!$U$334),"")</f>
        <v>0</v>
      </c>
      <c r="V334">
        <f ca="1">IFERROR(IF(0=LEN(ReferenceData!$V$334),"",ReferenceData!$V$334),"")</f>
        <v>0</v>
      </c>
      <c r="W334">
        <f ca="1">IFERROR(IF(0=LEN(ReferenceData!$W$334),"",ReferenceData!$W$334),"")</f>
        <v>0</v>
      </c>
      <c r="X334">
        <f ca="1">IFERROR(IF(0=LEN(ReferenceData!$X$334),"",ReferenceData!$X$334),"")</f>
        <v>0</v>
      </c>
      <c r="Y334">
        <f ca="1">IFERROR(IF(0=LEN(ReferenceData!$Y$334),"",ReferenceData!$Y$334),"")</f>
        <v>0</v>
      </c>
      <c r="Z334">
        <f ca="1">IFERROR(IF(0=LEN(ReferenceData!$Z$334),"",ReferenceData!$Z$334),"")</f>
        <v>0</v>
      </c>
      <c r="AA334">
        <f ca="1">IFERROR(IF(0=LEN(ReferenceData!$AA$334),"",ReferenceData!$AA$334),"")</f>
        <v>0</v>
      </c>
      <c r="AB334">
        <f ca="1">IFERROR(IF(0=LEN(ReferenceData!$AB$334),"",ReferenceData!$AB$334),"")</f>
        <v>0</v>
      </c>
      <c r="AC334">
        <f ca="1">IFERROR(IF(0=LEN(ReferenceData!$AC$334),"",ReferenceData!$AC$334),"")</f>
        <v>0</v>
      </c>
      <c r="AD334" t="str">
        <f ca="1">IFERROR(IF(0=LEN(ReferenceData!$AD$334),"",ReferenceData!$AD$334),"")</f>
        <v/>
      </c>
      <c r="AE334" t="str">
        <f ca="1">IFERROR(IF(0=LEN(ReferenceData!$AE$334),"",ReferenceData!$AE$334),"")</f>
        <v/>
      </c>
      <c r="AF334" t="str">
        <f ca="1">IFERROR(IF(0=LEN(ReferenceData!$AF$334),"",ReferenceData!$AF$334),"")</f>
        <v/>
      </c>
      <c r="AG334" t="str">
        <f ca="1">IFERROR(IF(0=LEN(ReferenceData!$AG$334),"",ReferenceData!$AG$334),"")</f>
        <v/>
      </c>
      <c r="AH334" t="str">
        <f ca="1">IFERROR(IF(0=LEN(ReferenceData!$AH$334),"",ReferenceData!$AH$334),"")</f>
        <v/>
      </c>
      <c r="AI334" t="str">
        <f ca="1">IFERROR(IF(0=LEN(ReferenceData!$AI$334),"",ReferenceData!$AI$334),"")</f>
        <v/>
      </c>
      <c r="AJ334" t="str">
        <f ca="1">IFERROR(IF(0=LEN(ReferenceData!$AJ$334),"",ReferenceData!$AJ$334),"")</f>
        <v/>
      </c>
      <c r="AK334" t="str">
        <f ca="1">IFERROR(IF(0=LEN(ReferenceData!$AK$334),"",ReferenceData!$AK$334),"")</f>
        <v/>
      </c>
      <c r="AL334" t="str">
        <f ca="1">IFERROR(IF(0=LEN(ReferenceData!$AL$334),"",ReferenceData!$AL$334),"")</f>
        <v/>
      </c>
    </row>
    <row r="335" spans="1:38" x14ac:dyDescent="0.25">
      <c r="A335" t="str">
        <f>IFERROR(IF(0=LEN(ReferenceData!$A$335),"",ReferenceData!$A$335),"")</f>
        <v xml:space="preserve">        Fifth Third Bancorp</v>
      </c>
      <c r="B335" t="str">
        <f>IFERROR(IF(0=LEN(ReferenceData!$B$335),"",ReferenceData!$B$335),"")</f>
        <v>FITB US Equity</v>
      </c>
      <c r="C335" t="str">
        <f>IFERROR(IF(0=LEN(ReferenceData!$C$335),"",ReferenceData!$C$335),"")</f>
        <v>F0125</v>
      </c>
      <c r="D335" t="str">
        <f>IFERROR(IF(0=LEN(ReferenceData!$D$335),"",ReferenceData!$D$335),"")</f>
        <v>FED_US_BANK_LOANS_%_TOT_LNS_LEAS</v>
      </c>
      <c r="E335" t="str">
        <f>IFERROR(IF(0=LEN(ReferenceData!$E$335),"",ReferenceData!$E$335),"")</f>
        <v>Dynamic</v>
      </c>
      <c r="F335">
        <f ca="1">IFERROR(IF(0=LEN(ReferenceData!$F$335),"",ReferenceData!$F$335),"")</f>
        <v>8.3035100000000001E-4</v>
      </c>
      <c r="G335">
        <f ca="1">IFERROR(IF(0=LEN(ReferenceData!$G$335),"",ReferenceData!$G$335),"")</f>
        <v>1.700507E-3</v>
      </c>
      <c r="H335">
        <f ca="1">IFERROR(IF(0=LEN(ReferenceData!$H$335),"",ReferenceData!$H$335),"")</f>
        <v>5.9410779999999998E-3</v>
      </c>
      <c r="I335">
        <f ca="1">IFERROR(IF(0=LEN(ReferenceData!$I$335),"",ReferenceData!$I$335),"")</f>
        <v>1.2087776E-2</v>
      </c>
      <c r="J335">
        <f ca="1">IFERROR(IF(0=LEN(ReferenceData!$J$335),"",ReferenceData!$J$335),"")</f>
        <v>2.8253376E-2</v>
      </c>
      <c r="K335">
        <f ca="1">IFERROR(IF(0=LEN(ReferenceData!$K$335),"",ReferenceData!$K$335),"")</f>
        <v>8.1184269999999992E-3</v>
      </c>
      <c r="L335">
        <f ca="1">IFERROR(IF(0=LEN(ReferenceData!$L$335),"",ReferenceData!$L$335),"")</f>
        <v>0</v>
      </c>
      <c r="M335">
        <f ca="1">IFERROR(IF(0=LEN(ReferenceData!$M$335),"",ReferenceData!$M$335),"")</f>
        <v>0</v>
      </c>
      <c r="N335">
        <f ca="1">IFERROR(IF(0=LEN(ReferenceData!$N$335),"",ReferenceData!$N$335),"")</f>
        <v>2.1540156000000001E-2</v>
      </c>
      <c r="O335">
        <f ca="1">IFERROR(IF(0=LEN(ReferenceData!$O$335),"",ReferenceData!$O$335),"")</f>
        <v>2.1393835999999999E-2</v>
      </c>
      <c r="P335">
        <f ca="1">IFERROR(IF(0=LEN(ReferenceData!$P$335),"",ReferenceData!$P$335),"")</f>
        <v>2.1894843000000001E-2</v>
      </c>
      <c r="Q335">
        <f ca="1">IFERROR(IF(0=LEN(ReferenceData!$Q$335),"",ReferenceData!$Q$335),"")</f>
        <v>3.6967146999999999E-2</v>
      </c>
      <c r="R335">
        <f ca="1">IFERROR(IF(0=LEN(ReferenceData!$R$335),"",ReferenceData!$R$335),"")</f>
        <v>1.5063043999999999E-2</v>
      </c>
      <c r="S335">
        <f ca="1">IFERROR(IF(0=LEN(ReferenceData!$S$335),"",ReferenceData!$S$335),"")</f>
        <v>4.3617097000000001E-2</v>
      </c>
      <c r="T335">
        <f ca="1">IFERROR(IF(0=LEN(ReferenceData!$T$335),"",ReferenceData!$T$335),"")</f>
        <v>1.9246597000000001E-2</v>
      </c>
      <c r="U335">
        <f ca="1">IFERROR(IF(0=LEN(ReferenceData!$U$335),"",ReferenceData!$U$335),"")</f>
        <v>2.5365948999999999E-2</v>
      </c>
      <c r="V335">
        <f ca="1">IFERROR(IF(0=LEN(ReferenceData!$V$335),"",ReferenceData!$V$335),"")</f>
        <v>0.112715253</v>
      </c>
      <c r="W335">
        <f ca="1">IFERROR(IF(0=LEN(ReferenceData!$W$335),"",ReferenceData!$W$335),"")</f>
        <v>2.7500568999999999E-2</v>
      </c>
      <c r="X335">
        <f ca="1">IFERROR(IF(0=LEN(ReferenceData!$X$335),"",ReferenceData!$X$335),"")</f>
        <v>0</v>
      </c>
      <c r="Y335">
        <f ca="1">IFERROR(IF(0=LEN(ReferenceData!$Y$335),"",ReferenceData!$Y$335),"")</f>
        <v>1.8603393999999999E-2</v>
      </c>
      <c r="Z335">
        <f ca="1">IFERROR(IF(0=LEN(ReferenceData!$Z$335),"",ReferenceData!$Z$335),"")</f>
        <v>1.6412950999999999E-2</v>
      </c>
      <c r="AA335">
        <f ca="1">IFERROR(IF(0=LEN(ReferenceData!$AA$335),"",ReferenceData!$AA$335),"")</f>
        <v>2.8640505E-2</v>
      </c>
      <c r="AB335">
        <f ca="1">IFERROR(IF(0=LEN(ReferenceData!$AB$335),"",ReferenceData!$AB$335),"")</f>
        <v>3.6907042000000001E-2</v>
      </c>
      <c r="AC335">
        <f ca="1">IFERROR(IF(0=LEN(ReferenceData!$AC$335),"",ReferenceData!$AC$335),"")</f>
        <v>0.39334393099999998</v>
      </c>
      <c r="AD335" t="str">
        <f ca="1">IFERROR(IF(0=LEN(ReferenceData!$AD$335),"",ReferenceData!$AD$335),"")</f>
        <v/>
      </c>
      <c r="AE335" t="str">
        <f ca="1">IFERROR(IF(0=LEN(ReferenceData!$AE$335),"",ReferenceData!$AE$335),"")</f>
        <v/>
      </c>
      <c r="AF335" t="str">
        <f ca="1">IFERROR(IF(0=LEN(ReferenceData!$AF$335),"",ReferenceData!$AF$335),"")</f>
        <v/>
      </c>
      <c r="AG335" t="str">
        <f ca="1">IFERROR(IF(0=LEN(ReferenceData!$AG$335),"",ReferenceData!$AG$335),"")</f>
        <v/>
      </c>
      <c r="AH335" t="str">
        <f ca="1">IFERROR(IF(0=LEN(ReferenceData!$AH$335),"",ReferenceData!$AH$335),"")</f>
        <v/>
      </c>
      <c r="AI335" t="str">
        <f ca="1">IFERROR(IF(0=LEN(ReferenceData!$AI$335),"",ReferenceData!$AI$335),"")</f>
        <v/>
      </c>
      <c r="AJ335" t="str">
        <f ca="1">IFERROR(IF(0=LEN(ReferenceData!$AJ$335),"",ReferenceData!$AJ$335),"")</f>
        <v/>
      </c>
      <c r="AK335" t="str">
        <f ca="1">IFERROR(IF(0=LEN(ReferenceData!$AK$335),"",ReferenceData!$AK$335),"")</f>
        <v/>
      </c>
      <c r="AL335" t="str">
        <f ca="1">IFERROR(IF(0=LEN(ReferenceData!$AL$335),"",ReferenceData!$AL$335),"")</f>
        <v/>
      </c>
    </row>
    <row r="336" spans="1:38" x14ac:dyDescent="0.25">
      <c r="A336" t="str">
        <f>IFERROR(IF(0=LEN(ReferenceData!$A$336),"",ReferenceData!$A$336),"")</f>
        <v xml:space="preserve">        First Citizens BancShares Inc/</v>
      </c>
      <c r="B336" t="str">
        <f>IFERROR(IF(0=LEN(ReferenceData!$B$336),"",ReferenceData!$B$336),"")</f>
        <v>FCNCA US Equity</v>
      </c>
      <c r="C336" t="str">
        <f>IFERROR(IF(0=LEN(ReferenceData!$C$336),"",ReferenceData!$C$336),"")</f>
        <v>F0125</v>
      </c>
      <c r="D336" t="str">
        <f>IFERROR(IF(0=LEN(ReferenceData!$D$336),"",ReferenceData!$D$336),"")</f>
        <v>FED_US_BANK_LOANS_%_TOT_LNS_LEAS</v>
      </c>
      <c r="E336" t="str">
        <f>IFERROR(IF(0=LEN(ReferenceData!$E$336),"",ReferenceData!$E$336),"")</f>
        <v>Dynamic</v>
      </c>
      <c r="F336">
        <f ca="1">IFERROR(IF(0=LEN(ReferenceData!$F$336),"",ReferenceData!$F$336),"")</f>
        <v>7.1274299999999995E-4</v>
      </c>
      <c r="G336">
        <f ca="1">IFERROR(IF(0=LEN(ReferenceData!$G$336),"",ReferenceData!$G$336),"")</f>
        <v>2.2980349999999999E-3</v>
      </c>
      <c r="H336">
        <f ca="1">IFERROR(IF(0=LEN(ReferenceData!$H$336),"",ReferenceData!$H$336),"")</f>
        <v>4.5783680000000002E-3</v>
      </c>
      <c r="I336">
        <f ca="1">IFERROR(IF(0=LEN(ReferenceData!$I$336),"",ReferenceData!$I$336),"")</f>
        <v>0</v>
      </c>
      <c r="J336">
        <f ca="1">IFERROR(IF(0=LEN(ReferenceData!$J$336),"",ReferenceData!$J$336),"")</f>
        <v>0</v>
      </c>
      <c r="K336">
        <f ca="1">IFERROR(IF(0=LEN(ReferenceData!$K$336),"",ReferenceData!$K$336),"")</f>
        <v>0</v>
      </c>
      <c r="L336">
        <f ca="1">IFERROR(IF(0=LEN(ReferenceData!$L$336),"",ReferenceData!$L$336),"")</f>
        <v>0</v>
      </c>
      <c r="M336">
        <f ca="1">IFERROR(IF(0=LEN(ReferenceData!$M$336),"",ReferenceData!$M$336),"")</f>
        <v>0</v>
      </c>
      <c r="N336">
        <f ca="1">IFERROR(IF(0=LEN(ReferenceData!$N$336),"",ReferenceData!$N$336),"")</f>
        <v>0</v>
      </c>
      <c r="O336">
        <f ca="1">IFERROR(IF(0=LEN(ReferenceData!$O$336),"",ReferenceData!$O$336),"")</f>
        <v>0</v>
      </c>
      <c r="P336">
        <f ca="1">IFERROR(IF(0=LEN(ReferenceData!$P$336),"",ReferenceData!$P$336),"")</f>
        <v>0</v>
      </c>
      <c r="Q336">
        <f ca="1">IFERROR(IF(0=LEN(ReferenceData!$Q$336),"",ReferenceData!$Q$336),"")</f>
        <v>0</v>
      </c>
      <c r="R336">
        <f ca="1">IFERROR(IF(0=LEN(ReferenceData!$R$336),"",ReferenceData!$R$336),"")</f>
        <v>0</v>
      </c>
      <c r="S336">
        <f ca="1">IFERROR(IF(0=LEN(ReferenceData!$S$336),"",ReferenceData!$S$336),"")</f>
        <v>0</v>
      </c>
      <c r="T336">
        <f ca="1">IFERROR(IF(0=LEN(ReferenceData!$T$336),"",ReferenceData!$T$336),"")</f>
        <v>0</v>
      </c>
      <c r="U336">
        <f ca="1">IFERROR(IF(0=LEN(ReferenceData!$U$336),"",ReferenceData!$U$336),"")</f>
        <v>0</v>
      </c>
      <c r="V336">
        <f ca="1">IFERROR(IF(0=LEN(ReferenceData!$V$336),"",ReferenceData!$V$336),"")</f>
        <v>0</v>
      </c>
      <c r="W336">
        <f ca="1">IFERROR(IF(0=LEN(ReferenceData!$W$336),"",ReferenceData!$W$336),"")</f>
        <v>0</v>
      </c>
      <c r="X336">
        <f ca="1">IFERROR(IF(0=LEN(ReferenceData!$X$336),"",ReferenceData!$X$336),"")</f>
        <v>0</v>
      </c>
      <c r="Y336">
        <f ca="1">IFERROR(IF(0=LEN(ReferenceData!$Y$336),"",ReferenceData!$Y$336),"")</f>
        <v>0</v>
      </c>
      <c r="Z336">
        <f ca="1">IFERROR(IF(0=LEN(ReferenceData!$Z$336),"",ReferenceData!$Z$336),"")</f>
        <v>0</v>
      </c>
      <c r="AA336">
        <f ca="1">IFERROR(IF(0=LEN(ReferenceData!$AA$336),"",ReferenceData!$AA$336),"")</f>
        <v>0</v>
      </c>
      <c r="AB336">
        <f ca="1">IFERROR(IF(0=LEN(ReferenceData!$AB$336),"",ReferenceData!$AB$336),"")</f>
        <v>0</v>
      </c>
      <c r="AC336">
        <f ca="1">IFERROR(IF(0=LEN(ReferenceData!$AC$336),"",ReferenceData!$AC$336),"")</f>
        <v>0</v>
      </c>
      <c r="AD336" t="str">
        <f ca="1">IFERROR(IF(0=LEN(ReferenceData!$AD$336),"",ReferenceData!$AD$336),"")</f>
        <v/>
      </c>
      <c r="AE336" t="str">
        <f ca="1">IFERROR(IF(0=LEN(ReferenceData!$AE$336),"",ReferenceData!$AE$336),"")</f>
        <v/>
      </c>
      <c r="AF336" t="str">
        <f ca="1">IFERROR(IF(0=LEN(ReferenceData!$AF$336),"",ReferenceData!$AF$336),"")</f>
        <v/>
      </c>
      <c r="AG336" t="str">
        <f ca="1">IFERROR(IF(0=LEN(ReferenceData!$AG$336),"",ReferenceData!$AG$336),"")</f>
        <v/>
      </c>
      <c r="AH336" t="str">
        <f ca="1">IFERROR(IF(0=LEN(ReferenceData!$AH$336),"",ReferenceData!$AH$336),"")</f>
        <v/>
      </c>
      <c r="AI336" t="str">
        <f ca="1">IFERROR(IF(0=LEN(ReferenceData!$AI$336),"",ReferenceData!$AI$336),"")</f>
        <v/>
      </c>
      <c r="AJ336" t="str">
        <f ca="1">IFERROR(IF(0=LEN(ReferenceData!$AJ$336),"",ReferenceData!$AJ$336),"")</f>
        <v/>
      </c>
      <c r="AK336" t="str">
        <f ca="1">IFERROR(IF(0=LEN(ReferenceData!$AK$336),"",ReferenceData!$AK$336),"")</f>
        <v/>
      </c>
      <c r="AL336" t="str">
        <f ca="1">IFERROR(IF(0=LEN(ReferenceData!$AL$336),"",ReferenceData!$AL$336),"")</f>
        <v/>
      </c>
    </row>
    <row r="337" spans="1:38" x14ac:dyDescent="0.25">
      <c r="A337" t="str">
        <f>IFERROR(IF(0=LEN(ReferenceData!$A$337),"",ReferenceData!$A$337),"")</f>
        <v xml:space="preserve">        Flagstar Financial Inc</v>
      </c>
      <c r="B337" t="str">
        <f>IFERROR(IF(0=LEN(ReferenceData!$B$337),"",ReferenceData!$B$337),"")</f>
        <v>FLG US Equity</v>
      </c>
      <c r="C337" t="str">
        <f>IFERROR(IF(0=LEN(ReferenceData!$C$337),"",ReferenceData!$C$337),"")</f>
        <v>F0125</v>
      </c>
      <c r="D337" t="str">
        <f>IFERROR(IF(0=LEN(ReferenceData!$D$337),"",ReferenceData!$D$337),"")</f>
        <v>FED_US_BANK_LOANS_%_TOT_LNS_LEAS</v>
      </c>
      <c r="E337" t="str">
        <f>IFERROR(IF(0=LEN(ReferenceData!$E$337),"",ReferenceData!$E$337),"")</f>
        <v>Dynamic</v>
      </c>
      <c r="F337">
        <f ca="1">IFERROR(IF(0=LEN(ReferenceData!$F$337),"",ReferenceData!$F$337),"")</f>
        <v>0</v>
      </c>
      <c r="G337">
        <f ca="1">IFERROR(IF(0=LEN(ReferenceData!$G$337),"",ReferenceData!$G$337),"")</f>
        <v>0</v>
      </c>
      <c r="H337">
        <f ca="1">IFERROR(IF(0=LEN(ReferenceData!$H$337),"",ReferenceData!$H$337),"")</f>
        <v>0</v>
      </c>
      <c r="I337">
        <f ca="1">IFERROR(IF(0=LEN(ReferenceData!$I$337),"",ReferenceData!$I$337),"")</f>
        <v>0</v>
      </c>
      <c r="J337">
        <f ca="1">IFERROR(IF(0=LEN(ReferenceData!$J$337),"",ReferenceData!$J$337),"")</f>
        <v>0</v>
      </c>
      <c r="K337">
        <f ca="1">IFERROR(IF(0=LEN(ReferenceData!$K$337),"",ReferenceData!$K$337),"")</f>
        <v>0</v>
      </c>
      <c r="L337">
        <f ca="1">IFERROR(IF(0=LEN(ReferenceData!$L$337),"",ReferenceData!$L$337),"")</f>
        <v>0</v>
      </c>
      <c r="M337">
        <f ca="1">IFERROR(IF(0=LEN(ReferenceData!$M$337),"",ReferenceData!$M$337),"")</f>
        <v>0</v>
      </c>
      <c r="N337">
        <f ca="1">IFERROR(IF(0=LEN(ReferenceData!$N$337),"",ReferenceData!$N$337),"")</f>
        <v>0</v>
      </c>
      <c r="O337">
        <f ca="1">IFERROR(IF(0=LEN(ReferenceData!$O$337),"",ReferenceData!$O$337),"")</f>
        <v>0</v>
      </c>
      <c r="P337">
        <f ca="1">IFERROR(IF(0=LEN(ReferenceData!$P$337),"",ReferenceData!$P$337),"")</f>
        <v>0</v>
      </c>
      <c r="Q337">
        <f ca="1">IFERROR(IF(0=LEN(ReferenceData!$Q$337),"",ReferenceData!$Q$337),"")</f>
        <v>0</v>
      </c>
      <c r="R337">
        <f ca="1">IFERROR(IF(0=LEN(ReferenceData!$R$337),"",ReferenceData!$R$337),"")</f>
        <v>0</v>
      </c>
      <c r="S337">
        <f ca="1">IFERROR(IF(0=LEN(ReferenceData!$S$337),"",ReferenceData!$S$337),"")</f>
        <v>0</v>
      </c>
      <c r="T337">
        <f ca="1">IFERROR(IF(0=LEN(ReferenceData!$T$337),"",ReferenceData!$T$337),"")</f>
        <v>0</v>
      </c>
      <c r="U337">
        <f ca="1">IFERROR(IF(0=LEN(ReferenceData!$U$337),"",ReferenceData!$U$337),"")</f>
        <v>0</v>
      </c>
      <c r="V337">
        <f ca="1">IFERROR(IF(0=LEN(ReferenceData!$V$337),"",ReferenceData!$V$337),"")</f>
        <v>0</v>
      </c>
      <c r="W337">
        <f ca="1">IFERROR(IF(0=LEN(ReferenceData!$W$337),"",ReferenceData!$W$337),"")</f>
        <v>0</v>
      </c>
      <c r="X337">
        <f ca="1">IFERROR(IF(0=LEN(ReferenceData!$X$337),"",ReferenceData!$X$337),"")</f>
        <v>0</v>
      </c>
      <c r="Y337">
        <f ca="1">IFERROR(IF(0=LEN(ReferenceData!$Y$337),"",ReferenceData!$Y$337),"")</f>
        <v>0</v>
      </c>
      <c r="Z337">
        <f ca="1">IFERROR(IF(0=LEN(ReferenceData!$Z$337),"",ReferenceData!$Z$337),"")</f>
        <v>0</v>
      </c>
      <c r="AA337">
        <f ca="1">IFERROR(IF(0=LEN(ReferenceData!$AA$337),"",ReferenceData!$AA$337),"")</f>
        <v>0</v>
      </c>
      <c r="AB337">
        <f ca="1">IFERROR(IF(0=LEN(ReferenceData!$AB$337),"",ReferenceData!$AB$337),"")</f>
        <v>0</v>
      </c>
      <c r="AC337">
        <f ca="1">IFERROR(IF(0=LEN(ReferenceData!$AC$337),"",ReferenceData!$AC$337),"")</f>
        <v>0</v>
      </c>
      <c r="AD337" t="str">
        <f ca="1">IFERROR(IF(0=LEN(ReferenceData!$AD$337),"",ReferenceData!$AD$337),"")</f>
        <v/>
      </c>
      <c r="AE337" t="str">
        <f ca="1">IFERROR(IF(0=LEN(ReferenceData!$AE$337),"",ReferenceData!$AE$337),"")</f>
        <v/>
      </c>
      <c r="AF337" t="str">
        <f ca="1">IFERROR(IF(0=LEN(ReferenceData!$AF$337),"",ReferenceData!$AF$337),"")</f>
        <v/>
      </c>
      <c r="AG337" t="str">
        <f ca="1">IFERROR(IF(0=LEN(ReferenceData!$AG$337),"",ReferenceData!$AG$337),"")</f>
        <v/>
      </c>
      <c r="AH337" t="str">
        <f ca="1">IFERROR(IF(0=LEN(ReferenceData!$AH$337),"",ReferenceData!$AH$337),"")</f>
        <v/>
      </c>
      <c r="AI337" t="str">
        <f ca="1">IFERROR(IF(0=LEN(ReferenceData!$AI$337),"",ReferenceData!$AI$337),"")</f>
        <v/>
      </c>
      <c r="AJ337" t="str">
        <f ca="1">IFERROR(IF(0=LEN(ReferenceData!$AJ$337),"",ReferenceData!$AJ$337),"")</f>
        <v/>
      </c>
      <c r="AK337" t="str">
        <f ca="1">IFERROR(IF(0=LEN(ReferenceData!$AK$337),"",ReferenceData!$AK$337),"")</f>
        <v/>
      </c>
      <c r="AL337" t="str">
        <f ca="1">IFERROR(IF(0=LEN(ReferenceData!$AL$337),"",ReferenceData!$AL$337),"")</f>
        <v/>
      </c>
    </row>
    <row r="338" spans="1:38" x14ac:dyDescent="0.25">
      <c r="A338" t="str">
        <f>IFERROR(IF(0=LEN(ReferenceData!$A$338),"",ReferenceData!$A$338),"")</f>
        <v xml:space="preserve">        Huntington Bancshares Inc/OH</v>
      </c>
      <c r="B338" t="str">
        <f>IFERROR(IF(0=LEN(ReferenceData!$B$338),"",ReferenceData!$B$338),"")</f>
        <v>HBAN US Equity</v>
      </c>
      <c r="C338" t="str">
        <f>IFERROR(IF(0=LEN(ReferenceData!$C$338),"",ReferenceData!$C$338),"")</f>
        <v>F0125</v>
      </c>
      <c r="D338" t="str">
        <f>IFERROR(IF(0=LEN(ReferenceData!$D$338),"",ReferenceData!$D$338),"")</f>
        <v>FED_US_BANK_LOANS_%_TOT_LNS_LEAS</v>
      </c>
      <c r="E338" t="str">
        <f>IFERROR(IF(0=LEN(ReferenceData!$E$338),"",ReferenceData!$E$338),"")</f>
        <v>Dynamic</v>
      </c>
      <c r="F338">
        <f ca="1">IFERROR(IF(0=LEN(ReferenceData!$F$338),"",ReferenceData!$F$338),"")</f>
        <v>2.4094139999999999E-3</v>
      </c>
      <c r="G338">
        <f ca="1">IFERROR(IF(0=LEN(ReferenceData!$G$338),"",ReferenceData!$G$338),"")</f>
        <v>3.1976000000000001E-3</v>
      </c>
      <c r="H338">
        <f ca="1">IFERROR(IF(0=LEN(ReferenceData!$H$338),"",ReferenceData!$H$338),"")</f>
        <v>3.9032149999999998E-3</v>
      </c>
      <c r="I338">
        <f ca="1">IFERROR(IF(0=LEN(ReferenceData!$I$338),"",ReferenceData!$I$338),"")</f>
        <v>5.9103769999999996E-3</v>
      </c>
      <c r="J338">
        <f ca="1">IFERROR(IF(0=LEN(ReferenceData!$J$338),"",ReferenceData!$J$338),"")</f>
        <v>1.8097799999999999E-4</v>
      </c>
      <c r="K338">
        <f ca="1">IFERROR(IF(0=LEN(ReferenceData!$K$338),"",ReferenceData!$K$338),"")</f>
        <v>6.5546800000000001E-5</v>
      </c>
      <c r="L338">
        <f ca="1">IFERROR(IF(0=LEN(ReferenceData!$L$338),"",ReferenceData!$L$338),"")</f>
        <v>1.2945200000000001E-4</v>
      </c>
      <c r="M338">
        <f ca="1">IFERROR(IF(0=LEN(ReferenceData!$M$338),"",ReferenceData!$M$338),"")</f>
        <v>0.132112229</v>
      </c>
      <c r="N338">
        <f ca="1">IFERROR(IF(0=LEN(ReferenceData!$N$338),"",ReferenceData!$N$338),"")</f>
        <v>8.9292481000000007E-2</v>
      </c>
      <c r="O338">
        <f ca="1">IFERROR(IF(0=LEN(ReferenceData!$O$338),"",ReferenceData!$O$338),"")</f>
        <v>4.0753641E-2</v>
      </c>
      <c r="P338">
        <f ca="1">IFERROR(IF(0=LEN(ReferenceData!$P$338),"",ReferenceData!$P$338),"")</f>
        <v>2.1638500000000001E-4</v>
      </c>
      <c r="Q338">
        <f ca="1">IFERROR(IF(0=LEN(ReferenceData!$Q$338),"",ReferenceData!$Q$338),"")</f>
        <v>2.4862799999999998E-4</v>
      </c>
      <c r="R338">
        <f ca="1">IFERROR(IF(0=LEN(ReferenceData!$R$338),"",ReferenceData!$R$338),"")</f>
        <v>2.26586E-4</v>
      </c>
      <c r="S338">
        <f ca="1">IFERROR(IF(0=LEN(ReferenceData!$S$338),"",ReferenceData!$S$338),"")</f>
        <v>3.7258700000000002E-4</v>
      </c>
      <c r="T338">
        <f ca="1">IFERROR(IF(0=LEN(ReferenceData!$T$338),"",ReferenceData!$T$338),"")</f>
        <v>5.4527099999999995E-4</v>
      </c>
      <c r="U338">
        <f ca="1">IFERROR(IF(0=LEN(ReferenceData!$U$338),"",ReferenceData!$U$338),"")</f>
        <v>6.7951399999999999E-4</v>
      </c>
      <c r="V338">
        <f ca="1">IFERROR(IF(0=LEN(ReferenceData!$V$338),"",ReferenceData!$V$338),"")</f>
        <v>9.11701E-4</v>
      </c>
      <c r="W338">
        <f ca="1">IFERROR(IF(0=LEN(ReferenceData!$W$338),"",ReferenceData!$W$338),"")</f>
        <v>1.0165440000000001E-3</v>
      </c>
      <c r="X338">
        <f ca="1">IFERROR(IF(0=LEN(ReferenceData!$X$338),"",ReferenceData!$X$338),"")</f>
        <v>1.052026E-3</v>
      </c>
      <c r="Y338">
        <f ca="1">IFERROR(IF(0=LEN(ReferenceData!$Y$338),"",ReferenceData!$Y$338),"")</f>
        <v>1.1354804E-2</v>
      </c>
      <c r="Z338">
        <f ca="1">IFERROR(IF(0=LEN(ReferenceData!$Z$338),"",ReferenceData!$Z$338),"")</f>
        <v>1.5782714E-2</v>
      </c>
      <c r="AA338">
        <f ca="1">IFERROR(IF(0=LEN(ReferenceData!$AA$338),"",ReferenceData!$AA$338),"")</f>
        <v>2.8943545000000001E-2</v>
      </c>
      <c r="AB338">
        <f ca="1">IFERROR(IF(0=LEN(ReferenceData!$AB$338),"",ReferenceData!$AB$338),"")</f>
        <v>9.0513907000000005E-2</v>
      </c>
      <c r="AC338">
        <f ca="1">IFERROR(IF(0=LEN(ReferenceData!$AC$338),"",ReferenceData!$AC$338),"")</f>
        <v>5.2945002999999997E-2</v>
      </c>
      <c r="AD338" t="str">
        <f ca="1">IFERROR(IF(0=LEN(ReferenceData!$AD$338),"",ReferenceData!$AD$338),"")</f>
        <v/>
      </c>
      <c r="AE338" t="str">
        <f ca="1">IFERROR(IF(0=LEN(ReferenceData!$AE$338),"",ReferenceData!$AE$338),"")</f>
        <v/>
      </c>
      <c r="AF338" t="str">
        <f ca="1">IFERROR(IF(0=LEN(ReferenceData!$AF$338),"",ReferenceData!$AF$338),"")</f>
        <v/>
      </c>
      <c r="AG338" t="str">
        <f ca="1">IFERROR(IF(0=LEN(ReferenceData!$AG$338),"",ReferenceData!$AG$338),"")</f>
        <v/>
      </c>
      <c r="AH338" t="str">
        <f ca="1">IFERROR(IF(0=LEN(ReferenceData!$AH$338),"",ReferenceData!$AH$338),"")</f>
        <v/>
      </c>
      <c r="AI338" t="str">
        <f ca="1">IFERROR(IF(0=LEN(ReferenceData!$AI$338),"",ReferenceData!$AI$338),"")</f>
        <v/>
      </c>
      <c r="AJ338" t="str">
        <f ca="1">IFERROR(IF(0=LEN(ReferenceData!$AJ$338),"",ReferenceData!$AJ$338),"")</f>
        <v/>
      </c>
      <c r="AK338" t="str">
        <f ca="1">IFERROR(IF(0=LEN(ReferenceData!$AK$338),"",ReferenceData!$AK$338),"")</f>
        <v/>
      </c>
      <c r="AL338" t="str">
        <f ca="1">IFERROR(IF(0=LEN(ReferenceData!$AL$338),"",ReferenceData!$AL$338),"")</f>
        <v/>
      </c>
    </row>
    <row r="339" spans="1:38" x14ac:dyDescent="0.25">
      <c r="A339" t="str">
        <f>IFERROR(IF(0=LEN(ReferenceData!$A$339),"",ReferenceData!$A$339),"")</f>
        <v xml:space="preserve">        JPMorgan Chase &amp; Co</v>
      </c>
      <c r="B339" t="str">
        <f>IFERROR(IF(0=LEN(ReferenceData!$B$339),"",ReferenceData!$B$339),"")</f>
        <v>JPM US Equity</v>
      </c>
      <c r="C339" t="str">
        <f>IFERROR(IF(0=LEN(ReferenceData!$C$339),"",ReferenceData!$C$339),"")</f>
        <v>F0125</v>
      </c>
      <c r="D339" t="str">
        <f>IFERROR(IF(0=LEN(ReferenceData!$D$339),"",ReferenceData!$D$339),"")</f>
        <v>FED_US_BANK_LOANS_%_TOT_LNS_LEAS</v>
      </c>
      <c r="E339" t="str">
        <f>IFERROR(IF(0=LEN(ReferenceData!$E$339),"",ReferenceData!$E$339),"")</f>
        <v>Dynamic</v>
      </c>
      <c r="F339">
        <f ca="1">IFERROR(IF(0=LEN(ReferenceData!$F$339),"",ReferenceData!$F$339),"")</f>
        <v>4.2859700000000002E-4</v>
      </c>
      <c r="G339">
        <f ca="1">IFERROR(IF(0=LEN(ReferenceData!$G$339),"",ReferenceData!$G$339),"")</f>
        <v>6.5617400000000004E-4</v>
      </c>
      <c r="H339">
        <f ca="1">IFERROR(IF(0=LEN(ReferenceData!$H$339),"",ReferenceData!$H$339),"")</f>
        <v>1.097113E-3</v>
      </c>
      <c r="I339">
        <f ca="1">IFERROR(IF(0=LEN(ReferenceData!$I$339),"",ReferenceData!$I$339),"")</f>
        <v>9.6714299999999995E-4</v>
      </c>
      <c r="J339">
        <f ca="1">IFERROR(IF(0=LEN(ReferenceData!$J$339),"",ReferenceData!$J$339),"")</f>
        <v>8.4859400000000004E-4</v>
      </c>
      <c r="K339">
        <f ca="1">IFERROR(IF(0=LEN(ReferenceData!$K$339),"",ReferenceData!$K$339),"")</f>
        <v>3.1203200000000002E-3</v>
      </c>
      <c r="L339">
        <f ca="1">IFERROR(IF(0=LEN(ReferenceData!$L$339),"",ReferenceData!$L$339),"")</f>
        <v>4.1388889999999998E-3</v>
      </c>
      <c r="M339">
        <f ca="1">IFERROR(IF(0=LEN(ReferenceData!$M$339),"",ReferenceData!$M$339),"")</f>
        <v>7.7338789999999999E-3</v>
      </c>
      <c r="N339">
        <f ca="1">IFERROR(IF(0=LEN(ReferenceData!$N$339),"",ReferenceData!$N$339),"")</f>
        <v>1.249715E-2</v>
      </c>
      <c r="O339">
        <f ca="1">IFERROR(IF(0=LEN(ReferenceData!$O$339),"",ReferenceData!$O$339),"")</f>
        <v>2.3274075000000002E-2</v>
      </c>
      <c r="P339">
        <f ca="1">IFERROR(IF(0=LEN(ReferenceData!$P$339),"",ReferenceData!$P$339),"")</f>
        <v>2.1111884000000001E-2</v>
      </c>
      <c r="Q339">
        <f ca="1">IFERROR(IF(0=LEN(ReferenceData!$Q$339),"",ReferenceData!$Q$339),"")</f>
        <v>2.0389384999999999E-2</v>
      </c>
      <c r="R339">
        <f ca="1">IFERROR(IF(0=LEN(ReferenceData!$R$339),"",ReferenceData!$R$339),"")</f>
        <v>3.2556716999999999E-2</v>
      </c>
      <c r="S339">
        <f ca="1">IFERROR(IF(0=LEN(ReferenceData!$S$339),"",ReferenceData!$S$339),"")</f>
        <v>2.6536524999999998E-2</v>
      </c>
      <c r="T339">
        <f ca="1">IFERROR(IF(0=LEN(ReferenceData!$T$339),"",ReferenceData!$T$339),"")</f>
        <v>1.9671986999999998E-2</v>
      </c>
      <c r="U339">
        <f ca="1">IFERROR(IF(0=LEN(ReferenceData!$U$339),"",ReferenceData!$U$339),"")</f>
        <v>1.4289774999999999E-2</v>
      </c>
      <c r="V339">
        <f ca="1">IFERROR(IF(0=LEN(ReferenceData!$V$339),"",ReferenceData!$V$339),"")</f>
        <v>3.2449362000000002E-2</v>
      </c>
      <c r="W339">
        <f ca="1">IFERROR(IF(0=LEN(ReferenceData!$W$339),"",ReferenceData!$W$339),"")</f>
        <v>6.7683844000000007E-2</v>
      </c>
      <c r="X339">
        <f ca="1">IFERROR(IF(0=LEN(ReferenceData!$X$339),"",ReferenceData!$X$339),"")</f>
        <v>1.5937837999999999E-2</v>
      </c>
      <c r="Y339">
        <f ca="1">IFERROR(IF(0=LEN(ReferenceData!$Y$339),"",ReferenceData!$Y$339),"")</f>
        <v>3.5198089000000002E-2</v>
      </c>
      <c r="Z339">
        <f ca="1">IFERROR(IF(0=LEN(ReferenceData!$Z$339),"",ReferenceData!$Z$339),"")</f>
        <v>0.75512405599999999</v>
      </c>
      <c r="AA339">
        <f ca="1">IFERROR(IF(0=LEN(ReferenceData!$AA$339),"",ReferenceData!$AA$339),"")</f>
        <v>0.203172405</v>
      </c>
      <c r="AB339">
        <f ca="1">IFERROR(IF(0=LEN(ReferenceData!$AB$339),"",ReferenceData!$AB$339),"")</f>
        <v>1.8959275000000001E-2</v>
      </c>
      <c r="AC339">
        <f ca="1">IFERROR(IF(0=LEN(ReferenceData!$AC$339),"",ReferenceData!$AC$339),"")</f>
        <v>7.0838144000000006E-2</v>
      </c>
      <c r="AD339" t="str">
        <f ca="1">IFERROR(IF(0=LEN(ReferenceData!$AD$339),"",ReferenceData!$AD$339),"")</f>
        <v/>
      </c>
      <c r="AE339" t="str">
        <f ca="1">IFERROR(IF(0=LEN(ReferenceData!$AE$339),"",ReferenceData!$AE$339),"")</f>
        <v/>
      </c>
      <c r="AF339" t="str">
        <f ca="1">IFERROR(IF(0=LEN(ReferenceData!$AF$339),"",ReferenceData!$AF$339),"")</f>
        <v/>
      </c>
      <c r="AG339" t="str">
        <f ca="1">IFERROR(IF(0=LEN(ReferenceData!$AG$339),"",ReferenceData!$AG$339),"")</f>
        <v/>
      </c>
      <c r="AH339" t="str">
        <f ca="1">IFERROR(IF(0=LEN(ReferenceData!$AH$339),"",ReferenceData!$AH$339),"")</f>
        <v/>
      </c>
      <c r="AI339" t="str">
        <f ca="1">IFERROR(IF(0=LEN(ReferenceData!$AI$339),"",ReferenceData!$AI$339),"")</f>
        <v/>
      </c>
      <c r="AJ339" t="str">
        <f ca="1">IFERROR(IF(0=LEN(ReferenceData!$AJ$339),"",ReferenceData!$AJ$339),"")</f>
        <v/>
      </c>
      <c r="AK339" t="str">
        <f ca="1">IFERROR(IF(0=LEN(ReferenceData!$AK$339),"",ReferenceData!$AK$339),"")</f>
        <v/>
      </c>
      <c r="AL339" t="str">
        <f ca="1">IFERROR(IF(0=LEN(ReferenceData!$AL$339),"",ReferenceData!$AL$339),"")</f>
        <v/>
      </c>
    </row>
    <row r="340" spans="1:38" x14ac:dyDescent="0.25">
      <c r="A340" t="str">
        <f>IFERROR(IF(0=LEN(ReferenceData!$A$340),"",ReferenceData!$A$340),"")</f>
        <v xml:space="preserve">        KeyCorp</v>
      </c>
      <c r="B340" t="str">
        <f>IFERROR(IF(0=LEN(ReferenceData!$B$340),"",ReferenceData!$B$340),"")</f>
        <v>KEY US Equity</v>
      </c>
      <c r="C340" t="str">
        <f>IFERROR(IF(0=LEN(ReferenceData!$C$340),"",ReferenceData!$C$340),"")</f>
        <v>F0125</v>
      </c>
      <c r="D340" t="str">
        <f>IFERROR(IF(0=LEN(ReferenceData!$D$340),"",ReferenceData!$D$340),"")</f>
        <v>FED_US_BANK_LOANS_%_TOT_LNS_LEAS</v>
      </c>
      <c r="E340" t="str">
        <f>IFERROR(IF(0=LEN(ReferenceData!$E$340),"",ReferenceData!$E$340),"")</f>
        <v>Dynamic</v>
      </c>
      <c r="F340">
        <f ca="1">IFERROR(IF(0=LEN(ReferenceData!$F$340),"",ReferenceData!$F$340),"")</f>
        <v>0</v>
      </c>
      <c r="G340">
        <f ca="1">IFERROR(IF(0=LEN(ReferenceData!$G$340),"",ReferenceData!$G$340),"")</f>
        <v>0</v>
      </c>
      <c r="H340">
        <f ca="1">IFERROR(IF(0=LEN(ReferenceData!$H$340),"",ReferenceData!$H$340),"")</f>
        <v>0</v>
      </c>
      <c r="I340">
        <f ca="1">IFERROR(IF(0=LEN(ReferenceData!$I$340),"",ReferenceData!$I$340),"")</f>
        <v>0</v>
      </c>
      <c r="J340">
        <f ca="1">IFERROR(IF(0=LEN(ReferenceData!$J$340),"",ReferenceData!$J$340),"")</f>
        <v>0</v>
      </c>
      <c r="K340">
        <f ca="1">IFERROR(IF(0=LEN(ReferenceData!$K$340),"",ReferenceData!$K$340),"")</f>
        <v>0</v>
      </c>
      <c r="L340">
        <f ca="1">IFERROR(IF(0=LEN(ReferenceData!$L$340),"",ReferenceData!$L$340),"")</f>
        <v>0</v>
      </c>
      <c r="M340">
        <f ca="1">IFERROR(IF(0=LEN(ReferenceData!$M$340),"",ReferenceData!$M$340),"")</f>
        <v>0</v>
      </c>
      <c r="N340">
        <f ca="1">IFERROR(IF(0=LEN(ReferenceData!$N$340),"",ReferenceData!$N$340),"")</f>
        <v>2.2532100000000001E-4</v>
      </c>
      <c r="O340">
        <f ca="1">IFERROR(IF(0=LEN(ReferenceData!$O$340),"",ReferenceData!$O$340),"")</f>
        <v>1.0564876000000001E-2</v>
      </c>
      <c r="P340">
        <f ca="1">IFERROR(IF(0=LEN(ReferenceData!$P$340),"",ReferenceData!$P$340),"")</f>
        <v>2.0392156000000002E-2</v>
      </c>
      <c r="Q340">
        <f ca="1">IFERROR(IF(0=LEN(ReferenceData!$Q$340),"",ReferenceData!$Q$340),"")</f>
        <v>3.5732343999999999E-2</v>
      </c>
      <c r="R340">
        <f ca="1">IFERROR(IF(0=LEN(ReferenceData!$R$340),"",ReferenceData!$R$340),"")</f>
        <v>4.3856821999999997E-2</v>
      </c>
      <c r="S340">
        <f ca="1">IFERROR(IF(0=LEN(ReferenceData!$S$340),"",ReferenceData!$S$340),"")</f>
        <v>5.0432000000000005E-4</v>
      </c>
      <c r="T340">
        <f ca="1">IFERROR(IF(0=LEN(ReferenceData!$T$340),"",ReferenceData!$T$340),"")</f>
        <v>1.5813649999999999E-3</v>
      </c>
      <c r="U340">
        <f ca="1">IFERROR(IF(0=LEN(ReferenceData!$U$340),"",ReferenceData!$U$340),"")</f>
        <v>2.327043E-3</v>
      </c>
      <c r="V340">
        <f ca="1">IFERROR(IF(0=LEN(ReferenceData!$V$340),"",ReferenceData!$V$340),"")</f>
        <v>5.9529354999999999E-2</v>
      </c>
      <c r="W340">
        <f ca="1">IFERROR(IF(0=LEN(ReferenceData!$W$340),"",ReferenceData!$W$340),"")</f>
        <v>8.0759176000000002E-2</v>
      </c>
      <c r="X340">
        <f ca="1">IFERROR(IF(0=LEN(ReferenceData!$X$340),"",ReferenceData!$X$340),"")</f>
        <v>1.1673774E-2</v>
      </c>
      <c r="Y340">
        <f ca="1">IFERROR(IF(0=LEN(ReferenceData!$Y$340),"",ReferenceData!$Y$340),"")</f>
        <v>4.9812293000000001E-2</v>
      </c>
      <c r="Z340">
        <f ca="1">IFERROR(IF(0=LEN(ReferenceData!$Z$340),"",ReferenceData!$Z$340),"")</f>
        <v>0.13220232200000001</v>
      </c>
      <c r="AA340">
        <f ca="1">IFERROR(IF(0=LEN(ReferenceData!$AA$340),"",ReferenceData!$AA$340),"")</f>
        <v>6.3089624999999996E-2</v>
      </c>
      <c r="AB340">
        <f ca="1">IFERROR(IF(0=LEN(ReferenceData!$AB$340),"",ReferenceData!$AB$340),"")</f>
        <v>6.9115194000000005E-2</v>
      </c>
      <c r="AC340">
        <f ca="1">IFERROR(IF(0=LEN(ReferenceData!$AC$340),"",ReferenceData!$AC$340),"")</f>
        <v>3.4467627000000001E-2</v>
      </c>
      <c r="AD340" t="str">
        <f ca="1">IFERROR(IF(0=LEN(ReferenceData!$AD$340),"",ReferenceData!$AD$340),"")</f>
        <v/>
      </c>
      <c r="AE340" t="str">
        <f ca="1">IFERROR(IF(0=LEN(ReferenceData!$AE$340),"",ReferenceData!$AE$340),"")</f>
        <v/>
      </c>
      <c r="AF340" t="str">
        <f ca="1">IFERROR(IF(0=LEN(ReferenceData!$AF$340),"",ReferenceData!$AF$340),"")</f>
        <v/>
      </c>
      <c r="AG340" t="str">
        <f ca="1">IFERROR(IF(0=LEN(ReferenceData!$AG$340),"",ReferenceData!$AG$340),"")</f>
        <v/>
      </c>
      <c r="AH340" t="str">
        <f ca="1">IFERROR(IF(0=LEN(ReferenceData!$AH$340),"",ReferenceData!$AH$340),"")</f>
        <v/>
      </c>
      <c r="AI340" t="str">
        <f ca="1">IFERROR(IF(0=LEN(ReferenceData!$AI$340),"",ReferenceData!$AI$340),"")</f>
        <v/>
      </c>
      <c r="AJ340" t="str">
        <f ca="1">IFERROR(IF(0=LEN(ReferenceData!$AJ$340),"",ReferenceData!$AJ$340),"")</f>
        <v/>
      </c>
      <c r="AK340" t="str">
        <f ca="1">IFERROR(IF(0=LEN(ReferenceData!$AK$340),"",ReferenceData!$AK$340),"")</f>
        <v/>
      </c>
      <c r="AL340" t="str">
        <f ca="1">IFERROR(IF(0=LEN(ReferenceData!$AL$340),"",ReferenceData!$AL$340),"")</f>
        <v/>
      </c>
    </row>
    <row r="341" spans="1:38" x14ac:dyDescent="0.25">
      <c r="A341" t="str">
        <f>IFERROR(IF(0=LEN(ReferenceData!$A$341),"",ReferenceData!$A$341),"")</f>
        <v xml:space="preserve">        M&amp;T Bank Corp</v>
      </c>
      <c r="B341" t="str">
        <f>IFERROR(IF(0=LEN(ReferenceData!$B$341),"",ReferenceData!$B$341),"")</f>
        <v>MTB US Equity</v>
      </c>
      <c r="C341" t="str">
        <f>IFERROR(IF(0=LEN(ReferenceData!$C$341),"",ReferenceData!$C$341),"")</f>
        <v>F0125</v>
      </c>
      <c r="D341" t="str">
        <f>IFERROR(IF(0=LEN(ReferenceData!$D$341),"",ReferenceData!$D$341),"")</f>
        <v>FED_US_BANK_LOANS_%_TOT_LNS_LEAS</v>
      </c>
      <c r="E341" t="str">
        <f>IFERROR(IF(0=LEN(ReferenceData!$E$341),"",ReferenceData!$E$341),"")</f>
        <v>Dynamic</v>
      </c>
      <c r="F341">
        <f ca="1">IFERROR(IF(0=LEN(ReferenceData!$F$341),"",ReferenceData!$F$341),"")</f>
        <v>6.8585069999999998E-3</v>
      </c>
      <c r="G341">
        <f ca="1">IFERROR(IF(0=LEN(ReferenceData!$G$341),"",ReferenceData!$G$341),"")</f>
        <v>9.7182680000000004E-3</v>
      </c>
      <c r="H341">
        <f ca="1">IFERROR(IF(0=LEN(ReferenceData!$H$341),"",ReferenceData!$H$341),"")</f>
        <v>9.230406E-3</v>
      </c>
      <c r="I341">
        <f ca="1">IFERROR(IF(0=LEN(ReferenceData!$I$341),"",ReferenceData!$I$341),"")</f>
        <v>2.9522419999999999E-3</v>
      </c>
      <c r="J341">
        <f ca="1">IFERROR(IF(0=LEN(ReferenceData!$J$341),"",ReferenceData!$J$341),"")</f>
        <v>2.056104E-3</v>
      </c>
      <c r="K341">
        <f ca="1">IFERROR(IF(0=LEN(ReferenceData!$K$341),"",ReferenceData!$K$341),"")</f>
        <v>2.7121889999999998E-3</v>
      </c>
      <c r="L341">
        <f ca="1">IFERROR(IF(0=LEN(ReferenceData!$L$341),"",ReferenceData!$L$341),"")</f>
        <v>3.1593889999999999E-3</v>
      </c>
      <c r="M341">
        <f ca="1">IFERROR(IF(0=LEN(ReferenceData!$M$341),"",ReferenceData!$M$341),"")</f>
        <v>3.2674549999999998E-3</v>
      </c>
      <c r="N341">
        <f ca="1">IFERROR(IF(0=LEN(ReferenceData!$N$341),"",ReferenceData!$N$341),"")</f>
        <v>1.9360860000000001E-3</v>
      </c>
      <c r="O341">
        <f ca="1">IFERROR(IF(0=LEN(ReferenceData!$O$341),"",ReferenceData!$O$341),"")</f>
        <v>1.3613060000000001E-3</v>
      </c>
      <c r="P341">
        <f ca="1">IFERROR(IF(0=LEN(ReferenceData!$P$341),"",ReferenceData!$P$341),"")</f>
        <v>1.318421E-3</v>
      </c>
      <c r="Q341">
        <f ca="1">IFERROR(IF(0=LEN(ReferenceData!$Q$341),"",ReferenceData!$Q$341),"")</f>
        <v>7.0544399999999995E-4</v>
      </c>
      <c r="R341">
        <f ca="1">IFERROR(IF(0=LEN(ReferenceData!$R$341),"",ReferenceData!$R$341),"")</f>
        <v>2.555168E-3</v>
      </c>
      <c r="S341">
        <f ca="1">IFERROR(IF(0=LEN(ReferenceData!$S$341),"",ReferenceData!$S$341),"")</f>
        <v>3.788937E-3</v>
      </c>
      <c r="T341">
        <f ca="1">IFERROR(IF(0=LEN(ReferenceData!$T$341),"",ReferenceData!$T$341),"")</f>
        <v>4.3392639999999998E-3</v>
      </c>
      <c r="U341">
        <f ca="1">IFERROR(IF(0=LEN(ReferenceData!$U$341),"",ReferenceData!$U$341),"")</f>
        <v>1.7534812E-2</v>
      </c>
      <c r="V341">
        <f ca="1">IFERROR(IF(0=LEN(ReferenceData!$V$341),"",ReferenceData!$V$341),"")</f>
        <v>1.9552876E-2</v>
      </c>
      <c r="W341">
        <f ca="1">IFERROR(IF(0=LEN(ReferenceData!$W$341),"",ReferenceData!$W$341),"")</f>
        <v>1.8722840000000001E-2</v>
      </c>
      <c r="X341">
        <f ca="1">IFERROR(IF(0=LEN(ReferenceData!$X$341),"",ReferenceData!$X$341),"")</f>
        <v>1.8760203E-2</v>
      </c>
      <c r="Y341">
        <f ca="1">IFERROR(IF(0=LEN(ReferenceData!$Y$341),"",ReferenceData!$Y$341),"")</f>
        <v>1.3317417E-2</v>
      </c>
      <c r="Z341">
        <f ca="1">IFERROR(IF(0=LEN(ReferenceData!$Z$341),"",ReferenceData!$Z$341),"")</f>
        <v>1.8649176999999999E-2</v>
      </c>
      <c r="AA341">
        <f ca="1">IFERROR(IF(0=LEN(ReferenceData!$AA$341),"",ReferenceData!$AA$341),"")</f>
        <v>5.6840943999999997E-2</v>
      </c>
      <c r="AB341">
        <f ca="1">IFERROR(IF(0=LEN(ReferenceData!$AB$341),"",ReferenceData!$AB$341),"")</f>
        <v>0</v>
      </c>
      <c r="AC341">
        <f ca="1">IFERROR(IF(0=LEN(ReferenceData!$AC$341),"",ReferenceData!$AC$341),"")</f>
        <v>0</v>
      </c>
      <c r="AD341" t="str">
        <f ca="1">IFERROR(IF(0=LEN(ReferenceData!$AD$341),"",ReferenceData!$AD$341),"")</f>
        <v/>
      </c>
      <c r="AE341" t="str">
        <f ca="1">IFERROR(IF(0=LEN(ReferenceData!$AE$341),"",ReferenceData!$AE$341),"")</f>
        <v/>
      </c>
      <c r="AF341" t="str">
        <f ca="1">IFERROR(IF(0=LEN(ReferenceData!$AF$341),"",ReferenceData!$AF$341),"")</f>
        <v/>
      </c>
      <c r="AG341" t="str">
        <f ca="1">IFERROR(IF(0=LEN(ReferenceData!$AG$341),"",ReferenceData!$AG$341),"")</f>
        <v/>
      </c>
      <c r="AH341" t="str">
        <f ca="1">IFERROR(IF(0=LEN(ReferenceData!$AH$341),"",ReferenceData!$AH$341),"")</f>
        <v/>
      </c>
      <c r="AI341" t="str">
        <f ca="1">IFERROR(IF(0=LEN(ReferenceData!$AI$341),"",ReferenceData!$AI$341),"")</f>
        <v/>
      </c>
      <c r="AJ341" t="str">
        <f ca="1">IFERROR(IF(0=LEN(ReferenceData!$AJ$341),"",ReferenceData!$AJ$341),"")</f>
        <v/>
      </c>
      <c r="AK341" t="str">
        <f ca="1">IFERROR(IF(0=LEN(ReferenceData!$AK$341),"",ReferenceData!$AK$341),"")</f>
        <v/>
      </c>
      <c r="AL341" t="str">
        <f ca="1">IFERROR(IF(0=LEN(ReferenceData!$AL$341),"",ReferenceData!$AL$341),"")</f>
        <v/>
      </c>
    </row>
    <row r="342" spans="1:38" x14ac:dyDescent="0.25">
      <c r="A342" t="str">
        <f>IFERROR(IF(0=LEN(ReferenceData!$A$342),"",ReferenceData!$A$342),"")</f>
        <v xml:space="preserve">        PNC Financial Services Group I</v>
      </c>
      <c r="B342" t="str">
        <f>IFERROR(IF(0=LEN(ReferenceData!$B$342),"",ReferenceData!$B$342),"")</f>
        <v>PNC US Equity</v>
      </c>
      <c r="C342" t="str">
        <f>IFERROR(IF(0=LEN(ReferenceData!$C$342),"",ReferenceData!$C$342),"")</f>
        <v>F0125</v>
      </c>
      <c r="D342" t="str">
        <f>IFERROR(IF(0=LEN(ReferenceData!$D$342),"",ReferenceData!$D$342),"")</f>
        <v>FED_US_BANK_LOANS_%_TOT_LNS_LEAS</v>
      </c>
      <c r="E342" t="str">
        <f>IFERROR(IF(0=LEN(ReferenceData!$E$342),"",ReferenceData!$E$342),"")</f>
        <v>Dynamic</v>
      </c>
      <c r="F342" t="str">
        <f ca="1">IFERROR(IF(0=LEN(ReferenceData!$F$342),"",ReferenceData!$F$342),"")</f>
        <v/>
      </c>
      <c r="G342">
        <f ca="1">IFERROR(IF(0=LEN(ReferenceData!$G$342),"",ReferenceData!$G$342),"")</f>
        <v>1.5912839000000002E-2</v>
      </c>
      <c r="H342">
        <f ca="1">IFERROR(IF(0=LEN(ReferenceData!$H$342),"",ReferenceData!$H$342),"")</f>
        <v>1.3289252999999999E-2</v>
      </c>
      <c r="I342">
        <f ca="1">IFERROR(IF(0=LEN(ReferenceData!$I$342),"",ReferenceData!$I$342),"")</f>
        <v>3.03374E-3</v>
      </c>
      <c r="J342">
        <f ca="1">IFERROR(IF(0=LEN(ReferenceData!$J$342),"",ReferenceData!$J$342),"")</f>
        <v>6.7935579999999999E-3</v>
      </c>
      <c r="K342">
        <f ca="1">IFERROR(IF(0=LEN(ReferenceData!$K$342),"",ReferenceData!$K$342),"")</f>
        <v>3.248594E-3</v>
      </c>
      <c r="L342">
        <f ca="1">IFERROR(IF(0=LEN(ReferenceData!$L$342),"",ReferenceData!$L$342),"")</f>
        <v>4.8452410000000001E-3</v>
      </c>
      <c r="M342">
        <f ca="1">IFERROR(IF(0=LEN(ReferenceData!$M$342),"",ReferenceData!$M$342),"")</f>
        <v>8.0589449999999997E-3</v>
      </c>
      <c r="N342">
        <f ca="1">IFERROR(IF(0=LEN(ReferenceData!$N$342),"",ReferenceData!$N$342),"")</f>
        <v>9.4990700000000005E-4</v>
      </c>
      <c r="O342">
        <f ca="1">IFERROR(IF(0=LEN(ReferenceData!$O$342),"",ReferenceData!$O$342),"")</f>
        <v>2.2155421000000002E-2</v>
      </c>
      <c r="P342">
        <f ca="1">IFERROR(IF(0=LEN(ReferenceData!$P$342),"",ReferenceData!$P$342),"")</f>
        <v>1.9836739999999999E-2</v>
      </c>
      <c r="Q342">
        <f ca="1">IFERROR(IF(0=LEN(ReferenceData!$Q$342),"",ReferenceData!$Q$342),"")</f>
        <v>2.1245456999999999E-2</v>
      </c>
      <c r="R342">
        <f ca="1">IFERROR(IF(0=LEN(ReferenceData!$R$342),"",ReferenceData!$R$342),"")</f>
        <v>4.0117739999999999E-2</v>
      </c>
      <c r="S342">
        <f ca="1">IFERROR(IF(0=LEN(ReferenceData!$S$342),"",ReferenceData!$S$342),"")</f>
        <v>4.8852289999999996E-3</v>
      </c>
      <c r="T342">
        <f ca="1">IFERROR(IF(0=LEN(ReferenceData!$T$342),"",ReferenceData!$T$342),"")</f>
        <v>8.6812839999999992E-3</v>
      </c>
      <c r="U342">
        <f ca="1">IFERROR(IF(0=LEN(ReferenceData!$U$342),"",ReferenceData!$U$342),"")</f>
        <v>1.8106647E-2</v>
      </c>
      <c r="V342">
        <f ca="1">IFERROR(IF(0=LEN(ReferenceData!$V$342),"",ReferenceData!$V$342),"")</f>
        <v>1.3756536E-2</v>
      </c>
      <c r="W342">
        <f ca="1">IFERROR(IF(0=LEN(ReferenceData!$W$342),"",ReferenceData!$W$342),"")</f>
        <v>2.1337439E-2</v>
      </c>
      <c r="X342">
        <f ca="1">IFERROR(IF(0=LEN(ReferenceData!$X$342),"",ReferenceData!$X$342),"")</f>
        <v>1.0632005999999999E-2</v>
      </c>
      <c r="Y342">
        <f ca="1">IFERROR(IF(0=LEN(ReferenceData!$Y$342),"",ReferenceData!$Y$342),"")</f>
        <v>0</v>
      </c>
      <c r="Z342">
        <f ca="1">IFERROR(IF(0=LEN(ReferenceData!$Z$342),"",ReferenceData!$Z$342),"")</f>
        <v>2.21089E-6</v>
      </c>
      <c r="AA342">
        <f ca="1">IFERROR(IF(0=LEN(ReferenceData!$AA$342),"",ReferenceData!$AA$342),"")</f>
        <v>3.2626699999999998E-4</v>
      </c>
      <c r="AB342">
        <f ca="1">IFERROR(IF(0=LEN(ReferenceData!$AB$342),"",ReferenceData!$AB$342),"")</f>
        <v>7.8100499999999995E-5</v>
      </c>
      <c r="AC342">
        <f ca="1">IFERROR(IF(0=LEN(ReferenceData!$AC$342),"",ReferenceData!$AC$342),"")</f>
        <v>0</v>
      </c>
      <c r="AD342" t="str">
        <f ca="1">IFERROR(IF(0=LEN(ReferenceData!$AD$342),"",ReferenceData!$AD$342),"")</f>
        <v/>
      </c>
      <c r="AE342" t="str">
        <f ca="1">IFERROR(IF(0=LEN(ReferenceData!$AE$342),"",ReferenceData!$AE$342),"")</f>
        <v/>
      </c>
      <c r="AF342" t="str">
        <f ca="1">IFERROR(IF(0=LEN(ReferenceData!$AF$342),"",ReferenceData!$AF$342),"")</f>
        <v/>
      </c>
      <c r="AG342" t="str">
        <f ca="1">IFERROR(IF(0=LEN(ReferenceData!$AG$342),"",ReferenceData!$AG$342),"")</f>
        <v/>
      </c>
      <c r="AH342" t="str">
        <f ca="1">IFERROR(IF(0=LEN(ReferenceData!$AH$342),"",ReferenceData!$AH$342),"")</f>
        <v/>
      </c>
      <c r="AI342" t="str">
        <f ca="1">IFERROR(IF(0=LEN(ReferenceData!$AI$342),"",ReferenceData!$AI$342),"")</f>
        <v/>
      </c>
      <c r="AJ342" t="str">
        <f ca="1">IFERROR(IF(0=LEN(ReferenceData!$AJ$342),"",ReferenceData!$AJ$342),"")</f>
        <v/>
      </c>
      <c r="AK342" t="str">
        <f ca="1">IFERROR(IF(0=LEN(ReferenceData!$AK$342),"",ReferenceData!$AK$342),"")</f>
        <v/>
      </c>
      <c r="AL342" t="str">
        <f ca="1">IFERROR(IF(0=LEN(ReferenceData!$AL$342),"",ReferenceData!$AL$342),"")</f>
        <v/>
      </c>
    </row>
    <row r="343" spans="1:38" x14ac:dyDescent="0.25">
      <c r="A343" t="str">
        <f>IFERROR(IF(0=LEN(ReferenceData!$A$343),"",ReferenceData!$A$343),"")</f>
        <v xml:space="preserve">        Regions Financial Corp</v>
      </c>
      <c r="B343" t="str">
        <f>IFERROR(IF(0=LEN(ReferenceData!$B$343),"",ReferenceData!$B$343),"")</f>
        <v>RF US Equity</v>
      </c>
      <c r="C343" t="str">
        <f>IFERROR(IF(0=LEN(ReferenceData!$C$343),"",ReferenceData!$C$343),"")</f>
        <v>F0125</v>
      </c>
      <c r="D343" t="str">
        <f>IFERROR(IF(0=LEN(ReferenceData!$D$343),"",ReferenceData!$D$343),"")</f>
        <v>FED_US_BANK_LOANS_%_TOT_LNS_LEAS</v>
      </c>
      <c r="E343" t="str">
        <f>IFERROR(IF(0=LEN(ReferenceData!$E$343),"",ReferenceData!$E$343),"")</f>
        <v>Dynamic</v>
      </c>
      <c r="F343" t="str">
        <f ca="1">IFERROR(IF(0=LEN(ReferenceData!$F$343),"",ReferenceData!$F$343),"")</f>
        <v/>
      </c>
      <c r="G343">
        <f ca="1">IFERROR(IF(0=LEN(ReferenceData!$G$343),"",ReferenceData!$G$343),"")</f>
        <v>0</v>
      </c>
      <c r="H343">
        <f ca="1">IFERROR(IF(0=LEN(ReferenceData!$H$343),"",ReferenceData!$H$343),"")</f>
        <v>0</v>
      </c>
      <c r="I343">
        <f ca="1">IFERROR(IF(0=LEN(ReferenceData!$I$343),"",ReferenceData!$I$343),"")</f>
        <v>0</v>
      </c>
      <c r="J343">
        <f ca="1">IFERROR(IF(0=LEN(ReferenceData!$J$343),"",ReferenceData!$J$343),"")</f>
        <v>0</v>
      </c>
      <c r="K343">
        <f ca="1">IFERROR(IF(0=LEN(ReferenceData!$K$343),"",ReferenceData!$K$343),"")</f>
        <v>0</v>
      </c>
      <c r="L343">
        <f ca="1">IFERROR(IF(0=LEN(ReferenceData!$L$343),"",ReferenceData!$L$343),"")</f>
        <v>0</v>
      </c>
      <c r="M343">
        <f ca="1">IFERROR(IF(0=LEN(ReferenceData!$M$343),"",ReferenceData!$M$343),"")</f>
        <v>1.6937399999999999E-4</v>
      </c>
      <c r="N343">
        <f ca="1">IFERROR(IF(0=LEN(ReferenceData!$N$343),"",ReferenceData!$N$343),"")</f>
        <v>2.1716930000000001E-3</v>
      </c>
      <c r="O343">
        <f ca="1">IFERROR(IF(0=LEN(ReferenceData!$O$343),"",ReferenceData!$O$343),"")</f>
        <v>5.6059179999999997E-3</v>
      </c>
      <c r="P343">
        <f ca="1">IFERROR(IF(0=LEN(ReferenceData!$P$343),"",ReferenceData!$P$343),"")</f>
        <v>0</v>
      </c>
      <c r="Q343">
        <f ca="1">IFERROR(IF(0=LEN(ReferenceData!$Q$343),"",ReferenceData!$Q$343),"")</f>
        <v>0</v>
      </c>
      <c r="R343">
        <f ca="1">IFERROR(IF(0=LEN(ReferenceData!$R$343),"",ReferenceData!$R$343),"")</f>
        <v>0</v>
      </c>
      <c r="S343">
        <f ca="1">IFERROR(IF(0=LEN(ReferenceData!$S$343),"",ReferenceData!$S$343),"")</f>
        <v>0</v>
      </c>
      <c r="T343">
        <f ca="1">IFERROR(IF(0=LEN(ReferenceData!$T$343),"",ReferenceData!$T$343),"")</f>
        <v>0</v>
      </c>
      <c r="U343">
        <f ca="1">IFERROR(IF(0=LEN(ReferenceData!$U$343),"",ReferenceData!$U$343),"")</f>
        <v>0</v>
      </c>
      <c r="V343">
        <f ca="1">IFERROR(IF(0=LEN(ReferenceData!$V$343),"",ReferenceData!$V$343),"")</f>
        <v>0.14714556400000001</v>
      </c>
      <c r="W343">
        <f ca="1">IFERROR(IF(0=LEN(ReferenceData!$W$343),"",ReferenceData!$W$343),"")</f>
        <v>0.207194979</v>
      </c>
      <c r="X343">
        <f ca="1">IFERROR(IF(0=LEN(ReferenceData!$X$343),"",ReferenceData!$X$343),"")</f>
        <v>0.183742711</v>
      </c>
      <c r="Y343">
        <f ca="1">IFERROR(IF(0=LEN(ReferenceData!$Y$343),"",ReferenceData!$Y$343),"")</f>
        <v>0.11957463</v>
      </c>
      <c r="Z343">
        <f ca="1">IFERROR(IF(0=LEN(ReferenceData!$Z$343),"",ReferenceData!$Z$343),"")</f>
        <v>4.7459962000000001E-2</v>
      </c>
      <c r="AA343" t="str">
        <f ca="1">IFERROR(IF(0=LEN(ReferenceData!$AA$343),"",ReferenceData!$AA$343),"")</f>
        <v/>
      </c>
      <c r="AB343" t="str">
        <f ca="1">IFERROR(IF(0=LEN(ReferenceData!$AB$343),"",ReferenceData!$AB$343),"")</f>
        <v/>
      </c>
      <c r="AC343" t="str">
        <f ca="1">IFERROR(IF(0=LEN(ReferenceData!$AC$343),"",ReferenceData!$AC$343),"")</f>
        <v/>
      </c>
      <c r="AD343" t="str">
        <f ca="1">IFERROR(IF(0=LEN(ReferenceData!$AD$343),"",ReferenceData!$AD$343),"")</f>
        <v/>
      </c>
      <c r="AE343" t="str">
        <f ca="1">IFERROR(IF(0=LEN(ReferenceData!$AE$343),"",ReferenceData!$AE$343),"")</f>
        <v/>
      </c>
      <c r="AF343" t="str">
        <f ca="1">IFERROR(IF(0=LEN(ReferenceData!$AF$343),"",ReferenceData!$AF$343),"")</f>
        <v/>
      </c>
      <c r="AG343" t="str">
        <f ca="1">IFERROR(IF(0=LEN(ReferenceData!$AG$343),"",ReferenceData!$AG$343),"")</f>
        <v/>
      </c>
      <c r="AH343" t="str">
        <f ca="1">IFERROR(IF(0=LEN(ReferenceData!$AH$343),"",ReferenceData!$AH$343),"")</f>
        <v/>
      </c>
      <c r="AI343" t="str">
        <f ca="1">IFERROR(IF(0=LEN(ReferenceData!$AI$343),"",ReferenceData!$AI$343),"")</f>
        <v/>
      </c>
      <c r="AJ343" t="str">
        <f ca="1">IFERROR(IF(0=LEN(ReferenceData!$AJ$343),"",ReferenceData!$AJ$343),"")</f>
        <v/>
      </c>
      <c r="AK343" t="str">
        <f ca="1">IFERROR(IF(0=LEN(ReferenceData!$AK$343),"",ReferenceData!$AK$343),"")</f>
        <v/>
      </c>
      <c r="AL343" t="str">
        <f ca="1">IFERROR(IF(0=LEN(ReferenceData!$AL$343),"",ReferenceData!$AL$343),"")</f>
        <v/>
      </c>
    </row>
    <row r="344" spans="1:38" x14ac:dyDescent="0.25">
      <c r="A344" t="str">
        <f>IFERROR(IF(0=LEN(ReferenceData!$A$344),"",ReferenceData!$A$344),"")</f>
        <v xml:space="preserve">        Truist Financial Corp</v>
      </c>
      <c r="B344" t="str">
        <f>IFERROR(IF(0=LEN(ReferenceData!$B$344),"",ReferenceData!$B$344),"")</f>
        <v>TFC US Equity</v>
      </c>
      <c r="C344" t="str">
        <f>IFERROR(IF(0=LEN(ReferenceData!$C$344),"",ReferenceData!$C$344),"")</f>
        <v>F0125</v>
      </c>
      <c r="D344" t="str">
        <f>IFERROR(IF(0=LEN(ReferenceData!$D$344),"",ReferenceData!$D$344),"")</f>
        <v>FED_US_BANK_LOANS_%_TOT_LNS_LEAS</v>
      </c>
      <c r="E344" t="str">
        <f>IFERROR(IF(0=LEN(ReferenceData!$E$344),"",ReferenceData!$E$344),"")</f>
        <v>Dynamic</v>
      </c>
      <c r="F344">
        <f ca="1">IFERROR(IF(0=LEN(ReferenceData!$F$344),"",ReferenceData!$F$344),"")</f>
        <v>0</v>
      </c>
      <c r="G344">
        <f ca="1">IFERROR(IF(0=LEN(ReferenceData!$G$344),"",ReferenceData!$G$344),"")</f>
        <v>0</v>
      </c>
      <c r="H344">
        <f ca="1">IFERROR(IF(0=LEN(ReferenceData!$H$344),"",ReferenceData!$H$344),"")</f>
        <v>0</v>
      </c>
      <c r="I344">
        <f ca="1">IFERROR(IF(0=LEN(ReferenceData!$I$344),"",ReferenceData!$I$344),"")</f>
        <v>0</v>
      </c>
      <c r="J344">
        <f ca="1">IFERROR(IF(0=LEN(ReferenceData!$J$344),"",ReferenceData!$J$344),"")</f>
        <v>3.2701900000000001E-4</v>
      </c>
      <c r="K344">
        <f ca="1">IFERROR(IF(0=LEN(ReferenceData!$K$344),"",ReferenceData!$K$344),"")</f>
        <v>3.3418231E-2</v>
      </c>
      <c r="L344">
        <f ca="1">IFERROR(IF(0=LEN(ReferenceData!$L$344),"",ReferenceData!$L$344),"")</f>
        <v>6.6666200000000005E-4</v>
      </c>
      <c r="M344">
        <f ca="1">IFERROR(IF(0=LEN(ReferenceData!$M$344),"",ReferenceData!$M$344),"")</f>
        <v>1.3812150000000001E-3</v>
      </c>
      <c r="N344">
        <f ca="1">IFERROR(IF(0=LEN(ReferenceData!$N$344),"",ReferenceData!$N$344),"")</f>
        <v>5.7295499999999999E-4</v>
      </c>
      <c r="O344">
        <f ca="1">IFERROR(IF(0=LEN(ReferenceData!$O$344),"",ReferenceData!$O$344),"")</f>
        <v>3.3018000000000001E-3</v>
      </c>
      <c r="P344">
        <f ca="1">IFERROR(IF(0=LEN(ReferenceData!$P$344),"",ReferenceData!$P$344),"")</f>
        <v>6.1678159999999996E-3</v>
      </c>
      <c r="Q344">
        <f ca="1">IFERROR(IF(0=LEN(ReferenceData!$Q$344),"",ReferenceData!$Q$344),"")</f>
        <v>1.1715086E-2</v>
      </c>
      <c r="R344">
        <f ca="1">IFERROR(IF(0=LEN(ReferenceData!$R$344),"",ReferenceData!$R$344),"")</f>
        <v>0</v>
      </c>
      <c r="S344">
        <f ca="1">IFERROR(IF(0=LEN(ReferenceData!$S$344),"",ReferenceData!$S$344),"")</f>
        <v>0</v>
      </c>
      <c r="T344">
        <f ca="1">IFERROR(IF(0=LEN(ReferenceData!$T$344),"",ReferenceData!$T$344),"")</f>
        <v>2.5171600000000001E-5</v>
      </c>
      <c r="U344">
        <f ca="1">IFERROR(IF(0=LEN(ReferenceData!$U$344),"",ReferenceData!$U$344),"")</f>
        <v>1.7628716999999999E-2</v>
      </c>
      <c r="V344">
        <f ca="1">IFERROR(IF(0=LEN(ReferenceData!$V$344),"",ReferenceData!$V$344),"")</f>
        <v>1.3542960000000001E-3</v>
      </c>
      <c r="W344">
        <f ca="1">IFERROR(IF(0=LEN(ReferenceData!$W$344),"",ReferenceData!$W$344),"")</f>
        <v>6.9746469999999996E-3</v>
      </c>
      <c r="X344">
        <f ca="1">IFERROR(IF(0=LEN(ReferenceData!$X$344),"",ReferenceData!$X$344),"")</f>
        <v>9.8395949999999996E-3</v>
      </c>
      <c r="Y344">
        <f ca="1">IFERROR(IF(0=LEN(ReferenceData!$Y$344),"",ReferenceData!$Y$344),"")</f>
        <v>1.1998949E-2</v>
      </c>
      <c r="Z344">
        <f ca="1">IFERROR(IF(0=LEN(ReferenceData!$Z$344),"",ReferenceData!$Z$344),"")</f>
        <v>1.4536801E-2</v>
      </c>
      <c r="AA344">
        <f ca="1">IFERROR(IF(0=LEN(ReferenceData!$AA$344),"",ReferenceData!$AA$344),"")</f>
        <v>5.5759131000000003E-2</v>
      </c>
      <c r="AB344">
        <f ca="1">IFERROR(IF(0=LEN(ReferenceData!$AB$344),"",ReferenceData!$AB$344),"")</f>
        <v>9.7065769999999996E-2</v>
      </c>
      <c r="AC344">
        <f ca="1">IFERROR(IF(0=LEN(ReferenceData!$AC$344),"",ReferenceData!$AC$344),"")</f>
        <v>6.7932352000000001E-2</v>
      </c>
      <c r="AD344" t="str">
        <f ca="1">IFERROR(IF(0=LEN(ReferenceData!$AD$344),"",ReferenceData!$AD$344),"")</f>
        <v/>
      </c>
      <c r="AE344" t="str">
        <f ca="1">IFERROR(IF(0=LEN(ReferenceData!$AE$344),"",ReferenceData!$AE$344),"")</f>
        <v/>
      </c>
      <c r="AF344" t="str">
        <f ca="1">IFERROR(IF(0=LEN(ReferenceData!$AF$344),"",ReferenceData!$AF$344),"")</f>
        <v/>
      </c>
      <c r="AG344" t="str">
        <f ca="1">IFERROR(IF(0=LEN(ReferenceData!$AG$344),"",ReferenceData!$AG$344),"")</f>
        <v/>
      </c>
      <c r="AH344" t="str">
        <f ca="1">IFERROR(IF(0=LEN(ReferenceData!$AH$344),"",ReferenceData!$AH$344),"")</f>
        <v/>
      </c>
      <c r="AI344" t="str">
        <f ca="1">IFERROR(IF(0=LEN(ReferenceData!$AI$344),"",ReferenceData!$AI$344),"")</f>
        <v/>
      </c>
      <c r="AJ344" t="str">
        <f ca="1">IFERROR(IF(0=LEN(ReferenceData!$AJ$344),"",ReferenceData!$AJ$344),"")</f>
        <v/>
      </c>
      <c r="AK344" t="str">
        <f ca="1">IFERROR(IF(0=LEN(ReferenceData!$AK$344),"",ReferenceData!$AK$344),"")</f>
        <v/>
      </c>
      <c r="AL344" t="str">
        <f ca="1">IFERROR(IF(0=LEN(ReferenceData!$AL$344),"",ReferenceData!$AL$344),"")</f>
        <v/>
      </c>
    </row>
    <row r="345" spans="1:38" x14ac:dyDescent="0.25">
      <c r="A345" t="str">
        <f>IFERROR(IF(0=LEN(ReferenceData!$A$345),"",ReferenceData!$A$345),"")</f>
        <v xml:space="preserve">        US Bancorp</v>
      </c>
      <c r="B345" t="str">
        <f>IFERROR(IF(0=LEN(ReferenceData!$B$345),"",ReferenceData!$B$345),"")</f>
        <v>USB US Equity</v>
      </c>
      <c r="C345" t="str">
        <f>IFERROR(IF(0=LEN(ReferenceData!$C$345),"",ReferenceData!$C$345),"")</f>
        <v>F0125</v>
      </c>
      <c r="D345" t="str">
        <f>IFERROR(IF(0=LEN(ReferenceData!$D$345),"",ReferenceData!$D$345),"")</f>
        <v>FED_US_BANK_LOANS_%_TOT_LNS_LEAS</v>
      </c>
      <c r="E345" t="str">
        <f>IFERROR(IF(0=LEN(ReferenceData!$E$345),"",ReferenceData!$E$345),"")</f>
        <v>Dynamic</v>
      </c>
      <c r="F345">
        <f ca="1">IFERROR(IF(0=LEN(ReferenceData!$F$345),"",ReferenceData!$F$345),"")</f>
        <v>1.4905663E-2</v>
      </c>
      <c r="G345">
        <f ca="1">IFERROR(IF(0=LEN(ReferenceData!$G$345),"",ReferenceData!$G$345),"")</f>
        <v>2.1008626999999998E-2</v>
      </c>
      <c r="H345">
        <f ca="1">IFERROR(IF(0=LEN(ReferenceData!$H$345),"",ReferenceData!$H$345),"")</f>
        <v>2.0234981999999999E-2</v>
      </c>
      <c r="I345">
        <f ca="1">IFERROR(IF(0=LEN(ReferenceData!$I$345),"",ReferenceData!$I$345),"")</f>
        <v>1.8761549999999998E-2</v>
      </c>
      <c r="J345">
        <f ca="1">IFERROR(IF(0=LEN(ReferenceData!$J$345),"",ReferenceData!$J$345),"")</f>
        <v>1.7946409E-2</v>
      </c>
      <c r="K345">
        <f ca="1">IFERROR(IF(0=LEN(ReferenceData!$K$345),"",ReferenceData!$K$345),"")</f>
        <v>2.1877486000000002E-2</v>
      </c>
      <c r="L345">
        <f ca="1">IFERROR(IF(0=LEN(ReferenceData!$L$345),"",ReferenceData!$L$345),"")</f>
        <v>2.5971866999999999E-2</v>
      </c>
      <c r="M345">
        <f ca="1">IFERROR(IF(0=LEN(ReferenceData!$M$345),"",ReferenceData!$M$345),"")</f>
        <v>1.5524224999999999E-2</v>
      </c>
      <c r="N345">
        <f ca="1">IFERROR(IF(0=LEN(ReferenceData!$N$345),"",ReferenceData!$N$345),"")</f>
        <v>3.7514113000000002E-2</v>
      </c>
      <c r="O345">
        <f ca="1">IFERROR(IF(0=LEN(ReferenceData!$O$345),"",ReferenceData!$O$345),"")</f>
        <v>1.8250881E-2</v>
      </c>
      <c r="P345">
        <f ca="1">IFERROR(IF(0=LEN(ReferenceData!$P$345),"",ReferenceData!$P$345),"")</f>
        <v>8.1918972000000007E-2</v>
      </c>
      <c r="Q345">
        <f ca="1">IFERROR(IF(0=LEN(ReferenceData!$Q$345),"",ReferenceData!$Q$345),"")</f>
        <v>0.154071498</v>
      </c>
      <c r="R345">
        <f ca="1">IFERROR(IF(0=LEN(ReferenceData!$R$345),"",ReferenceData!$R$345),"")</f>
        <v>0.21388979499999999</v>
      </c>
      <c r="S345">
        <f ca="1">IFERROR(IF(0=LEN(ReferenceData!$S$345),"",ReferenceData!$S$345),"")</f>
        <v>0.23686848699999999</v>
      </c>
      <c r="T345">
        <f ca="1">IFERROR(IF(0=LEN(ReferenceData!$T$345),"",ReferenceData!$T$345),"")</f>
        <v>0.35294989999999998</v>
      </c>
      <c r="U345">
        <f ca="1">IFERROR(IF(0=LEN(ReferenceData!$U$345),"",ReferenceData!$U$345),"")</f>
        <v>0.32176096500000001</v>
      </c>
      <c r="V345">
        <f ca="1">IFERROR(IF(0=LEN(ReferenceData!$V$345),"",ReferenceData!$V$345),"")</f>
        <v>0.42197008000000003</v>
      </c>
      <c r="W345">
        <f ca="1">IFERROR(IF(0=LEN(ReferenceData!$W$345),"",ReferenceData!$W$345),"")</f>
        <v>0.49355168100000002</v>
      </c>
      <c r="X345">
        <f ca="1">IFERROR(IF(0=LEN(ReferenceData!$X$345),"",ReferenceData!$X$345),"")</f>
        <v>0.410614696</v>
      </c>
      <c r="Y345">
        <f ca="1">IFERROR(IF(0=LEN(ReferenceData!$Y$345),"",ReferenceData!$Y$345),"")</f>
        <v>0.29894187500000002</v>
      </c>
      <c r="Z345">
        <f ca="1">IFERROR(IF(0=LEN(ReferenceData!$Z$345),"",ReferenceData!$Z$345),"")</f>
        <v>0.244219359</v>
      </c>
      <c r="AA345">
        <f ca="1">IFERROR(IF(0=LEN(ReferenceData!$AA$345),"",ReferenceData!$AA$345),"")</f>
        <v>0.20222615899999999</v>
      </c>
      <c r="AB345">
        <f ca="1">IFERROR(IF(0=LEN(ReferenceData!$AB$345),"",ReferenceData!$AB$345),"")</f>
        <v>0.19184453100000001</v>
      </c>
      <c r="AC345">
        <f ca="1">IFERROR(IF(0=LEN(ReferenceData!$AC$345),"",ReferenceData!$AC$345),"")</f>
        <v>7.6775432000000005E-2</v>
      </c>
      <c r="AD345" t="str">
        <f ca="1">IFERROR(IF(0=LEN(ReferenceData!$AD$345),"",ReferenceData!$AD$345),"")</f>
        <v/>
      </c>
      <c r="AE345" t="str">
        <f ca="1">IFERROR(IF(0=LEN(ReferenceData!$AE$345),"",ReferenceData!$AE$345),"")</f>
        <v/>
      </c>
      <c r="AF345" t="str">
        <f ca="1">IFERROR(IF(0=LEN(ReferenceData!$AF$345),"",ReferenceData!$AF$345),"")</f>
        <v/>
      </c>
      <c r="AG345" t="str">
        <f ca="1">IFERROR(IF(0=LEN(ReferenceData!$AG$345),"",ReferenceData!$AG$345),"")</f>
        <v/>
      </c>
      <c r="AH345" t="str">
        <f ca="1">IFERROR(IF(0=LEN(ReferenceData!$AH$345),"",ReferenceData!$AH$345),"")</f>
        <v/>
      </c>
      <c r="AI345" t="str">
        <f ca="1">IFERROR(IF(0=LEN(ReferenceData!$AI$345),"",ReferenceData!$AI$345),"")</f>
        <v/>
      </c>
      <c r="AJ345" t="str">
        <f ca="1">IFERROR(IF(0=LEN(ReferenceData!$AJ$345),"",ReferenceData!$AJ$345),"")</f>
        <v/>
      </c>
      <c r="AK345" t="str">
        <f ca="1">IFERROR(IF(0=LEN(ReferenceData!$AK$345),"",ReferenceData!$AK$345),"")</f>
        <v/>
      </c>
      <c r="AL345" t="str">
        <f ca="1">IFERROR(IF(0=LEN(ReferenceData!$AL$345),"",ReferenceData!$AL$345),"")</f>
        <v/>
      </c>
    </row>
    <row r="346" spans="1:38" x14ac:dyDescent="0.25">
      <c r="A346" t="str">
        <f>IFERROR(IF(0=LEN(ReferenceData!$A$346),"",ReferenceData!$A$346),"")</f>
        <v xml:space="preserve">        Wells Fargo &amp; Co</v>
      </c>
      <c r="B346" t="str">
        <f>IFERROR(IF(0=LEN(ReferenceData!$B$346),"",ReferenceData!$B$346),"")</f>
        <v>WFC US Equity</v>
      </c>
      <c r="C346" t="str">
        <f>IFERROR(IF(0=LEN(ReferenceData!$C$346),"",ReferenceData!$C$346),"")</f>
        <v>F0125</v>
      </c>
      <c r="D346" t="str">
        <f>IFERROR(IF(0=LEN(ReferenceData!$D$346),"",ReferenceData!$D$346),"")</f>
        <v>FED_US_BANK_LOANS_%_TOT_LNS_LEAS</v>
      </c>
      <c r="E346" t="str">
        <f>IFERROR(IF(0=LEN(ReferenceData!$E$346),"",ReferenceData!$E$346),"")</f>
        <v>Dynamic</v>
      </c>
      <c r="F346">
        <f ca="1">IFERROR(IF(0=LEN(ReferenceData!$F$346),"",ReferenceData!$F$346),"")</f>
        <v>2.3158819000000001E-2</v>
      </c>
      <c r="G346">
        <f ca="1">IFERROR(IF(0=LEN(ReferenceData!$G$346),"",ReferenceData!$G$346),"")</f>
        <v>5.9585560000000003E-3</v>
      </c>
      <c r="H346">
        <f ca="1">IFERROR(IF(0=LEN(ReferenceData!$H$346),"",ReferenceData!$H$346),"")</f>
        <v>6.344194E-3</v>
      </c>
      <c r="I346">
        <f ca="1">IFERROR(IF(0=LEN(ReferenceData!$I$346),"",ReferenceData!$I$346),"")</f>
        <v>2.4904368999999999E-2</v>
      </c>
      <c r="J346">
        <f ca="1">IFERROR(IF(0=LEN(ReferenceData!$J$346),"",ReferenceData!$J$346),"")</f>
        <v>3.4579789999999999E-3</v>
      </c>
      <c r="K346">
        <f ca="1">IFERROR(IF(0=LEN(ReferenceData!$K$346),"",ReferenceData!$K$346),"")</f>
        <v>3.3578290000000001E-3</v>
      </c>
      <c r="L346">
        <f ca="1">IFERROR(IF(0=LEN(ReferenceData!$L$346),"",ReferenceData!$L$346),"")</f>
        <v>5.3894720000000002E-3</v>
      </c>
      <c r="M346">
        <f ca="1">IFERROR(IF(0=LEN(ReferenceData!$M$346),"",ReferenceData!$M$346),"")</f>
        <v>4.11168E-4</v>
      </c>
      <c r="N346">
        <f ca="1">IFERROR(IF(0=LEN(ReferenceData!$N$346),"",ReferenceData!$N$346),"")</f>
        <v>3.0340599999999999E-4</v>
      </c>
      <c r="O346">
        <f ca="1">IFERROR(IF(0=LEN(ReferenceData!$O$346),"",ReferenceData!$O$346),"")</f>
        <v>6.5456400000000001E-3</v>
      </c>
      <c r="P346">
        <f ca="1">IFERROR(IF(0=LEN(ReferenceData!$P$346),"",ReferenceData!$P$346),"")</f>
        <v>2.3918099999999999E-3</v>
      </c>
      <c r="Q346">
        <f ca="1">IFERROR(IF(0=LEN(ReferenceData!$Q$346),"",ReferenceData!$Q$346),"")</f>
        <v>4.0476770000000004E-3</v>
      </c>
      <c r="R346">
        <f ca="1">IFERROR(IF(0=LEN(ReferenceData!$R$346),"",ReferenceData!$R$346),"")</f>
        <v>3.5871499000000001E-2</v>
      </c>
      <c r="S346">
        <f ca="1">IFERROR(IF(0=LEN(ReferenceData!$S$346),"",ReferenceData!$S$346),"")</f>
        <v>5.4434986999999997E-2</v>
      </c>
      <c r="T346">
        <f ca="1">IFERROR(IF(0=LEN(ReferenceData!$T$346),"",ReferenceData!$T$346),"")</f>
        <v>0.17120248499999999</v>
      </c>
      <c r="U346">
        <f ca="1">IFERROR(IF(0=LEN(ReferenceData!$U$346),"",ReferenceData!$U$346),"")</f>
        <v>5.570344E-2</v>
      </c>
      <c r="V346">
        <f ca="1">IFERROR(IF(0=LEN(ReferenceData!$V$346),"",ReferenceData!$V$346),"")</f>
        <v>6.8113776000000001E-2</v>
      </c>
      <c r="W346">
        <f ca="1">IFERROR(IF(0=LEN(ReferenceData!$W$346),"",ReferenceData!$W$346),"")</f>
        <v>2.7319871999999999E-2</v>
      </c>
      <c r="X346">
        <f ca="1">IFERROR(IF(0=LEN(ReferenceData!$X$346),"",ReferenceData!$X$346),"")</f>
        <v>0.38542376900000003</v>
      </c>
      <c r="Y346">
        <f ca="1">IFERROR(IF(0=LEN(ReferenceData!$Y$346),"",ReferenceData!$Y$346),"")</f>
        <v>4.2899799000000002E-2</v>
      </c>
      <c r="Z346">
        <f ca="1">IFERROR(IF(0=LEN(ReferenceData!$Z$346),"",ReferenceData!$Z$346),"")</f>
        <v>5.0912749E-2</v>
      </c>
      <c r="AA346">
        <f ca="1">IFERROR(IF(0=LEN(ReferenceData!$AA$346),"",ReferenceData!$AA$346),"")</f>
        <v>2.7969903000000001E-2</v>
      </c>
      <c r="AB346">
        <f ca="1">IFERROR(IF(0=LEN(ReferenceData!$AB$346),"",ReferenceData!$AB$346),"")</f>
        <v>3.5369989999999997E-2</v>
      </c>
      <c r="AC346">
        <f ca="1">IFERROR(IF(0=LEN(ReferenceData!$AC$346),"",ReferenceData!$AC$346),"")</f>
        <v>4.0452879999999997E-2</v>
      </c>
      <c r="AD346" t="str">
        <f ca="1">IFERROR(IF(0=LEN(ReferenceData!$AD$346),"",ReferenceData!$AD$346),"")</f>
        <v/>
      </c>
      <c r="AE346" t="str">
        <f ca="1">IFERROR(IF(0=LEN(ReferenceData!$AE$346),"",ReferenceData!$AE$346),"")</f>
        <v/>
      </c>
      <c r="AF346" t="str">
        <f ca="1">IFERROR(IF(0=LEN(ReferenceData!$AF$346),"",ReferenceData!$AF$346),"")</f>
        <v/>
      </c>
      <c r="AG346" t="str">
        <f ca="1">IFERROR(IF(0=LEN(ReferenceData!$AG$346),"",ReferenceData!$AG$346),"")</f>
        <v/>
      </c>
      <c r="AH346" t="str">
        <f ca="1">IFERROR(IF(0=LEN(ReferenceData!$AH$346),"",ReferenceData!$AH$346),"")</f>
        <v/>
      </c>
      <c r="AI346" t="str">
        <f ca="1">IFERROR(IF(0=LEN(ReferenceData!$AI$346),"",ReferenceData!$AI$346),"")</f>
        <v/>
      </c>
      <c r="AJ346" t="str">
        <f ca="1">IFERROR(IF(0=LEN(ReferenceData!$AJ$346),"",ReferenceData!$AJ$346),"")</f>
        <v/>
      </c>
      <c r="AK346" t="str">
        <f ca="1">IFERROR(IF(0=LEN(ReferenceData!$AK$346),"",ReferenceData!$AK$346),"")</f>
        <v/>
      </c>
      <c r="AL346" t="str">
        <f ca="1">IFERROR(IF(0=LEN(ReferenceData!$AL$346),"",ReferenceData!$AL$346),"")</f>
        <v/>
      </c>
    </row>
    <row r="347" spans="1:38" x14ac:dyDescent="0.25">
      <c r="A347" t="str">
        <f>IFERROR(IF(0=LEN(ReferenceData!$A$347),"",ReferenceData!$A$347),"")</f>
        <v xml:space="preserve">        Western Alliance Bancorp</v>
      </c>
      <c r="B347" t="str">
        <f>IFERROR(IF(0=LEN(ReferenceData!$B$347),"",ReferenceData!$B$347),"")</f>
        <v>WAL US Equity</v>
      </c>
      <c r="C347" t="str">
        <f>IFERROR(IF(0=LEN(ReferenceData!$C$347),"",ReferenceData!$C$347),"")</f>
        <v>F0125</v>
      </c>
      <c r="D347" t="str">
        <f>IFERROR(IF(0=LEN(ReferenceData!$D$347),"",ReferenceData!$D$347),"")</f>
        <v>FED_US_BANK_LOANS_%_TOT_LNS_LEAS</v>
      </c>
      <c r="E347" t="str">
        <f>IFERROR(IF(0=LEN(ReferenceData!$E$347),"",ReferenceData!$E$347),"")</f>
        <v>Dynamic</v>
      </c>
      <c r="F347">
        <f ca="1">IFERROR(IF(0=LEN(ReferenceData!$F$347),"",ReferenceData!$F$347),"")</f>
        <v>0</v>
      </c>
      <c r="G347">
        <f ca="1">IFERROR(IF(0=LEN(ReferenceData!$G$347),"",ReferenceData!$G$347),"")</f>
        <v>0</v>
      </c>
      <c r="H347">
        <f ca="1">IFERROR(IF(0=LEN(ReferenceData!$H$347),"",ReferenceData!$H$347),"")</f>
        <v>0</v>
      </c>
      <c r="I347">
        <f ca="1">IFERROR(IF(0=LEN(ReferenceData!$I$347),"",ReferenceData!$I$347),"")</f>
        <v>0</v>
      </c>
      <c r="J347">
        <f ca="1">IFERROR(IF(0=LEN(ReferenceData!$J$347),"",ReferenceData!$J$347),"")</f>
        <v>0</v>
      </c>
      <c r="K347">
        <f ca="1">IFERROR(IF(0=LEN(ReferenceData!$K$347),"",ReferenceData!$K$347),"")</f>
        <v>0</v>
      </c>
      <c r="L347">
        <f ca="1">IFERROR(IF(0=LEN(ReferenceData!$L$347),"",ReferenceData!$L$347),"")</f>
        <v>0</v>
      </c>
      <c r="M347">
        <f ca="1">IFERROR(IF(0=LEN(ReferenceData!$M$347),"",ReferenceData!$M$347),"")</f>
        <v>0</v>
      </c>
      <c r="N347">
        <f ca="1">IFERROR(IF(0=LEN(ReferenceData!$N$347),"",ReferenceData!$N$347),"")</f>
        <v>0</v>
      </c>
      <c r="O347">
        <f ca="1">IFERROR(IF(0=LEN(ReferenceData!$O$347),"",ReferenceData!$O$347),"")</f>
        <v>0</v>
      </c>
      <c r="P347">
        <f ca="1">IFERROR(IF(0=LEN(ReferenceData!$P$347),"",ReferenceData!$P$347),"")</f>
        <v>0</v>
      </c>
      <c r="Q347">
        <f ca="1">IFERROR(IF(0=LEN(ReferenceData!$Q$347),"",ReferenceData!$Q$347),"")</f>
        <v>0</v>
      </c>
      <c r="R347">
        <f ca="1">IFERROR(IF(0=LEN(ReferenceData!$R$347),"",ReferenceData!$R$347),"")</f>
        <v>0</v>
      </c>
      <c r="S347">
        <f ca="1">IFERROR(IF(0=LEN(ReferenceData!$S$347),"",ReferenceData!$S$347),"")</f>
        <v>0</v>
      </c>
      <c r="T347">
        <f ca="1">IFERROR(IF(0=LEN(ReferenceData!$T$347),"",ReferenceData!$T$347),"")</f>
        <v>0</v>
      </c>
      <c r="U347">
        <f ca="1">IFERROR(IF(0=LEN(ReferenceData!$U$347),"",ReferenceData!$U$347),"")</f>
        <v>0</v>
      </c>
      <c r="V347">
        <f ca="1">IFERROR(IF(0=LEN(ReferenceData!$V$347),"",ReferenceData!$V$347),"")</f>
        <v>0</v>
      </c>
      <c r="W347">
        <f ca="1">IFERROR(IF(0=LEN(ReferenceData!$W$347),"",ReferenceData!$W$347),"")</f>
        <v>0</v>
      </c>
      <c r="X347">
        <f ca="1">IFERROR(IF(0=LEN(ReferenceData!$X$347),"",ReferenceData!$X$347),"")</f>
        <v>0</v>
      </c>
      <c r="Y347">
        <f ca="1">IFERROR(IF(0=LEN(ReferenceData!$Y$347),"",ReferenceData!$Y$347),"")</f>
        <v>0</v>
      </c>
      <c r="Z347">
        <f ca="1">IFERROR(IF(0=LEN(ReferenceData!$Z$347),"",ReferenceData!$Z$347),"")</f>
        <v>0</v>
      </c>
      <c r="AA347">
        <f ca="1">IFERROR(IF(0=LEN(ReferenceData!$AA$347),"",ReferenceData!$AA$347),"")</f>
        <v>0</v>
      </c>
      <c r="AB347">
        <f ca="1">IFERROR(IF(0=LEN(ReferenceData!$AB$347),"",ReferenceData!$AB$347),"")</f>
        <v>0</v>
      </c>
      <c r="AC347">
        <f ca="1">IFERROR(IF(0=LEN(ReferenceData!$AC$347),"",ReferenceData!$AC$347),"")</f>
        <v>0</v>
      </c>
      <c r="AD347" t="str">
        <f ca="1">IFERROR(IF(0=LEN(ReferenceData!$AD$347),"",ReferenceData!$AD$347),"")</f>
        <v/>
      </c>
      <c r="AE347" t="str">
        <f ca="1">IFERROR(IF(0=LEN(ReferenceData!$AE$347),"",ReferenceData!$AE$347),"")</f>
        <v/>
      </c>
      <c r="AF347" t="str">
        <f ca="1">IFERROR(IF(0=LEN(ReferenceData!$AF$347),"",ReferenceData!$AF$347),"")</f>
        <v/>
      </c>
      <c r="AG347" t="str">
        <f ca="1">IFERROR(IF(0=LEN(ReferenceData!$AG$347),"",ReferenceData!$AG$347),"")</f>
        <v/>
      </c>
      <c r="AH347" t="str">
        <f ca="1">IFERROR(IF(0=LEN(ReferenceData!$AH$347),"",ReferenceData!$AH$347),"")</f>
        <v/>
      </c>
      <c r="AI347" t="str">
        <f ca="1">IFERROR(IF(0=LEN(ReferenceData!$AI$347),"",ReferenceData!$AI$347),"")</f>
        <v/>
      </c>
      <c r="AJ347" t="str">
        <f ca="1">IFERROR(IF(0=LEN(ReferenceData!$AJ$347),"",ReferenceData!$AJ$347),"")</f>
        <v/>
      </c>
      <c r="AK347" t="str">
        <f ca="1">IFERROR(IF(0=LEN(ReferenceData!$AK$347),"",ReferenceData!$AK$347),"")</f>
        <v/>
      </c>
      <c r="AL347" t="str">
        <f ca="1">IFERROR(IF(0=LEN(ReferenceData!$AL$347),"",ReferenceData!$AL$347),"")</f>
        <v/>
      </c>
    </row>
    <row r="348" spans="1:38" x14ac:dyDescent="0.25">
      <c r="A348" t="str">
        <f>IFERROR(IF(0=LEN(ReferenceData!$A$348),"",ReferenceData!$A$348),"")</f>
        <v xml:space="preserve">        Zions Bancorp NA</v>
      </c>
      <c r="B348" t="str">
        <f>IFERROR(IF(0=LEN(ReferenceData!$B$348),"",ReferenceData!$B$348),"")</f>
        <v>ZION US Equity</v>
      </c>
      <c r="C348" t="str">
        <f>IFERROR(IF(0=LEN(ReferenceData!$C$348),"",ReferenceData!$C$348),"")</f>
        <v>F0125</v>
      </c>
      <c r="D348" t="str">
        <f>IFERROR(IF(0=LEN(ReferenceData!$D$348),"",ReferenceData!$D$348),"")</f>
        <v>FED_US_BANK_LOANS_%_TOT_LNS_LEAS</v>
      </c>
      <c r="E348" t="str">
        <f>IFERROR(IF(0=LEN(ReferenceData!$E$348),"",ReferenceData!$E$348),"")</f>
        <v>Dynamic</v>
      </c>
      <c r="F348" t="str">
        <f ca="1">IFERROR(IF(0=LEN(ReferenceData!$F$348),"",ReferenceData!$F$348),"")</f>
        <v/>
      </c>
      <c r="G348" t="str">
        <f ca="1">IFERROR(IF(0=LEN(ReferenceData!$G$348),"",ReferenceData!$G$348),"")</f>
        <v/>
      </c>
      <c r="H348" t="str">
        <f ca="1">IFERROR(IF(0=LEN(ReferenceData!$H$348),"",ReferenceData!$H$348),"")</f>
        <v/>
      </c>
      <c r="I348" t="str">
        <f ca="1">IFERROR(IF(0=LEN(ReferenceData!$I$348),"",ReferenceData!$I$348),"")</f>
        <v/>
      </c>
      <c r="J348" t="str">
        <f ca="1">IFERROR(IF(0=LEN(ReferenceData!$J$348),"",ReferenceData!$J$348),"")</f>
        <v/>
      </c>
      <c r="K348" t="str">
        <f ca="1">IFERROR(IF(0=LEN(ReferenceData!$K$348),"",ReferenceData!$K$348),"")</f>
        <v/>
      </c>
      <c r="L348" t="str">
        <f ca="1">IFERROR(IF(0=LEN(ReferenceData!$L$348),"",ReferenceData!$L$348),"")</f>
        <v/>
      </c>
      <c r="M348" t="str">
        <f ca="1">IFERROR(IF(0=LEN(ReferenceData!$M$348),"",ReferenceData!$M$348),"")</f>
        <v/>
      </c>
      <c r="N348" t="str">
        <f ca="1">IFERROR(IF(0=LEN(ReferenceData!$N$348),"",ReferenceData!$N$348),"")</f>
        <v/>
      </c>
      <c r="O348" t="str">
        <f ca="1">IFERROR(IF(0=LEN(ReferenceData!$O$348),"",ReferenceData!$O$348),"")</f>
        <v/>
      </c>
      <c r="P348" t="str">
        <f ca="1">IFERROR(IF(0=LEN(ReferenceData!$P$348),"",ReferenceData!$P$348),"")</f>
        <v/>
      </c>
      <c r="Q348" t="str">
        <f ca="1">IFERROR(IF(0=LEN(ReferenceData!$Q$348),"",ReferenceData!$Q$348),"")</f>
        <v/>
      </c>
      <c r="R348" t="str">
        <f ca="1">IFERROR(IF(0=LEN(ReferenceData!$R$348),"",ReferenceData!$R$348),"")</f>
        <v/>
      </c>
      <c r="S348" t="str">
        <f ca="1">IFERROR(IF(0=LEN(ReferenceData!$S$348),"",ReferenceData!$S$348),"")</f>
        <v/>
      </c>
      <c r="T348" t="str">
        <f ca="1">IFERROR(IF(0=LEN(ReferenceData!$T$348),"",ReferenceData!$T$348),"")</f>
        <v/>
      </c>
      <c r="U348" t="str">
        <f ca="1">IFERROR(IF(0=LEN(ReferenceData!$U$348),"",ReferenceData!$U$348),"")</f>
        <v/>
      </c>
      <c r="V348" t="str">
        <f ca="1">IFERROR(IF(0=LEN(ReferenceData!$V$348),"",ReferenceData!$V$348),"")</f>
        <v/>
      </c>
      <c r="W348" t="str">
        <f ca="1">IFERROR(IF(0=LEN(ReferenceData!$W$348),"",ReferenceData!$W$348),"")</f>
        <v/>
      </c>
      <c r="X348" t="str">
        <f ca="1">IFERROR(IF(0=LEN(ReferenceData!$X$348),"",ReferenceData!$X$348),"")</f>
        <v/>
      </c>
      <c r="Y348" t="str">
        <f ca="1">IFERROR(IF(0=LEN(ReferenceData!$Y$348),"",ReferenceData!$Y$348),"")</f>
        <v/>
      </c>
      <c r="Z348" t="str">
        <f ca="1">IFERROR(IF(0=LEN(ReferenceData!$Z$348),"",ReferenceData!$Z$348),"")</f>
        <v/>
      </c>
      <c r="AA348" t="str">
        <f ca="1">IFERROR(IF(0=LEN(ReferenceData!$AA$348),"",ReferenceData!$AA$348),"")</f>
        <v/>
      </c>
      <c r="AB348" t="str">
        <f ca="1">IFERROR(IF(0=LEN(ReferenceData!$AB$348),"",ReferenceData!$AB$348),"")</f>
        <v/>
      </c>
      <c r="AC348" t="str">
        <f ca="1">IFERROR(IF(0=LEN(ReferenceData!$AC$348),"",ReferenceData!$AC$348),"")</f>
        <v/>
      </c>
      <c r="AD348" t="str">
        <f ca="1">IFERROR(IF(0=LEN(ReferenceData!$AD$348),"",ReferenceData!$AD$348),"")</f>
        <v/>
      </c>
      <c r="AE348" t="str">
        <f ca="1">IFERROR(IF(0=LEN(ReferenceData!$AE$348),"",ReferenceData!$AE$348),"")</f>
        <v/>
      </c>
      <c r="AF348" t="str">
        <f ca="1">IFERROR(IF(0=LEN(ReferenceData!$AF$348),"",ReferenceData!$AF$348),"")</f>
        <v/>
      </c>
      <c r="AG348" t="str">
        <f ca="1">IFERROR(IF(0=LEN(ReferenceData!$AG$348),"",ReferenceData!$AG$348),"")</f>
        <v/>
      </c>
      <c r="AH348" t="str">
        <f ca="1">IFERROR(IF(0=LEN(ReferenceData!$AH$348),"",ReferenceData!$AH$348),"")</f>
        <v/>
      </c>
      <c r="AI348" t="str">
        <f ca="1">IFERROR(IF(0=LEN(ReferenceData!$AI$348),"",ReferenceData!$AI$348),"")</f>
        <v/>
      </c>
      <c r="AJ348" t="str">
        <f ca="1">IFERROR(IF(0=LEN(ReferenceData!$AJ$348),"",ReferenceData!$AJ$348),"")</f>
        <v/>
      </c>
      <c r="AK348" t="str">
        <f ca="1">IFERROR(IF(0=LEN(ReferenceData!$AK$348),"",ReferenceData!$AK$348),"")</f>
        <v/>
      </c>
      <c r="AL348" t="str">
        <f ca="1">IFERROR(IF(0=LEN(ReferenceData!$AL$348),"",ReferenceData!$AL$348),"")</f>
        <v/>
      </c>
    </row>
    <row r="349" spans="1:38" x14ac:dyDescent="0.25">
      <c r="A349" t="str">
        <f>IFERROR(IF(0=LEN(ReferenceData!$A$349),"",ReferenceData!$A$349),"")</f>
        <v xml:space="preserve">    Sovereign Loans</v>
      </c>
      <c r="B349" t="str">
        <f>IFERROR(IF(0=LEN(ReferenceData!$B$349),"",ReferenceData!$B$349),"")</f>
        <v/>
      </c>
      <c r="C349" t="str">
        <f>IFERROR(IF(0=LEN(ReferenceData!$C$349),"",ReferenceData!$C$349),"")</f>
        <v/>
      </c>
      <c r="D349" t="str">
        <f>IFERROR(IF(0=LEN(ReferenceData!$D$349),"",ReferenceData!$D$349),"")</f>
        <v/>
      </c>
      <c r="E349" t="str">
        <f>IFERROR(IF(0=LEN(ReferenceData!$E$349),"",ReferenceData!$E$349),"")</f>
        <v>Median</v>
      </c>
      <c r="F349" t="str">
        <f ca="1">IFERROR(IF(0=LEN(ReferenceData!$F$349),"",ReferenceData!$F$349),"")</f>
        <v/>
      </c>
      <c r="G349" t="str">
        <f ca="1">IFERROR(IF(0=LEN(ReferenceData!$G$349),"",ReferenceData!$G$349),"")</f>
        <v/>
      </c>
      <c r="H349" t="str">
        <f ca="1">IFERROR(IF(0=LEN(ReferenceData!$H$349),"",ReferenceData!$H$349),"")</f>
        <v/>
      </c>
      <c r="I349" t="str">
        <f ca="1">IFERROR(IF(0=LEN(ReferenceData!$I$349),"",ReferenceData!$I$349),"")</f>
        <v/>
      </c>
      <c r="J349" t="str">
        <f ca="1">IFERROR(IF(0=LEN(ReferenceData!$J$349),"",ReferenceData!$J$349),"")</f>
        <v/>
      </c>
      <c r="K349" t="str">
        <f ca="1">IFERROR(IF(0=LEN(ReferenceData!$K$349),"",ReferenceData!$K$349),"")</f>
        <v/>
      </c>
      <c r="L349" t="str">
        <f ca="1">IFERROR(IF(0=LEN(ReferenceData!$L$349),"",ReferenceData!$L$349),"")</f>
        <v/>
      </c>
      <c r="M349" t="str">
        <f ca="1">IFERROR(IF(0=LEN(ReferenceData!$M$349),"",ReferenceData!$M$349),"")</f>
        <v/>
      </c>
      <c r="N349" t="str">
        <f ca="1">IFERROR(IF(0=LEN(ReferenceData!$N$349),"",ReferenceData!$N$349),"")</f>
        <v/>
      </c>
      <c r="O349" t="str">
        <f ca="1">IFERROR(IF(0=LEN(ReferenceData!$O$349),"",ReferenceData!$O$349),"")</f>
        <v/>
      </c>
      <c r="P349" t="str">
        <f ca="1">IFERROR(IF(0=LEN(ReferenceData!$P$349),"",ReferenceData!$P$349),"")</f>
        <v/>
      </c>
      <c r="Q349" t="str">
        <f ca="1">IFERROR(IF(0=LEN(ReferenceData!$Q$349),"",ReferenceData!$Q$349),"")</f>
        <v/>
      </c>
      <c r="R349" t="str">
        <f ca="1">IFERROR(IF(0=LEN(ReferenceData!$R$349),"",ReferenceData!$R$349),"")</f>
        <v/>
      </c>
      <c r="S349" t="str">
        <f ca="1">IFERROR(IF(0=LEN(ReferenceData!$S$349),"",ReferenceData!$S$349),"")</f>
        <v/>
      </c>
      <c r="T349" t="str">
        <f ca="1">IFERROR(IF(0=LEN(ReferenceData!$T$349),"",ReferenceData!$T$349),"")</f>
        <v/>
      </c>
      <c r="U349" t="str">
        <f ca="1">IFERROR(IF(0=LEN(ReferenceData!$U$349),"",ReferenceData!$U$349),"")</f>
        <v/>
      </c>
      <c r="V349" t="str">
        <f ca="1">IFERROR(IF(0=LEN(ReferenceData!$V$349),"",ReferenceData!$V$349),"")</f>
        <v/>
      </c>
      <c r="W349" t="str">
        <f ca="1">IFERROR(IF(0=LEN(ReferenceData!$W$349),"",ReferenceData!$W$349),"")</f>
        <v/>
      </c>
      <c r="X349" t="str">
        <f ca="1">IFERROR(IF(0=LEN(ReferenceData!$X$349),"",ReferenceData!$X$349),"")</f>
        <v/>
      </c>
      <c r="Y349" t="str">
        <f ca="1">IFERROR(IF(0=LEN(ReferenceData!$Y$349),"",ReferenceData!$Y$349),"")</f>
        <v/>
      </c>
      <c r="Z349" t="str">
        <f ca="1">IFERROR(IF(0=LEN(ReferenceData!$Z$349),"",ReferenceData!$Z$349),"")</f>
        <v/>
      </c>
      <c r="AA349" t="str">
        <f ca="1">IFERROR(IF(0=LEN(ReferenceData!$AA$349),"",ReferenceData!$AA$349),"")</f>
        <v/>
      </c>
      <c r="AB349" t="str">
        <f ca="1">IFERROR(IF(0=LEN(ReferenceData!$AB$349),"",ReferenceData!$AB$349),"")</f>
        <v/>
      </c>
      <c r="AC349" t="str">
        <f ca="1">IFERROR(IF(0=LEN(ReferenceData!$AC$349),"",ReferenceData!$AC$349),"")</f>
        <v/>
      </c>
      <c r="AD349" t="str">
        <f ca="1">IFERROR(IF(0=LEN(ReferenceData!$AD$349),"",ReferenceData!$AD$349),"")</f>
        <v/>
      </c>
      <c r="AE349" t="str">
        <f ca="1">IFERROR(IF(0=LEN(ReferenceData!$AE$349),"",ReferenceData!$AE$349),"")</f>
        <v/>
      </c>
      <c r="AF349" t="str">
        <f ca="1">IFERROR(IF(0=LEN(ReferenceData!$AF$349),"",ReferenceData!$AF$349),"")</f>
        <v/>
      </c>
      <c r="AG349" t="str">
        <f ca="1">IFERROR(IF(0=LEN(ReferenceData!$AG$349),"",ReferenceData!$AG$349),"")</f>
        <v/>
      </c>
      <c r="AH349" t="str">
        <f ca="1">IFERROR(IF(0=LEN(ReferenceData!$AH$349),"",ReferenceData!$AH$349),"")</f>
        <v/>
      </c>
      <c r="AI349" t="str">
        <f ca="1">IFERROR(IF(0=LEN(ReferenceData!$AI$349),"",ReferenceData!$AI$349),"")</f>
        <v/>
      </c>
      <c r="AJ349" t="str">
        <f ca="1">IFERROR(IF(0=LEN(ReferenceData!$AJ$349),"",ReferenceData!$AJ$349),"")</f>
        <v/>
      </c>
      <c r="AK349" t="str">
        <f ca="1">IFERROR(IF(0=LEN(ReferenceData!$AK$349),"",ReferenceData!$AK$349),"")</f>
        <v/>
      </c>
      <c r="AL349" t="str">
        <f ca="1">IFERROR(IF(0=LEN(ReferenceData!$AL$349),"",ReferenceData!$AL$349),"")</f>
        <v/>
      </c>
    </row>
    <row r="350" spans="1:38" x14ac:dyDescent="0.25">
      <c r="A350" t="str">
        <f>IFERROR(IF(0=LEN(ReferenceData!$A$350),"",ReferenceData!$A$350),"")</f>
        <v xml:space="preserve">        Bank of America Corp</v>
      </c>
      <c r="B350" t="str">
        <f>IFERROR(IF(0=LEN(ReferenceData!$B$350),"",ReferenceData!$B$350),"")</f>
        <v>BAC US Equity</v>
      </c>
      <c r="C350" t="str">
        <f>IFERROR(IF(0=LEN(ReferenceData!$C$350),"",ReferenceData!$C$350),"")</f>
        <v>F0126</v>
      </c>
      <c r="D350" t="str">
        <f>IFERROR(IF(0=LEN(ReferenceData!$D$350),"",ReferenceData!$D$350),"")</f>
        <v>FED_SOV_LOANS_%_TOT_LOANS_LEASES</v>
      </c>
      <c r="E350" t="str">
        <f>IFERROR(IF(0=LEN(ReferenceData!$E$350),"",ReferenceData!$E$350),"")</f>
        <v>Dynamic</v>
      </c>
      <c r="F350">
        <f ca="1">IFERROR(IF(0=LEN(ReferenceData!$F$350),"",ReferenceData!$F$350),"")</f>
        <v>3.7179509999999999E-2</v>
      </c>
      <c r="G350">
        <f ca="1">IFERROR(IF(0=LEN(ReferenceData!$G$350),"",ReferenceData!$G$350),"")</f>
        <v>3.9346001999999998E-2</v>
      </c>
      <c r="H350">
        <f ca="1">IFERROR(IF(0=LEN(ReferenceData!$H$350),"",ReferenceData!$H$350),"")</f>
        <v>8.2622935999999994E-2</v>
      </c>
      <c r="I350">
        <f ca="1">IFERROR(IF(0=LEN(ReferenceData!$I$350),"",ReferenceData!$I$350),"")</f>
        <v>0.10929119499999999</v>
      </c>
      <c r="J350">
        <f ca="1">IFERROR(IF(0=LEN(ReferenceData!$J$350),"",ReferenceData!$J$350),"")</f>
        <v>0.138721339</v>
      </c>
      <c r="K350">
        <f ca="1">IFERROR(IF(0=LEN(ReferenceData!$K$350),"",ReferenceData!$K$350),"")</f>
        <v>0.216606568</v>
      </c>
      <c r="L350">
        <f ca="1">IFERROR(IF(0=LEN(ReferenceData!$L$350),"",ReferenceData!$L$350),"")</f>
        <v>0.157387952</v>
      </c>
      <c r="M350">
        <f ca="1">IFERROR(IF(0=LEN(ReferenceData!$M$350),"",ReferenceData!$M$350),"")</f>
        <v>0.14931878300000001</v>
      </c>
      <c r="N350">
        <f ca="1">IFERROR(IF(0=LEN(ReferenceData!$N$350),"",ReferenceData!$N$350),"")</f>
        <v>0.27012927799999997</v>
      </c>
      <c r="O350">
        <f ca="1">IFERROR(IF(0=LEN(ReferenceData!$O$350),"",ReferenceData!$O$350),"")</f>
        <v>0.28683214800000001</v>
      </c>
      <c r="P350">
        <f ca="1">IFERROR(IF(0=LEN(ReferenceData!$P$350),"",ReferenceData!$P$350),"")</f>
        <v>0.142475764</v>
      </c>
      <c r="Q350">
        <f ca="1">IFERROR(IF(0=LEN(ReferenceData!$Q$350),"",ReferenceData!$Q$350),"")</f>
        <v>9.8000683000000005E-2</v>
      </c>
      <c r="R350">
        <f ca="1">IFERROR(IF(0=LEN(ReferenceData!$R$350),"",ReferenceData!$R$350),"")</f>
        <v>0.10015792599999999</v>
      </c>
      <c r="S350">
        <f ca="1">IFERROR(IF(0=LEN(ReferenceData!$S$350),"",ReferenceData!$S$350),"")</f>
        <v>9.4617475000000006E-2</v>
      </c>
      <c r="T350">
        <f ca="1">IFERROR(IF(0=LEN(ReferenceData!$T$350),"",ReferenceData!$T$350),"")</f>
        <v>6.1511506000000001E-2</v>
      </c>
      <c r="U350">
        <f ca="1">IFERROR(IF(0=LEN(ReferenceData!$U$350),"",ReferenceData!$U$350),"")</f>
        <v>3.5457667999999998E-2</v>
      </c>
      <c r="V350">
        <f ca="1">IFERROR(IF(0=LEN(ReferenceData!$V$350),"",ReferenceData!$V$350),"")</f>
        <v>1.9930105E-2</v>
      </c>
      <c r="W350">
        <f ca="1">IFERROR(IF(0=LEN(ReferenceData!$W$350),"",ReferenceData!$W$350),"")</f>
        <v>2.6883636999999998E-2</v>
      </c>
      <c r="X350">
        <f ca="1">IFERROR(IF(0=LEN(ReferenceData!$X$350),"",ReferenceData!$X$350),"")</f>
        <v>5.8562337999999999E-2</v>
      </c>
      <c r="Y350">
        <f ca="1">IFERROR(IF(0=LEN(ReferenceData!$Y$350),"",ReferenceData!$Y$350),"")</f>
        <v>6.2527533999999996E-2</v>
      </c>
      <c r="Z350">
        <f ca="1">IFERROR(IF(0=LEN(ReferenceData!$Z$350),"",ReferenceData!$Z$350),"")</f>
        <v>6.6133835000000002E-2</v>
      </c>
      <c r="AA350">
        <f ca="1">IFERROR(IF(0=LEN(ReferenceData!$AA$350),"",ReferenceData!$AA$350),"")</f>
        <v>7.7938724000000001E-2</v>
      </c>
      <c r="AB350">
        <f ca="1">IFERROR(IF(0=LEN(ReferenceData!$AB$350),"",ReferenceData!$AB$350),"")</f>
        <v>7.2913687000000005E-2</v>
      </c>
      <c r="AC350">
        <f ca="1">IFERROR(IF(0=LEN(ReferenceData!$AC$350),"",ReferenceData!$AC$350),"")</f>
        <v>0.13305044099999999</v>
      </c>
      <c r="AD350" t="str">
        <f ca="1">IFERROR(IF(0=LEN(ReferenceData!$AD$350),"",ReferenceData!$AD$350),"")</f>
        <v/>
      </c>
      <c r="AE350" t="str">
        <f ca="1">IFERROR(IF(0=LEN(ReferenceData!$AE$350),"",ReferenceData!$AE$350),"")</f>
        <v/>
      </c>
      <c r="AF350" t="str">
        <f ca="1">IFERROR(IF(0=LEN(ReferenceData!$AF$350),"",ReferenceData!$AF$350),"")</f>
        <v/>
      </c>
      <c r="AG350" t="str">
        <f ca="1">IFERROR(IF(0=LEN(ReferenceData!$AG$350),"",ReferenceData!$AG$350),"")</f>
        <v/>
      </c>
      <c r="AH350" t="str">
        <f ca="1">IFERROR(IF(0=LEN(ReferenceData!$AH$350),"",ReferenceData!$AH$350),"")</f>
        <v/>
      </c>
      <c r="AI350" t="str">
        <f ca="1">IFERROR(IF(0=LEN(ReferenceData!$AI$350),"",ReferenceData!$AI$350),"")</f>
        <v/>
      </c>
      <c r="AJ350" t="str">
        <f ca="1">IFERROR(IF(0=LEN(ReferenceData!$AJ$350),"",ReferenceData!$AJ$350),"")</f>
        <v/>
      </c>
      <c r="AK350" t="str">
        <f ca="1">IFERROR(IF(0=LEN(ReferenceData!$AK$350),"",ReferenceData!$AK$350),"")</f>
        <v/>
      </c>
      <c r="AL350" t="str">
        <f ca="1">IFERROR(IF(0=LEN(ReferenceData!$AL$350),"",ReferenceData!$AL$350),"")</f>
        <v/>
      </c>
    </row>
    <row r="351" spans="1:38" x14ac:dyDescent="0.25">
      <c r="A351" t="str">
        <f>IFERROR(IF(0=LEN(ReferenceData!$A$351),"",ReferenceData!$A$351),"")</f>
        <v xml:space="preserve">        Citigroup Inc</v>
      </c>
      <c r="B351" t="str">
        <f>IFERROR(IF(0=LEN(ReferenceData!$B$351),"",ReferenceData!$B$351),"")</f>
        <v>C US Equity</v>
      </c>
      <c r="C351" t="str">
        <f>IFERROR(IF(0=LEN(ReferenceData!$C$351),"",ReferenceData!$C$351),"")</f>
        <v>F0126</v>
      </c>
      <c r="D351" t="str">
        <f>IFERROR(IF(0=LEN(ReferenceData!$D$351),"",ReferenceData!$D$351),"")</f>
        <v>FED_SOV_LOANS_%_TOT_LOANS_LEASES</v>
      </c>
      <c r="E351" t="str">
        <f>IFERROR(IF(0=LEN(ReferenceData!$E$351),"",ReferenceData!$E$351),"")</f>
        <v>Dynamic</v>
      </c>
      <c r="F351">
        <f ca="1">IFERROR(IF(0=LEN(ReferenceData!$F$351),"",ReferenceData!$F$351),"")</f>
        <v>0.73268202900000001</v>
      </c>
      <c r="G351">
        <f ca="1">IFERROR(IF(0=LEN(ReferenceData!$G$351),"",ReferenceData!$G$351),"")</f>
        <v>0.68194785199999997</v>
      </c>
      <c r="H351">
        <f ca="1">IFERROR(IF(0=LEN(ReferenceData!$H$351),"",ReferenceData!$H$351),"")</f>
        <v>0.77096520400000002</v>
      </c>
      <c r="I351">
        <f ca="1">IFERROR(IF(0=LEN(ReferenceData!$I$351),"",ReferenceData!$I$351),"")</f>
        <v>0.78096858800000002</v>
      </c>
      <c r="J351">
        <f ca="1">IFERROR(IF(0=LEN(ReferenceData!$J$351),"",ReferenceData!$J$351),"")</f>
        <v>0.69979580299999999</v>
      </c>
      <c r="K351">
        <f ca="1">IFERROR(IF(0=LEN(ReferenceData!$K$351),"",ReferenceData!$K$351),"")</f>
        <v>0.715726788</v>
      </c>
      <c r="L351">
        <f ca="1">IFERROR(IF(0=LEN(ReferenceData!$L$351),"",ReferenceData!$L$351),"")</f>
        <v>0.93108197100000001</v>
      </c>
      <c r="M351">
        <f ca="1">IFERROR(IF(0=LEN(ReferenceData!$M$351),"",ReferenceData!$M$351),"")</f>
        <v>1.081830589</v>
      </c>
      <c r="N351">
        <f ca="1">IFERROR(IF(0=LEN(ReferenceData!$N$351),"",ReferenceData!$N$351),"")</f>
        <v>1.287258445</v>
      </c>
      <c r="O351">
        <f ca="1">IFERROR(IF(0=LEN(ReferenceData!$O$351),"",ReferenceData!$O$351),"")</f>
        <v>1.192255493</v>
      </c>
      <c r="P351">
        <f ca="1">IFERROR(IF(0=LEN(ReferenceData!$P$351),"",ReferenceData!$P$351),"")</f>
        <v>0.754194802</v>
      </c>
      <c r="Q351">
        <f ca="1">IFERROR(IF(0=LEN(ReferenceData!$Q$351),"",ReferenceData!$Q$351),"")</f>
        <v>0.76694862200000002</v>
      </c>
      <c r="R351">
        <f ca="1">IFERROR(IF(0=LEN(ReferenceData!$R$351),"",ReferenceData!$R$351),"")</f>
        <v>0.607755025</v>
      </c>
      <c r="S351">
        <f ca="1">IFERROR(IF(0=LEN(ReferenceData!$S$351),"",ReferenceData!$S$351),"")</f>
        <v>0.656251798</v>
      </c>
      <c r="T351">
        <f ca="1">IFERROR(IF(0=LEN(ReferenceData!$T$351),"",ReferenceData!$T$351),"")</f>
        <v>0.84083219799999998</v>
      </c>
      <c r="U351">
        <f ca="1">IFERROR(IF(0=LEN(ReferenceData!$U$351),"",ReferenceData!$U$351),"")</f>
        <v>0.22360443299999999</v>
      </c>
      <c r="V351">
        <f ca="1">IFERROR(IF(0=LEN(ReferenceData!$V$351),"",ReferenceData!$V$351),"")</f>
        <v>8.2911329000000006E-2</v>
      </c>
      <c r="W351">
        <f ca="1">IFERROR(IF(0=LEN(ReferenceData!$W$351),"",ReferenceData!$W$351),"")</f>
        <v>9.0624380000000004E-2</v>
      </c>
      <c r="X351">
        <f ca="1">IFERROR(IF(0=LEN(ReferenceData!$X$351),"",ReferenceData!$X$351),"")</f>
        <v>0.28355492399999999</v>
      </c>
      <c r="Y351">
        <f ca="1">IFERROR(IF(0=LEN(ReferenceData!$Y$351),"",ReferenceData!$Y$351),"")</f>
        <v>0.18261005299999999</v>
      </c>
      <c r="Z351">
        <f ca="1">IFERROR(IF(0=LEN(ReferenceData!$Z$351),"",ReferenceData!$Z$351),"")</f>
        <v>0.241400326</v>
      </c>
      <c r="AA351">
        <f ca="1">IFERROR(IF(0=LEN(ReferenceData!$AA$351),"",ReferenceData!$AA$351),"")</f>
        <v>0.52443694900000004</v>
      </c>
      <c r="AB351">
        <f ca="1">IFERROR(IF(0=LEN(ReferenceData!$AB$351),"",ReferenceData!$AB$351),"")</f>
        <v>0.93990357599999996</v>
      </c>
      <c r="AC351">
        <f ca="1">IFERROR(IF(0=LEN(ReferenceData!$AC$351),"",ReferenceData!$AC$351),"")</f>
        <v>1.247105897</v>
      </c>
      <c r="AD351" t="str">
        <f ca="1">IFERROR(IF(0=LEN(ReferenceData!$AD$351),"",ReferenceData!$AD$351),"")</f>
        <v/>
      </c>
      <c r="AE351" t="str">
        <f ca="1">IFERROR(IF(0=LEN(ReferenceData!$AE$351),"",ReferenceData!$AE$351),"")</f>
        <v/>
      </c>
      <c r="AF351" t="str">
        <f ca="1">IFERROR(IF(0=LEN(ReferenceData!$AF$351),"",ReferenceData!$AF$351),"")</f>
        <v/>
      </c>
      <c r="AG351" t="str">
        <f ca="1">IFERROR(IF(0=LEN(ReferenceData!$AG$351),"",ReferenceData!$AG$351),"")</f>
        <v/>
      </c>
      <c r="AH351" t="str">
        <f ca="1">IFERROR(IF(0=LEN(ReferenceData!$AH$351),"",ReferenceData!$AH$351),"")</f>
        <v/>
      </c>
      <c r="AI351" t="str">
        <f ca="1">IFERROR(IF(0=LEN(ReferenceData!$AI$351),"",ReferenceData!$AI$351),"")</f>
        <v/>
      </c>
      <c r="AJ351" t="str">
        <f ca="1">IFERROR(IF(0=LEN(ReferenceData!$AJ$351),"",ReferenceData!$AJ$351),"")</f>
        <v/>
      </c>
      <c r="AK351" t="str">
        <f ca="1">IFERROR(IF(0=LEN(ReferenceData!$AK$351),"",ReferenceData!$AK$351),"")</f>
        <v/>
      </c>
      <c r="AL351" t="str">
        <f ca="1">IFERROR(IF(0=LEN(ReferenceData!$AL$351),"",ReferenceData!$AL$351),"")</f>
        <v/>
      </c>
    </row>
    <row r="352" spans="1:38" x14ac:dyDescent="0.25">
      <c r="A352" t="str">
        <f>IFERROR(IF(0=LEN(ReferenceData!$A$352),"",ReferenceData!$A$352),"")</f>
        <v xml:space="preserve">        Citizens Financial Group Inc</v>
      </c>
      <c r="B352" t="str">
        <f>IFERROR(IF(0=LEN(ReferenceData!$B$352),"",ReferenceData!$B$352),"")</f>
        <v>CFG US Equity</v>
      </c>
      <c r="C352" t="str">
        <f>IFERROR(IF(0=LEN(ReferenceData!$C$352),"",ReferenceData!$C$352),"")</f>
        <v>F0126</v>
      </c>
      <c r="D352" t="str">
        <f>IFERROR(IF(0=LEN(ReferenceData!$D$352),"",ReferenceData!$D$352),"")</f>
        <v>FED_SOV_LOANS_%_TOT_LOANS_LEASES</v>
      </c>
      <c r="E352" t="str">
        <f>IFERROR(IF(0=LEN(ReferenceData!$E$352),"",ReferenceData!$E$352),"")</f>
        <v>Dynamic</v>
      </c>
      <c r="F352">
        <f ca="1">IFERROR(IF(0=LEN(ReferenceData!$F$352),"",ReferenceData!$F$352),"")</f>
        <v>0</v>
      </c>
      <c r="G352">
        <f ca="1">IFERROR(IF(0=LEN(ReferenceData!$G$352),"",ReferenceData!$G$352),"")</f>
        <v>0</v>
      </c>
      <c r="H352">
        <f ca="1">IFERROR(IF(0=LEN(ReferenceData!$H$352),"",ReferenceData!$H$352),"")</f>
        <v>0</v>
      </c>
      <c r="I352">
        <f ca="1">IFERROR(IF(0=LEN(ReferenceData!$I$352),"",ReferenceData!$I$352),"")</f>
        <v>0</v>
      </c>
      <c r="J352">
        <f ca="1">IFERROR(IF(0=LEN(ReferenceData!$J$352),"",ReferenceData!$J$352),"")</f>
        <v>0</v>
      </c>
      <c r="K352">
        <f ca="1">IFERROR(IF(0=LEN(ReferenceData!$K$352),"",ReferenceData!$K$352),"")</f>
        <v>0</v>
      </c>
      <c r="L352">
        <f ca="1">IFERROR(IF(0=LEN(ReferenceData!$L$352),"",ReferenceData!$L$352),"")</f>
        <v>0</v>
      </c>
      <c r="M352">
        <f ca="1">IFERROR(IF(0=LEN(ReferenceData!$M$352),"",ReferenceData!$M$352),"")</f>
        <v>0</v>
      </c>
      <c r="N352">
        <f ca="1">IFERROR(IF(0=LEN(ReferenceData!$N$352),"",ReferenceData!$N$352),"")</f>
        <v>0</v>
      </c>
      <c r="O352">
        <f ca="1">IFERROR(IF(0=LEN(ReferenceData!$O$352),"",ReferenceData!$O$352),"")</f>
        <v>0</v>
      </c>
      <c r="P352">
        <f ca="1">IFERROR(IF(0=LEN(ReferenceData!$P$352),"",ReferenceData!$P$352),"")</f>
        <v>0</v>
      </c>
      <c r="Q352">
        <f ca="1">IFERROR(IF(0=LEN(ReferenceData!$Q$352),"",ReferenceData!$Q$352),"")</f>
        <v>0</v>
      </c>
      <c r="R352">
        <f ca="1">IFERROR(IF(0=LEN(ReferenceData!$R$352),"",ReferenceData!$R$352),"")</f>
        <v>0</v>
      </c>
      <c r="S352">
        <f ca="1">IFERROR(IF(0=LEN(ReferenceData!$S$352),"",ReferenceData!$S$352),"")</f>
        <v>0</v>
      </c>
      <c r="T352">
        <f ca="1">IFERROR(IF(0=LEN(ReferenceData!$T$352),"",ReferenceData!$T$352),"")</f>
        <v>0</v>
      </c>
      <c r="U352">
        <f ca="1">IFERROR(IF(0=LEN(ReferenceData!$U$352),"",ReferenceData!$U$352),"")</f>
        <v>0</v>
      </c>
      <c r="V352">
        <f ca="1">IFERROR(IF(0=LEN(ReferenceData!$V$352),"",ReferenceData!$V$352),"")</f>
        <v>0</v>
      </c>
      <c r="W352">
        <f ca="1">IFERROR(IF(0=LEN(ReferenceData!$W$352),"",ReferenceData!$W$352),"")</f>
        <v>0</v>
      </c>
      <c r="X352">
        <f ca="1">IFERROR(IF(0=LEN(ReferenceData!$X$352),"",ReferenceData!$X$352),"")</f>
        <v>0</v>
      </c>
      <c r="Y352">
        <f ca="1">IFERROR(IF(0=LEN(ReferenceData!$Y$352),"",ReferenceData!$Y$352),"")</f>
        <v>0</v>
      </c>
      <c r="Z352">
        <f ca="1">IFERROR(IF(0=LEN(ReferenceData!$Z$352),"",ReferenceData!$Z$352),"")</f>
        <v>0</v>
      </c>
      <c r="AA352">
        <f ca="1">IFERROR(IF(0=LEN(ReferenceData!$AA$352),"",ReferenceData!$AA$352),"")</f>
        <v>0</v>
      </c>
      <c r="AB352">
        <f ca="1">IFERROR(IF(0=LEN(ReferenceData!$AB$352),"",ReferenceData!$AB$352),"")</f>
        <v>0</v>
      </c>
      <c r="AC352">
        <f ca="1">IFERROR(IF(0=LEN(ReferenceData!$AC$352),"",ReferenceData!$AC$352),"")</f>
        <v>0</v>
      </c>
      <c r="AD352" t="str">
        <f ca="1">IFERROR(IF(0=LEN(ReferenceData!$AD$352),"",ReferenceData!$AD$352),"")</f>
        <v/>
      </c>
      <c r="AE352" t="str">
        <f ca="1">IFERROR(IF(0=LEN(ReferenceData!$AE$352),"",ReferenceData!$AE$352),"")</f>
        <v/>
      </c>
      <c r="AF352" t="str">
        <f ca="1">IFERROR(IF(0=LEN(ReferenceData!$AF$352),"",ReferenceData!$AF$352),"")</f>
        <v/>
      </c>
      <c r="AG352" t="str">
        <f ca="1">IFERROR(IF(0=LEN(ReferenceData!$AG$352),"",ReferenceData!$AG$352),"")</f>
        <v/>
      </c>
      <c r="AH352" t="str">
        <f ca="1">IFERROR(IF(0=LEN(ReferenceData!$AH$352),"",ReferenceData!$AH$352),"")</f>
        <v/>
      </c>
      <c r="AI352" t="str">
        <f ca="1">IFERROR(IF(0=LEN(ReferenceData!$AI$352),"",ReferenceData!$AI$352),"")</f>
        <v/>
      </c>
      <c r="AJ352" t="str">
        <f ca="1">IFERROR(IF(0=LEN(ReferenceData!$AJ$352),"",ReferenceData!$AJ$352),"")</f>
        <v/>
      </c>
      <c r="AK352" t="str">
        <f ca="1">IFERROR(IF(0=LEN(ReferenceData!$AK$352),"",ReferenceData!$AK$352),"")</f>
        <v/>
      </c>
      <c r="AL352" t="str">
        <f ca="1">IFERROR(IF(0=LEN(ReferenceData!$AL$352),"",ReferenceData!$AL$352),"")</f>
        <v/>
      </c>
    </row>
    <row r="353" spans="1:38" x14ac:dyDescent="0.25">
      <c r="A353" t="str">
        <f>IFERROR(IF(0=LEN(ReferenceData!$A$353),"",ReferenceData!$A$353),"")</f>
        <v xml:space="preserve">        Capital One Financial Corp</v>
      </c>
      <c r="B353" t="str">
        <f>IFERROR(IF(0=LEN(ReferenceData!$B$353),"",ReferenceData!$B$353),"")</f>
        <v>COF US Equity</v>
      </c>
      <c r="C353" t="str">
        <f>IFERROR(IF(0=LEN(ReferenceData!$C$353),"",ReferenceData!$C$353),"")</f>
        <v>F0126</v>
      </c>
      <c r="D353" t="str">
        <f>IFERROR(IF(0=LEN(ReferenceData!$D$353),"",ReferenceData!$D$353),"")</f>
        <v>FED_SOV_LOANS_%_TOT_LOANS_LEASES</v>
      </c>
      <c r="E353" t="str">
        <f>IFERROR(IF(0=LEN(ReferenceData!$E$353),"",ReferenceData!$E$353),"")</f>
        <v>Dynamic</v>
      </c>
      <c r="F353">
        <f ca="1">IFERROR(IF(0=LEN(ReferenceData!$F$353),"",ReferenceData!$F$353),"")</f>
        <v>0</v>
      </c>
      <c r="G353">
        <f ca="1">IFERROR(IF(0=LEN(ReferenceData!$G$353),"",ReferenceData!$G$353),"")</f>
        <v>0</v>
      </c>
      <c r="H353">
        <f ca="1">IFERROR(IF(0=LEN(ReferenceData!$H$353),"",ReferenceData!$H$353),"")</f>
        <v>0</v>
      </c>
      <c r="I353">
        <f ca="1">IFERROR(IF(0=LEN(ReferenceData!$I$353),"",ReferenceData!$I$353),"")</f>
        <v>0</v>
      </c>
      <c r="J353">
        <f ca="1">IFERROR(IF(0=LEN(ReferenceData!$J$353),"",ReferenceData!$J$353),"")</f>
        <v>0</v>
      </c>
      <c r="K353">
        <f ca="1">IFERROR(IF(0=LEN(ReferenceData!$K$353),"",ReferenceData!$K$353),"")</f>
        <v>0</v>
      </c>
      <c r="L353">
        <f ca="1">IFERROR(IF(0=LEN(ReferenceData!$L$353),"",ReferenceData!$L$353),"")</f>
        <v>0</v>
      </c>
      <c r="M353">
        <f ca="1">IFERROR(IF(0=LEN(ReferenceData!$M$353),"",ReferenceData!$M$353),"")</f>
        <v>0</v>
      </c>
      <c r="N353">
        <f ca="1">IFERROR(IF(0=LEN(ReferenceData!$N$353),"",ReferenceData!$N$353),"")</f>
        <v>0</v>
      </c>
      <c r="O353">
        <f ca="1">IFERROR(IF(0=LEN(ReferenceData!$O$353),"",ReferenceData!$O$353),"")</f>
        <v>0</v>
      </c>
      <c r="P353">
        <f ca="1">IFERROR(IF(0=LEN(ReferenceData!$P$353),"",ReferenceData!$P$353),"")</f>
        <v>0</v>
      </c>
      <c r="Q353">
        <f ca="1">IFERROR(IF(0=LEN(ReferenceData!$Q$353),"",ReferenceData!$Q$353),"")</f>
        <v>0</v>
      </c>
      <c r="R353">
        <f ca="1">IFERROR(IF(0=LEN(ReferenceData!$R$353),"",ReferenceData!$R$353),"")</f>
        <v>0</v>
      </c>
      <c r="S353">
        <f ca="1">IFERROR(IF(0=LEN(ReferenceData!$S$353),"",ReferenceData!$S$353),"")</f>
        <v>0</v>
      </c>
      <c r="T353">
        <f ca="1">IFERROR(IF(0=LEN(ReferenceData!$T$353),"",ReferenceData!$T$353),"")</f>
        <v>0</v>
      </c>
      <c r="U353">
        <f ca="1">IFERROR(IF(0=LEN(ReferenceData!$U$353),"",ReferenceData!$U$353),"")</f>
        <v>0</v>
      </c>
      <c r="V353">
        <f ca="1">IFERROR(IF(0=LEN(ReferenceData!$V$353),"",ReferenceData!$V$353),"")</f>
        <v>0</v>
      </c>
      <c r="W353">
        <f ca="1">IFERROR(IF(0=LEN(ReferenceData!$W$353),"",ReferenceData!$W$353),"")</f>
        <v>0</v>
      </c>
      <c r="X353">
        <f ca="1">IFERROR(IF(0=LEN(ReferenceData!$X$353),"",ReferenceData!$X$353),"")</f>
        <v>0</v>
      </c>
      <c r="Y353">
        <f ca="1">IFERROR(IF(0=LEN(ReferenceData!$Y$353),"",ReferenceData!$Y$353),"")</f>
        <v>0</v>
      </c>
      <c r="Z353">
        <f ca="1">IFERROR(IF(0=LEN(ReferenceData!$Z$353),"",ReferenceData!$Z$353),"")</f>
        <v>0</v>
      </c>
      <c r="AA353" t="str">
        <f ca="1">IFERROR(IF(0=LEN(ReferenceData!$AA$353),"",ReferenceData!$AA$353),"")</f>
        <v/>
      </c>
      <c r="AB353" t="str">
        <f ca="1">IFERROR(IF(0=LEN(ReferenceData!$AB$353),"",ReferenceData!$AB$353),"")</f>
        <v/>
      </c>
      <c r="AC353" t="str">
        <f ca="1">IFERROR(IF(0=LEN(ReferenceData!$AC$353),"",ReferenceData!$AC$353),"")</f>
        <v/>
      </c>
      <c r="AD353" t="str">
        <f ca="1">IFERROR(IF(0=LEN(ReferenceData!$AD$353),"",ReferenceData!$AD$353),"")</f>
        <v/>
      </c>
      <c r="AE353" t="str">
        <f ca="1">IFERROR(IF(0=LEN(ReferenceData!$AE$353),"",ReferenceData!$AE$353),"")</f>
        <v/>
      </c>
      <c r="AF353" t="str">
        <f ca="1">IFERROR(IF(0=LEN(ReferenceData!$AF$353),"",ReferenceData!$AF$353),"")</f>
        <v/>
      </c>
      <c r="AG353" t="str">
        <f ca="1">IFERROR(IF(0=LEN(ReferenceData!$AG$353),"",ReferenceData!$AG$353),"")</f>
        <v/>
      </c>
      <c r="AH353" t="str">
        <f ca="1">IFERROR(IF(0=LEN(ReferenceData!$AH$353),"",ReferenceData!$AH$353),"")</f>
        <v/>
      </c>
      <c r="AI353" t="str">
        <f ca="1">IFERROR(IF(0=LEN(ReferenceData!$AI$353),"",ReferenceData!$AI$353),"")</f>
        <v/>
      </c>
      <c r="AJ353" t="str">
        <f ca="1">IFERROR(IF(0=LEN(ReferenceData!$AJ$353),"",ReferenceData!$AJ$353),"")</f>
        <v/>
      </c>
      <c r="AK353" t="str">
        <f ca="1">IFERROR(IF(0=LEN(ReferenceData!$AK$353),"",ReferenceData!$AK$353),"")</f>
        <v/>
      </c>
      <c r="AL353" t="str">
        <f ca="1">IFERROR(IF(0=LEN(ReferenceData!$AL$353),"",ReferenceData!$AL$353),"")</f>
        <v/>
      </c>
    </row>
    <row r="354" spans="1:38" x14ac:dyDescent="0.25">
      <c r="A354" t="str">
        <f>IFERROR(IF(0=LEN(ReferenceData!$A$354),"",ReferenceData!$A$354),"")</f>
        <v xml:space="preserve">        Comerica Inc</v>
      </c>
      <c r="B354" t="str">
        <f>IFERROR(IF(0=LEN(ReferenceData!$B$354),"",ReferenceData!$B$354),"")</f>
        <v>CMA US Equity</v>
      </c>
      <c r="C354" t="str">
        <f>IFERROR(IF(0=LEN(ReferenceData!$C$354),"",ReferenceData!$C$354),"")</f>
        <v>F0126</v>
      </c>
      <c r="D354" t="str">
        <f>IFERROR(IF(0=LEN(ReferenceData!$D$354),"",ReferenceData!$D$354),"")</f>
        <v>FED_SOV_LOANS_%_TOT_LOANS_LEASES</v>
      </c>
      <c r="E354" t="str">
        <f>IFERROR(IF(0=LEN(ReferenceData!$E$354),"",ReferenceData!$E$354),"")</f>
        <v>Dynamic</v>
      </c>
      <c r="F354" t="str">
        <f ca="1">IFERROR(IF(0=LEN(ReferenceData!$F$354),"",ReferenceData!$F$354),"")</f>
        <v/>
      </c>
      <c r="G354">
        <f ca="1">IFERROR(IF(0=LEN(ReferenceData!$G$354),"",ReferenceData!$G$354),"")</f>
        <v>0</v>
      </c>
      <c r="H354">
        <f ca="1">IFERROR(IF(0=LEN(ReferenceData!$H$354),"",ReferenceData!$H$354),"")</f>
        <v>0</v>
      </c>
      <c r="I354">
        <f ca="1">IFERROR(IF(0=LEN(ReferenceData!$I$354),"",ReferenceData!$I$354),"")</f>
        <v>0</v>
      </c>
      <c r="J354">
        <f ca="1">IFERROR(IF(0=LEN(ReferenceData!$J$354),"",ReferenceData!$J$354),"")</f>
        <v>0</v>
      </c>
      <c r="K354">
        <f ca="1">IFERROR(IF(0=LEN(ReferenceData!$K$354),"",ReferenceData!$K$354),"")</f>
        <v>0</v>
      </c>
      <c r="L354">
        <f ca="1">IFERROR(IF(0=LEN(ReferenceData!$L$354),"",ReferenceData!$L$354),"")</f>
        <v>0</v>
      </c>
      <c r="M354">
        <f ca="1">IFERROR(IF(0=LEN(ReferenceData!$M$354),"",ReferenceData!$M$354),"")</f>
        <v>0</v>
      </c>
      <c r="N354">
        <f ca="1">IFERROR(IF(0=LEN(ReferenceData!$N$354),"",ReferenceData!$N$354),"")</f>
        <v>0</v>
      </c>
      <c r="O354">
        <f ca="1">IFERROR(IF(0=LEN(ReferenceData!$O$354),"",ReferenceData!$O$354),"")</f>
        <v>0</v>
      </c>
      <c r="P354">
        <f ca="1">IFERROR(IF(0=LEN(ReferenceData!$P$354),"",ReferenceData!$P$354),"")</f>
        <v>0</v>
      </c>
      <c r="Q354">
        <f ca="1">IFERROR(IF(0=LEN(ReferenceData!$Q$354),"",ReferenceData!$Q$354),"")</f>
        <v>0</v>
      </c>
      <c r="R354">
        <f ca="1">IFERROR(IF(0=LEN(ReferenceData!$R$354),"",ReferenceData!$R$354),"")</f>
        <v>0</v>
      </c>
      <c r="S354">
        <f ca="1">IFERROR(IF(0=LEN(ReferenceData!$S$354),"",ReferenceData!$S$354),"")</f>
        <v>0</v>
      </c>
      <c r="T354">
        <f ca="1">IFERROR(IF(0=LEN(ReferenceData!$T$354),"",ReferenceData!$T$354),"")</f>
        <v>0</v>
      </c>
      <c r="U354">
        <f ca="1">IFERROR(IF(0=LEN(ReferenceData!$U$354),"",ReferenceData!$U$354),"")</f>
        <v>0</v>
      </c>
      <c r="V354">
        <f ca="1">IFERROR(IF(0=LEN(ReferenceData!$V$354),"",ReferenceData!$V$354),"")</f>
        <v>0</v>
      </c>
      <c r="W354">
        <f ca="1">IFERROR(IF(0=LEN(ReferenceData!$W$354),"",ReferenceData!$W$354),"")</f>
        <v>0</v>
      </c>
      <c r="X354">
        <f ca="1">IFERROR(IF(0=LEN(ReferenceData!$X$354),"",ReferenceData!$X$354),"")</f>
        <v>0</v>
      </c>
      <c r="Y354">
        <f ca="1">IFERROR(IF(0=LEN(ReferenceData!$Y$354),"",ReferenceData!$Y$354),"")</f>
        <v>4.544017E-3</v>
      </c>
      <c r="Z354">
        <f ca="1">IFERROR(IF(0=LEN(ReferenceData!$Z$354),"",ReferenceData!$Z$354),"")</f>
        <v>8.4227529999999998E-3</v>
      </c>
      <c r="AA354">
        <f ca="1">IFERROR(IF(0=LEN(ReferenceData!$AA$354),"",ReferenceData!$AA$354),"")</f>
        <v>1.3636963E-2</v>
      </c>
      <c r="AB354">
        <f ca="1">IFERROR(IF(0=LEN(ReferenceData!$AB$354),"",ReferenceData!$AB$354),"")</f>
        <v>2.1702250999999999E-2</v>
      </c>
      <c r="AC354">
        <f ca="1">IFERROR(IF(0=LEN(ReferenceData!$AC$354),"",ReferenceData!$AC$354),"")</f>
        <v>2.1520979999999999E-2</v>
      </c>
      <c r="AD354" t="str">
        <f ca="1">IFERROR(IF(0=LEN(ReferenceData!$AD$354),"",ReferenceData!$AD$354),"")</f>
        <v/>
      </c>
      <c r="AE354" t="str">
        <f ca="1">IFERROR(IF(0=LEN(ReferenceData!$AE$354),"",ReferenceData!$AE$354),"")</f>
        <v/>
      </c>
      <c r="AF354" t="str">
        <f ca="1">IFERROR(IF(0=LEN(ReferenceData!$AF$354),"",ReferenceData!$AF$354),"")</f>
        <v/>
      </c>
      <c r="AG354" t="str">
        <f ca="1">IFERROR(IF(0=LEN(ReferenceData!$AG$354),"",ReferenceData!$AG$354),"")</f>
        <v/>
      </c>
      <c r="AH354" t="str">
        <f ca="1">IFERROR(IF(0=LEN(ReferenceData!$AH$354),"",ReferenceData!$AH$354),"")</f>
        <v/>
      </c>
      <c r="AI354" t="str">
        <f ca="1">IFERROR(IF(0=LEN(ReferenceData!$AI$354),"",ReferenceData!$AI$354),"")</f>
        <v/>
      </c>
      <c r="AJ354" t="str">
        <f ca="1">IFERROR(IF(0=LEN(ReferenceData!$AJ$354),"",ReferenceData!$AJ$354),"")</f>
        <v/>
      </c>
      <c r="AK354" t="str">
        <f ca="1">IFERROR(IF(0=LEN(ReferenceData!$AK$354),"",ReferenceData!$AK$354),"")</f>
        <v/>
      </c>
      <c r="AL354" t="str">
        <f ca="1">IFERROR(IF(0=LEN(ReferenceData!$AL$354),"",ReferenceData!$AL$354),"")</f>
        <v/>
      </c>
    </row>
    <row r="355" spans="1:38" x14ac:dyDescent="0.25">
      <c r="A355" t="str">
        <f>IFERROR(IF(0=LEN(ReferenceData!$A$355),"",ReferenceData!$A$355),"")</f>
        <v xml:space="preserve">        East West Bancorp Inc</v>
      </c>
      <c r="B355" t="str">
        <f>IFERROR(IF(0=LEN(ReferenceData!$B$355),"",ReferenceData!$B$355),"")</f>
        <v>EWBC US Equity</v>
      </c>
      <c r="C355" t="str">
        <f>IFERROR(IF(0=LEN(ReferenceData!$C$355),"",ReferenceData!$C$355),"")</f>
        <v>F0126</v>
      </c>
      <c r="D355" t="str">
        <f>IFERROR(IF(0=LEN(ReferenceData!$D$355),"",ReferenceData!$D$355),"")</f>
        <v>FED_SOV_LOANS_%_TOT_LOANS_LEASES</v>
      </c>
      <c r="E355" t="str">
        <f>IFERROR(IF(0=LEN(ReferenceData!$E$355),"",ReferenceData!$E$355),"")</f>
        <v>Dynamic</v>
      </c>
      <c r="F355" t="str">
        <f ca="1">IFERROR(IF(0=LEN(ReferenceData!$F$355),"",ReferenceData!$F$355),"")</f>
        <v/>
      </c>
      <c r="G355">
        <f ca="1">IFERROR(IF(0=LEN(ReferenceData!$G$355),"",ReferenceData!$G$355),"")</f>
        <v>0</v>
      </c>
      <c r="H355">
        <f ca="1">IFERROR(IF(0=LEN(ReferenceData!$H$355),"",ReferenceData!$H$355),"")</f>
        <v>0</v>
      </c>
      <c r="I355">
        <f ca="1">IFERROR(IF(0=LEN(ReferenceData!$I$355),"",ReferenceData!$I$355),"")</f>
        <v>0</v>
      </c>
      <c r="J355">
        <f ca="1">IFERROR(IF(0=LEN(ReferenceData!$J$355),"",ReferenceData!$J$355),"")</f>
        <v>0</v>
      </c>
      <c r="K355">
        <f ca="1">IFERROR(IF(0=LEN(ReferenceData!$K$355),"",ReferenceData!$K$355),"")</f>
        <v>0</v>
      </c>
      <c r="L355">
        <f ca="1">IFERROR(IF(0=LEN(ReferenceData!$L$355),"",ReferenceData!$L$355),"")</f>
        <v>0</v>
      </c>
      <c r="M355">
        <f ca="1">IFERROR(IF(0=LEN(ReferenceData!$M$355),"",ReferenceData!$M$355),"")</f>
        <v>0</v>
      </c>
      <c r="N355">
        <f ca="1">IFERROR(IF(0=LEN(ReferenceData!$N$355),"",ReferenceData!$N$355),"")</f>
        <v>0</v>
      </c>
      <c r="O355">
        <f ca="1">IFERROR(IF(0=LEN(ReferenceData!$O$355),"",ReferenceData!$O$355),"")</f>
        <v>0</v>
      </c>
      <c r="P355">
        <f ca="1">IFERROR(IF(0=LEN(ReferenceData!$P$355),"",ReferenceData!$P$355),"")</f>
        <v>0.41942221499999999</v>
      </c>
      <c r="Q355">
        <f ca="1">IFERROR(IF(0=LEN(ReferenceData!$Q$355),"",ReferenceData!$Q$355),"")</f>
        <v>0.49065646099999999</v>
      </c>
      <c r="R355">
        <f ca="1">IFERROR(IF(0=LEN(ReferenceData!$R$355),"",ReferenceData!$R$355),"")</f>
        <v>0</v>
      </c>
      <c r="S355">
        <f ca="1">IFERROR(IF(0=LEN(ReferenceData!$S$355),"",ReferenceData!$S$355),"")</f>
        <v>0</v>
      </c>
      <c r="T355">
        <f ca="1">IFERROR(IF(0=LEN(ReferenceData!$T$355),"",ReferenceData!$T$355),"")</f>
        <v>0</v>
      </c>
      <c r="U355">
        <f ca="1">IFERROR(IF(0=LEN(ReferenceData!$U$355),"",ReferenceData!$U$355),"")</f>
        <v>0</v>
      </c>
      <c r="V355">
        <f ca="1">IFERROR(IF(0=LEN(ReferenceData!$V$355),"",ReferenceData!$V$355),"")</f>
        <v>0</v>
      </c>
      <c r="W355">
        <f ca="1">IFERROR(IF(0=LEN(ReferenceData!$W$355),"",ReferenceData!$W$355),"")</f>
        <v>0</v>
      </c>
      <c r="X355">
        <f ca="1">IFERROR(IF(0=LEN(ReferenceData!$X$355),"",ReferenceData!$X$355),"")</f>
        <v>0</v>
      </c>
      <c r="Y355">
        <f ca="1">IFERROR(IF(0=LEN(ReferenceData!$Y$355),"",ReferenceData!$Y$355),"")</f>
        <v>7.3551152999999994E-2</v>
      </c>
      <c r="Z355">
        <f ca="1">IFERROR(IF(0=LEN(ReferenceData!$Z$355),"",ReferenceData!$Z$355),"")</f>
        <v>9.7345713E-2</v>
      </c>
      <c r="AA355">
        <f ca="1">IFERROR(IF(0=LEN(ReferenceData!$AA$355),"",ReferenceData!$AA$355),"")</f>
        <v>0.15259645899999999</v>
      </c>
      <c r="AB355">
        <f ca="1">IFERROR(IF(0=LEN(ReferenceData!$AB$355),"",ReferenceData!$AB$355),"")</f>
        <v>0</v>
      </c>
      <c r="AC355">
        <f ca="1">IFERROR(IF(0=LEN(ReferenceData!$AC$355),"",ReferenceData!$AC$355),"")</f>
        <v>0</v>
      </c>
      <c r="AD355" t="str">
        <f ca="1">IFERROR(IF(0=LEN(ReferenceData!$AD$355),"",ReferenceData!$AD$355),"")</f>
        <v/>
      </c>
      <c r="AE355" t="str">
        <f ca="1">IFERROR(IF(0=LEN(ReferenceData!$AE$355),"",ReferenceData!$AE$355),"")</f>
        <v/>
      </c>
      <c r="AF355" t="str">
        <f ca="1">IFERROR(IF(0=LEN(ReferenceData!$AF$355),"",ReferenceData!$AF$355),"")</f>
        <v/>
      </c>
      <c r="AG355" t="str">
        <f ca="1">IFERROR(IF(0=LEN(ReferenceData!$AG$355),"",ReferenceData!$AG$355),"")</f>
        <v/>
      </c>
      <c r="AH355" t="str">
        <f ca="1">IFERROR(IF(0=LEN(ReferenceData!$AH$355),"",ReferenceData!$AH$355),"")</f>
        <v/>
      </c>
      <c r="AI355" t="str">
        <f ca="1">IFERROR(IF(0=LEN(ReferenceData!$AI$355),"",ReferenceData!$AI$355),"")</f>
        <v/>
      </c>
      <c r="AJ355" t="str">
        <f ca="1">IFERROR(IF(0=LEN(ReferenceData!$AJ$355),"",ReferenceData!$AJ$355),"")</f>
        <v/>
      </c>
      <c r="AK355" t="str">
        <f ca="1">IFERROR(IF(0=LEN(ReferenceData!$AK$355),"",ReferenceData!$AK$355),"")</f>
        <v/>
      </c>
      <c r="AL355" t="str">
        <f ca="1">IFERROR(IF(0=LEN(ReferenceData!$AL$355),"",ReferenceData!$AL$355),"")</f>
        <v/>
      </c>
    </row>
    <row r="356" spans="1:38" x14ac:dyDescent="0.25">
      <c r="A356" t="str">
        <f>IFERROR(IF(0=LEN(ReferenceData!$A$356),"",ReferenceData!$A$356),"")</f>
        <v xml:space="preserve">        Fifth Third Bancorp</v>
      </c>
      <c r="B356" t="str">
        <f>IFERROR(IF(0=LEN(ReferenceData!$B$356),"",ReferenceData!$B$356),"")</f>
        <v>FITB US Equity</v>
      </c>
      <c r="C356" t="str">
        <f>IFERROR(IF(0=LEN(ReferenceData!$C$356),"",ReferenceData!$C$356),"")</f>
        <v>F0126</v>
      </c>
      <c r="D356" t="str">
        <f>IFERROR(IF(0=LEN(ReferenceData!$D$356),"",ReferenceData!$D$356),"")</f>
        <v>FED_SOV_LOANS_%_TOT_LOANS_LEASES</v>
      </c>
      <c r="E356" t="str">
        <f>IFERROR(IF(0=LEN(ReferenceData!$E$356),"",ReferenceData!$E$356),"")</f>
        <v>Dynamic</v>
      </c>
      <c r="F356">
        <f ca="1">IFERROR(IF(0=LEN(ReferenceData!$F$356),"",ReferenceData!$F$356),"")</f>
        <v>0</v>
      </c>
      <c r="G356">
        <f ca="1">IFERROR(IF(0=LEN(ReferenceData!$G$356),"",ReferenceData!$G$356),"")</f>
        <v>0</v>
      </c>
      <c r="H356">
        <f ca="1">IFERROR(IF(0=LEN(ReferenceData!$H$356),"",ReferenceData!$H$356),"")</f>
        <v>0</v>
      </c>
      <c r="I356">
        <f ca="1">IFERROR(IF(0=LEN(ReferenceData!$I$356),"",ReferenceData!$I$356),"")</f>
        <v>0</v>
      </c>
      <c r="J356">
        <f ca="1">IFERROR(IF(0=LEN(ReferenceData!$J$356),"",ReferenceData!$J$356),"")</f>
        <v>0</v>
      </c>
      <c r="K356">
        <f ca="1">IFERROR(IF(0=LEN(ReferenceData!$K$356),"",ReferenceData!$K$356),"")</f>
        <v>0</v>
      </c>
      <c r="L356">
        <f ca="1">IFERROR(IF(0=LEN(ReferenceData!$L$356),"",ReferenceData!$L$356),"")</f>
        <v>0</v>
      </c>
      <c r="M356">
        <f ca="1">IFERROR(IF(0=LEN(ReferenceData!$M$356),"",ReferenceData!$M$356),"")</f>
        <v>0</v>
      </c>
      <c r="N356">
        <f ca="1">IFERROR(IF(0=LEN(ReferenceData!$N$356),"",ReferenceData!$N$356),"")</f>
        <v>0</v>
      </c>
      <c r="O356">
        <f ca="1">IFERROR(IF(0=LEN(ReferenceData!$O$356),"",ReferenceData!$O$356),"")</f>
        <v>0</v>
      </c>
      <c r="P356">
        <f ca="1">IFERROR(IF(0=LEN(ReferenceData!$P$356),"",ReferenceData!$P$356),"")</f>
        <v>0</v>
      </c>
      <c r="Q356">
        <f ca="1">IFERROR(IF(0=LEN(ReferenceData!$Q$356),"",ReferenceData!$Q$356),"")</f>
        <v>0</v>
      </c>
      <c r="R356">
        <f ca="1">IFERROR(IF(0=LEN(ReferenceData!$R$356),"",ReferenceData!$R$356),"")</f>
        <v>0</v>
      </c>
      <c r="S356">
        <f ca="1">IFERROR(IF(0=LEN(ReferenceData!$S$356),"",ReferenceData!$S$356),"")</f>
        <v>0</v>
      </c>
      <c r="T356">
        <f ca="1">IFERROR(IF(0=LEN(ReferenceData!$T$356),"",ReferenceData!$T$356),"")</f>
        <v>0</v>
      </c>
      <c r="U356">
        <f ca="1">IFERROR(IF(0=LEN(ReferenceData!$U$356),"",ReferenceData!$U$356),"")</f>
        <v>0</v>
      </c>
      <c r="V356">
        <f ca="1">IFERROR(IF(0=LEN(ReferenceData!$V$356),"",ReferenceData!$V$356),"")</f>
        <v>0</v>
      </c>
      <c r="W356">
        <f ca="1">IFERROR(IF(0=LEN(ReferenceData!$W$356),"",ReferenceData!$W$356),"")</f>
        <v>0</v>
      </c>
      <c r="X356">
        <f ca="1">IFERROR(IF(0=LEN(ReferenceData!$X$356),"",ReferenceData!$X$356),"")</f>
        <v>0</v>
      </c>
      <c r="Y356">
        <f ca="1">IFERROR(IF(0=LEN(ReferenceData!$Y$356),"",ReferenceData!$Y$356),"")</f>
        <v>0</v>
      </c>
      <c r="Z356">
        <f ca="1">IFERROR(IF(0=LEN(ReferenceData!$Z$356),"",ReferenceData!$Z$356),"")</f>
        <v>0</v>
      </c>
      <c r="AA356">
        <f ca="1">IFERROR(IF(0=LEN(ReferenceData!$AA$356),"",ReferenceData!$AA$356),"")</f>
        <v>0</v>
      </c>
      <c r="AB356">
        <f ca="1">IFERROR(IF(0=LEN(ReferenceData!$AB$356),"",ReferenceData!$AB$356),"")</f>
        <v>0</v>
      </c>
      <c r="AC356">
        <f ca="1">IFERROR(IF(0=LEN(ReferenceData!$AC$356),"",ReferenceData!$AC$356),"")</f>
        <v>4.9589600000000001E-4</v>
      </c>
      <c r="AD356" t="str">
        <f ca="1">IFERROR(IF(0=LEN(ReferenceData!$AD$356),"",ReferenceData!$AD$356),"")</f>
        <v/>
      </c>
      <c r="AE356" t="str">
        <f ca="1">IFERROR(IF(0=LEN(ReferenceData!$AE$356),"",ReferenceData!$AE$356),"")</f>
        <v/>
      </c>
      <c r="AF356" t="str">
        <f ca="1">IFERROR(IF(0=LEN(ReferenceData!$AF$356),"",ReferenceData!$AF$356),"")</f>
        <v/>
      </c>
      <c r="AG356" t="str">
        <f ca="1">IFERROR(IF(0=LEN(ReferenceData!$AG$356),"",ReferenceData!$AG$356),"")</f>
        <v/>
      </c>
      <c r="AH356" t="str">
        <f ca="1">IFERROR(IF(0=LEN(ReferenceData!$AH$356),"",ReferenceData!$AH$356),"")</f>
        <v/>
      </c>
      <c r="AI356" t="str">
        <f ca="1">IFERROR(IF(0=LEN(ReferenceData!$AI$356),"",ReferenceData!$AI$356),"")</f>
        <v/>
      </c>
      <c r="AJ356" t="str">
        <f ca="1">IFERROR(IF(0=LEN(ReferenceData!$AJ$356),"",ReferenceData!$AJ$356),"")</f>
        <v/>
      </c>
      <c r="AK356" t="str">
        <f ca="1">IFERROR(IF(0=LEN(ReferenceData!$AK$356),"",ReferenceData!$AK$356),"")</f>
        <v/>
      </c>
      <c r="AL356" t="str">
        <f ca="1">IFERROR(IF(0=LEN(ReferenceData!$AL$356),"",ReferenceData!$AL$356),"")</f>
        <v/>
      </c>
    </row>
    <row r="357" spans="1:38" x14ac:dyDescent="0.25">
      <c r="A357" t="str">
        <f>IFERROR(IF(0=LEN(ReferenceData!$A$357),"",ReferenceData!$A$357),"")</f>
        <v xml:space="preserve">        First Citizens BancShares Inc/</v>
      </c>
      <c r="B357" t="str">
        <f>IFERROR(IF(0=LEN(ReferenceData!$B$357),"",ReferenceData!$B$357),"")</f>
        <v>FCNCA US Equity</v>
      </c>
      <c r="C357" t="str">
        <f>IFERROR(IF(0=LEN(ReferenceData!$C$357),"",ReferenceData!$C$357),"")</f>
        <v>F0126</v>
      </c>
      <c r="D357" t="str">
        <f>IFERROR(IF(0=LEN(ReferenceData!$D$357),"",ReferenceData!$D$357),"")</f>
        <v>FED_SOV_LOANS_%_TOT_LOANS_LEASES</v>
      </c>
      <c r="E357" t="str">
        <f>IFERROR(IF(0=LEN(ReferenceData!$E$357),"",ReferenceData!$E$357),"")</f>
        <v>Dynamic</v>
      </c>
      <c r="F357">
        <f ca="1">IFERROR(IF(0=LEN(ReferenceData!$F$357),"",ReferenceData!$F$357),"")</f>
        <v>0</v>
      </c>
      <c r="G357">
        <f ca="1">IFERROR(IF(0=LEN(ReferenceData!$G$357),"",ReferenceData!$G$357),"")</f>
        <v>0</v>
      </c>
      <c r="H357">
        <f ca="1">IFERROR(IF(0=LEN(ReferenceData!$H$357),"",ReferenceData!$H$357),"")</f>
        <v>0</v>
      </c>
      <c r="I357">
        <f ca="1">IFERROR(IF(0=LEN(ReferenceData!$I$357),"",ReferenceData!$I$357),"")</f>
        <v>0</v>
      </c>
      <c r="J357">
        <f ca="1">IFERROR(IF(0=LEN(ReferenceData!$J$357),"",ReferenceData!$J$357),"")</f>
        <v>0</v>
      </c>
      <c r="K357">
        <f ca="1">IFERROR(IF(0=LEN(ReferenceData!$K$357),"",ReferenceData!$K$357),"")</f>
        <v>0</v>
      </c>
      <c r="L357">
        <f ca="1">IFERROR(IF(0=LEN(ReferenceData!$L$357),"",ReferenceData!$L$357),"")</f>
        <v>0</v>
      </c>
      <c r="M357">
        <f ca="1">IFERROR(IF(0=LEN(ReferenceData!$M$357),"",ReferenceData!$M$357),"")</f>
        <v>0</v>
      </c>
      <c r="N357">
        <f ca="1">IFERROR(IF(0=LEN(ReferenceData!$N$357),"",ReferenceData!$N$357),"")</f>
        <v>0</v>
      </c>
      <c r="O357">
        <f ca="1">IFERROR(IF(0=LEN(ReferenceData!$O$357),"",ReferenceData!$O$357),"")</f>
        <v>0</v>
      </c>
      <c r="P357">
        <f ca="1">IFERROR(IF(0=LEN(ReferenceData!$P$357),"",ReferenceData!$P$357),"")</f>
        <v>0</v>
      </c>
      <c r="Q357">
        <f ca="1">IFERROR(IF(0=LEN(ReferenceData!$Q$357),"",ReferenceData!$Q$357),"")</f>
        <v>0</v>
      </c>
      <c r="R357">
        <f ca="1">IFERROR(IF(0=LEN(ReferenceData!$R$357),"",ReferenceData!$R$357),"")</f>
        <v>0</v>
      </c>
      <c r="S357">
        <f ca="1">IFERROR(IF(0=LEN(ReferenceData!$S$357),"",ReferenceData!$S$357),"")</f>
        <v>0</v>
      </c>
      <c r="T357">
        <f ca="1">IFERROR(IF(0=LEN(ReferenceData!$T$357),"",ReferenceData!$T$357),"")</f>
        <v>0</v>
      </c>
      <c r="U357">
        <f ca="1">IFERROR(IF(0=LEN(ReferenceData!$U$357),"",ReferenceData!$U$357),"")</f>
        <v>0</v>
      </c>
      <c r="V357">
        <f ca="1">IFERROR(IF(0=LEN(ReferenceData!$V$357),"",ReferenceData!$V$357),"")</f>
        <v>0</v>
      </c>
      <c r="W357">
        <f ca="1">IFERROR(IF(0=LEN(ReferenceData!$W$357),"",ReferenceData!$W$357),"")</f>
        <v>0</v>
      </c>
      <c r="X357">
        <f ca="1">IFERROR(IF(0=LEN(ReferenceData!$X$357),"",ReferenceData!$X$357),"")</f>
        <v>0</v>
      </c>
      <c r="Y357">
        <f ca="1">IFERROR(IF(0=LEN(ReferenceData!$Y$357),"",ReferenceData!$Y$357),"")</f>
        <v>0</v>
      </c>
      <c r="Z357">
        <f ca="1">IFERROR(IF(0=LEN(ReferenceData!$Z$357),"",ReferenceData!$Z$357),"")</f>
        <v>0</v>
      </c>
      <c r="AA357">
        <f ca="1">IFERROR(IF(0=LEN(ReferenceData!$AA$357),"",ReferenceData!$AA$357),"")</f>
        <v>0</v>
      </c>
      <c r="AB357">
        <f ca="1">IFERROR(IF(0=LEN(ReferenceData!$AB$357),"",ReferenceData!$AB$357),"")</f>
        <v>0</v>
      </c>
      <c r="AC357">
        <f ca="1">IFERROR(IF(0=LEN(ReferenceData!$AC$357),"",ReferenceData!$AC$357),"")</f>
        <v>0</v>
      </c>
      <c r="AD357" t="str">
        <f ca="1">IFERROR(IF(0=LEN(ReferenceData!$AD$357),"",ReferenceData!$AD$357),"")</f>
        <v/>
      </c>
      <c r="AE357" t="str">
        <f ca="1">IFERROR(IF(0=LEN(ReferenceData!$AE$357),"",ReferenceData!$AE$357),"")</f>
        <v/>
      </c>
      <c r="AF357" t="str">
        <f ca="1">IFERROR(IF(0=LEN(ReferenceData!$AF$357),"",ReferenceData!$AF$357),"")</f>
        <v/>
      </c>
      <c r="AG357" t="str">
        <f ca="1">IFERROR(IF(0=LEN(ReferenceData!$AG$357),"",ReferenceData!$AG$357),"")</f>
        <v/>
      </c>
      <c r="AH357" t="str">
        <f ca="1">IFERROR(IF(0=LEN(ReferenceData!$AH$357),"",ReferenceData!$AH$357),"")</f>
        <v/>
      </c>
      <c r="AI357" t="str">
        <f ca="1">IFERROR(IF(0=LEN(ReferenceData!$AI$357),"",ReferenceData!$AI$357),"")</f>
        <v/>
      </c>
      <c r="AJ357" t="str">
        <f ca="1">IFERROR(IF(0=LEN(ReferenceData!$AJ$357),"",ReferenceData!$AJ$357),"")</f>
        <v/>
      </c>
      <c r="AK357" t="str">
        <f ca="1">IFERROR(IF(0=LEN(ReferenceData!$AK$357),"",ReferenceData!$AK$357),"")</f>
        <v/>
      </c>
      <c r="AL357" t="str">
        <f ca="1">IFERROR(IF(0=LEN(ReferenceData!$AL$357),"",ReferenceData!$AL$357),"")</f>
        <v/>
      </c>
    </row>
    <row r="358" spans="1:38" x14ac:dyDescent="0.25">
      <c r="A358" t="str">
        <f>IFERROR(IF(0=LEN(ReferenceData!$A$358),"",ReferenceData!$A$358),"")</f>
        <v xml:space="preserve">        Flagstar Financial Inc</v>
      </c>
      <c r="B358" t="str">
        <f>IFERROR(IF(0=LEN(ReferenceData!$B$358),"",ReferenceData!$B$358),"")</f>
        <v>FLG US Equity</v>
      </c>
      <c r="C358" t="str">
        <f>IFERROR(IF(0=LEN(ReferenceData!$C$358),"",ReferenceData!$C$358),"")</f>
        <v>F0126</v>
      </c>
      <c r="D358" t="str">
        <f>IFERROR(IF(0=LEN(ReferenceData!$D$358),"",ReferenceData!$D$358),"")</f>
        <v>FED_SOV_LOANS_%_TOT_LOANS_LEASES</v>
      </c>
      <c r="E358" t="str">
        <f>IFERROR(IF(0=LEN(ReferenceData!$E$358),"",ReferenceData!$E$358),"")</f>
        <v>Dynamic</v>
      </c>
      <c r="F358">
        <f ca="1">IFERROR(IF(0=LEN(ReferenceData!$F$358),"",ReferenceData!$F$358),"")</f>
        <v>0</v>
      </c>
      <c r="G358">
        <f ca="1">IFERROR(IF(0=LEN(ReferenceData!$G$358),"",ReferenceData!$G$358),"")</f>
        <v>0</v>
      </c>
      <c r="H358">
        <f ca="1">IFERROR(IF(0=LEN(ReferenceData!$H$358),"",ReferenceData!$H$358),"")</f>
        <v>0</v>
      </c>
      <c r="I358">
        <f ca="1">IFERROR(IF(0=LEN(ReferenceData!$I$358),"",ReferenceData!$I$358),"")</f>
        <v>0</v>
      </c>
      <c r="J358">
        <f ca="1">IFERROR(IF(0=LEN(ReferenceData!$J$358),"",ReferenceData!$J$358),"")</f>
        <v>0</v>
      </c>
      <c r="K358">
        <f ca="1">IFERROR(IF(0=LEN(ReferenceData!$K$358),"",ReferenceData!$K$358),"")</f>
        <v>0</v>
      </c>
      <c r="L358">
        <f ca="1">IFERROR(IF(0=LEN(ReferenceData!$L$358),"",ReferenceData!$L$358),"")</f>
        <v>0</v>
      </c>
      <c r="M358">
        <f ca="1">IFERROR(IF(0=LEN(ReferenceData!$M$358),"",ReferenceData!$M$358),"")</f>
        <v>0</v>
      </c>
      <c r="N358">
        <f ca="1">IFERROR(IF(0=LEN(ReferenceData!$N$358),"",ReferenceData!$N$358),"")</f>
        <v>0</v>
      </c>
      <c r="O358">
        <f ca="1">IFERROR(IF(0=LEN(ReferenceData!$O$358),"",ReferenceData!$O$358),"")</f>
        <v>0</v>
      </c>
      <c r="P358">
        <f ca="1">IFERROR(IF(0=LEN(ReferenceData!$P$358),"",ReferenceData!$P$358),"")</f>
        <v>0</v>
      </c>
      <c r="Q358">
        <f ca="1">IFERROR(IF(0=LEN(ReferenceData!$Q$358),"",ReferenceData!$Q$358),"")</f>
        <v>0</v>
      </c>
      <c r="R358">
        <f ca="1">IFERROR(IF(0=LEN(ReferenceData!$R$358),"",ReferenceData!$R$358),"")</f>
        <v>0</v>
      </c>
      <c r="S358">
        <f ca="1">IFERROR(IF(0=LEN(ReferenceData!$S$358),"",ReferenceData!$S$358),"")</f>
        <v>0</v>
      </c>
      <c r="T358">
        <f ca="1">IFERROR(IF(0=LEN(ReferenceData!$T$358),"",ReferenceData!$T$358),"")</f>
        <v>0</v>
      </c>
      <c r="U358">
        <f ca="1">IFERROR(IF(0=LEN(ReferenceData!$U$358),"",ReferenceData!$U$358),"")</f>
        <v>0</v>
      </c>
      <c r="V358">
        <f ca="1">IFERROR(IF(0=LEN(ReferenceData!$V$358),"",ReferenceData!$V$358),"")</f>
        <v>0</v>
      </c>
      <c r="W358">
        <f ca="1">IFERROR(IF(0=LEN(ReferenceData!$W$358),"",ReferenceData!$W$358),"")</f>
        <v>0</v>
      </c>
      <c r="X358">
        <f ca="1">IFERROR(IF(0=LEN(ReferenceData!$X$358),"",ReferenceData!$X$358),"")</f>
        <v>0</v>
      </c>
      <c r="Y358">
        <f ca="1">IFERROR(IF(0=LEN(ReferenceData!$Y$358),"",ReferenceData!$Y$358),"")</f>
        <v>0</v>
      </c>
      <c r="Z358">
        <f ca="1">IFERROR(IF(0=LEN(ReferenceData!$Z$358),"",ReferenceData!$Z$358),"")</f>
        <v>0</v>
      </c>
      <c r="AA358">
        <f ca="1">IFERROR(IF(0=LEN(ReferenceData!$AA$358),"",ReferenceData!$AA$358),"")</f>
        <v>0</v>
      </c>
      <c r="AB358">
        <f ca="1">IFERROR(IF(0=LEN(ReferenceData!$AB$358),"",ReferenceData!$AB$358),"")</f>
        <v>0</v>
      </c>
      <c r="AC358">
        <f ca="1">IFERROR(IF(0=LEN(ReferenceData!$AC$358),"",ReferenceData!$AC$358),"")</f>
        <v>0</v>
      </c>
      <c r="AD358" t="str">
        <f ca="1">IFERROR(IF(0=LEN(ReferenceData!$AD$358),"",ReferenceData!$AD$358),"")</f>
        <v/>
      </c>
      <c r="AE358" t="str">
        <f ca="1">IFERROR(IF(0=LEN(ReferenceData!$AE$358),"",ReferenceData!$AE$358),"")</f>
        <v/>
      </c>
      <c r="AF358" t="str">
        <f ca="1">IFERROR(IF(0=LEN(ReferenceData!$AF$358),"",ReferenceData!$AF$358),"")</f>
        <v/>
      </c>
      <c r="AG358" t="str">
        <f ca="1">IFERROR(IF(0=LEN(ReferenceData!$AG$358),"",ReferenceData!$AG$358),"")</f>
        <v/>
      </c>
      <c r="AH358" t="str">
        <f ca="1">IFERROR(IF(0=LEN(ReferenceData!$AH$358),"",ReferenceData!$AH$358),"")</f>
        <v/>
      </c>
      <c r="AI358" t="str">
        <f ca="1">IFERROR(IF(0=LEN(ReferenceData!$AI$358),"",ReferenceData!$AI$358),"")</f>
        <v/>
      </c>
      <c r="AJ358" t="str">
        <f ca="1">IFERROR(IF(0=LEN(ReferenceData!$AJ$358),"",ReferenceData!$AJ$358),"")</f>
        <v/>
      </c>
      <c r="AK358" t="str">
        <f ca="1">IFERROR(IF(0=LEN(ReferenceData!$AK$358),"",ReferenceData!$AK$358),"")</f>
        <v/>
      </c>
      <c r="AL358" t="str">
        <f ca="1">IFERROR(IF(0=LEN(ReferenceData!$AL$358),"",ReferenceData!$AL$358),"")</f>
        <v/>
      </c>
    </row>
    <row r="359" spans="1:38" x14ac:dyDescent="0.25">
      <c r="A359" t="str">
        <f>IFERROR(IF(0=LEN(ReferenceData!$A$359),"",ReferenceData!$A$359),"")</f>
        <v xml:space="preserve">        Huntington Bancshares Inc/OH</v>
      </c>
      <c r="B359" t="str">
        <f>IFERROR(IF(0=LEN(ReferenceData!$B$359),"",ReferenceData!$B$359),"")</f>
        <v>HBAN US Equity</v>
      </c>
      <c r="C359" t="str">
        <f>IFERROR(IF(0=LEN(ReferenceData!$C$359),"",ReferenceData!$C$359),"")</f>
        <v>F0126</v>
      </c>
      <c r="D359" t="str">
        <f>IFERROR(IF(0=LEN(ReferenceData!$D$359),"",ReferenceData!$D$359),"")</f>
        <v>FED_SOV_LOANS_%_TOT_LOANS_LEASES</v>
      </c>
      <c r="E359" t="str">
        <f>IFERROR(IF(0=LEN(ReferenceData!$E$359),"",ReferenceData!$E$359),"")</f>
        <v>Dynamic</v>
      </c>
      <c r="F359">
        <f ca="1">IFERROR(IF(0=LEN(ReferenceData!$F$359),"",ReferenceData!$F$359),"")</f>
        <v>0</v>
      </c>
      <c r="G359">
        <f ca="1">IFERROR(IF(0=LEN(ReferenceData!$G$359),"",ReferenceData!$G$359),"")</f>
        <v>0</v>
      </c>
      <c r="H359">
        <f ca="1">IFERROR(IF(0=LEN(ReferenceData!$H$359),"",ReferenceData!$H$359),"")</f>
        <v>0</v>
      </c>
      <c r="I359">
        <f ca="1">IFERROR(IF(0=LEN(ReferenceData!$I$359),"",ReferenceData!$I$359),"")</f>
        <v>0</v>
      </c>
      <c r="J359">
        <f ca="1">IFERROR(IF(0=LEN(ReferenceData!$J$359),"",ReferenceData!$J$359),"")</f>
        <v>0</v>
      </c>
      <c r="K359">
        <f ca="1">IFERROR(IF(0=LEN(ReferenceData!$K$359),"",ReferenceData!$K$359),"")</f>
        <v>0</v>
      </c>
      <c r="L359">
        <f ca="1">IFERROR(IF(0=LEN(ReferenceData!$L$359),"",ReferenceData!$L$359),"")</f>
        <v>0</v>
      </c>
      <c r="M359">
        <f ca="1">IFERROR(IF(0=LEN(ReferenceData!$M$359),"",ReferenceData!$M$359),"")</f>
        <v>0</v>
      </c>
      <c r="N359">
        <f ca="1">IFERROR(IF(0=LEN(ReferenceData!$N$359),"",ReferenceData!$N$359),"")</f>
        <v>0</v>
      </c>
      <c r="O359">
        <f ca="1">IFERROR(IF(0=LEN(ReferenceData!$O$359),"",ReferenceData!$O$359),"")</f>
        <v>0</v>
      </c>
      <c r="P359">
        <f ca="1">IFERROR(IF(0=LEN(ReferenceData!$P$359),"",ReferenceData!$P$359),"")</f>
        <v>0</v>
      </c>
      <c r="Q359">
        <f ca="1">IFERROR(IF(0=LEN(ReferenceData!$Q$359),"",ReferenceData!$Q$359),"")</f>
        <v>0</v>
      </c>
      <c r="R359">
        <f ca="1">IFERROR(IF(0=LEN(ReferenceData!$R$359),"",ReferenceData!$R$359),"")</f>
        <v>0</v>
      </c>
      <c r="S359">
        <f ca="1">IFERROR(IF(0=LEN(ReferenceData!$S$359),"",ReferenceData!$S$359),"")</f>
        <v>0</v>
      </c>
      <c r="T359">
        <f ca="1">IFERROR(IF(0=LEN(ReferenceData!$T$359),"",ReferenceData!$T$359),"")</f>
        <v>0</v>
      </c>
      <c r="U359">
        <f ca="1">IFERROR(IF(0=LEN(ReferenceData!$U$359),"",ReferenceData!$U$359),"")</f>
        <v>0</v>
      </c>
      <c r="V359">
        <f ca="1">IFERROR(IF(0=LEN(ReferenceData!$V$359),"",ReferenceData!$V$359),"")</f>
        <v>0</v>
      </c>
      <c r="W359">
        <f ca="1">IFERROR(IF(0=LEN(ReferenceData!$W$359),"",ReferenceData!$W$359),"")</f>
        <v>0</v>
      </c>
      <c r="X359">
        <f ca="1">IFERROR(IF(0=LEN(ReferenceData!$X$359),"",ReferenceData!$X$359),"")</f>
        <v>0</v>
      </c>
      <c r="Y359">
        <f ca="1">IFERROR(IF(0=LEN(ReferenceData!$Y$359),"",ReferenceData!$Y$359),"")</f>
        <v>0</v>
      </c>
      <c r="Z359">
        <f ca="1">IFERROR(IF(0=LEN(ReferenceData!$Z$359),"",ReferenceData!$Z$359),"")</f>
        <v>0</v>
      </c>
      <c r="AA359">
        <f ca="1">IFERROR(IF(0=LEN(ReferenceData!$AA$359),"",ReferenceData!$AA$359),"")</f>
        <v>0</v>
      </c>
      <c r="AB359">
        <f ca="1">IFERROR(IF(0=LEN(ReferenceData!$AB$359),"",ReferenceData!$AB$359),"")</f>
        <v>0</v>
      </c>
      <c r="AC359">
        <f ca="1">IFERROR(IF(0=LEN(ReferenceData!$AC$359),"",ReferenceData!$AC$359),"")</f>
        <v>0</v>
      </c>
      <c r="AD359" t="str">
        <f ca="1">IFERROR(IF(0=LEN(ReferenceData!$AD$359),"",ReferenceData!$AD$359),"")</f>
        <v/>
      </c>
      <c r="AE359" t="str">
        <f ca="1">IFERROR(IF(0=LEN(ReferenceData!$AE$359),"",ReferenceData!$AE$359),"")</f>
        <v/>
      </c>
      <c r="AF359" t="str">
        <f ca="1">IFERROR(IF(0=LEN(ReferenceData!$AF$359),"",ReferenceData!$AF$359),"")</f>
        <v/>
      </c>
      <c r="AG359" t="str">
        <f ca="1">IFERROR(IF(0=LEN(ReferenceData!$AG$359),"",ReferenceData!$AG$359),"")</f>
        <v/>
      </c>
      <c r="AH359" t="str">
        <f ca="1">IFERROR(IF(0=LEN(ReferenceData!$AH$359),"",ReferenceData!$AH$359),"")</f>
        <v/>
      </c>
      <c r="AI359" t="str">
        <f ca="1">IFERROR(IF(0=LEN(ReferenceData!$AI$359),"",ReferenceData!$AI$359),"")</f>
        <v/>
      </c>
      <c r="AJ359" t="str">
        <f ca="1">IFERROR(IF(0=LEN(ReferenceData!$AJ$359),"",ReferenceData!$AJ$359),"")</f>
        <v/>
      </c>
      <c r="AK359" t="str">
        <f ca="1">IFERROR(IF(0=LEN(ReferenceData!$AK$359),"",ReferenceData!$AK$359),"")</f>
        <v/>
      </c>
      <c r="AL359" t="str">
        <f ca="1">IFERROR(IF(0=LEN(ReferenceData!$AL$359),"",ReferenceData!$AL$359),"")</f>
        <v/>
      </c>
    </row>
    <row r="360" spans="1:38" x14ac:dyDescent="0.25">
      <c r="A360" t="str">
        <f>IFERROR(IF(0=LEN(ReferenceData!$A$360),"",ReferenceData!$A$360),"")</f>
        <v xml:space="preserve">        JPMorgan Chase &amp; Co</v>
      </c>
      <c r="B360" t="str">
        <f>IFERROR(IF(0=LEN(ReferenceData!$B$360),"",ReferenceData!$B$360),"")</f>
        <v>JPM US Equity</v>
      </c>
      <c r="C360" t="str">
        <f>IFERROR(IF(0=LEN(ReferenceData!$C$360),"",ReferenceData!$C$360),"")</f>
        <v>F0126</v>
      </c>
      <c r="D360" t="str">
        <f>IFERROR(IF(0=LEN(ReferenceData!$D$360),"",ReferenceData!$D$360),"")</f>
        <v>FED_SOV_LOANS_%_TOT_LOANS_LEASES</v>
      </c>
      <c r="E360" t="str">
        <f>IFERROR(IF(0=LEN(ReferenceData!$E$360),"",ReferenceData!$E$360),"")</f>
        <v>Dynamic</v>
      </c>
      <c r="F360">
        <f ca="1">IFERROR(IF(0=LEN(ReferenceData!$F$360),"",ReferenceData!$F$360),"")</f>
        <v>0.29144585000000001</v>
      </c>
      <c r="G360">
        <f ca="1">IFERROR(IF(0=LEN(ReferenceData!$G$360),"",ReferenceData!$G$360),"")</f>
        <v>0.35768784599999998</v>
      </c>
      <c r="H360">
        <f ca="1">IFERROR(IF(0=LEN(ReferenceData!$H$360),"",ReferenceData!$H$360),"")</f>
        <v>0.258581112</v>
      </c>
      <c r="I360">
        <f ca="1">IFERROR(IF(0=LEN(ReferenceData!$I$360),"",ReferenceData!$I$360),"")</f>
        <v>0.17487697499999999</v>
      </c>
      <c r="J360">
        <f ca="1">IFERROR(IF(0=LEN(ReferenceData!$J$360),"",ReferenceData!$J$360),"")</f>
        <v>0.244677902</v>
      </c>
      <c r="K360">
        <f ca="1">IFERROR(IF(0=LEN(ReferenceData!$K$360),"",ReferenceData!$K$360),"")</f>
        <v>0.29894674100000002</v>
      </c>
      <c r="L360">
        <f ca="1">IFERROR(IF(0=LEN(ReferenceData!$L$360),"",ReferenceData!$L$360),"")</f>
        <v>0.304503998</v>
      </c>
      <c r="M360">
        <f ca="1">IFERROR(IF(0=LEN(ReferenceData!$M$360),"",ReferenceData!$M$360),"")</f>
        <v>0.232956986</v>
      </c>
      <c r="N360">
        <f ca="1">IFERROR(IF(0=LEN(ReferenceData!$N$360),"",ReferenceData!$N$360),"")</f>
        <v>0.331064845</v>
      </c>
      <c r="O360">
        <f ca="1">IFERROR(IF(0=LEN(ReferenceData!$O$360),"",ReferenceData!$O$360),"")</f>
        <v>0.105908794</v>
      </c>
      <c r="P360">
        <f ca="1">IFERROR(IF(0=LEN(ReferenceData!$P$360),"",ReferenceData!$P$360),"")</f>
        <v>0.123618984</v>
      </c>
      <c r="Q360">
        <f ca="1">IFERROR(IF(0=LEN(ReferenceData!$Q$360),"",ReferenceData!$Q$360),"")</f>
        <v>0.134752923</v>
      </c>
      <c r="R360">
        <f ca="1">IFERROR(IF(0=LEN(ReferenceData!$R$360),"",ReferenceData!$R$360),"")</f>
        <v>1.4235326E-2</v>
      </c>
      <c r="S360">
        <f ca="1">IFERROR(IF(0=LEN(ReferenceData!$S$360),"",ReferenceData!$S$360),"")</f>
        <v>1.1180364E-2</v>
      </c>
      <c r="T360">
        <f ca="1">IFERROR(IF(0=LEN(ReferenceData!$T$360),"",ReferenceData!$T$360),"")</f>
        <v>1.6507959999999999E-3</v>
      </c>
      <c r="U360">
        <f ca="1">IFERROR(IF(0=LEN(ReferenceData!$U$360),"",ReferenceData!$U$360),"")</f>
        <v>0.211427211</v>
      </c>
      <c r="V360">
        <f ca="1">IFERROR(IF(0=LEN(ReferenceData!$V$360),"",ReferenceData!$V$360),"")</f>
        <v>4.3222024999999997E-2</v>
      </c>
      <c r="W360">
        <f ca="1">IFERROR(IF(0=LEN(ReferenceData!$W$360),"",ReferenceData!$W$360),"")</f>
        <v>2.9161656000000001E-2</v>
      </c>
      <c r="X360">
        <f ca="1">IFERROR(IF(0=LEN(ReferenceData!$X$360),"",ReferenceData!$X$360),"")</f>
        <v>0.52677660299999995</v>
      </c>
      <c r="Y360">
        <f ca="1">IFERROR(IF(0=LEN(ReferenceData!$Y$360),"",ReferenceData!$Y$360),"")</f>
        <v>0.28893621600000002</v>
      </c>
      <c r="Z360">
        <f ca="1">IFERROR(IF(0=LEN(ReferenceData!$Z$360),"",ReferenceData!$Z$360),"")</f>
        <v>0.641256143</v>
      </c>
      <c r="AA360">
        <f ca="1">IFERROR(IF(0=LEN(ReferenceData!$AA$360),"",ReferenceData!$AA$360),"")</f>
        <v>0.32115817400000002</v>
      </c>
      <c r="AB360">
        <f ca="1">IFERROR(IF(0=LEN(ReferenceData!$AB$360),"",ReferenceData!$AB$360),"")</f>
        <v>0.27930248400000002</v>
      </c>
      <c r="AC360">
        <f ca="1">IFERROR(IF(0=LEN(ReferenceData!$AC$360),"",ReferenceData!$AC$360),"")</f>
        <v>0.64582307900000002</v>
      </c>
      <c r="AD360" t="str">
        <f ca="1">IFERROR(IF(0=LEN(ReferenceData!$AD$360),"",ReferenceData!$AD$360),"")</f>
        <v/>
      </c>
      <c r="AE360" t="str">
        <f ca="1">IFERROR(IF(0=LEN(ReferenceData!$AE$360),"",ReferenceData!$AE$360),"")</f>
        <v/>
      </c>
      <c r="AF360" t="str">
        <f ca="1">IFERROR(IF(0=LEN(ReferenceData!$AF$360),"",ReferenceData!$AF$360),"")</f>
        <v/>
      </c>
      <c r="AG360" t="str">
        <f ca="1">IFERROR(IF(0=LEN(ReferenceData!$AG$360),"",ReferenceData!$AG$360),"")</f>
        <v/>
      </c>
      <c r="AH360" t="str">
        <f ca="1">IFERROR(IF(0=LEN(ReferenceData!$AH$360),"",ReferenceData!$AH$360),"")</f>
        <v/>
      </c>
      <c r="AI360" t="str">
        <f ca="1">IFERROR(IF(0=LEN(ReferenceData!$AI$360),"",ReferenceData!$AI$360),"")</f>
        <v/>
      </c>
      <c r="AJ360" t="str">
        <f ca="1">IFERROR(IF(0=LEN(ReferenceData!$AJ$360),"",ReferenceData!$AJ$360),"")</f>
        <v/>
      </c>
      <c r="AK360" t="str">
        <f ca="1">IFERROR(IF(0=LEN(ReferenceData!$AK$360),"",ReferenceData!$AK$360),"")</f>
        <v/>
      </c>
      <c r="AL360" t="str">
        <f ca="1">IFERROR(IF(0=LEN(ReferenceData!$AL$360),"",ReferenceData!$AL$360),"")</f>
        <v/>
      </c>
    </row>
    <row r="361" spans="1:38" x14ac:dyDescent="0.25">
      <c r="A361" t="str">
        <f>IFERROR(IF(0=LEN(ReferenceData!$A$361),"",ReferenceData!$A$361),"")</f>
        <v xml:space="preserve">        KeyCorp</v>
      </c>
      <c r="B361" t="str">
        <f>IFERROR(IF(0=LEN(ReferenceData!$B$361),"",ReferenceData!$B$361),"")</f>
        <v>KEY US Equity</v>
      </c>
      <c r="C361" t="str">
        <f>IFERROR(IF(0=LEN(ReferenceData!$C$361),"",ReferenceData!$C$361),"")</f>
        <v>F0126</v>
      </c>
      <c r="D361" t="str">
        <f>IFERROR(IF(0=LEN(ReferenceData!$D$361),"",ReferenceData!$D$361),"")</f>
        <v>FED_SOV_LOANS_%_TOT_LOANS_LEASES</v>
      </c>
      <c r="E361" t="str">
        <f>IFERROR(IF(0=LEN(ReferenceData!$E$361),"",ReferenceData!$E$361),"")</f>
        <v>Dynamic</v>
      </c>
      <c r="F361">
        <f ca="1">IFERROR(IF(0=LEN(ReferenceData!$F$361),"",ReferenceData!$F$361),"")</f>
        <v>0</v>
      </c>
      <c r="G361">
        <f ca="1">IFERROR(IF(0=LEN(ReferenceData!$G$361),"",ReferenceData!$G$361),"")</f>
        <v>0</v>
      </c>
      <c r="H361">
        <f ca="1">IFERROR(IF(0=LEN(ReferenceData!$H$361),"",ReferenceData!$H$361),"")</f>
        <v>0</v>
      </c>
      <c r="I361">
        <f ca="1">IFERROR(IF(0=LEN(ReferenceData!$I$361),"",ReferenceData!$I$361),"")</f>
        <v>0</v>
      </c>
      <c r="J361">
        <f ca="1">IFERROR(IF(0=LEN(ReferenceData!$J$361),"",ReferenceData!$J$361),"")</f>
        <v>0</v>
      </c>
      <c r="K361">
        <f ca="1">IFERROR(IF(0=LEN(ReferenceData!$K$361),"",ReferenceData!$K$361),"")</f>
        <v>0</v>
      </c>
      <c r="L361">
        <f ca="1">IFERROR(IF(0=LEN(ReferenceData!$L$361),"",ReferenceData!$L$361),"")</f>
        <v>0</v>
      </c>
      <c r="M361">
        <f ca="1">IFERROR(IF(0=LEN(ReferenceData!$M$361),"",ReferenceData!$M$361),"")</f>
        <v>0</v>
      </c>
      <c r="N361">
        <f ca="1">IFERROR(IF(0=LEN(ReferenceData!$N$361),"",ReferenceData!$N$361),"")</f>
        <v>0</v>
      </c>
      <c r="O361">
        <f ca="1">IFERROR(IF(0=LEN(ReferenceData!$O$361),"",ReferenceData!$O$361),"")</f>
        <v>0</v>
      </c>
      <c r="P361">
        <f ca="1">IFERROR(IF(0=LEN(ReferenceData!$P$361),"",ReferenceData!$P$361),"")</f>
        <v>0</v>
      </c>
      <c r="Q361">
        <f ca="1">IFERROR(IF(0=LEN(ReferenceData!$Q$361),"",ReferenceData!$Q$361),"")</f>
        <v>0</v>
      </c>
      <c r="R361">
        <f ca="1">IFERROR(IF(0=LEN(ReferenceData!$R$361),"",ReferenceData!$R$361),"")</f>
        <v>0</v>
      </c>
      <c r="S361">
        <f ca="1">IFERROR(IF(0=LEN(ReferenceData!$S$361),"",ReferenceData!$S$361),"")</f>
        <v>0</v>
      </c>
      <c r="T361">
        <f ca="1">IFERROR(IF(0=LEN(ReferenceData!$T$361),"",ReferenceData!$T$361),"")</f>
        <v>0</v>
      </c>
      <c r="U361">
        <f ca="1">IFERROR(IF(0=LEN(ReferenceData!$U$361),"",ReferenceData!$U$361),"")</f>
        <v>0</v>
      </c>
      <c r="V361">
        <f ca="1">IFERROR(IF(0=LEN(ReferenceData!$V$361),"",ReferenceData!$V$361),"")</f>
        <v>0</v>
      </c>
      <c r="W361">
        <f ca="1">IFERROR(IF(0=LEN(ReferenceData!$W$361),"",ReferenceData!$W$361),"")</f>
        <v>0</v>
      </c>
      <c r="X361">
        <f ca="1">IFERROR(IF(0=LEN(ReferenceData!$X$361),"",ReferenceData!$X$361),"")</f>
        <v>4.3447340000000003E-3</v>
      </c>
      <c r="Y361">
        <f ca="1">IFERROR(IF(0=LEN(ReferenceData!$Y$361),"",ReferenceData!$Y$361),"")</f>
        <v>2.0956719999999998E-3</v>
      </c>
      <c r="Z361">
        <f ca="1">IFERROR(IF(0=LEN(ReferenceData!$Z$361),"",ReferenceData!$Z$361),"")</f>
        <v>9.2602400000000001E-4</v>
      </c>
      <c r="AA361">
        <f ca="1">IFERROR(IF(0=LEN(ReferenceData!$AA$361),"",ReferenceData!$AA$361),"")</f>
        <v>1.653832E-3</v>
      </c>
      <c r="AB361">
        <f ca="1">IFERROR(IF(0=LEN(ReferenceData!$AB$361),"",ReferenceData!$AB$361),"")</f>
        <v>4.4275219999999997E-2</v>
      </c>
      <c r="AC361">
        <f ca="1">IFERROR(IF(0=LEN(ReferenceData!$AC$361),"",ReferenceData!$AC$361),"")</f>
        <v>0.12786220000000001</v>
      </c>
      <c r="AD361" t="str">
        <f ca="1">IFERROR(IF(0=LEN(ReferenceData!$AD$361),"",ReferenceData!$AD$361),"")</f>
        <v/>
      </c>
      <c r="AE361" t="str">
        <f ca="1">IFERROR(IF(0=LEN(ReferenceData!$AE$361),"",ReferenceData!$AE$361),"")</f>
        <v/>
      </c>
      <c r="AF361" t="str">
        <f ca="1">IFERROR(IF(0=LEN(ReferenceData!$AF$361),"",ReferenceData!$AF$361),"")</f>
        <v/>
      </c>
      <c r="AG361" t="str">
        <f ca="1">IFERROR(IF(0=LEN(ReferenceData!$AG$361),"",ReferenceData!$AG$361),"")</f>
        <v/>
      </c>
      <c r="AH361" t="str">
        <f ca="1">IFERROR(IF(0=LEN(ReferenceData!$AH$361),"",ReferenceData!$AH$361),"")</f>
        <v/>
      </c>
      <c r="AI361" t="str">
        <f ca="1">IFERROR(IF(0=LEN(ReferenceData!$AI$361),"",ReferenceData!$AI$361),"")</f>
        <v/>
      </c>
      <c r="AJ361" t="str">
        <f ca="1">IFERROR(IF(0=LEN(ReferenceData!$AJ$361),"",ReferenceData!$AJ$361),"")</f>
        <v/>
      </c>
      <c r="AK361" t="str">
        <f ca="1">IFERROR(IF(0=LEN(ReferenceData!$AK$361),"",ReferenceData!$AK$361),"")</f>
        <v/>
      </c>
      <c r="AL361" t="str">
        <f ca="1">IFERROR(IF(0=LEN(ReferenceData!$AL$361),"",ReferenceData!$AL$361),"")</f>
        <v/>
      </c>
    </row>
    <row r="362" spans="1:38" x14ac:dyDescent="0.25">
      <c r="A362" t="str">
        <f>IFERROR(IF(0=LEN(ReferenceData!$A$362),"",ReferenceData!$A$362),"")</f>
        <v xml:space="preserve">        M&amp;T Bank Corp</v>
      </c>
      <c r="B362" t="str">
        <f>IFERROR(IF(0=LEN(ReferenceData!$B$362),"",ReferenceData!$B$362),"")</f>
        <v>MTB US Equity</v>
      </c>
      <c r="C362" t="str">
        <f>IFERROR(IF(0=LEN(ReferenceData!$C$362),"",ReferenceData!$C$362),"")</f>
        <v>F0126</v>
      </c>
      <c r="D362" t="str">
        <f>IFERROR(IF(0=LEN(ReferenceData!$D$362),"",ReferenceData!$D$362),"")</f>
        <v>FED_SOV_LOANS_%_TOT_LOANS_LEASES</v>
      </c>
      <c r="E362" t="str">
        <f>IFERROR(IF(0=LEN(ReferenceData!$E$362),"",ReferenceData!$E$362),"")</f>
        <v>Dynamic</v>
      </c>
      <c r="F362">
        <f ca="1">IFERROR(IF(0=LEN(ReferenceData!$F$362),"",ReferenceData!$F$362),"")</f>
        <v>0</v>
      </c>
      <c r="G362">
        <f ca="1">IFERROR(IF(0=LEN(ReferenceData!$G$362),"",ReferenceData!$G$362),"")</f>
        <v>0</v>
      </c>
      <c r="H362">
        <f ca="1">IFERROR(IF(0=LEN(ReferenceData!$H$362),"",ReferenceData!$H$362),"")</f>
        <v>0</v>
      </c>
      <c r="I362">
        <f ca="1">IFERROR(IF(0=LEN(ReferenceData!$I$362),"",ReferenceData!$I$362),"")</f>
        <v>0</v>
      </c>
      <c r="J362">
        <f ca="1">IFERROR(IF(0=LEN(ReferenceData!$J$362),"",ReferenceData!$J$362),"")</f>
        <v>0</v>
      </c>
      <c r="K362">
        <f ca="1">IFERROR(IF(0=LEN(ReferenceData!$K$362),"",ReferenceData!$K$362),"")</f>
        <v>0</v>
      </c>
      <c r="L362">
        <f ca="1">IFERROR(IF(0=LEN(ReferenceData!$L$362),"",ReferenceData!$L$362),"")</f>
        <v>0</v>
      </c>
      <c r="M362">
        <f ca="1">IFERROR(IF(0=LEN(ReferenceData!$M$362),"",ReferenceData!$M$362),"")</f>
        <v>0</v>
      </c>
      <c r="N362">
        <f ca="1">IFERROR(IF(0=LEN(ReferenceData!$N$362),"",ReferenceData!$N$362),"")</f>
        <v>0</v>
      </c>
      <c r="O362">
        <f ca="1">IFERROR(IF(0=LEN(ReferenceData!$O$362),"",ReferenceData!$O$362),"")</f>
        <v>0</v>
      </c>
      <c r="P362">
        <f ca="1">IFERROR(IF(0=LEN(ReferenceData!$P$362),"",ReferenceData!$P$362),"")</f>
        <v>0</v>
      </c>
      <c r="Q362">
        <f ca="1">IFERROR(IF(0=LEN(ReferenceData!$Q$362),"",ReferenceData!$Q$362),"")</f>
        <v>0</v>
      </c>
      <c r="R362">
        <f ca="1">IFERROR(IF(0=LEN(ReferenceData!$R$362),"",ReferenceData!$R$362),"")</f>
        <v>0</v>
      </c>
      <c r="S362">
        <f ca="1">IFERROR(IF(0=LEN(ReferenceData!$S$362),"",ReferenceData!$S$362),"")</f>
        <v>2.2081330000000001E-3</v>
      </c>
      <c r="T362">
        <f ca="1">IFERROR(IF(0=LEN(ReferenceData!$T$362),"",ReferenceData!$T$362),"")</f>
        <v>7.3340489999999996E-3</v>
      </c>
      <c r="U362">
        <f ca="1">IFERROR(IF(0=LEN(ReferenceData!$U$362),"",ReferenceData!$U$362),"")</f>
        <v>1.5853919000000001E-2</v>
      </c>
      <c r="V362">
        <f ca="1">IFERROR(IF(0=LEN(ReferenceData!$V$362),"",ReferenceData!$V$362),"")</f>
        <v>2.5816083E-2</v>
      </c>
      <c r="W362">
        <f ca="1">IFERROR(IF(0=LEN(ReferenceData!$W$362),"",ReferenceData!$W$362),"")</f>
        <v>3.0605001999999999E-2</v>
      </c>
      <c r="X362">
        <f ca="1">IFERROR(IF(0=LEN(ReferenceData!$X$362),"",ReferenceData!$X$362),"")</f>
        <v>4.5898116000000003E-2</v>
      </c>
      <c r="Y362">
        <f ca="1">IFERROR(IF(0=LEN(ReferenceData!$Y$362),"",ReferenceData!$Y$362),"")</f>
        <v>0.13387834500000001</v>
      </c>
      <c r="Z362">
        <f ca="1">IFERROR(IF(0=LEN(ReferenceData!$Z$362),"",ReferenceData!$Z$362),"")</f>
        <v>0.143544756</v>
      </c>
      <c r="AA362">
        <f ca="1">IFERROR(IF(0=LEN(ReferenceData!$AA$362),"",ReferenceData!$AA$362),"")</f>
        <v>9.4755407999999999E-2</v>
      </c>
      <c r="AB362">
        <f ca="1">IFERROR(IF(0=LEN(ReferenceData!$AB$362),"",ReferenceData!$AB$362),"")</f>
        <v>0</v>
      </c>
      <c r="AC362">
        <f ca="1">IFERROR(IF(0=LEN(ReferenceData!$AC$362),"",ReferenceData!$AC$362),"")</f>
        <v>0</v>
      </c>
      <c r="AD362" t="str">
        <f ca="1">IFERROR(IF(0=LEN(ReferenceData!$AD$362),"",ReferenceData!$AD$362),"")</f>
        <v/>
      </c>
      <c r="AE362" t="str">
        <f ca="1">IFERROR(IF(0=LEN(ReferenceData!$AE$362),"",ReferenceData!$AE$362),"")</f>
        <v/>
      </c>
      <c r="AF362" t="str">
        <f ca="1">IFERROR(IF(0=LEN(ReferenceData!$AF$362),"",ReferenceData!$AF$362),"")</f>
        <v/>
      </c>
      <c r="AG362" t="str">
        <f ca="1">IFERROR(IF(0=LEN(ReferenceData!$AG$362),"",ReferenceData!$AG$362),"")</f>
        <v/>
      </c>
      <c r="AH362" t="str">
        <f ca="1">IFERROR(IF(0=LEN(ReferenceData!$AH$362),"",ReferenceData!$AH$362),"")</f>
        <v/>
      </c>
      <c r="AI362" t="str">
        <f ca="1">IFERROR(IF(0=LEN(ReferenceData!$AI$362),"",ReferenceData!$AI$362),"")</f>
        <v/>
      </c>
      <c r="AJ362" t="str">
        <f ca="1">IFERROR(IF(0=LEN(ReferenceData!$AJ$362),"",ReferenceData!$AJ$362),"")</f>
        <v/>
      </c>
      <c r="AK362" t="str">
        <f ca="1">IFERROR(IF(0=LEN(ReferenceData!$AK$362),"",ReferenceData!$AK$362),"")</f>
        <v/>
      </c>
      <c r="AL362" t="str">
        <f ca="1">IFERROR(IF(0=LEN(ReferenceData!$AL$362),"",ReferenceData!$AL$362),"")</f>
        <v/>
      </c>
    </row>
    <row r="363" spans="1:38" x14ac:dyDescent="0.25">
      <c r="A363" t="str">
        <f>IFERROR(IF(0=LEN(ReferenceData!$A$363),"",ReferenceData!$A$363),"")</f>
        <v xml:space="preserve">        PNC Financial Services Group I</v>
      </c>
      <c r="B363" t="str">
        <f>IFERROR(IF(0=LEN(ReferenceData!$B$363),"",ReferenceData!$B$363),"")</f>
        <v>PNC US Equity</v>
      </c>
      <c r="C363" t="str">
        <f>IFERROR(IF(0=LEN(ReferenceData!$C$363),"",ReferenceData!$C$363),"")</f>
        <v>F0126</v>
      </c>
      <c r="D363" t="str">
        <f>IFERROR(IF(0=LEN(ReferenceData!$D$363),"",ReferenceData!$D$363),"")</f>
        <v>FED_SOV_LOANS_%_TOT_LOANS_LEASES</v>
      </c>
      <c r="E363" t="str">
        <f>IFERROR(IF(0=LEN(ReferenceData!$E$363),"",ReferenceData!$E$363),"")</f>
        <v>Dynamic</v>
      </c>
      <c r="F363" t="str">
        <f ca="1">IFERROR(IF(0=LEN(ReferenceData!$F$363),"",ReferenceData!$F$363),"")</f>
        <v/>
      </c>
      <c r="G363">
        <f ca="1">IFERROR(IF(0=LEN(ReferenceData!$G$363),"",ReferenceData!$G$363),"")</f>
        <v>0</v>
      </c>
      <c r="H363">
        <f ca="1">IFERROR(IF(0=LEN(ReferenceData!$H$363),"",ReferenceData!$H$363),"")</f>
        <v>0</v>
      </c>
      <c r="I363">
        <f ca="1">IFERROR(IF(0=LEN(ReferenceData!$I$363),"",ReferenceData!$I$363),"")</f>
        <v>0</v>
      </c>
      <c r="J363">
        <f ca="1">IFERROR(IF(0=LEN(ReferenceData!$J$363),"",ReferenceData!$J$363),"")</f>
        <v>0</v>
      </c>
      <c r="K363">
        <f ca="1">IFERROR(IF(0=LEN(ReferenceData!$K$363),"",ReferenceData!$K$363),"")</f>
        <v>0</v>
      </c>
      <c r="L363">
        <f ca="1">IFERROR(IF(0=LEN(ReferenceData!$L$363),"",ReferenceData!$L$363),"")</f>
        <v>0</v>
      </c>
      <c r="M363">
        <f ca="1">IFERROR(IF(0=LEN(ReferenceData!$M$363),"",ReferenceData!$M$363),"")</f>
        <v>0</v>
      </c>
      <c r="N363">
        <f ca="1">IFERROR(IF(0=LEN(ReferenceData!$N$363),"",ReferenceData!$N$363),"")</f>
        <v>6.3295900000000005E-5</v>
      </c>
      <c r="O363">
        <f ca="1">IFERROR(IF(0=LEN(ReferenceData!$O$363),"",ReferenceData!$O$363),"")</f>
        <v>3.2465E-4</v>
      </c>
      <c r="P363">
        <f ca="1">IFERROR(IF(0=LEN(ReferenceData!$P$363),"",ReferenceData!$P$363),"")</f>
        <v>4.1648299999999999E-4</v>
      </c>
      <c r="Q363">
        <f ca="1">IFERROR(IF(0=LEN(ReferenceData!$Q$363),"",ReferenceData!$Q$363),"")</f>
        <v>1.085085E-3</v>
      </c>
      <c r="R363">
        <f ca="1">IFERROR(IF(0=LEN(ReferenceData!$R$363),"",ReferenceData!$R$363),"")</f>
        <v>2.381541E-3</v>
      </c>
      <c r="S363">
        <f ca="1">IFERROR(IF(0=LEN(ReferenceData!$S$363),"",ReferenceData!$S$363),"")</f>
        <v>6.6408780000000002E-3</v>
      </c>
      <c r="T363">
        <f ca="1">IFERROR(IF(0=LEN(ReferenceData!$T$363),"",ReferenceData!$T$363),"")</f>
        <v>8.9237280000000006E-3</v>
      </c>
      <c r="U363">
        <f ca="1">IFERROR(IF(0=LEN(ReferenceData!$U$363),"",ReferenceData!$U$363),"")</f>
        <v>1.060871E-2</v>
      </c>
      <c r="V363">
        <f ca="1">IFERROR(IF(0=LEN(ReferenceData!$V$363),"",ReferenceData!$V$363),"")</f>
        <v>1.1104252E-2</v>
      </c>
      <c r="W363">
        <f ca="1">IFERROR(IF(0=LEN(ReferenceData!$W$363),"",ReferenceData!$W$363),"")</f>
        <v>1.2989087999999999E-2</v>
      </c>
      <c r="X363">
        <f ca="1">IFERROR(IF(0=LEN(ReferenceData!$X$363),"",ReferenceData!$X$363),"")</f>
        <v>1.9109826999999999E-2</v>
      </c>
      <c r="Y363">
        <f ca="1">IFERROR(IF(0=LEN(ReferenceData!$Y$363),"",ReferenceData!$Y$363),"")</f>
        <v>2.0346623000000001E-2</v>
      </c>
      <c r="Z363">
        <f ca="1">IFERROR(IF(0=LEN(ReferenceData!$Z$363),"",ReferenceData!$Z$363),"")</f>
        <v>0</v>
      </c>
      <c r="AA363">
        <f ca="1">IFERROR(IF(0=LEN(ReferenceData!$AA$363),"",ReferenceData!$AA$363),"")</f>
        <v>0</v>
      </c>
      <c r="AB363">
        <f ca="1">IFERROR(IF(0=LEN(ReferenceData!$AB$363),"",ReferenceData!$AB$363),"")</f>
        <v>0</v>
      </c>
      <c r="AC363">
        <f ca="1">IFERROR(IF(0=LEN(ReferenceData!$AC$363),"",ReferenceData!$AC$363),"")</f>
        <v>0</v>
      </c>
      <c r="AD363" t="str">
        <f ca="1">IFERROR(IF(0=LEN(ReferenceData!$AD$363),"",ReferenceData!$AD$363),"")</f>
        <v/>
      </c>
      <c r="AE363" t="str">
        <f ca="1">IFERROR(IF(0=LEN(ReferenceData!$AE$363),"",ReferenceData!$AE$363),"")</f>
        <v/>
      </c>
      <c r="AF363" t="str">
        <f ca="1">IFERROR(IF(0=LEN(ReferenceData!$AF$363),"",ReferenceData!$AF$363),"")</f>
        <v/>
      </c>
      <c r="AG363" t="str">
        <f ca="1">IFERROR(IF(0=LEN(ReferenceData!$AG$363),"",ReferenceData!$AG$363),"")</f>
        <v/>
      </c>
      <c r="AH363" t="str">
        <f ca="1">IFERROR(IF(0=LEN(ReferenceData!$AH$363),"",ReferenceData!$AH$363),"")</f>
        <v/>
      </c>
      <c r="AI363" t="str">
        <f ca="1">IFERROR(IF(0=LEN(ReferenceData!$AI$363),"",ReferenceData!$AI$363),"")</f>
        <v/>
      </c>
      <c r="AJ363" t="str">
        <f ca="1">IFERROR(IF(0=LEN(ReferenceData!$AJ$363),"",ReferenceData!$AJ$363),"")</f>
        <v/>
      </c>
      <c r="AK363" t="str">
        <f ca="1">IFERROR(IF(0=LEN(ReferenceData!$AK$363),"",ReferenceData!$AK$363),"")</f>
        <v/>
      </c>
      <c r="AL363" t="str">
        <f ca="1">IFERROR(IF(0=LEN(ReferenceData!$AL$363),"",ReferenceData!$AL$363),"")</f>
        <v/>
      </c>
    </row>
    <row r="364" spans="1:38" x14ac:dyDescent="0.25">
      <c r="A364" t="str">
        <f>IFERROR(IF(0=LEN(ReferenceData!$A$364),"",ReferenceData!$A$364),"")</f>
        <v xml:space="preserve">        Regions Financial Corp</v>
      </c>
      <c r="B364" t="str">
        <f>IFERROR(IF(0=LEN(ReferenceData!$B$364),"",ReferenceData!$B$364),"")</f>
        <v>RF US Equity</v>
      </c>
      <c r="C364" t="str">
        <f>IFERROR(IF(0=LEN(ReferenceData!$C$364),"",ReferenceData!$C$364),"")</f>
        <v>F0126</v>
      </c>
      <c r="D364" t="str">
        <f>IFERROR(IF(0=LEN(ReferenceData!$D$364),"",ReferenceData!$D$364),"")</f>
        <v>FED_SOV_LOANS_%_TOT_LOANS_LEASES</v>
      </c>
      <c r="E364" t="str">
        <f>IFERROR(IF(0=LEN(ReferenceData!$E$364),"",ReferenceData!$E$364),"")</f>
        <v>Dynamic</v>
      </c>
      <c r="F364" t="str">
        <f ca="1">IFERROR(IF(0=LEN(ReferenceData!$F$364),"",ReferenceData!$F$364),"")</f>
        <v/>
      </c>
      <c r="G364">
        <f ca="1">IFERROR(IF(0=LEN(ReferenceData!$G$364),"",ReferenceData!$G$364),"")</f>
        <v>0</v>
      </c>
      <c r="H364">
        <f ca="1">IFERROR(IF(0=LEN(ReferenceData!$H$364),"",ReferenceData!$H$364),"")</f>
        <v>0</v>
      </c>
      <c r="I364">
        <f ca="1">IFERROR(IF(0=LEN(ReferenceData!$I$364),"",ReferenceData!$I$364),"")</f>
        <v>0</v>
      </c>
      <c r="J364">
        <f ca="1">IFERROR(IF(0=LEN(ReferenceData!$J$364),"",ReferenceData!$J$364),"")</f>
        <v>0</v>
      </c>
      <c r="K364">
        <f ca="1">IFERROR(IF(0=LEN(ReferenceData!$K$364),"",ReferenceData!$K$364),"")</f>
        <v>0</v>
      </c>
      <c r="L364">
        <f ca="1">IFERROR(IF(0=LEN(ReferenceData!$L$364),"",ReferenceData!$L$364),"")</f>
        <v>0</v>
      </c>
      <c r="M364">
        <f ca="1">IFERROR(IF(0=LEN(ReferenceData!$M$364),"",ReferenceData!$M$364),"")</f>
        <v>0</v>
      </c>
      <c r="N364">
        <f ca="1">IFERROR(IF(0=LEN(ReferenceData!$N$364),"",ReferenceData!$N$364),"")</f>
        <v>0</v>
      </c>
      <c r="O364">
        <f ca="1">IFERROR(IF(0=LEN(ReferenceData!$O$364),"",ReferenceData!$O$364),"")</f>
        <v>0</v>
      </c>
      <c r="P364">
        <f ca="1">IFERROR(IF(0=LEN(ReferenceData!$P$364),"",ReferenceData!$P$364),"")</f>
        <v>0</v>
      </c>
      <c r="Q364">
        <f ca="1">IFERROR(IF(0=LEN(ReferenceData!$Q$364),"",ReferenceData!$Q$364),"")</f>
        <v>0</v>
      </c>
      <c r="R364">
        <f ca="1">IFERROR(IF(0=LEN(ReferenceData!$R$364),"",ReferenceData!$R$364),"")</f>
        <v>0</v>
      </c>
      <c r="S364">
        <f ca="1">IFERROR(IF(0=LEN(ReferenceData!$S$364),"",ReferenceData!$S$364),"")</f>
        <v>3.5115400000000001E-4</v>
      </c>
      <c r="T364">
        <f ca="1">IFERROR(IF(0=LEN(ReferenceData!$T$364),"",ReferenceData!$T$364),"")</f>
        <v>1.5755490000000001E-3</v>
      </c>
      <c r="U364">
        <f ca="1">IFERROR(IF(0=LEN(ReferenceData!$U$364),"",ReferenceData!$U$364),"")</f>
        <v>3.2088960000000001E-3</v>
      </c>
      <c r="V364">
        <f ca="1">IFERROR(IF(0=LEN(ReferenceData!$V$364),"",ReferenceData!$V$364),"")</f>
        <v>6.8855000000000001E-3</v>
      </c>
      <c r="W364">
        <f ca="1">IFERROR(IF(0=LEN(ReferenceData!$W$364),"",ReferenceData!$W$364),"")</f>
        <v>1.1067482E-2</v>
      </c>
      <c r="X364">
        <f ca="1">IFERROR(IF(0=LEN(ReferenceData!$X$364),"",ReferenceData!$X$364),"")</f>
        <v>1.4546903E-2</v>
      </c>
      <c r="Y364">
        <f ca="1">IFERROR(IF(0=LEN(ReferenceData!$Y$364),"",ReferenceData!$Y$364),"")</f>
        <v>2.5309311000000001E-2</v>
      </c>
      <c r="Z364">
        <f ca="1">IFERROR(IF(0=LEN(ReferenceData!$Z$364),"",ReferenceData!$Z$364),"")</f>
        <v>3.4278500000000003E-2</v>
      </c>
      <c r="AA364" t="str">
        <f ca="1">IFERROR(IF(0=LEN(ReferenceData!$AA$364),"",ReferenceData!$AA$364),"")</f>
        <v/>
      </c>
      <c r="AB364" t="str">
        <f ca="1">IFERROR(IF(0=LEN(ReferenceData!$AB$364),"",ReferenceData!$AB$364),"")</f>
        <v/>
      </c>
      <c r="AC364" t="str">
        <f ca="1">IFERROR(IF(0=LEN(ReferenceData!$AC$364),"",ReferenceData!$AC$364),"")</f>
        <v/>
      </c>
      <c r="AD364" t="str">
        <f ca="1">IFERROR(IF(0=LEN(ReferenceData!$AD$364),"",ReferenceData!$AD$364),"")</f>
        <v/>
      </c>
      <c r="AE364" t="str">
        <f ca="1">IFERROR(IF(0=LEN(ReferenceData!$AE$364),"",ReferenceData!$AE$364),"")</f>
        <v/>
      </c>
      <c r="AF364" t="str">
        <f ca="1">IFERROR(IF(0=LEN(ReferenceData!$AF$364),"",ReferenceData!$AF$364),"")</f>
        <v/>
      </c>
      <c r="AG364" t="str">
        <f ca="1">IFERROR(IF(0=LEN(ReferenceData!$AG$364),"",ReferenceData!$AG$364),"")</f>
        <v/>
      </c>
      <c r="AH364" t="str">
        <f ca="1">IFERROR(IF(0=LEN(ReferenceData!$AH$364),"",ReferenceData!$AH$364),"")</f>
        <v/>
      </c>
      <c r="AI364" t="str">
        <f ca="1">IFERROR(IF(0=LEN(ReferenceData!$AI$364),"",ReferenceData!$AI$364),"")</f>
        <v/>
      </c>
      <c r="AJ364" t="str">
        <f ca="1">IFERROR(IF(0=LEN(ReferenceData!$AJ$364),"",ReferenceData!$AJ$364),"")</f>
        <v/>
      </c>
      <c r="AK364" t="str">
        <f ca="1">IFERROR(IF(0=LEN(ReferenceData!$AK$364),"",ReferenceData!$AK$364),"")</f>
        <v/>
      </c>
      <c r="AL364" t="str">
        <f ca="1">IFERROR(IF(0=LEN(ReferenceData!$AL$364),"",ReferenceData!$AL$364),"")</f>
        <v/>
      </c>
    </row>
    <row r="365" spans="1:38" x14ac:dyDescent="0.25">
      <c r="A365" t="str">
        <f>IFERROR(IF(0=LEN(ReferenceData!$A$365),"",ReferenceData!$A$365),"")</f>
        <v xml:space="preserve">        Truist Financial Corp</v>
      </c>
      <c r="B365" t="str">
        <f>IFERROR(IF(0=LEN(ReferenceData!$B$365),"",ReferenceData!$B$365),"")</f>
        <v>TFC US Equity</v>
      </c>
      <c r="C365" t="str">
        <f>IFERROR(IF(0=LEN(ReferenceData!$C$365),"",ReferenceData!$C$365),"")</f>
        <v>F0126</v>
      </c>
      <c r="D365" t="str">
        <f>IFERROR(IF(0=LEN(ReferenceData!$D$365),"",ReferenceData!$D$365),"")</f>
        <v>FED_SOV_LOANS_%_TOT_LOANS_LEASES</v>
      </c>
      <c r="E365" t="str">
        <f>IFERROR(IF(0=LEN(ReferenceData!$E$365),"",ReferenceData!$E$365),"")</f>
        <v>Dynamic</v>
      </c>
      <c r="F365">
        <f ca="1">IFERROR(IF(0=LEN(ReferenceData!$F$365),"",ReferenceData!$F$365),"")</f>
        <v>0</v>
      </c>
      <c r="G365">
        <f ca="1">IFERROR(IF(0=LEN(ReferenceData!$G$365),"",ReferenceData!$G$365),"")</f>
        <v>0</v>
      </c>
      <c r="H365">
        <f ca="1">IFERROR(IF(0=LEN(ReferenceData!$H$365),"",ReferenceData!$H$365),"")</f>
        <v>0</v>
      </c>
      <c r="I365">
        <f ca="1">IFERROR(IF(0=LEN(ReferenceData!$I$365),"",ReferenceData!$I$365),"")</f>
        <v>0</v>
      </c>
      <c r="J365">
        <f ca="1">IFERROR(IF(0=LEN(ReferenceData!$J$365),"",ReferenceData!$J$365),"")</f>
        <v>0</v>
      </c>
      <c r="K365">
        <f ca="1">IFERROR(IF(0=LEN(ReferenceData!$K$365),"",ReferenceData!$K$365),"")</f>
        <v>0</v>
      </c>
      <c r="L365">
        <f ca="1">IFERROR(IF(0=LEN(ReferenceData!$L$365),"",ReferenceData!$L$365),"")</f>
        <v>0</v>
      </c>
      <c r="M365">
        <f ca="1">IFERROR(IF(0=LEN(ReferenceData!$M$365),"",ReferenceData!$M$365),"")</f>
        <v>0</v>
      </c>
      <c r="N365">
        <f ca="1">IFERROR(IF(0=LEN(ReferenceData!$N$365),"",ReferenceData!$N$365),"")</f>
        <v>0</v>
      </c>
      <c r="O365">
        <f ca="1">IFERROR(IF(0=LEN(ReferenceData!$O$365),"",ReferenceData!$O$365),"")</f>
        <v>0</v>
      </c>
      <c r="P365">
        <f ca="1">IFERROR(IF(0=LEN(ReferenceData!$P$365),"",ReferenceData!$P$365),"")</f>
        <v>0</v>
      </c>
      <c r="Q365">
        <f ca="1">IFERROR(IF(0=LEN(ReferenceData!$Q$365),"",ReferenceData!$Q$365),"")</f>
        <v>0</v>
      </c>
      <c r="R365">
        <f ca="1">IFERROR(IF(0=LEN(ReferenceData!$R$365),"",ReferenceData!$R$365),"")</f>
        <v>0</v>
      </c>
      <c r="S365">
        <f ca="1">IFERROR(IF(0=LEN(ReferenceData!$S$365),"",ReferenceData!$S$365),"")</f>
        <v>0</v>
      </c>
      <c r="T365">
        <f ca="1">IFERROR(IF(0=LEN(ReferenceData!$T$365),"",ReferenceData!$T$365),"")</f>
        <v>0</v>
      </c>
      <c r="U365">
        <f ca="1">IFERROR(IF(0=LEN(ReferenceData!$U$365),"",ReferenceData!$U$365),"")</f>
        <v>0</v>
      </c>
      <c r="V365">
        <f ca="1">IFERROR(IF(0=LEN(ReferenceData!$V$365),"",ReferenceData!$V$365),"")</f>
        <v>0</v>
      </c>
      <c r="W365">
        <f ca="1">IFERROR(IF(0=LEN(ReferenceData!$W$365),"",ReferenceData!$W$365),"")</f>
        <v>0</v>
      </c>
      <c r="X365">
        <f ca="1">IFERROR(IF(0=LEN(ReferenceData!$X$365),"",ReferenceData!$X$365),"")</f>
        <v>0</v>
      </c>
      <c r="Y365">
        <f ca="1">IFERROR(IF(0=LEN(ReferenceData!$Y$365),"",ReferenceData!$Y$365),"")</f>
        <v>0</v>
      </c>
      <c r="Z365">
        <f ca="1">IFERROR(IF(0=LEN(ReferenceData!$Z$365),"",ReferenceData!$Z$365),"")</f>
        <v>0</v>
      </c>
      <c r="AA365">
        <f ca="1">IFERROR(IF(0=LEN(ReferenceData!$AA$365),"",ReferenceData!$AA$365),"")</f>
        <v>0</v>
      </c>
      <c r="AB365">
        <f ca="1">IFERROR(IF(0=LEN(ReferenceData!$AB$365),"",ReferenceData!$AB$365),"")</f>
        <v>0</v>
      </c>
      <c r="AC365">
        <f ca="1">IFERROR(IF(0=LEN(ReferenceData!$AC$365),"",ReferenceData!$AC$365),"")</f>
        <v>0</v>
      </c>
      <c r="AD365" t="str">
        <f ca="1">IFERROR(IF(0=LEN(ReferenceData!$AD$365),"",ReferenceData!$AD$365),"")</f>
        <v/>
      </c>
      <c r="AE365" t="str">
        <f ca="1">IFERROR(IF(0=LEN(ReferenceData!$AE$365),"",ReferenceData!$AE$365),"")</f>
        <v/>
      </c>
      <c r="AF365" t="str">
        <f ca="1">IFERROR(IF(0=LEN(ReferenceData!$AF$365),"",ReferenceData!$AF$365),"")</f>
        <v/>
      </c>
      <c r="AG365" t="str">
        <f ca="1">IFERROR(IF(0=LEN(ReferenceData!$AG$365),"",ReferenceData!$AG$365),"")</f>
        <v/>
      </c>
      <c r="AH365" t="str">
        <f ca="1">IFERROR(IF(0=LEN(ReferenceData!$AH$365),"",ReferenceData!$AH$365),"")</f>
        <v/>
      </c>
      <c r="AI365" t="str">
        <f ca="1">IFERROR(IF(0=LEN(ReferenceData!$AI$365),"",ReferenceData!$AI$365),"")</f>
        <v/>
      </c>
      <c r="AJ365" t="str">
        <f ca="1">IFERROR(IF(0=LEN(ReferenceData!$AJ$365),"",ReferenceData!$AJ$365),"")</f>
        <v/>
      </c>
      <c r="AK365" t="str">
        <f ca="1">IFERROR(IF(0=LEN(ReferenceData!$AK$365),"",ReferenceData!$AK$365),"")</f>
        <v/>
      </c>
      <c r="AL365" t="str">
        <f ca="1">IFERROR(IF(0=LEN(ReferenceData!$AL$365),"",ReferenceData!$AL$365),"")</f>
        <v/>
      </c>
    </row>
    <row r="366" spans="1:38" x14ac:dyDescent="0.25">
      <c r="A366" t="str">
        <f>IFERROR(IF(0=LEN(ReferenceData!$A$366),"",ReferenceData!$A$366),"")</f>
        <v xml:space="preserve">        US Bancorp</v>
      </c>
      <c r="B366" t="str">
        <f>IFERROR(IF(0=LEN(ReferenceData!$B$366),"",ReferenceData!$B$366),"")</f>
        <v>USB US Equity</v>
      </c>
      <c r="C366" t="str">
        <f>IFERROR(IF(0=LEN(ReferenceData!$C$366),"",ReferenceData!$C$366),"")</f>
        <v>F0126</v>
      </c>
      <c r="D366" t="str">
        <f>IFERROR(IF(0=LEN(ReferenceData!$D$366),"",ReferenceData!$D$366),"")</f>
        <v>FED_SOV_LOANS_%_TOT_LOANS_LEASES</v>
      </c>
      <c r="E366" t="str">
        <f>IFERROR(IF(0=LEN(ReferenceData!$E$366),"",ReferenceData!$E$366),"")</f>
        <v>Dynamic</v>
      </c>
      <c r="F366">
        <f ca="1">IFERROR(IF(0=LEN(ReferenceData!$F$366),"",ReferenceData!$F$366),"")</f>
        <v>0</v>
      </c>
      <c r="G366">
        <f ca="1">IFERROR(IF(0=LEN(ReferenceData!$G$366),"",ReferenceData!$G$366),"")</f>
        <v>0</v>
      </c>
      <c r="H366">
        <f ca="1">IFERROR(IF(0=LEN(ReferenceData!$H$366),"",ReferenceData!$H$366),"")</f>
        <v>0</v>
      </c>
      <c r="I366">
        <f ca="1">IFERROR(IF(0=LEN(ReferenceData!$I$366),"",ReferenceData!$I$366),"")</f>
        <v>0</v>
      </c>
      <c r="J366">
        <f ca="1">IFERROR(IF(0=LEN(ReferenceData!$J$366),"",ReferenceData!$J$366),"")</f>
        <v>0</v>
      </c>
      <c r="K366">
        <f ca="1">IFERROR(IF(0=LEN(ReferenceData!$K$366),"",ReferenceData!$K$366),"")</f>
        <v>0</v>
      </c>
      <c r="L366">
        <f ca="1">IFERROR(IF(0=LEN(ReferenceData!$L$366),"",ReferenceData!$L$366),"")</f>
        <v>0</v>
      </c>
      <c r="M366">
        <f ca="1">IFERROR(IF(0=LEN(ReferenceData!$M$366),"",ReferenceData!$M$366),"")</f>
        <v>0</v>
      </c>
      <c r="N366">
        <f ca="1">IFERROR(IF(0=LEN(ReferenceData!$N$366),"",ReferenceData!$N$366),"")</f>
        <v>0</v>
      </c>
      <c r="O366">
        <f ca="1">IFERROR(IF(0=LEN(ReferenceData!$O$366),"",ReferenceData!$O$366),"")</f>
        <v>0</v>
      </c>
      <c r="P366">
        <f ca="1">IFERROR(IF(0=LEN(ReferenceData!$P$366),"",ReferenceData!$P$366),"")</f>
        <v>0</v>
      </c>
      <c r="Q366">
        <f ca="1">IFERROR(IF(0=LEN(ReferenceData!$Q$366),"",ReferenceData!$Q$366),"")</f>
        <v>0</v>
      </c>
      <c r="R366">
        <f ca="1">IFERROR(IF(0=LEN(ReferenceData!$R$366),"",ReferenceData!$R$366),"")</f>
        <v>0</v>
      </c>
      <c r="S366">
        <f ca="1">IFERROR(IF(0=LEN(ReferenceData!$S$366),"",ReferenceData!$S$366),"")</f>
        <v>0</v>
      </c>
      <c r="T366">
        <f ca="1">IFERROR(IF(0=LEN(ReferenceData!$T$366),"",ReferenceData!$T$366),"")</f>
        <v>0</v>
      </c>
      <c r="U366">
        <f ca="1">IFERROR(IF(0=LEN(ReferenceData!$U$366),"",ReferenceData!$U$366),"")</f>
        <v>0</v>
      </c>
      <c r="V366">
        <f ca="1">IFERROR(IF(0=LEN(ReferenceData!$V$366),"",ReferenceData!$V$366),"")</f>
        <v>0</v>
      </c>
      <c r="W366">
        <f ca="1">IFERROR(IF(0=LEN(ReferenceData!$W$366),"",ReferenceData!$W$366),"")</f>
        <v>0</v>
      </c>
      <c r="X366">
        <f ca="1">IFERROR(IF(0=LEN(ReferenceData!$X$366),"",ReferenceData!$X$366),"")</f>
        <v>0</v>
      </c>
      <c r="Y366">
        <f ca="1">IFERROR(IF(0=LEN(ReferenceData!$Y$366),"",ReferenceData!$Y$366),"")</f>
        <v>0</v>
      </c>
      <c r="Z366">
        <f ca="1">IFERROR(IF(0=LEN(ReferenceData!$Z$366),"",ReferenceData!$Z$366),"")</f>
        <v>0</v>
      </c>
      <c r="AA366">
        <f ca="1">IFERROR(IF(0=LEN(ReferenceData!$AA$366),"",ReferenceData!$AA$366),"")</f>
        <v>0</v>
      </c>
      <c r="AB366">
        <f ca="1">IFERROR(IF(0=LEN(ReferenceData!$AB$366),"",ReferenceData!$AB$366),"")</f>
        <v>0</v>
      </c>
      <c r="AC366">
        <f ca="1">IFERROR(IF(0=LEN(ReferenceData!$AC$366),"",ReferenceData!$AC$366),"")</f>
        <v>0</v>
      </c>
      <c r="AD366" t="str">
        <f ca="1">IFERROR(IF(0=LEN(ReferenceData!$AD$366),"",ReferenceData!$AD$366),"")</f>
        <v/>
      </c>
      <c r="AE366" t="str">
        <f ca="1">IFERROR(IF(0=LEN(ReferenceData!$AE$366),"",ReferenceData!$AE$366),"")</f>
        <v/>
      </c>
      <c r="AF366" t="str">
        <f ca="1">IFERROR(IF(0=LEN(ReferenceData!$AF$366),"",ReferenceData!$AF$366),"")</f>
        <v/>
      </c>
      <c r="AG366" t="str">
        <f ca="1">IFERROR(IF(0=LEN(ReferenceData!$AG$366),"",ReferenceData!$AG$366),"")</f>
        <v/>
      </c>
      <c r="AH366" t="str">
        <f ca="1">IFERROR(IF(0=LEN(ReferenceData!$AH$366),"",ReferenceData!$AH$366),"")</f>
        <v/>
      </c>
      <c r="AI366" t="str">
        <f ca="1">IFERROR(IF(0=LEN(ReferenceData!$AI$366),"",ReferenceData!$AI$366),"")</f>
        <v/>
      </c>
      <c r="AJ366" t="str">
        <f ca="1">IFERROR(IF(0=LEN(ReferenceData!$AJ$366),"",ReferenceData!$AJ$366),"")</f>
        <v/>
      </c>
      <c r="AK366" t="str">
        <f ca="1">IFERROR(IF(0=LEN(ReferenceData!$AK$366),"",ReferenceData!$AK$366),"")</f>
        <v/>
      </c>
      <c r="AL366" t="str">
        <f ca="1">IFERROR(IF(0=LEN(ReferenceData!$AL$366),"",ReferenceData!$AL$366),"")</f>
        <v/>
      </c>
    </row>
    <row r="367" spans="1:38" x14ac:dyDescent="0.25">
      <c r="A367" t="str">
        <f>IFERROR(IF(0=LEN(ReferenceData!$A$367),"",ReferenceData!$A$367),"")</f>
        <v xml:space="preserve">        Wells Fargo &amp; Co</v>
      </c>
      <c r="B367" t="str">
        <f>IFERROR(IF(0=LEN(ReferenceData!$B$367),"",ReferenceData!$B$367),"")</f>
        <v>WFC US Equity</v>
      </c>
      <c r="C367" t="str">
        <f>IFERROR(IF(0=LEN(ReferenceData!$C$367),"",ReferenceData!$C$367),"")</f>
        <v>F0126</v>
      </c>
      <c r="D367" t="str">
        <f>IFERROR(IF(0=LEN(ReferenceData!$D$367),"",ReferenceData!$D$367),"")</f>
        <v>FED_SOV_LOANS_%_TOT_LOANS_LEASES</v>
      </c>
      <c r="E367" t="str">
        <f>IFERROR(IF(0=LEN(ReferenceData!$E$367),"",ReferenceData!$E$367),"")</f>
        <v>Dynamic</v>
      </c>
      <c r="F367">
        <f ca="1">IFERROR(IF(0=LEN(ReferenceData!$F$367),"",ReferenceData!$F$367),"")</f>
        <v>1.3218005E-2</v>
      </c>
      <c r="G367">
        <f ca="1">IFERROR(IF(0=LEN(ReferenceData!$G$367),"",ReferenceData!$G$367),"")</f>
        <v>2.5536669999999999E-3</v>
      </c>
      <c r="H367">
        <f ca="1">IFERROR(IF(0=LEN(ReferenceData!$H$367),"",ReferenceData!$H$367),"")</f>
        <v>2.3920730000000002E-3</v>
      </c>
      <c r="I367">
        <f ca="1">IFERROR(IF(0=LEN(ReferenceData!$I$367),"",ReferenceData!$I$367),"")</f>
        <v>2.18459E-4</v>
      </c>
      <c r="J367">
        <f ca="1">IFERROR(IF(0=LEN(ReferenceData!$J$367),"",ReferenceData!$J$367),"")</f>
        <v>2.1612399999999999E-4</v>
      </c>
      <c r="K367">
        <f ca="1">IFERROR(IF(0=LEN(ReferenceData!$K$367),"",ReferenceData!$K$367),"")</f>
        <v>2.7473139999999998E-3</v>
      </c>
      <c r="L367">
        <f ca="1">IFERROR(IF(0=LEN(ReferenceData!$L$367),"",ReferenceData!$L$367),"")</f>
        <v>3.8140881000000001E-2</v>
      </c>
      <c r="M367">
        <f ca="1">IFERROR(IF(0=LEN(ReferenceData!$M$367),"",ReferenceData!$M$367),"")</f>
        <v>3.4229747999999997E-2</v>
      </c>
      <c r="N367">
        <f ca="1">IFERROR(IF(0=LEN(ReferenceData!$N$367),"",ReferenceData!$N$367),"")</f>
        <v>4.8241560000000003E-2</v>
      </c>
      <c r="O367">
        <f ca="1">IFERROR(IF(0=LEN(ReferenceData!$O$367),"",ReferenceData!$O$367),"")</f>
        <v>5.0862843999999997E-2</v>
      </c>
      <c r="P367">
        <f ca="1">IFERROR(IF(0=LEN(ReferenceData!$P$367),"",ReferenceData!$P$367),"")</f>
        <v>6.1959279999999999E-2</v>
      </c>
      <c r="Q367">
        <f ca="1">IFERROR(IF(0=LEN(ReferenceData!$Q$367),"",ReferenceData!$Q$367),"")</f>
        <v>7.5477269E-2</v>
      </c>
      <c r="R367">
        <f ca="1">IFERROR(IF(0=LEN(ReferenceData!$R$367),"",ReferenceData!$R$367),"")</f>
        <v>1.793575E-2</v>
      </c>
      <c r="S367">
        <f ca="1">IFERROR(IF(0=LEN(ReferenceData!$S$367),"",ReferenceData!$S$367),"")</f>
        <v>3.7225719999999997E-2</v>
      </c>
      <c r="T367">
        <f ca="1">IFERROR(IF(0=LEN(ReferenceData!$T$367),"",ReferenceData!$T$367),"")</f>
        <v>6.5941922E-2</v>
      </c>
      <c r="U367">
        <f ca="1">IFERROR(IF(0=LEN(ReferenceData!$U$367),"",ReferenceData!$U$367),"")</f>
        <v>6.6215803000000004E-2</v>
      </c>
      <c r="V367">
        <f ca="1">IFERROR(IF(0=LEN(ReferenceData!$V$367),"",ReferenceData!$V$367),"")</f>
        <v>2.8277877E-2</v>
      </c>
      <c r="W367">
        <f ca="1">IFERROR(IF(0=LEN(ReferenceData!$W$367),"",ReferenceData!$W$367),"")</f>
        <v>0</v>
      </c>
      <c r="X367">
        <f ca="1">IFERROR(IF(0=LEN(ReferenceData!$X$367),"",ReferenceData!$X$367),"")</f>
        <v>0</v>
      </c>
      <c r="Y367">
        <f ca="1">IFERROR(IF(0=LEN(ReferenceData!$Y$367),"",ReferenceData!$Y$367),"")</f>
        <v>0</v>
      </c>
      <c r="Z367">
        <f ca="1">IFERROR(IF(0=LEN(ReferenceData!$Z$367),"",ReferenceData!$Z$367),"")</f>
        <v>0</v>
      </c>
      <c r="AA367">
        <f ca="1">IFERROR(IF(0=LEN(ReferenceData!$AA$367),"",ReferenceData!$AA$367),"")</f>
        <v>6.90615E-4</v>
      </c>
      <c r="AB367">
        <f ca="1">IFERROR(IF(0=LEN(ReferenceData!$AB$367),"",ReferenceData!$AB$367),"")</f>
        <v>1.1789999999999999E-3</v>
      </c>
      <c r="AC367">
        <f ca="1">IFERROR(IF(0=LEN(ReferenceData!$AC$367),"",ReferenceData!$AC$367),"")</f>
        <v>1.444746E-3</v>
      </c>
      <c r="AD367" t="str">
        <f ca="1">IFERROR(IF(0=LEN(ReferenceData!$AD$367),"",ReferenceData!$AD$367),"")</f>
        <v/>
      </c>
      <c r="AE367" t="str">
        <f ca="1">IFERROR(IF(0=LEN(ReferenceData!$AE$367),"",ReferenceData!$AE$367),"")</f>
        <v/>
      </c>
      <c r="AF367" t="str">
        <f ca="1">IFERROR(IF(0=LEN(ReferenceData!$AF$367),"",ReferenceData!$AF$367),"")</f>
        <v/>
      </c>
      <c r="AG367" t="str">
        <f ca="1">IFERROR(IF(0=LEN(ReferenceData!$AG$367),"",ReferenceData!$AG$367),"")</f>
        <v/>
      </c>
      <c r="AH367" t="str">
        <f ca="1">IFERROR(IF(0=LEN(ReferenceData!$AH$367),"",ReferenceData!$AH$367),"")</f>
        <v/>
      </c>
      <c r="AI367" t="str">
        <f ca="1">IFERROR(IF(0=LEN(ReferenceData!$AI$367),"",ReferenceData!$AI$367),"")</f>
        <v/>
      </c>
      <c r="AJ367" t="str">
        <f ca="1">IFERROR(IF(0=LEN(ReferenceData!$AJ$367),"",ReferenceData!$AJ$367),"")</f>
        <v/>
      </c>
      <c r="AK367" t="str">
        <f ca="1">IFERROR(IF(0=LEN(ReferenceData!$AK$367),"",ReferenceData!$AK$367),"")</f>
        <v/>
      </c>
      <c r="AL367" t="str">
        <f ca="1">IFERROR(IF(0=LEN(ReferenceData!$AL$367),"",ReferenceData!$AL$367),"")</f>
        <v/>
      </c>
    </row>
    <row r="368" spans="1:38" x14ac:dyDescent="0.25">
      <c r="A368" t="str">
        <f>IFERROR(IF(0=LEN(ReferenceData!$A$368),"",ReferenceData!$A$368),"")</f>
        <v xml:space="preserve">        Western Alliance Bancorp</v>
      </c>
      <c r="B368" t="str">
        <f>IFERROR(IF(0=LEN(ReferenceData!$B$368),"",ReferenceData!$B$368),"")</f>
        <v>WAL US Equity</v>
      </c>
      <c r="C368" t="str">
        <f>IFERROR(IF(0=LEN(ReferenceData!$C$368),"",ReferenceData!$C$368),"")</f>
        <v>F0126</v>
      </c>
      <c r="D368" t="str">
        <f>IFERROR(IF(0=LEN(ReferenceData!$D$368),"",ReferenceData!$D$368),"")</f>
        <v>FED_SOV_LOANS_%_TOT_LOANS_LEASES</v>
      </c>
      <c r="E368" t="str">
        <f>IFERROR(IF(0=LEN(ReferenceData!$E$368),"",ReferenceData!$E$368),"")</f>
        <v>Dynamic</v>
      </c>
      <c r="F368">
        <f ca="1">IFERROR(IF(0=LEN(ReferenceData!$F$368),"",ReferenceData!$F$368),"")</f>
        <v>0</v>
      </c>
      <c r="G368">
        <f ca="1">IFERROR(IF(0=LEN(ReferenceData!$G$368),"",ReferenceData!$G$368),"")</f>
        <v>0</v>
      </c>
      <c r="H368">
        <f ca="1">IFERROR(IF(0=LEN(ReferenceData!$H$368),"",ReferenceData!$H$368),"")</f>
        <v>0</v>
      </c>
      <c r="I368">
        <f ca="1">IFERROR(IF(0=LEN(ReferenceData!$I$368),"",ReferenceData!$I$368),"")</f>
        <v>0</v>
      </c>
      <c r="J368">
        <f ca="1">IFERROR(IF(0=LEN(ReferenceData!$J$368),"",ReferenceData!$J$368),"")</f>
        <v>0</v>
      </c>
      <c r="K368">
        <f ca="1">IFERROR(IF(0=LEN(ReferenceData!$K$368),"",ReferenceData!$K$368),"")</f>
        <v>0</v>
      </c>
      <c r="L368">
        <f ca="1">IFERROR(IF(0=LEN(ReferenceData!$L$368),"",ReferenceData!$L$368),"")</f>
        <v>0</v>
      </c>
      <c r="M368">
        <f ca="1">IFERROR(IF(0=LEN(ReferenceData!$M$368),"",ReferenceData!$M$368),"")</f>
        <v>0</v>
      </c>
      <c r="N368">
        <f ca="1">IFERROR(IF(0=LEN(ReferenceData!$N$368),"",ReferenceData!$N$368),"")</f>
        <v>0</v>
      </c>
      <c r="O368">
        <f ca="1">IFERROR(IF(0=LEN(ReferenceData!$O$368),"",ReferenceData!$O$368),"")</f>
        <v>0</v>
      </c>
      <c r="P368">
        <f ca="1">IFERROR(IF(0=LEN(ReferenceData!$P$368),"",ReferenceData!$P$368),"")</f>
        <v>0</v>
      </c>
      <c r="Q368">
        <f ca="1">IFERROR(IF(0=LEN(ReferenceData!$Q$368),"",ReferenceData!$Q$368),"")</f>
        <v>0</v>
      </c>
      <c r="R368">
        <f ca="1">IFERROR(IF(0=LEN(ReferenceData!$R$368),"",ReferenceData!$R$368),"")</f>
        <v>0</v>
      </c>
      <c r="S368">
        <f ca="1">IFERROR(IF(0=LEN(ReferenceData!$S$368),"",ReferenceData!$S$368),"")</f>
        <v>0</v>
      </c>
      <c r="T368">
        <f ca="1">IFERROR(IF(0=LEN(ReferenceData!$T$368),"",ReferenceData!$T$368),"")</f>
        <v>0</v>
      </c>
      <c r="U368">
        <f ca="1">IFERROR(IF(0=LEN(ReferenceData!$U$368),"",ReferenceData!$U$368),"")</f>
        <v>0</v>
      </c>
      <c r="V368">
        <f ca="1">IFERROR(IF(0=LEN(ReferenceData!$V$368),"",ReferenceData!$V$368),"")</f>
        <v>0</v>
      </c>
      <c r="W368">
        <f ca="1">IFERROR(IF(0=LEN(ReferenceData!$W$368),"",ReferenceData!$W$368),"")</f>
        <v>0</v>
      </c>
      <c r="X368">
        <f ca="1">IFERROR(IF(0=LEN(ReferenceData!$X$368),"",ReferenceData!$X$368),"")</f>
        <v>0</v>
      </c>
      <c r="Y368">
        <f ca="1">IFERROR(IF(0=LEN(ReferenceData!$Y$368),"",ReferenceData!$Y$368),"")</f>
        <v>0</v>
      </c>
      <c r="Z368">
        <f ca="1">IFERROR(IF(0=LEN(ReferenceData!$Z$368),"",ReferenceData!$Z$368),"")</f>
        <v>0</v>
      </c>
      <c r="AA368">
        <f ca="1">IFERROR(IF(0=LEN(ReferenceData!$AA$368),"",ReferenceData!$AA$368),"")</f>
        <v>0</v>
      </c>
      <c r="AB368">
        <f ca="1">IFERROR(IF(0=LEN(ReferenceData!$AB$368),"",ReferenceData!$AB$368),"")</f>
        <v>0</v>
      </c>
      <c r="AC368">
        <f ca="1">IFERROR(IF(0=LEN(ReferenceData!$AC$368),"",ReferenceData!$AC$368),"")</f>
        <v>0</v>
      </c>
      <c r="AD368" t="str">
        <f ca="1">IFERROR(IF(0=LEN(ReferenceData!$AD$368),"",ReferenceData!$AD$368),"")</f>
        <v/>
      </c>
      <c r="AE368" t="str">
        <f ca="1">IFERROR(IF(0=LEN(ReferenceData!$AE$368),"",ReferenceData!$AE$368),"")</f>
        <v/>
      </c>
      <c r="AF368" t="str">
        <f ca="1">IFERROR(IF(0=LEN(ReferenceData!$AF$368),"",ReferenceData!$AF$368),"")</f>
        <v/>
      </c>
      <c r="AG368" t="str">
        <f ca="1">IFERROR(IF(0=LEN(ReferenceData!$AG$368),"",ReferenceData!$AG$368),"")</f>
        <v/>
      </c>
      <c r="AH368" t="str">
        <f ca="1">IFERROR(IF(0=LEN(ReferenceData!$AH$368),"",ReferenceData!$AH$368),"")</f>
        <v/>
      </c>
      <c r="AI368" t="str">
        <f ca="1">IFERROR(IF(0=LEN(ReferenceData!$AI$368),"",ReferenceData!$AI$368),"")</f>
        <v/>
      </c>
      <c r="AJ368" t="str">
        <f ca="1">IFERROR(IF(0=LEN(ReferenceData!$AJ$368),"",ReferenceData!$AJ$368),"")</f>
        <v/>
      </c>
      <c r="AK368" t="str">
        <f ca="1">IFERROR(IF(0=LEN(ReferenceData!$AK$368),"",ReferenceData!$AK$368),"")</f>
        <v/>
      </c>
      <c r="AL368" t="str">
        <f ca="1">IFERROR(IF(0=LEN(ReferenceData!$AL$368),"",ReferenceData!$AL$368),"")</f>
        <v/>
      </c>
    </row>
    <row r="369" spans="1:38" x14ac:dyDescent="0.25">
      <c r="A369" t="str">
        <f>IFERROR(IF(0=LEN(ReferenceData!$A$369),"",ReferenceData!$A$369),"")</f>
        <v xml:space="preserve">        Zions Bancorp NA</v>
      </c>
      <c r="B369" t="str">
        <f>IFERROR(IF(0=LEN(ReferenceData!$B$369),"",ReferenceData!$B$369),"")</f>
        <v>ZION US Equity</v>
      </c>
      <c r="C369" t="str">
        <f>IFERROR(IF(0=LEN(ReferenceData!$C$369),"",ReferenceData!$C$369),"")</f>
        <v>F0126</v>
      </c>
      <c r="D369" t="str">
        <f>IFERROR(IF(0=LEN(ReferenceData!$D$369),"",ReferenceData!$D$369),"")</f>
        <v>FED_SOV_LOANS_%_TOT_LOANS_LEASES</v>
      </c>
      <c r="E369" t="str">
        <f>IFERROR(IF(0=LEN(ReferenceData!$E$369),"",ReferenceData!$E$369),"")</f>
        <v>Dynamic</v>
      </c>
      <c r="F369" t="str">
        <f ca="1">IFERROR(IF(0=LEN(ReferenceData!$F$369),"",ReferenceData!$F$369),"")</f>
        <v/>
      </c>
      <c r="G369" t="str">
        <f ca="1">IFERROR(IF(0=LEN(ReferenceData!$G$369),"",ReferenceData!$G$369),"")</f>
        <v/>
      </c>
      <c r="H369" t="str">
        <f ca="1">IFERROR(IF(0=LEN(ReferenceData!$H$369),"",ReferenceData!$H$369),"")</f>
        <v/>
      </c>
      <c r="I369" t="str">
        <f ca="1">IFERROR(IF(0=LEN(ReferenceData!$I$369),"",ReferenceData!$I$369),"")</f>
        <v/>
      </c>
      <c r="J369" t="str">
        <f ca="1">IFERROR(IF(0=LEN(ReferenceData!$J$369),"",ReferenceData!$J$369),"")</f>
        <v/>
      </c>
      <c r="K369" t="str">
        <f ca="1">IFERROR(IF(0=LEN(ReferenceData!$K$369),"",ReferenceData!$K$369),"")</f>
        <v/>
      </c>
      <c r="L369" t="str">
        <f ca="1">IFERROR(IF(0=LEN(ReferenceData!$L$369),"",ReferenceData!$L$369),"")</f>
        <v/>
      </c>
      <c r="M369" t="str">
        <f ca="1">IFERROR(IF(0=LEN(ReferenceData!$M$369),"",ReferenceData!$M$369),"")</f>
        <v/>
      </c>
      <c r="N369" t="str">
        <f ca="1">IFERROR(IF(0=LEN(ReferenceData!$N$369),"",ReferenceData!$N$369),"")</f>
        <v/>
      </c>
      <c r="O369" t="str">
        <f ca="1">IFERROR(IF(0=LEN(ReferenceData!$O$369),"",ReferenceData!$O$369),"")</f>
        <v/>
      </c>
      <c r="P369" t="str">
        <f ca="1">IFERROR(IF(0=LEN(ReferenceData!$P$369),"",ReferenceData!$P$369),"")</f>
        <v/>
      </c>
      <c r="Q369" t="str">
        <f ca="1">IFERROR(IF(0=LEN(ReferenceData!$Q$369),"",ReferenceData!$Q$369),"")</f>
        <v/>
      </c>
      <c r="R369" t="str">
        <f ca="1">IFERROR(IF(0=LEN(ReferenceData!$R$369),"",ReferenceData!$R$369),"")</f>
        <v/>
      </c>
      <c r="S369" t="str">
        <f ca="1">IFERROR(IF(0=LEN(ReferenceData!$S$369),"",ReferenceData!$S$369),"")</f>
        <v/>
      </c>
      <c r="T369" t="str">
        <f ca="1">IFERROR(IF(0=LEN(ReferenceData!$T$369),"",ReferenceData!$T$369),"")</f>
        <v/>
      </c>
      <c r="U369" t="str">
        <f ca="1">IFERROR(IF(0=LEN(ReferenceData!$U$369),"",ReferenceData!$U$369),"")</f>
        <v/>
      </c>
      <c r="V369" t="str">
        <f ca="1">IFERROR(IF(0=LEN(ReferenceData!$V$369),"",ReferenceData!$V$369),"")</f>
        <v/>
      </c>
      <c r="W369" t="str">
        <f ca="1">IFERROR(IF(0=LEN(ReferenceData!$W$369),"",ReferenceData!$W$369),"")</f>
        <v/>
      </c>
      <c r="X369" t="str">
        <f ca="1">IFERROR(IF(0=LEN(ReferenceData!$X$369),"",ReferenceData!$X$369),"")</f>
        <v/>
      </c>
      <c r="Y369" t="str">
        <f ca="1">IFERROR(IF(0=LEN(ReferenceData!$Y$369),"",ReferenceData!$Y$369),"")</f>
        <v/>
      </c>
      <c r="Z369" t="str">
        <f ca="1">IFERROR(IF(0=LEN(ReferenceData!$Z$369),"",ReferenceData!$Z$369),"")</f>
        <v/>
      </c>
      <c r="AA369" t="str">
        <f ca="1">IFERROR(IF(0=LEN(ReferenceData!$AA$369),"",ReferenceData!$AA$369),"")</f>
        <v/>
      </c>
      <c r="AB369" t="str">
        <f ca="1">IFERROR(IF(0=LEN(ReferenceData!$AB$369),"",ReferenceData!$AB$369),"")</f>
        <v/>
      </c>
      <c r="AC369" t="str">
        <f ca="1">IFERROR(IF(0=LEN(ReferenceData!$AC$369),"",ReferenceData!$AC$369),"")</f>
        <v/>
      </c>
      <c r="AD369" t="str">
        <f ca="1">IFERROR(IF(0=LEN(ReferenceData!$AD$369),"",ReferenceData!$AD$369),"")</f>
        <v/>
      </c>
      <c r="AE369" t="str">
        <f ca="1">IFERROR(IF(0=LEN(ReferenceData!$AE$369),"",ReferenceData!$AE$369),"")</f>
        <v/>
      </c>
      <c r="AF369" t="str">
        <f ca="1">IFERROR(IF(0=LEN(ReferenceData!$AF$369),"",ReferenceData!$AF$369),"")</f>
        <v/>
      </c>
      <c r="AG369" t="str">
        <f ca="1">IFERROR(IF(0=LEN(ReferenceData!$AG$369),"",ReferenceData!$AG$369),"")</f>
        <v/>
      </c>
      <c r="AH369" t="str">
        <f ca="1">IFERROR(IF(0=LEN(ReferenceData!$AH$369),"",ReferenceData!$AH$369),"")</f>
        <v/>
      </c>
      <c r="AI369" t="str">
        <f ca="1">IFERROR(IF(0=LEN(ReferenceData!$AI$369),"",ReferenceData!$AI$369),"")</f>
        <v/>
      </c>
      <c r="AJ369" t="str">
        <f ca="1">IFERROR(IF(0=LEN(ReferenceData!$AJ$369),"",ReferenceData!$AJ$369),"")</f>
        <v/>
      </c>
      <c r="AK369" t="str">
        <f ca="1">IFERROR(IF(0=LEN(ReferenceData!$AK$369),"",ReferenceData!$AK$369),"")</f>
        <v/>
      </c>
      <c r="AL369" t="str">
        <f ca="1">IFERROR(IF(0=LEN(ReferenceData!$AL$369),"",ReferenceData!$AL$369),"")</f>
        <v/>
      </c>
    </row>
    <row r="370" spans="1:38" x14ac:dyDescent="0.25">
      <c r="A370" t="str">
        <f>IFERROR(IF(0=LEN(ReferenceData!$A$370),"",ReferenceData!$A$370),"")</f>
        <v xml:space="preserve">    Farmers/Ag Loans</v>
      </c>
      <c r="B370" t="str">
        <f>IFERROR(IF(0=LEN(ReferenceData!$B$370),"",ReferenceData!$B$370),"")</f>
        <v/>
      </c>
      <c r="C370" t="str">
        <f>IFERROR(IF(0=LEN(ReferenceData!$C$370),"",ReferenceData!$C$370),"")</f>
        <v/>
      </c>
      <c r="D370" t="str">
        <f>IFERROR(IF(0=LEN(ReferenceData!$D$370),"",ReferenceData!$D$370),"")</f>
        <v/>
      </c>
      <c r="E370" t="str">
        <f>IFERROR(IF(0=LEN(ReferenceData!$E$370),"",ReferenceData!$E$370),"")</f>
        <v>Median</v>
      </c>
      <c r="F370">
        <f ca="1">IFERROR(IF(0=LEN(ReferenceData!$F$370),"",ReferenceData!$F$370),"")</f>
        <v>7.3745795000000003E-2</v>
      </c>
      <c r="G370">
        <f ca="1">IFERROR(IF(0=LEN(ReferenceData!$G$370),"",ReferenceData!$G$370),"")</f>
        <v>7.8326488E-2</v>
      </c>
      <c r="H370">
        <f ca="1">IFERROR(IF(0=LEN(ReferenceData!$H$370),"",ReferenceData!$H$370),"")</f>
        <v>7.6774712999999994E-2</v>
      </c>
      <c r="I370">
        <f ca="1">IFERROR(IF(0=LEN(ReferenceData!$I$370),"",ReferenceData!$I$370),"")</f>
        <v>7.9058557000000002E-2</v>
      </c>
      <c r="J370">
        <f ca="1">IFERROR(IF(0=LEN(ReferenceData!$J$370),"",ReferenceData!$J$370),"")</f>
        <v>6.3914572000000003E-2</v>
      </c>
      <c r="K370">
        <f ca="1">IFERROR(IF(0=LEN(ReferenceData!$K$370),"",ReferenceData!$K$370),"")</f>
        <v>7.0458828000000001E-2</v>
      </c>
      <c r="L370">
        <f ca="1">IFERROR(IF(0=LEN(ReferenceData!$L$370),"",ReferenceData!$L$370),"")</f>
        <v>6.4175358000000002E-2</v>
      </c>
      <c r="M370">
        <f ca="1">IFERROR(IF(0=LEN(ReferenceData!$M$370),"",ReferenceData!$M$370),"")</f>
        <v>7.3576365000000005E-2</v>
      </c>
      <c r="N370">
        <f ca="1">IFERROR(IF(0=LEN(ReferenceData!$N$370),"",ReferenceData!$N$370),"")</f>
        <v>9.5545044999999995E-2</v>
      </c>
      <c r="O370">
        <f ca="1">IFERROR(IF(0=LEN(ReferenceData!$O$370),"",ReferenceData!$O$370),"")</f>
        <v>0.12912818100000001</v>
      </c>
      <c r="P370">
        <f ca="1">IFERROR(IF(0=LEN(ReferenceData!$P$370),"",ReferenceData!$P$370),"")</f>
        <v>0.11997279</v>
      </c>
      <c r="Q370">
        <f ca="1">IFERROR(IF(0=LEN(ReferenceData!$Q$370),"",ReferenceData!$Q$370),"")</f>
        <v>0.117851734</v>
      </c>
      <c r="R370">
        <f ca="1">IFERROR(IF(0=LEN(ReferenceData!$R$370),"",ReferenceData!$R$370),"")</f>
        <v>0.121939199</v>
      </c>
      <c r="S370">
        <f ca="1">IFERROR(IF(0=LEN(ReferenceData!$S$370),"",ReferenceData!$S$370),"")</f>
        <v>0.116465313</v>
      </c>
      <c r="T370">
        <f ca="1">IFERROR(IF(0=LEN(ReferenceData!$T$370),"",ReferenceData!$T$370),"")</f>
        <v>0.11793727</v>
      </c>
      <c r="U370">
        <f ca="1">IFERROR(IF(0=LEN(ReferenceData!$U$370),"",ReferenceData!$U$370),"")</f>
        <v>0.12689889600000001</v>
      </c>
      <c r="V370">
        <f ca="1">IFERROR(IF(0=LEN(ReferenceData!$V$370),"",ReferenceData!$V$370),"")</f>
        <v>0.12759414799999999</v>
      </c>
      <c r="W370">
        <f ca="1">IFERROR(IF(0=LEN(ReferenceData!$W$370),"",ReferenceData!$W$370),"")</f>
        <v>0.110346268</v>
      </c>
      <c r="X370">
        <f ca="1">IFERROR(IF(0=LEN(ReferenceData!$X$370),"",ReferenceData!$X$370),"")</f>
        <v>0.12596275500000001</v>
      </c>
      <c r="Y370">
        <f ca="1">IFERROR(IF(0=LEN(ReferenceData!$Y$370),"",ReferenceData!$Y$370),"")</f>
        <v>0.13691731700000001</v>
      </c>
      <c r="Z370">
        <f ca="1">IFERROR(IF(0=LEN(ReferenceData!$Z$370),"",ReferenceData!$Z$370),"")</f>
        <v>0.15725656900000001</v>
      </c>
      <c r="AA370">
        <f ca="1">IFERROR(IF(0=LEN(ReferenceData!$AA$370),"",ReferenceData!$AA$370),"")</f>
        <v>0.13344741199999999</v>
      </c>
      <c r="AB370">
        <f ca="1">IFERROR(IF(0=LEN(ReferenceData!$AB$370),"",ReferenceData!$AB$370),"")</f>
        <v>0.123672831</v>
      </c>
      <c r="AC370">
        <f ca="1">IFERROR(IF(0=LEN(ReferenceData!$AC$370),"",ReferenceData!$AC$370),"")</f>
        <v>0.14254264899999999</v>
      </c>
      <c r="AD370" t="str">
        <f ca="1">IFERROR(IF(0=LEN(ReferenceData!$AD$370),"",ReferenceData!$AD$370),"")</f>
        <v/>
      </c>
      <c r="AE370" t="str">
        <f ca="1">IFERROR(IF(0=LEN(ReferenceData!$AE$370),"",ReferenceData!$AE$370),"")</f>
        <v/>
      </c>
      <c r="AF370" t="str">
        <f ca="1">IFERROR(IF(0=LEN(ReferenceData!$AF$370),"",ReferenceData!$AF$370),"")</f>
        <v/>
      </c>
      <c r="AG370" t="str">
        <f ca="1">IFERROR(IF(0=LEN(ReferenceData!$AG$370),"",ReferenceData!$AG$370),"")</f>
        <v/>
      </c>
      <c r="AH370" t="str">
        <f ca="1">IFERROR(IF(0=LEN(ReferenceData!$AH$370),"",ReferenceData!$AH$370),"")</f>
        <v/>
      </c>
      <c r="AI370" t="str">
        <f ca="1">IFERROR(IF(0=LEN(ReferenceData!$AI$370),"",ReferenceData!$AI$370),"")</f>
        <v/>
      </c>
      <c r="AJ370" t="str">
        <f ca="1">IFERROR(IF(0=LEN(ReferenceData!$AJ$370),"",ReferenceData!$AJ$370),"")</f>
        <v/>
      </c>
      <c r="AK370" t="str">
        <f ca="1">IFERROR(IF(0=LEN(ReferenceData!$AK$370),"",ReferenceData!$AK$370),"")</f>
        <v/>
      </c>
      <c r="AL370" t="str">
        <f ca="1">IFERROR(IF(0=LEN(ReferenceData!$AL$370),"",ReferenceData!$AL$370),"")</f>
        <v/>
      </c>
    </row>
    <row r="371" spans="1:38" x14ac:dyDescent="0.25">
      <c r="A371" t="str">
        <f>IFERROR(IF(0=LEN(ReferenceData!$A$371),"",ReferenceData!$A$371),"")</f>
        <v xml:space="preserve">        Bank of America Corp</v>
      </c>
      <c r="B371" t="str">
        <f>IFERROR(IF(0=LEN(ReferenceData!$B$371),"",ReferenceData!$B$371),"")</f>
        <v>BAC US Equity</v>
      </c>
      <c r="C371" t="str">
        <f>IFERROR(IF(0=LEN(ReferenceData!$C$371),"",ReferenceData!$C$371),"")</f>
        <v>F0127</v>
      </c>
      <c r="D371" t="str">
        <f>IFERROR(IF(0=LEN(ReferenceData!$D$371),"",ReferenceData!$D$371),"")</f>
        <v>FED_FARMERS_LOANS_%_TOT_LNS_LEAS</v>
      </c>
      <c r="E371" t="str">
        <f>IFERROR(IF(0=LEN(ReferenceData!$E$371),"",ReferenceData!$E$371),"")</f>
        <v>Dynamic</v>
      </c>
      <c r="F371">
        <f ca="1">IFERROR(IF(0=LEN(ReferenceData!$F$371),"",ReferenceData!$F$371),"")</f>
        <v>0.26544441200000002</v>
      </c>
      <c r="G371">
        <f ca="1">IFERROR(IF(0=LEN(ReferenceData!$G$371),"",ReferenceData!$G$371),"")</f>
        <v>0.314041071</v>
      </c>
      <c r="H371">
        <f ca="1">IFERROR(IF(0=LEN(ReferenceData!$H$371),"",ReferenceData!$H$371),"")</f>
        <v>0.29472544000000001</v>
      </c>
      <c r="I371">
        <f ca="1">IFERROR(IF(0=LEN(ReferenceData!$I$371),"",ReferenceData!$I$371),"")</f>
        <v>0.28121317099999998</v>
      </c>
      <c r="J371">
        <f ca="1">IFERROR(IF(0=LEN(ReferenceData!$J$371),"",ReferenceData!$J$371),"")</f>
        <v>6.3914572000000003E-2</v>
      </c>
      <c r="K371">
        <f ca="1">IFERROR(IF(0=LEN(ReferenceData!$K$371),"",ReferenceData!$K$371),"")</f>
        <v>6.0762614999999999E-2</v>
      </c>
      <c r="L371">
        <f ca="1">IFERROR(IF(0=LEN(ReferenceData!$L$371),"",ReferenceData!$L$371),"")</f>
        <v>5.7426711999999998E-2</v>
      </c>
      <c r="M371">
        <f ca="1">IFERROR(IF(0=LEN(ReferenceData!$M$371),"",ReferenceData!$M$371),"")</f>
        <v>6.2451571999999997E-2</v>
      </c>
      <c r="N371">
        <f ca="1">IFERROR(IF(0=LEN(ReferenceData!$N$371),"",ReferenceData!$N$371),"")</f>
        <v>7.0753173000000003E-2</v>
      </c>
      <c r="O371">
        <f ca="1">IFERROR(IF(0=LEN(ReferenceData!$O$371),"",ReferenceData!$O$371),"")</f>
        <v>0.12912818100000001</v>
      </c>
      <c r="P371">
        <f ca="1">IFERROR(IF(0=LEN(ReferenceData!$P$371),"",ReferenceData!$P$371),"")</f>
        <v>0.15163258499999999</v>
      </c>
      <c r="Q371">
        <f ca="1">IFERROR(IF(0=LEN(ReferenceData!$Q$371),"",ReferenceData!$Q$371),"")</f>
        <v>0.121417688</v>
      </c>
      <c r="R371">
        <f ca="1">IFERROR(IF(0=LEN(ReferenceData!$R$371),"",ReferenceData!$R$371),"")</f>
        <v>0.118474023</v>
      </c>
      <c r="S371">
        <f ca="1">IFERROR(IF(0=LEN(ReferenceData!$S$371),"",ReferenceData!$S$371),"")</f>
        <v>0.107688752</v>
      </c>
      <c r="T371">
        <f ca="1">IFERROR(IF(0=LEN(ReferenceData!$T$371),"",ReferenceData!$T$371),"")</f>
        <v>0.11793727</v>
      </c>
      <c r="U371">
        <f ca="1">IFERROR(IF(0=LEN(ReferenceData!$U$371),"",ReferenceData!$U$371),"")</f>
        <v>0.157354776</v>
      </c>
      <c r="V371">
        <f ca="1">IFERROR(IF(0=LEN(ReferenceData!$V$371),"",ReferenceData!$V$371),"")</f>
        <v>0.16670695199999999</v>
      </c>
      <c r="W371">
        <f ca="1">IFERROR(IF(0=LEN(ReferenceData!$W$371),"",ReferenceData!$W$371),"")</f>
        <v>0.17184645400000001</v>
      </c>
      <c r="X371">
        <f ca="1">IFERROR(IF(0=LEN(ReferenceData!$X$371),"",ReferenceData!$X$371),"")</f>
        <v>0.22537194499999999</v>
      </c>
      <c r="Y371">
        <f ca="1">IFERROR(IF(0=LEN(ReferenceData!$Y$371),"",ReferenceData!$Y$371),"")</f>
        <v>0.34588435099999998</v>
      </c>
      <c r="Z371">
        <f ca="1">IFERROR(IF(0=LEN(ReferenceData!$Z$371),"",ReferenceData!$Z$371),"")</f>
        <v>0.325243175</v>
      </c>
      <c r="AA371">
        <f ca="1">IFERROR(IF(0=LEN(ReferenceData!$AA$371),"",ReferenceData!$AA$371),"")</f>
        <v>0.42702353500000001</v>
      </c>
      <c r="AB371">
        <f ca="1">IFERROR(IF(0=LEN(ReferenceData!$AB$371),"",ReferenceData!$AB$371),"")</f>
        <v>0.123672831</v>
      </c>
      <c r="AC371">
        <f ca="1">IFERROR(IF(0=LEN(ReferenceData!$AC$371),"",ReferenceData!$AC$371),"")</f>
        <v>0.54938867899999999</v>
      </c>
      <c r="AD371" t="str">
        <f ca="1">IFERROR(IF(0=LEN(ReferenceData!$AD$371),"",ReferenceData!$AD$371),"")</f>
        <v/>
      </c>
      <c r="AE371" t="str">
        <f ca="1">IFERROR(IF(0=LEN(ReferenceData!$AE$371),"",ReferenceData!$AE$371),"")</f>
        <v/>
      </c>
      <c r="AF371" t="str">
        <f ca="1">IFERROR(IF(0=LEN(ReferenceData!$AF$371),"",ReferenceData!$AF$371),"")</f>
        <v/>
      </c>
      <c r="AG371" t="str">
        <f ca="1">IFERROR(IF(0=LEN(ReferenceData!$AG$371),"",ReferenceData!$AG$371),"")</f>
        <v/>
      </c>
      <c r="AH371" t="str">
        <f ca="1">IFERROR(IF(0=LEN(ReferenceData!$AH$371),"",ReferenceData!$AH$371),"")</f>
        <v/>
      </c>
      <c r="AI371" t="str">
        <f ca="1">IFERROR(IF(0=LEN(ReferenceData!$AI$371),"",ReferenceData!$AI$371),"")</f>
        <v/>
      </c>
      <c r="AJ371" t="str">
        <f ca="1">IFERROR(IF(0=LEN(ReferenceData!$AJ$371),"",ReferenceData!$AJ$371),"")</f>
        <v/>
      </c>
      <c r="AK371" t="str">
        <f ca="1">IFERROR(IF(0=LEN(ReferenceData!$AK$371),"",ReferenceData!$AK$371),"")</f>
        <v/>
      </c>
      <c r="AL371" t="str">
        <f ca="1">IFERROR(IF(0=LEN(ReferenceData!$AL$371),"",ReferenceData!$AL$371),"")</f>
        <v/>
      </c>
    </row>
    <row r="372" spans="1:38" x14ac:dyDescent="0.25">
      <c r="A372" t="str">
        <f>IFERROR(IF(0=LEN(ReferenceData!$A$372),"",ReferenceData!$A$372),"")</f>
        <v xml:space="preserve">        Citigroup Inc</v>
      </c>
      <c r="B372" t="str">
        <f>IFERROR(IF(0=LEN(ReferenceData!$B$372),"",ReferenceData!$B$372),"")</f>
        <v>C US Equity</v>
      </c>
      <c r="C372" t="str">
        <f>IFERROR(IF(0=LEN(ReferenceData!$C$372),"",ReferenceData!$C$372),"")</f>
        <v>F0127</v>
      </c>
      <c r="D372" t="str">
        <f>IFERROR(IF(0=LEN(ReferenceData!$D$372),"",ReferenceData!$D$372),"")</f>
        <v>FED_FARMERS_LOANS_%_TOT_LNS_LEAS</v>
      </c>
      <c r="E372" t="str">
        <f>IFERROR(IF(0=LEN(ReferenceData!$E$372),"",ReferenceData!$E$372),"")</f>
        <v>Dynamic</v>
      </c>
      <c r="F372">
        <f ca="1">IFERROR(IF(0=LEN(ReferenceData!$F$372),"",ReferenceData!$F$372),"")</f>
        <v>7.3745795000000003E-2</v>
      </c>
      <c r="G372">
        <f ca="1">IFERROR(IF(0=LEN(ReferenceData!$G$372),"",ReferenceData!$G$372),"")</f>
        <v>0.124236892</v>
      </c>
      <c r="H372">
        <f ca="1">IFERROR(IF(0=LEN(ReferenceData!$H$372),"",ReferenceData!$H$372),"")</f>
        <v>0.11141709599999999</v>
      </c>
      <c r="I372">
        <f ca="1">IFERROR(IF(0=LEN(ReferenceData!$I$372),"",ReferenceData!$I$372),"")</f>
        <v>9.3455292999999995E-2</v>
      </c>
      <c r="J372">
        <f ca="1">IFERROR(IF(0=LEN(ReferenceData!$J$372),"",ReferenceData!$J$372),"")</f>
        <v>9.4543664999999999E-2</v>
      </c>
      <c r="K372">
        <f ca="1">IFERROR(IF(0=LEN(ReferenceData!$K$372),"",ReferenceData!$K$372),"")</f>
        <v>0.18310584199999999</v>
      </c>
      <c r="L372">
        <f ca="1">IFERROR(IF(0=LEN(ReferenceData!$L$372),"",ReferenceData!$L$372),"")</f>
        <v>0.14869369099999999</v>
      </c>
      <c r="M372">
        <f ca="1">IFERROR(IF(0=LEN(ReferenceData!$M$372),"",ReferenceData!$M$372),"")</f>
        <v>0.19325144499999999</v>
      </c>
      <c r="N372">
        <f ca="1">IFERROR(IF(0=LEN(ReferenceData!$N$372),"",ReferenceData!$N$372),"")</f>
        <v>0.221286449</v>
      </c>
      <c r="O372">
        <f ca="1">IFERROR(IF(0=LEN(ReferenceData!$O$372),"",ReferenceData!$O$372),"")</f>
        <v>0.289552225</v>
      </c>
      <c r="P372">
        <f ca="1">IFERROR(IF(0=LEN(ReferenceData!$P$372),"",ReferenceData!$P$372),"")</f>
        <v>0.2026511</v>
      </c>
      <c r="Q372">
        <f ca="1">IFERROR(IF(0=LEN(ReferenceData!$Q$372),"",ReferenceData!$Q$372),"")</f>
        <v>0.16622864200000001</v>
      </c>
      <c r="R372">
        <f ca="1">IFERROR(IF(0=LEN(ReferenceData!$R$372),"",ReferenceData!$R$372),"")</f>
        <v>0.164162011</v>
      </c>
      <c r="S372">
        <f ca="1">IFERROR(IF(0=LEN(ReferenceData!$S$372),"",ReferenceData!$S$372),"")</f>
        <v>0.16712368799999999</v>
      </c>
      <c r="T372">
        <f ca="1">IFERROR(IF(0=LEN(ReferenceData!$T$372),"",ReferenceData!$T$372),"")</f>
        <v>0.16901813800000001</v>
      </c>
      <c r="U372">
        <f ca="1">IFERROR(IF(0=LEN(ReferenceData!$U$372),"",ReferenceData!$U$372),"")</f>
        <v>0.18551004900000001</v>
      </c>
      <c r="V372">
        <f ca="1">IFERROR(IF(0=LEN(ReferenceData!$V$372),"",ReferenceData!$V$372),"")</f>
        <v>0.158947755</v>
      </c>
      <c r="W372">
        <f ca="1">IFERROR(IF(0=LEN(ReferenceData!$W$372),"",ReferenceData!$W$372),"")</f>
        <v>0.127523935</v>
      </c>
      <c r="X372">
        <f ca="1">IFERROR(IF(0=LEN(ReferenceData!$X$372),"",ReferenceData!$X$372),"")</f>
        <v>0.12596275500000001</v>
      </c>
      <c r="Y372">
        <f ca="1">IFERROR(IF(0=LEN(ReferenceData!$Y$372),"",ReferenceData!$Y$372),"")</f>
        <v>0.13691731700000001</v>
      </c>
      <c r="Z372">
        <f ca="1">IFERROR(IF(0=LEN(ReferenceData!$Z$372),"",ReferenceData!$Z$372),"")</f>
        <v>7.5373941E-2</v>
      </c>
      <c r="AA372">
        <f ca="1">IFERROR(IF(0=LEN(ReferenceData!$AA$372),"",ReferenceData!$AA$372),"")</f>
        <v>6.3436776E-2</v>
      </c>
      <c r="AB372">
        <f ca="1">IFERROR(IF(0=LEN(ReferenceData!$AB$372),"",ReferenceData!$AB$372),"")</f>
        <v>7.4668153000000001E-2</v>
      </c>
      <c r="AC372">
        <f ca="1">IFERROR(IF(0=LEN(ReferenceData!$AC$372),"",ReferenceData!$AC$372),"")</f>
        <v>9.4630704999999996E-2</v>
      </c>
      <c r="AD372" t="str">
        <f ca="1">IFERROR(IF(0=LEN(ReferenceData!$AD$372),"",ReferenceData!$AD$372),"")</f>
        <v/>
      </c>
      <c r="AE372" t="str">
        <f ca="1">IFERROR(IF(0=LEN(ReferenceData!$AE$372),"",ReferenceData!$AE$372),"")</f>
        <v/>
      </c>
      <c r="AF372" t="str">
        <f ca="1">IFERROR(IF(0=LEN(ReferenceData!$AF$372),"",ReferenceData!$AF$372),"")</f>
        <v/>
      </c>
      <c r="AG372" t="str">
        <f ca="1">IFERROR(IF(0=LEN(ReferenceData!$AG$372),"",ReferenceData!$AG$372),"")</f>
        <v/>
      </c>
      <c r="AH372" t="str">
        <f ca="1">IFERROR(IF(0=LEN(ReferenceData!$AH$372),"",ReferenceData!$AH$372),"")</f>
        <v/>
      </c>
      <c r="AI372" t="str">
        <f ca="1">IFERROR(IF(0=LEN(ReferenceData!$AI$372),"",ReferenceData!$AI$372),"")</f>
        <v/>
      </c>
      <c r="AJ372" t="str">
        <f ca="1">IFERROR(IF(0=LEN(ReferenceData!$AJ$372),"",ReferenceData!$AJ$372),"")</f>
        <v/>
      </c>
      <c r="AK372" t="str">
        <f ca="1">IFERROR(IF(0=LEN(ReferenceData!$AK$372),"",ReferenceData!$AK$372),"")</f>
        <v/>
      </c>
      <c r="AL372" t="str">
        <f ca="1">IFERROR(IF(0=LEN(ReferenceData!$AL$372),"",ReferenceData!$AL$372),"")</f>
        <v/>
      </c>
    </row>
    <row r="373" spans="1:38" x14ac:dyDescent="0.25">
      <c r="A373" t="str">
        <f>IFERROR(IF(0=LEN(ReferenceData!$A$373),"",ReferenceData!$A$373),"")</f>
        <v xml:space="preserve">        Citizens Financial Group Inc</v>
      </c>
      <c r="B373" t="str">
        <f>IFERROR(IF(0=LEN(ReferenceData!$B$373),"",ReferenceData!$B$373),"")</f>
        <v>CFG US Equity</v>
      </c>
      <c r="C373" t="str">
        <f>IFERROR(IF(0=LEN(ReferenceData!$C$373),"",ReferenceData!$C$373),"")</f>
        <v>F0127</v>
      </c>
      <c r="D373" t="str">
        <f>IFERROR(IF(0=LEN(ReferenceData!$D$373),"",ReferenceData!$D$373),"")</f>
        <v>FED_FARMERS_LOANS_%_TOT_LNS_LEAS</v>
      </c>
      <c r="E373" t="str">
        <f>IFERROR(IF(0=LEN(ReferenceData!$E$373),"",ReferenceData!$E$373),"")</f>
        <v>Dynamic</v>
      </c>
      <c r="F373">
        <f ca="1">IFERROR(IF(0=LEN(ReferenceData!$F$373),"",ReferenceData!$F$373),"")</f>
        <v>0</v>
      </c>
      <c r="G373">
        <f ca="1">IFERROR(IF(0=LEN(ReferenceData!$G$373),"",ReferenceData!$G$373),"")</f>
        <v>0</v>
      </c>
      <c r="H373">
        <f ca="1">IFERROR(IF(0=LEN(ReferenceData!$H$373),"",ReferenceData!$H$373),"")</f>
        <v>0</v>
      </c>
      <c r="I373">
        <f ca="1">IFERROR(IF(0=LEN(ReferenceData!$I$373),"",ReferenceData!$I$373),"")</f>
        <v>0</v>
      </c>
      <c r="J373">
        <f ca="1">IFERROR(IF(0=LEN(ReferenceData!$J$373),"",ReferenceData!$J$373),"")</f>
        <v>0</v>
      </c>
      <c r="K373">
        <f ca="1">IFERROR(IF(0=LEN(ReferenceData!$K$373),"",ReferenceData!$K$373),"")</f>
        <v>0</v>
      </c>
      <c r="L373">
        <f ca="1">IFERROR(IF(0=LEN(ReferenceData!$L$373),"",ReferenceData!$L$373),"")</f>
        <v>0</v>
      </c>
      <c r="M373">
        <f ca="1">IFERROR(IF(0=LEN(ReferenceData!$M$373),"",ReferenceData!$M$373),"")</f>
        <v>0</v>
      </c>
      <c r="N373">
        <f ca="1">IFERROR(IF(0=LEN(ReferenceData!$N$373),"",ReferenceData!$N$373),"")</f>
        <v>0</v>
      </c>
      <c r="O373">
        <f ca="1">IFERROR(IF(0=LEN(ReferenceData!$O$373),"",ReferenceData!$O$373),"")</f>
        <v>0</v>
      </c>
      <c r="P373">
        <f ca="1">IFERROR(IF(0=LEN(ReferenceData!$P$373),"",ReferenceData!$P$373),"")</f>
        <v>0</v>
      </c>
      <c r="Q373">
        <f ca="1">IFERROR(IF(0=LEN(ReferenceData!$Q$373),"",ReferenceData!$Q$373),"")</f>
        <v>5.7495599999999995E-4</v>
      </c>
      <c r="R373">
        <f ca="1">IFERROR(IF(0=LEN(ReferenceData!$R$373),"",ReferenceData!$R$373),"")</f>
        <v>6.8360199999999995E-4</v>
      </c>
      <c r="S373">
        <f ca="1">IFERROR(IF(0=LEN(ReferenceData!$S$373),"",ReferenceData!$S$373),"")</f>
        <v>2.32315E-4</v>
      </c>
      <c r="T373">
        <f ca="1">IFERROR(IF(0=LEN(ReferenceData!$T$373),"",ReferenceData!$T$373),"")</f>
        <v>4.5573500000000003E-4</v>
      </c>
      <c r="U373">
        <f ca="1">IFERROR(IF(0=LEN(ReferenceData!$U$373),"",ReferenceData!$U$373),"")</f>
        <v>6.7655799999999996E-4</v>
      </c>
      <c r="V373">
        <f ca="1">IFERROR(IF(0=LEN(ReferenceData!$V$373),"",ReferenceData!$V$373),"")</f>
        <v>2.7249300000000001E-4</v>
      </c>
      <c r="W373">
        <f ca="1">IFERROR(IF(0=LEN(ReferenceData!$W$373),"",ReferenceData!$W$373),"")</f>
        <v>2.899E-4</v>
      </c>
      <c r="X373">
        <f ca="1">IFERROR(IF(0=LEN(ReferenceData!$X$373),"",ReferenceData!$X$373),"")</f>
        <v>4.9498999999999995E-4</v>
      </c>
      <c r="Y373">
        <f ca="1">IFERROR(IF(0=LEN(ReferenceData!$Y$373),"",ReferenceData!$Y$373),"")</f>
        <v>6.1099799999999997E-4</v>
      </c>
      <c r="Z373">
        <f ca="1">IFERROR(IF(0=LEN(ReferenceData!$Z$373),"",ReferenceData!$Z$373),"")</f>
        <v>4.7599629999999999E-3</v>
      </c>
      <c r="AA373">
        <f ca="1">IFERROR(IF(0=LEN(ReferenceData!$AA$373),"",ReferenceData!$AA$373),"")</f>
        <v>9.8482600000000006E-4</v>
      </c>
      <c r="AB373">
        <f ca="1">IFERROR(IF(0=LEN(ReferenceData!$AB$373),"",ReferenceData!$AB$373),"")</f>
        <v>3.3482864000000001E-2</v>
      </c>
      <c r="AC373">
        <f ca="1">IFERROR(IF(0=LEN(ReferenceData!$AC$373),"",ReferenceData!$AC$373),"")</f>
        <v>5.7787723999999999E-2</v>
      </c>
      <c r="AD373" t="str">
        <f ca="1">IFERROR(IF(0=LEN(ReferenceData!$AD$373),"",ReferenceData!$AD$373),"")</f>
        <v/>
      </c>
      <c r="AE373" t="str">
        <f ca="1">IFERROR(IF(0=LEN(ReferenceData!$AE$373),"",ReferenceData!$AE$373),"")</f>
        <v/>
      </c>
      <c r="AF373" t="str">
        <f ca="1">IFERROR(IF(0=LEN(ReferenceData!$AF$373),"",ReferenceData!$AF$373),"")</f>
        <v/>
      </c>
      <c r="AG373" t="str">
        <f ca="1">IFERROR(IF(0=LEN(ReferenceData!$AG$373),"",ReferenceData!$AG$373),"")</f>
        <v/>
      </c>
      <c r="AH373" t="str">
        <f ca="1">IFERROR(IF(0=LEN(ReferenceData!$AH$373),"",ReferenceData!$AH$373),"")</f>
        <v/>
      </c>
      <c r="AI373" t="str">
        <f ca="1">IFERROR(IF(0=LEN(ReferenceData!$AI$373),"",ReferenceData!$AI$373),"")</f>
        <v/>
      </c>
      <c r="AJ373" t="str">
        <f ca="1">IFERROR(IF(0=LEN(ReferenceData!$AJ$373),"",ReferenceData!$AJ$373),"")</f>
        <v/>
      </c>
      <c r="AK373" t="str">
        <f ca="1">IFERROR(IF(0=LEN(ReferenceData!$AK$373),"",ReferenceData!$AK$373),"")</f>
        <v/>
      </c>
      <c r="AL373" t="str">
        <f ca="1">IFERROR(IF(0=LEN(ReferenceData!$AL$373),"",ReferenceData!$AL$373),"")</f>
        <v/>
      </c>
    </row>
    <row r="374" spans="1:38" x14ac:dyDescent="0.25">
      <c r="A374" t="str">
        <f>IFERROR(IF(0=LEN(ReferenceData!$A$374),"",ReferenceData!$A$374),"")</f>
        <v xml:space="preserve">        Capital One Financial Corp</v>
      </c>
      <c r="B374" t="str">
        <f>IFERROR(IF(0=LEN(ReferenceData!$B$374),"",ReferenceData!$B$374),"")</f>
        <v>COF US Equity</v>
      </c>
      <c r="C374" t="str">
        <f>IFERROR(IF(0=LEN(ReferenceData!$C$374),"",ReferenceData!$C$374),"")</f>
        <v>F0127</v>
      </c>
      <c r="D374" t="str">
        <f>IFERROR(IF(0=LEN(ReferenceData!$D$374),"",ReferenceData!$D$374),"")</f>
        <v>FED_FARMERS_LOANS_%_TOT_LNS_LEAS</v>
      </c>
      <c r="E374" t="str">
        <f>IFERROR(IF(0=LEN(ReferenceData!$E$374),"",ReferenceData!$E$374),"")</f>
        <v>Dynamic</v>
      </c>
      <c r="F374">
        <f ca="1">IFERROR(IF(0=LEN(ReferenceData!$F$374),"",ReferenceData!$F$374),"")</f>
        <v>2.5398100000000002E-4</v>
      </c>
      <c r="G374">
        <f ca="1">IFERROR(IF(0=LEN(ReferenceData!$G$374),"",ReferenceData!$G$374),"")</f>
        <v>2.7542199999999999E-4</v>
      </c>
      <c r="H374">
        <f ca="1">IFERROR(IF(0=LEN(ReferenceData!$H$374),"",ReferenceData!$H$374),"")</f>
        <v>3.2476599999999999E-4</v>
      </c>
      <c r="I374">
        <f ca="1">IFERROR(IF(0=LEN(ReferenceData!$I$374),"",ReferenceData!$I$374),"")</f>
        <v>6.2140880000000004E-3</v>
      </c>
      <c r="J374">
        <f ca="1">IFERROR(IF(0=LEN(ReferenceData!$J$374),"",ReferenceData!$J$374),"")</f>
        <v>1.0901028E-2</v>
      </c>
      <c r="K374">
        <f ca="1">IFERROR(IF(0=LEN(ReferenceData!$K$374),"",ReferenceData!$K$374),"")</f>
        <v>9.1773740000000003E-3</v>
      </c>
      <c r="L374">
        <f ca="1">IFERROR(IF(0=LEN(ReferenceData!$L$374),"",ReferenceData!$L$374),"")</f>
        <v>1.3820830000000001E-3</v>
      </c>
      <c r="M374">
        <f ca="1">IFERROR(IF(0=LEN(ReferenceData!$M$374),"",ReferenceData!$M$374),"")</f>
        <v>4.6256860000000004E-3</v>
      </c>
      <c r="N374">
        <f ca="1">IFERROR(IF(0=LEN(ReferenceData!$N$374),"",ReferenceData!$N$374),"")</f>
        <v>5.4924980000000002E-3</v>
      </c>
      <c r="O374">
        <f ca="1">IFERROR(IF(0=LEN(ReferenceData!$O$374),"",ReferenceData!$O$374),"")</f>
        <v>1.9162160000000001E-3</v>
      </c>
      <c r="P374">
        <f ca="1">IFERROR(IF(0=LEN(ReferenceData!$P$374),"",ReferenceData!$P$374),"")</f>
        <v>3.649631E-3</v>
      </c>
      <c r="Q374">
        <f ca="1">IFERROR(IF(0=LEN(ReferenceData!$Q$374),"",ReferenceData!$Q$374),"")</f>
        <v>4.0501440000000003E-3</v>
      </c>
      <c r="R374">
        <f ca="1">IFERROR(IF(0=LEN(ReferenceData!$R$374),"",ReferenceData!$R$374),"")</f>
        <v>2.8713060000000001E-3</v>
      </c>
      <c r="S374">
        <f ca="1">IFERROR(IF(0=LEN(ReferenceData!$S$374),"",ReferenceData!$S$374),"")</f>
        <v>4.6142420000000002E-3</v>
      </c>
      <c r="T374">
        <f ca="1">IFERROR(IF(0=LEN(ReferenceData!$T$374),"",ReferenceData!$T$374),"")</f>
        <v>2.1742302000000002E-2</v>
      </c>
      <c r="U374">
        <f ca="1">IFERROR(IF(0=LEN(ReferenceData!$U$374),"",ReferenceData!$U$374),"")</f>
        <v>2.4186899000000001E-2</v>
      </c>
      <c r="V374">
        <f ca="1">IFERROR(IF(0=LEN(ReferenceData!$V$374),"",ReferenceData!$V$374),"")</f>
        <v>2.9545651999999999E-2</v>
      </c>
      <c r="W374">
        <f ca="1">IFERROR(IF(0=LEN(ReferenceData!$W$374),"",ReferenceData!$W$374),"")</f>
        <v>1.042359E-2</v>
      </c>
      <c r="X374">
        <f ca="1">IFERROR(IF(0=LEN(ReferenceData!$X$374),"",ReferenceData!$X$374),"")</f>
        <v>2.2696358E-2</v>
      </c>
      <c r="Y374">
        <f ca="1">IFERROR(IF(0=LEN(ReferenceData!$Y$374),"",ReferenceData!$Y$374),"")</f>
        <v>7.3402576999999997E-2</v>
      </c>
      <c r="Z374">
        <f ca="1">IFERROR(IF(0=LEN(ReferenceData!$Z$374),"",ReferenceData!$Z$374),"")</f>
        <v>0</v>
      </c>
      <c r="AA374" t="str">
        <f ca="1">IFERROR(IF(0=LEN(ReferenceData!$AA$374),"",ReferenceData!$AA$374),"")</f>
        <v/>
      </c>
      <c r="AB374" t="str">
        <f ca="1">IFERROR(IF(0=LEN(ReferenceData!$AB$374),"",ReferenceData!$AB$374),"")</f>
        <v/>
      </c>
      <c r="AC374" t="str">
        <f ca="1">IFERROR(IF(0=LEN(ReferenceData!$AC$374),"",ReferenceData!$AC$374),"")</f>
        <v/>
      </c>
      <c r="AD374" t="str">
        <f ca="1">IFERROR(IF(0=LEN(ReferenceData!$AD$374),"",ReferenceData!$AD$374),"")</f>
        <v/>
      </c>
      <c r="AE374" t="str">
        <f ca="1">IFERROR(IF(0=LEN(ReferenceData!$AE$374),"",ReferenceData!$AE$374),"")</f>
        <v/>
      </c>
      <c r="AF374" t="str">
        <f ca="1">IFERROR(IF(0=LEN(ReferenceData!$AF$374),"",ReferenceData!$AF$374),"")</f>
        <v/>
      </c>
      <c r="AG374" t="str">
        <f ca="1">IFERROR(IF(0=LEN(ReferenceData!$AG$374),"",ReferenceData!$AG$374),"")</f>
        <v/>
      </c>
      <c r="AH374" t="str">
        <f ca="1">IFERROR(IF(0=LEN(ReferenceData!$AH$374),"",ReferenceData!$AH$374),"")</f>
        <v/>
      </c>
      <c r="AI374" t="str">
        <f ca="1">IFERROR(IF(0=LEN(ReferenceData!$AI$374),"",ReferenceData!$AI$374),"")</f>
        <v/>
      </c>
      <c r="AJ374" t="str">
        <f ca="1">IFERROR(IF(0=LEN(ReferenceData!$AJ$374),"",ReferenceData!$AJ$374),"")</f>
        <v/>
      </c>
      <c r="AK374" t="str">
        <f ca="1">IFERROR(IF(0=LEN(ReferenceData!$AK$374),"",ReferenceData!$AK$374),"")</f>
        <v/>
      </c>
      <c r="AL374" t="str">
        <f ca="1">IFERROR(IF(0=LEN(ReferenceData!$AL$374),"",ReferenceData!$AL$374),"")</f>
        <v/>
      </c>
    </row>
    <row r="375" spans="1:38" x14ac:dyDescent="0.25">
      <c r="A375" t="str">
        <f>IFERROR(IF(0=LEN(ReferenceData!$A$375),"",ReferenceData!$A$375),"")</f>
        <v xml:space="preserve">        Comerica Inc</v>
      </c>
      <c r="B375" t="str">
        <f>IFERROR(IF(0=LEN(ReferenceData!$B$375),"",ReferenceData!$B$375),"")</f>
        <v>CMA US Equity</v>
      </c>
      <c r="C375" t="str">
        <f>IFERROR(IF(0=LEN(ReferenceData!$C$375),"",ReferenceData!$C$375),"")</f>
        <v>F0127</v>
      </c>
      <c r="D375" t="str">
        <f>IFERROR(IF(0=LEN(ReferenceData!$D$375),"",ReferenceData!$D$375),"")</f>
        <v>FED_FARMERS_LOANS_%_TOT_LNS_LEAS</v>
      </c>
      <c r="E375" t="str">
        <f>IFERROR(IF(0=LEN(ReferenceData!$E$375),"",ReferenceData!$E$375),"")</f>
        <v>Dynamic</v>
      </c>
      <c r="F375" t="str">
        <f ca="1">IFERROR(IF(0=LEN(ReferenceData!$F$375),"",ReferenceData!$F$375),"")</f>
        <v/>
      </c>
      <c r="G375">
        <f ca="1">IFERROR(IF(0=LEN(ReferenceData!$G$375),"",ReferenceData!$G$375),"")</f>
        <v>7.8326488E-2</v>
      </c>
      <c r="H375">
        <f ca="1">IFERROR(IF(0=LEN(ReferenceData!$H$375),"",ReferenceData!$H$375),"")</f>
        <v>7.6774712999999994E-2</v>
      </c>
      <c r="I375">
        <f ca="1">IFERROR(IF(0=LEN(ReferenceData!$I$375),"",ReferenceData!$I$375),"")</f>
        <v>7.1006877999999995E-2</v>
      </c>
      <c r="J375">
        <f ca="1">IFERROR(IF(0=LEN(ReferenceData!$J$375),"",ReferenceData!$J$375),"")</f>
        <v>5.9277956E-2</v>
      </c>
      <c r="K375">
        <f ca="1">IFERROR(IF(0=LEN(ReferenceData!$K$375),"",ReferenceData!$K$375),"")</f>
        <v>4.5656662000000001E-2</v>
      </c>
      <c r="L375">
        <f ca="1">IFERROR(IF(0=LEN(ReferenceData!$L$375),"",ReferenceData!$L$375),"")</f>
        <v>6.4175358000000002E-2</v>
      </c>
      <c r="M375">
        <f ca="1">IFERROR(IF(0=LEN(ReferenceData!$M$375),"",ReferenceData!$M$375),"")</f>
        <v>6.2679218999999994E-2</v>
      </c>
      <c r="N375">
        <f ca="1">IFERROR(IF(0=LEN(ReferenceData!$N$375),"",ReferenceData!$N$375),"")</f>
        <v>0.102922895</v>
      </c>
      <c r="O375">
        <f ca="1">IFERROR(IF(0=LEN(ReferenceData!$O$375),"",ReferenceData!$O$375),"")</f>
        <v>0.18406362900000001</v>
      </c>
      <c r="P375">
        <f ca="1">IFERROR(IF(0=LEN(ReferenceData!$P$375),"",ReferenceData!$P$375),"")</f>
        <v>9.9313644000000006E-2</v>
      </c>
      <c r="Q375">
        <f ca="1">IFERROR(IF(0=LEN(ReferenceData!$Q$375),"",ReferenceData!$Q$375),"")</f>
        <v>0.15877701599999999</v>
      </c>
      <c r="R375">
        <f ca="1">IFERROR(IF(0=LEN(ReferenceData!$R$375),"",ReferenceData!$R$375),"")</f>
        <v>0.127002219</v>
      </c>
      <c r="S375">
        <f ca="1">IFERROR(IF(0=LEN(ReferenceData!$S$375),"",ReferenceData!$S$375),"")</f>
        <v>2.8911564000000001E-2</v>
      </c>
      <c r="T375">
        <f ca="1">IFERROR(IF(0=LEN(ReferenceData!$T$375),"",ReferenceData!$T$375),"")</f>
        <v>2.7721009000000001E-2</v>
      </c>
      <c r="U375">
        <f ca="1">IFERROR(IF(0=LEN(ReferenceData!$U$375),"",ReferenceData!$U$375),"")</f>
        <v>1.9481048000000001E-2</v>
      </c>
      <c r="V375">
        <f ca="1">IFERROR(IF(0=LEN(ReferenceData!$V$375),"",ReferenceData!$V$375),"")</f>
        <v>1.6691754999999999E-2</v>
      </c>
      <c r="W375">
        <f ca="1">IFERROR(IF(0=LEN(ReferenceData!$W$375),"",ReferenceData!$W$375),"")</f>
        <v>1.5496207999999999E-2</v>
      </c>
      <c r="X375">
        <f ca="1">IFERROR(IF(0=LEN(ReferenceData!$X$375),"",ReferenceData!$X$375),"")</f>
        <v>0.17739839800000001</v>
      </c>
      <c r="Y375">
        <f ca="1">IFERROR(IF(0=LEN(ReferenceData!$Y$375),"",ReferenceData!$Y$375),"")</f>
        <v>0.15270848000000001</v>
      </c>
      <c r="Z375">
        <f ca="1">IFERROR(IF(0=LEN(ReferenceData!$Z$375),"",ReferenceData!$Z$375),"")</f>
        <v>0.169102212</v>
      </c>
      <c r="AA375">
        <f ca="1">IFERROR(IF(0=LEN(ReferenceData!$AA$375),"",ReferenceData!$AA$375),"")</f>
        <v>0.16434934100000001</v>
      </c>
      <c r="AB375">
        <f ca="1">IFERROR(IF(0=LEN(ReferenceData!$AB$375),"",ReferenceData!$AB$375),"")</f>
        <v>0.22438434299999999</v>
      </c>
      <c r="AC375">
        <f ca="1">IFERROR(IF(0=LEN(ReferenceData!$AC$375),"",ReferenceData!$AC$375),"")</f>
        <v>0.23256885599999999</v>
      </c>
      <c r="AD375" t="str">
        <f ca="1">IFERROR(IF(0=LEN(ReferenceData!$AD$375),"",ReferenceData!$AD$375),"")</f>
        <v/>
      </c>
      <c r="AE375" t="str">
        <f ca="1">IFERROR(IF(0=LEN(ReferenceData!$AE$375),"",ReferenceData!$AE$375),"")</f>
        <v/>
      </c>
      <c r="AF375" t="str">
        <f ca="1">IFERROR(IF(0=LEN(ReferenceData!$AF$375),"",ReferenceData!$AF$375),"")</f>
        <v/>
      </c>
      <c r="AG375" t="str">
        <f ca="1">IFERROR(IF(0=LEN(ReferenceData!$AG$375),"",ReferenceData!$AG$375),"")</f>
        <v/>
      </c>
      <c r="AH375" t="str">
        <f ca="1">IFERROR(IF(0=LEN(ReferenceData!$AH$375),"",ReferenceData!$AH$375),"")</f>
        <v/>
      </c>
      <c r="AI375" t="str">
        <f ca="1">IFERROR(IF(0=LEN(ReferenceData!$AI$375),"",ReferenceData!$AI$375),"")</f>
        <v/>
      </c>
      <c r="AJ375" t="str">
        <f ca="1">IFERROR(IF(0=LEN(ReferenceData!$AJ$375),"",ReferenceData!$AJ$375),"")</f>
        <v/>
      </c>
      <c r="AK375" t="str">
        <f ca="1">IFERROR(IF(0=LEN(ReferenceData!$AK$375),"",ReferenceData!$AK$375),"")</f>
        <v/>
      </c>
      <c r="AL375" t="str">
        <f ca="1">IFERROR(IF(0=LEN(ReferenceData!$AL$375),"",ReferenceData!$AL$375),"")</f>
        <v/>
      </c>
    </row>
    <row r="376" spans="1:38" x14ac:dyDescent="0.25">
      <c r="A376" t="str">
        <f>IFERROR(IF(0=LEN(ReferenceData!$A$376),"",ReferenceData!$A$376),"")</f>
        <v xml:space="preserve">        East West Bancorp Inc</v>
      </c>
      <c r="B376" t="str">
        <f>IFERROR(IF(0=LEN(ReferenceData!$B$376),"",ReferenceData!$B$376),"")</f>
        <v>EWBC US Equity</v>
      </c>
      <c r="C376" t="str">
        <f>IFERROR(IF(0=LEN(ReferenceData!$C$376),"",ReferenceData!$C$376),"")</f>
        <v>F0127</v>
      </c>
      <c r="D376" t="str">
        <f>IFERROR(IF(0=LEN(ReferenceData!$D$376),"",ReferenceData!$D$376),"")</f>
        <v>FED_FARMERS_LOANS_%_TOT_LNS_LEAS</v>
      </c>
      <c r="E376" t="str">
        <f>IFERROR(IF(0=LEN(ReferenceData!$E$376),"",ReferenceData!$E$376),"")</f>
        <v>Dynamic</v>
      </c>
      <c r="F376" t="str">
        <f ca="1">IFERROR(IF(0=LEN(ReferenceData!$F$376),"",ReferenceData!$F$376),"")</f>
        <v/>
      </c>
      <c r="G376">
        <f ca="1">IFERROR(IF(0=LEN(ReferenceData!$G$376),"",ReferenceData!$G$376),"")</f>
        <v>1.2077938E-2</v>
      </c>
      <c r="H376">
        <f ca="1">IFERROR(IF(0=LEN(ReferenceData!$H$376),"",ReferenceData!$H$376),"")</f>
        <v>1.6680390000000001E-3</v>
      </c>
      <c r="I376">
        <f ca="1">IFERROR(IF(0=LEN(ReferenceData!$I$376),"",ReferenceData!$I$376),"")</f>
        <v>2.9335387000000001E-2</v>
      </c>
      <c r="J376">
        <f ca="1">IFERROR(IF(0=LEN(ReferenceData!$J$376),"",ReferenceData!$J$376),"")</f>
        <v>3.7032783999999999E-2</v>
      </c>
      <c r="K376">
        <f ca="1">IFERROR(IF(0=LEN(ReferenceData!$K$376),"",ReferenceData!$K$376),"")</f>
        <v>4.9276900999999998E-2</v>
      </c>
      <c r="L376">
        <f ca="1">IFERROR(IF(0=LEN(ReferenceData!$L$376),"",ReferenceData!$L$376),"")</f>
        <v>6.824737E-3</v>
      </c>
      <c r="M376">
        <f ca="1">IFERROR(IF(0=LEN(ReferenceData!$M$376),"",ReferenceData!$M$376),"")</f>
        <v>4.4444160000000003E-2</v>
      </c>
      <c r="N376">
        <f ca="1">IFERROR(IF(0=LEN(ReferenceData!$N$376),"",ReferenceData!$N$376),"")</f>
        <v>0.356793209</v>
      </c>
      <c r="O376">
        <f ca="1">IFERROR(IF(0=LEN(ReferenceData!$O$376),"",ReferenceData!$O$376),"")</f>
        <v>0.158576193</v>
      </c>
      <c r="P376">
        <f ca="1">IFERROR(IF(0=LEN(ReferenceData!$P$376),"",ReferenceData!$P$376),"")</f>
        <v>5.9067306999999999E-2</v>
      </c>
      <c r="Q376">
        <f ca="1">IFERROR(IF(0=LEN(ReferenceData!$Q$376),"",ReferenceData!$Q$376),"")</f>
        <v>6.4781844000000005E-2</v>
      </c>
      <c r="R376">
        <f ca="1">IFERROR(IF(0=LEN(ReferenceData!$R$376),"",ReferenceData!$R$376),"")</f>
        <v>7.0972875000000005E-2</v>
      </c>
      <c r="S376">
        <f ca="1">IFERROR(IF(0=LEN(ReferenceData!$S$376),"",ReferenceData!$S$376),"")</f>
        <v>0</v>
      </c>
      <c r="T376">
        <f ca="1">IFERROR(IF(0=LEN(ReferenceData!$T$376),"",ReferenceData!$T$376),"")</f>
        <v>0</v>
      </c>
      <c r="U376">
        <f ca="1">IFERROR(IF(0=LEN(ReferenceData!$U$376),"",ReferenceData!$U$376),"")</f>
        <v>0</v>
      </c>
      <c r="V376">
        <f ca="1">IFERROR(IF(0=LEN(ReferenceData!$V$376),"",ReferenceData!$V$376),"")</f>
        <v>0</v>
      </c>
      <c r="W376">
        <f ca="1">IFERROR(IF(0=LEN(ReferenceData!$W$376),"",ReferenceData!$W$376),"")</f>
        <v>0</v>
      </c>
      <c r="X376">
        <f ca="1">IFERROR(IF(0=LEN(ReferenceData!$X$376),"",ReferenceData!$X$376),"")</f>
        <v>0</v>
      </c>
      <c r="Y376">
        <f ca="1">IFERROR(IF(0=LEN(ReferenceData!$Y$376),"",ReferenceData!$Y$376),"")</f>
        <v>0</v>
      </c>
      <c r="Z376">
        <f ca="1">IFERROR(IF(0=LEN(ReferenceData!$Z$376),"",ReferenceData!$Z$376),"")</f>
        <v>0</v>
      </c>
      <c r="AA376">
        <f ca="1">IFERROR(IF(0=LEN(ReferenceData!$AA$376),"",ReferenceData!$AA$376),"")</f>
        <v>0</v>
      </c>
      <c r="AB376">
        <f ca="1">IFERROR(IF(0=LEN(ReferenceData!$AB$376),"",ReferenceData!$AB$376),"")</f>
        <v>0</v>
      </c>
      <c r="AC376">
        <f ca="1">IFERROR(IF(0=LEN(ReferenceData!$AC$376),"",ReferenceData!$AC$376),"")</f>
        <v>0</v>
      </c>
      <c r="AD376" t="str">
        <f ca="1">IFERROR(IF(0=LEN(ReferenceData!$AD$376),"",ReferenceData!$AD$376),"")</f>
        <v/>
      </c>
      <c r="AE376" t="str">
        <f ca="1">IFERROR(IF(0=LEN(ReferenceData!$AE$376),"",ReferenceData!$AE$376),"")</f>
        <v/>
      </c>
      <c r="AF376" t="str">
        <f ca="1">IFERROR(IF(0=LEN(ReferenceData!$AF$376),"",ReferenceData!$AF$376),"")</f>
        <v/>
      </c>
      <c r="AG376" t="str">
        <f ca="1">IFERROR(IF(0=LEN(ReferenceData!$AG$376),"",ReferenceData!$AG$376),"")</f>
        <v/>
      </c>
      <c r="AH376" t="str">
        <f ca="1">IFERROR(IF(0=LEN(ReferenceData!$AH$376),"",ReferenceData!$AH$376),"")</f>
        <v/>
      </c>
      <c r="AI376" t="str">
        <f ca="1">IFERROR(IF(0=LEN(ReferenceData!$AI$376),"",ReferenceData!$AI$376),"")</f>
        <v/>
      </c>
      <c r="AJ376" t="str">
        <f ca="1">IFERROR(IF(0=LEN(ReferenceData!$AJ$376),"",ReferenceData!$AJ$376),"")</f>
        <v/>
      </c>
      <c r="AK376" t="str">
        <f ca="1">IFERROR(IF(0=LEN(ReferenceData!$AK$376),"",ReferenceData!$AK$376),"")</f>
        <v/>
      </c>
      <c r="AL376" t="str">
        <f ca="1">IFERROR(IF(0=LEN(ReferenceData!$AL$376),"",ReferenceData!$AL$376),"")</f>
        <v/>
      </c>
    </row>
    <row r="377" spans="1:38" x14ac:dyDescent="0.25">
      <c r="A377" t="str">
        <f>IFERROR(IF(0=LEN(ReferenceData!$A$377),"",ReferenceData!$A$377),"")</f>
        <v xml:space="preserve">        Fifth Third Bancorp</v>
      </c>
      <c r="B377" t="str">
        <f>IFERROR(IF(0=LEN(ReferenceData!$B$377),"",ReferenceData!$B$377),"")</f>
        <v>FITB US Equity</v>
      </c>
      <c r="C377" t="str">
        <f>IFERROR(IF(0=LEN(ReferenceData!$C$377),"",ReferenceData!$C$377),"")</f>
        <v>F0127</v>
      </c>
      <c r="D377" t="str">
        <f>IFERROR(IF(0=LEN(ReferenceData!$D$377),"",ReferenceData!$D$377),"")</f>
        <v>FED_FARMERS_LOANS_%_TOT_LNS_LEAS</v>
      </c>
      <c r="E377" t="str">
        <f>IFERROR(IF(0=LEN(ReferenceData!$E$377),"",ReferenceData!$E$377),"")</f>
        <v>Dynamic</v>
      </c>
      <c r="F377">
        <f ca="1">IFERROR(IF(0=LEN(ReferenceData!$F$377),"",ReferenceData!$F$377),"")</f>
        <v>1.4946318E-2</v>
      </c>
      <c r="G377">
        <f ca="1">IFERROR(IF(0=LEN(ReferenceData!$G$377),"",ReferenceData!$G$377),"")</f>
        <v>2.6357854999999999E-2</v>
      </c>
      <c r="H377">
        <f ca="1">IFERROR(IF(0=LEN(ReferenceData!$H$377),"",ReferenceData!$H$377),"")</f>
        <v>2.6562993E-2</v>
      </c>
      <c r="I377">
        <f ca="1">IFERROR(IF(0=LEN(ReferenceData!$I$377),"",ReferenceData!$I$377),"")</f>
        <v>2.3391623E-2</v>
      </c>
      <c r="J377">
        <f ca="1">IFERROR(IF(0=LEN(ReferenceData!$J$377),"",ReferenceData!$J$377),"")</f>
        <v>1.9620742E-2</v>
      </c>
      <c r="K377">
        <f ca="1">IFERROR(IF(0=LEN(ReferenceData!$K$377),"",ReferenceData!$K$377),"")</f>
        <v>1.780232E-2</v>
      </c>
      <c r="L377">
        <f ca="1">IFERROR(IF(0=LEN(ReferenceData!$L$377),"",ReferenceData!$L$377),"")</f>
        <v>3.7947017E-2</v>
      </c>
      <c r="M377">
        <f ca="1">IFERROR(IF(0=LEN(ReferenceData!$M$377),"",ReferenceData!$M$377),"")</f>
        <v>4.7589168000000001E-2</v>
      </c>
      <c r="N377">
        <f ca="1">IFERROR(IF(0=LEN(ReferenceData!$N$377),"",ReferenceData!$N$377),"")</f>
        <v>5.7273119999999997E-2</v>
      </c>
      <c r="O377">
        <f ca="1">IFERROR(IF(0=LEN(ReferenceData!$O$377),"",ReferenceData!$O$377),"")</f>
        <v>9.0502345999999997E-2</v>
      </c>
      <c r="P377">
        <f ca="1">IFERROR(IF(0=LEN(ReferenceData!$P$377),"",ReferenceData!$P$377),"")</f>
        <v>0.11997279</v>
      </c>
      <c r="Q377">
        <f ca="1">IFERROR(IF(0=LEN(ReferenceData!$Q$377),"",ReferenceData!$Q$377),"")</f>
        <v>8.9439347000000002E-2</v>
      </c>
      <c r="R377">
        <f ca="1">IFERROR(IF(0=LEN(ReferenceData!$R$377),"",ReferenceData!$R$377),"")</f>
        <v>0.121939199</v>
      </c>
      <c r="S377">
        <f ca="1">IFERROR(IF(0=LEN(ReferenceData!$S$377),"",ReferenceData!$S$377),"")</f>
        <v>0.178293488</v>
      </c>
      <c r="T377">
        <f ca="1">IFERROR(IF(0=LEN(ReferenceData!$T$377),"",ReferenceData!$T$377),"")</f>
        <v>0.30413035399999999</v>
      </c>
      <c r="U377">
        <f ca="1">IFERROR(IF(0=LEN(ReferenceData!$U$377),"",ReferenceData!$U$377),"")</f>
        <v>0.46241490000000002</v>
      </c>
      <c r="V377">
        <f ca="1">IFERROR(IF(0=LEN(ReferenceData!$V$377),"",ReferenceData!$V$377),"")</f>
        <v>0.45624231300000001</v>
      </c>
      <c r="W377">
        <f ca="1">IFERROR(IF(0=LEN(ReferenceData!$W$377),"",ReferenceData!$W$377),"")</f>
        <v>0.40600936900000001</v>
      </c>
      <c r="X377">
        <f ca="1">IFERROR(IF(0=LEN(ReferenceData!$X$377),"",ReferenceData!$X$377),"")</f>
        <v>0.42400616600000002</v>
      </c>
      <c r="Y377">
        <f ca="1">IFERROR(IF(0=LEN(ReferenceData!$Y$377),"",ReferenceData!$Y$377),"")</f>
        <v>0.46193303499999999</v>
      </c>
      <c r="Z377">
        <f ca="1">IFERROR(IF(0=LEN(ReferenceData!$Z$377),"",ReferenceData!$Z$377),"")</f>
        <v>0.46618049099999997</v>
      </c>
      <c r="AA377">
        <f ca="1">IFERROR(IF(0=LEN(ReferenceData!$AA$377),"",ReferenceData!$AA$377),"")</f>
        <v>0.479416593</v>
      </c>
      <c r="AB377">
        <f ca="1">IFERROR(IF(0=LEN(ReferenceData!$AB$377),"",ReferenceData!$AB$377),"")</f>
        <v>0.50241944900000002</v>
      </c>
      <c r="AC377">
        <f ca="1">IFERROR(IF(0=LEN(ReferenceData!$AC$377),"",ReferenceData!$AC$377),"")</f>
        <v>0.44396876000000002</v>
      </c>
      <c r="AD377" t="str">
        <f ca="1">IFERROR(IF(0=LEN(ReferenceData!$AD$377),"",ReferenceData!$AD$377),"")</f>
        <v/>
      </c>
      <c r="AE377" t="str">
        <f ca="1">IFERROR(IF(0=LEN(ReferenceData!$AE$377),"",ReferenceData!$AE$377),"")</f>
        <v/>
      </c>
      <c r="AF377" t="str">
        <f ca="1">IFERROR(IF(0=LEN(ReferenceData!$AF$377),"",ReferenceData!$AF$377),"")</f>
        <v/>
      </c>
      <c r="AG377" t="str">
        <f ca="1">IFERROR(IF(0=LEN(ReferenceData!$AG$377),"",ReferenceData!$AG$377),"")</f>
        <v/>
      </c>
      <c r="AH377" t="str">
        <f ca="1">IFERROR(IF(0=LEN(ReferenceData!$AH$377),"",ReferenceData!$AH$377),"")</f>
        <v/>
      </c>
      <c r="AI377" t="str">
        <f ca="1">IFERROR(IF(0=LEN(ReferenceData!$AI$377),"",ReferenceData!$AI$377),"")</f>
        <v/>
      </c>
      <c r="AJ377" t="str">
        <f ca="1">IFERROR(IF(0=LEN(ReferenceData!$AJ$377),"",ReferenceData!$AJ$377),"")</f>
        <v/>
      </c>
      <c r="AK377" t="str">
        <f ca="1">IFERROR(IF(0=LEN(ReferenceData!$AK$377),"",ReferenceData!$AK$377),"")</f>
        <v/>
      </c>
      <c r="AL377" t="str">
        <f ca="1">IFERROR(IF(0=LEN(ReferenceData!$AL$377),"",ReferenceData!$AL$377),"")</f>
        <v/>
      </c>
    </row>
    <row r="378" spans="1:38" x14ac:dyDescent="0.25">
      <c r="A378" t="str">
        <f>IFERROR(IF(0=LEN(ReferenceData!$A$378),"",ReferenceData!$A$378),"")</f>
        <v xml:space="preserve">        First Citizens BancShares Inc/</v>
      </c>
      <c r="B378" t="str">
        <f>IFERROR(IF(0=LEN(ReferenceData!$B$378),"",ReferenceData!$B$378),"")</f>
        <v>FCNCA US Equity</v>
      </c>
      <c r="C378" t="str">
        <f>IFERROR(IF(0=LEN(ReferenceData!$C$378),"",ReferenceData!$C$378),"")</f>
        <v>F0127</v>
      </c>
      <c r="D378" t="str">
        <f>IFERROR(IF(0=LEN(ReferenceData!$D$378),"",ReferenceData!$D$378),"")</f>
        <v>FED_FARMERS_LOANS_%_TOT_LNS_LEAS</v>
      </c>
      <c r="E378" t="str">
        <f>IFERROR(IF(0=LEN(ReferenceData!$E$378),"",ReferenceData!$E$378),"")</f>
        <v>Dynamic</v>
      </c>
      <c r="F378">
        <f ca="1">IFERROR(IF(0=LEN(ReferenceData!$F$378),"",ReferenceData!$F$378),"")</f>
        <v>0.292937428</v>
      </c>
      <c r="G378">
        <f ca="1">IFERROR(IF(0=LEN(ReferenceData!$G$378),"",ReferenceData!$G$378),"")</f>
        <v>0.26125548599999998</v>
      </c>
      <c r="H378">
        <f ca="1">IFERROR(IF(0=LEN(ReferenceData!$H$378),"",ReferenceData!$H$378),"")</f>
        <v>0.44760852699999998</v>
      </c>
      <c r="I378">
        <f ca="1">IFERROR(IF(0=LEN(ReferenceData!$I$378),"",ReferenceData!$I$378),"")</f>
        <v>0.63609278400000002</v>
      </c>
      <c r="J378">
        <f ca="1">IFERROR(IF(0=LEN(ReferenceData!$J$378),"",ReferenceData!$J$378),"")</f>
        <v>0.72284642899999996</v>
      </c>
      <c r="K378">
        <f ca="1">IFERROR(IF(0=LEN(ReferenceData!$K$378),"",ReferenceData!$K$378),"")</f>
        <v>0.72165658899999996</v>
      </c>
      <c r="L378">
        <f ca="1">IFERROR(IF(0=LEN(ReferenceData!$L$378),"",ReferenceData!$L$378),"")</f>
        <v>0.72574441499999998</v>
      </c>
      <c r="M378">
        <f ca="1">IFERROR(IF(0=LEN(ReferenceData!$M$378),"",ReferenceData!$M$378),"")</f>
        <v>0.61846234499999997</v>
      </c>
      <c r="N378">
        <f ca="1">IFERROR(IF(0=LEN(ReferenceData!$N$378),"",ReferenceData!$N$378),"")</f>
        <v>0.52854632899999998</v>
      </c>
      <c r="O378">
        <f ca="1">IFERROR(IF(0=LEN(ReferenceData!$O$378),"",ReferenceData!$O$378),"")</f>
        <v>0.54541049699999999</v>
      </c>
      <c r="P378">
        <f ca="1">IFERROR(IF(0=LEN(ReferenceData!$P$378),"",ReferenceData!$P$378),"")</f>
        <v>0.49211600799999999</v>
      </c>
      <c r="Q378">
        <f ca="1">IFERROR(IF(0=LEN(ReferenceData!$Q$378),"",ReferenceData!$Q$378),"")</f>
        <v>0.57143633199999999</v>
      </c>
      <c r="R378">
        <f ca="1">IFERROR(IF(0=LEN(ReferenceData!$R$378),"",ReferenceData!$R$378),"")</f>
        <v>0.69879168000000003</v>
      </c>
      <c r="S378">
        <f ca="1">IFERROR(IF(0=LEN(ReferenceData!$S$378),"",ReferenceData!$S$378),"")</f>
        <v>0.80763288</v>
      </c>
      <c r="T378">
        <f ca="1">IFERROR(IF(0=LEN(ReferenceData!$T$378),"",ReferenceData!$T$378),"")</f>
        <v>0.99602554700000001</v>
      </c>
      <c r="U378">
        <f ca="1">IFERROR(IF(0=LEN(ReferenceData!$U$378),"",ReferenceData!$U$378),"")</f>
        <v>1.257818927</v>
      </c>
      <c r="V378">
        <f ca="1">IFERROR(IF(0=LEN(ReferenceData!$V$378),"",ReferenceData!$V$378),"")</f>
        <v>1.45853608</v>
      </c>
      <c r="W378">
        <f ca="1">IFERROR(IF(0=LEN(ReferenceData!$W$378),"",ReferenceData!$W$378),"")</f>
        <v>1.7695886430000001</v>
      </c>
      <c r="X378">
        <f ca="1">IFERROR(IF(0=LEN(ReferenceData!$X$378),"",ReferenceData!$X$378),"")</f>
        <v>2.0423063469999998</v>
      </c>
      <c r="Y378">
        <f ca="1">IFERROR(IF(0=LEN(ReferenceData!$Y$378),"",ReferenceData!$Y$378),"")</f>
        <v>1.41386586</v>
      </c>
      <c r="Z378">
        <f ca="1">IFERROR(IF(0=LEN(ReferenceData!$Z$378),"",ReferenceData!$Z$378),"")</f>
        <v>0.66650011399999998</v>
      </c>
      <c r="AA378">
        <f ca="1">IFERROR(IF(0=LEN(ReferenceData!$AA$378),"",ReferenceData!$AA$378),"")</f>
        <v>0.692179447</v>
      </c>
      <c r="AB378">
        <f ca="1">IFERROR(IF(0=LEN(ReferenceData!$AB$378),"",ReferenceData!$AB$378),"")</f>
        <v>0.78040613599999997</v>
      </c>
      <c r="AC378">
        <f ca="1">IFERROR(IF(0=LEN(ReferenceData!$AC$378),"",ReferenceData!$AC$378),"")</f>
        <v>0.71718636199999997</v>
      </c>
      <c r="AD378" t="str">
        <f ca="1">IFERROR(IF(0=LEN(ReferenceData!$AD$378),"",ReferenceData!$AD$378),"")</f>
        <v/>
      </c>
      <c r="AE378" t="str">
        <f ca="1">IFERROR(IF(0=LEN(ReferenceData!$AE$378),"",ReferenceData!$AE$378),"")</f>
        <v/>
      </c>
      <c r="AF378" t="str">
        <f ca="1">IFERROR(IF(0=LEN(ReferenceData!$AF$378),"",ReferenceData!$AF$378),"")</f>
        <v/>
      </c>
      <c r="AG378" t="str">
        <f ca="1">IFERROR(IF(0=LEN(ReferenceData!$AG$378),"",ReferenceData!$AG$378),"")</f>
        <v/>
      </c>
      <c r="AH378" t="str">
        <f ca="1">IFERROR(IF(0=LEN(ReferenceData!$AH$378),"",ReferenceData!$AH$378),"")</f>
        <v/>
      </c>
      <c r="AI378" t="str">
        <f ca="1">IFERROR(IF(0=LEN(ReferenceData!$AI$378),"",ReferenceData!$AI$378),"")</f>
        <v/>
      </c>
      <c r="AJ378" t="str">
        <f ca="1">IFERROR(IF(0=LEN(ReferenceData!$AJ$378),"",ReferenceData!$AJ$378),"")</f>
        <v/>
      </c>
      <c r="AK378" t="str">
        <f ca="1">IFERROR(IF(0=LEN(ReferenceData!$AK$378),"",ReferenceData!$AK$378),"")</f>
        <v/>
      </c>
      <c r="AL378" t="str">
        <f ca="1">IFERROR(IF(0=LEN(ReferenceData!$AL$378),"",ReferenceData!$AL$378),"")</f>
        <v/>
      </c>
    </row>
    <row r="379" spans="1:38" x14ac:dyDescent="0.25">
      <c r="A379" t="str">
        <f>IFERROR(IF(0=LEN(ReferenceData!$A$379),"",ReferenceData!$A$379),"")</f>
        <v xml:space="preserve">        Flagstar Financial Inc</v>
      </c>
      <c r="B379" t="str">
        <f>IFERROR(IF(0=LEN(ReferenceData!$B$379),"",ReferenceData!$B$379),"")</f>
        <v>FLG US Equity</v>
      </c>
      <c r="C379" t="str">
        <f>IFERROR(IF(0=LEN(ReferenceData!$C$379),"",ReferenceData!$C$379),"")</f>
        <v>F0127</v>
      </c>
      <c r="D379" t="str">
        <f>IFERROR(IF(0=LEN(ReferenceData!$D$379),"",ReferenceData!$D$379),"")</f>
        <v>FED_FARMERS_LOANS_%_TOT_LNS_LEAS</v>
      </c>
      <c r="E379" t="str">
        <f>IFERROR(IF(0=LEN(ReferenceData!$E$379),"",ReferenceData!$E$379),"")</f>
        <v>Dynamic</v>
      </c>
      <c r="F379">
        <f ca="1">IFERROR(IF(0=LEN(ReferenceData!$F$379),"",ReferenceData!$F$379),"")</f>
        <v>1.44568E-5</v>
      </c>
      <c r="G379">
        <f ca="1">IFERROR(IF(0=LEN(ReferenceData!$G$379),"",ReferenceData!$G$379),"")</f>
        <v>1.8647800000000001E-5</v>
      </c>
      <c r="H379">
        <f ca="1">IFERROR(IF(0=LEN(ReferenceData!$H$379),"",ReferenceData!$H$379),"")</f>
        <v>3.8507200000000003E-5</v>
      </c>
      <c r="I379">
        <f ca="1">IFERROR(IF(0=LEN(ReferenceData!$I$379),"",ReferenceData!$I$379),"")</f>
        <v>0</v>
      </c>
      <c r="J379">
        <f ca="1">IFERROR(IF(0=LEN(ReferenceData!$J$379),"",ReferenceData!$J$379),"")</f>
        <v>0</v>
      </c>
      <c r="K379">
        <f ca="1">IFERROR(IF(0=LEN(ReferenceData!$K$379),"",ReferenceData!$K$379),"")</f>
        <v>0</v>
      </c>
      <c r="L379">
        <f ca="1">IFERROR(IF(0=LEN(ReferenceData!$L$379),"",ReferenceData!$L$379),"")</f>
        <v>0</v>
      </c>
      <c r="M379">
        <f ca="1">IFERROR(IF(0=LEN(ReferenceData!$M$379),"",ReferenceData!$M$379),"")</f>
        <v>0</v>
      </c>
      <c r="N379">
        <f ca="1">IFERROR(IF(0=LEN(ReferenceData!$N$379),"",ReferenceData!$N$379),"")</f>
        <v>0</v>
      </c>
      <c r="O379">
        <f ca="1">IFERROR(IF(0=LEN(ReferenceData!$O$379),"",ReferenceData!$O$379),"")</f>
        <v>0</v>
      </c>
      <c r="P379">
        <f ca="1">IFERROR(IF(0=LEN(ReferenceData!$P$379),"",ReferenceData!$P$379),"")</f>
        <v>0</v>
      </c>
      <c r="Q379">
        <f ca="1">IFERROR(IF(0=LEN(ReferenceData!$Q$379),"",ReferenceData!$Q$379),"")</f>
        <v>0</v>
      </c>
      <c r="R379">
        <f ca="1">IFERROR(IF(0=LEN(ReferenceData!$R$379),"",ReferenceData!$R$379),"")</f>
        <v>0</v>
      </c>
      <c r="S379">
        <f ca="1">IFERROR(IF(0=LEN(ReferenceData!$S$379),"",ReferenceData!$S$379),"")</f>
        <v>0</v>
      </c>
      <c r="T379">
        <f ca="1">IFERROR(IF(0=LEN(ReferenceData!$T$379),"",ReferenceData!$T$379),"")</f>
        <v>0</v>
      </c>
      <c r="U379">
        <f ca="1">IFERROR(IF(0=LEN(ReferenceData!$U$379),"",ReferenceData!$U$379),"")</f>
        <v>0</v>
      </c>
      <c r="V379">
        <f ca="1">IFERROR(IF(0=LEN(ReferenceData!$V$379),"",ReferenceData!$V$379),"")</f>
        <v>0</v>
      </c>
      <c r="W379">
        <f ca="1">IFERROR(IF(0=LEN(ReferenceData!$W$379),"",ReferenceData!$W$379),"")</f>
        <v>0</v>
      </c>
      <c r="X379">
        <f ca="1">IFERROR(IF(0=LEN(ReferenceData!$X$379),"",ReferenceData!$X$379),"")</f>
        <v>0</v>
      </c>
      <c r="Y379">
        <f ca="1">IFERROR(IF(0=LEN(ReferenceData!$Y$379),"",ReferenceData!$Y$379),"")</f>
        <v>0</v>
      </c>
      <c r="Z379">
        <f ca="1">IFERROR(IF(0=LEN(ReferenceData!$Z$379),"",ReferenceData!$Z$379),"")</f>
        <v>0</v>
      </c>
      <c r="AA379">
        <f ca="1">IFERROR(IF(0=LEN(ReferenceData!$AA$379),"",ReferenceData!$AA$379),"")</f>
        <v>0</v>
      </c>
      <c r="AB379">
        <f ca="1">IFERROR(IF(0=LEN(ReferenceData!$AB$379),"",ReferenceData!$AB$379),"")</f>
        <v>0</v>
      </c>
      <c r="AC379">
        <f ca="1">IFERROR(IF(0=LEN(ReferenceData!$AC$379),"",ReferenceData!$AC$379),"")</f>
        <v>0</v>
      </c>
      <c r="AD379" t="str">
        <f ca="1">IFERROR(IF(0=LEN(ReferenceData!$AD$379),"",ReferenceData!$AD$379),"")</f>
        <v/>
      </c>
      <c r="AE379" t="str">
        <f ca="1">IFERROR(IF(0=LEN(ReferenceData!$AE$379),"",ReferenceData!$AE$379),"")</f>
        <v/>
      </c>
      <c r="AF379" t="str">
        <f ca="1">IFERROR(IF(0=LEN(ReferenceData!$AF$379),"",ReferenceData!$AF$379),"")</f>
        <v/>
      </c>
      <c r="AG379" t="str">
        <f ca="1">IFERROR(IF(0=LEN(ReferenceData!$AG$379),"",ReferenceData!$AG$379),"")</f>
        <v/>
      </c>
      <c r="AH379" t="str">
        <f ca="1">IFERROR(IF(0=LEN(ReferenceData!$AH$379),"",ReferenceData!$AH$379),"")</f>
        <v/>
      </c>
      <c r="AI379" t="str">
        <f ca="1">IFERROR(IF(0=LEN(ReferenceData!$AI$379),"",ReferenceData!$AI$379),"")</f>
        <v/>
      </c>
      <c r="AJ379" t="str">
        <f ca="1">IFERROR(IF(0=LEN(ReferenceData!$AJ$379),"",ReferenceData!$AJ$379),"")</f>
        <v/>
      </c>
      <c r="AK379" t="str">
        <f ca="1">IFERROR(IF(0=LEN(ReferenceData!$AK$379),"",ReferenceData!$AK$379),"")</f>
        <v/>
      </c>
      <c r="AL379" t="str">
        <f ca="1">IFERROR(IF(0=LEN(ReferenceData!$AL$379),"",ReferenceData!$AL$379),"")</f>
        <v/>
      </c>
    </row>
    <row r="380" spans="1:38" x14ac:dyDescent="0.25">
      <c r="A380" t="str">
        <f>IFERROR(IF(0=LEN(ReferenceData!$A$380),"",ReferenceData!$A$380),"")</f>
        <v xml:space="preserve">        Huntington Bancshares Inc/OH</v>
      </c>
      <c r="B380" t="str">
        <f>IFERROR(IF(0=LEN(ReferenceData!$B$380),"",ReferenceData!$B$380),"")</f>
        <v>HBAN US Equity</v>
      </c>
      <c r="C380" t="str">
        <f>IFERROR(IF(0=LEN(ReferenceData!$C$380),"",ReferenceData!$C$380),"")</f>
        <v>F0127</v>
      </c>
      <c r="D380" t="str">
        <f>IFERROR(IF(0=LEN(ReferenceData!$D$380),"",ReferenceData!$D$380),"")</f>
        <v>FED_FARMERS_LOANS_%_TOT_LNS_LEAS</v>
      </c>
      <c r="E380" t="str">
        <f>IFERROR(IF(0=LEN(ReferenceData!$E$380),"",ReferenceData!$E$380),"")</f>
        <v>Dynamic</v>
      </c>
      <c r="F380">
        <f ca="1">IFERROR(IF(0=LEN(ReferenceData!$F$380),"",ReferenceData!$F$380),"")</f>
        <v>0.20417737</v>
      </c>
      <c r="G380">
        <f ca="1">IFERROR(IF(0=LEN(ReferenceData!$G$380),"",ReferenceData!$G$380),"")</f>
        <v>0.17852436699999999</v>
      </c>
      <c r="H380">
        <f ca="1">IFERROR(IF(0=LEN(ReferenceData!$H$380),"",ReferenceData!$H$380),"")</f>
        <v>0.19057692800000001</v>
      </c>
      <c r="I380">
        <f ca="1">IFERROR(IF(0=LEN(ReferenceData!$I$380),"",ReferenceData!$I$380),"")</f>
        <v>0.182949686</v>
      </c>
      <c r="J380">
        <f ca="1">IFERROR(IF(0=LEN(ReferenceData!$J$380),"",ReferenceData!$J$380),"")</f>
        <v>9.8668005000000003E-2</v>
      </c>
      <c r="K380">
        <f ca="1">IFERROR(IF(0=LEN(ReferenceData!$K$380),"",ReferenceData!$K$380),"")</f>
        <v>9.2674015999999998E-2</v>
      </c>
      <c r="L380">
        <f ca="1">IFERROR(IF(0=LEN(ReferenceData!$L$380),"",ReferenceData!$L$380),"")</f>
        <v>9.9232995000000004E-2</v>
      </c>
      <c r="M380">
        <f ca="1">IFERROR(IF(0=LEN(ReferenceData!$M$380),"",ReferenceData!$M$380),"")</f>
        <v>8.9960444000000001E-2</v>
      </c>
      <c r="N380">
        <f ca="1">IFERROR(IF(0=LEN(ReferenceData!$N$380),"",ReferenceData!$N$380),"")</f>
        <v>9.5545044999999995E-2</v>
      </c>
      <c r="O380">
        <f ca="1">IFERROR(IF(0=LEN(ReferenceData!$O$380),"",ReferenceData!$O$380),"")</f>
        <v>0.103557237</v>
      </c>
      <c r="P380">
        <f ca="1">IFERROR(IF(0=LEN(ReferenceData!$P$380),"",ReferenceData!$P$380),"")</f>
        <v>0.165239101</v>
      </c>
      <c r="Q380">
        <f ca="1">IFERROR(IF(0=LEN(ReferenceData!$Q$380),"",ReferenceData!$Q$380),"")</f>
        <v>0.119447331</v>
      </c>
      <c r="R380">
        <f ca="1">IFERROR(IF(0=LEN(ReferenceData!$R$380),"",ReferenceData!$R$380),"")</f>
        <v>0.127982393</v>
      </c>
      <c r="S380">
        <f ca="1">IFERROR(IF(0=LEN(ReferenceData!$S$380),"",ReferenceData!$S$380),"")</f>
        <v>0.158499898</v>
      </c>
      <c r="T380">
        <f ca="1">IFERROR(IF(0=LEN(ReferenceData!$T$380),"",ReferenceData!$T$380),"")</f>
        <v>0.18236491699999999</v>
      </c>
      <c r="U380">
        <f ca="1">IFERROR(IF(0=LEN(ReferenceData!$U$380),"",ReferenceData!$U$380),"")</f>
        <v>0.18130666400000001</v>
      </c>
      <c r="V380">
        <f ca="1">IFERROR(IF(0=LEN(ReferenceData!$V$380),"",ReferenceData!$V$380),"")</f>
        <v>0.32243104500000003</v>
      </c>
      <c r="W380">
        <f ca="1">IFERROR(IF(0=LEN(ReferenceData!$W$380),"",ReferenceData!$W$380),"")</f>
        <v>0.18621252599999999</v>
      </c>
      <c r="X380">
        <f ca="1">IFERROR(IF(0=LEN(ReferenceData!$X$380),"",ReferenceData!$X$380),"")</f>
        <v>0.12005589699999999</v>
      </c>
      <c r="Y380">
        <f ca="1">IFERROR(IF(0=LEN(ReferenceData!$Y$380),"",ReferenceData!$Y$380),"")</f>
        <v>0.124446554</v>
      </c>
      <c r="Z380">
        <f ca="1">IFERROR(IF(0=LEN(ReferenceData!$Z$380),"",ReferenceData!$Z$380),"")</f>
        <v>0.13736261399999999</v>
      </c>
      <c r="AA380">
        <f ca="1">IFERROR(IF(0=LEN(ReferenceData!$AA$380),"",ReferenceData!$AA$380),"")</f>
        <v>0.18288168299999999</v>
      </c>
      <c r="AB380">
        <f ca="1">IFERROR(IF(0=LEN(ReferenceData!$AB$380),"",ReferenceData!$AB$380),"")</f>
        <v>0.222790972</v>
      </c>
      <c r="AC380">
        <f ca="1">IFERROR(IF(0=LEN(ReferenceData!$AC$380),"",ReferenceData!$AC$380),"")</f>
        <v>0.26160474099999997</v>
      </c>
      <c r="AD380" t="str">
        <f ca="1">IFERROR(IF(0=LEN(ReferenceData!$AD$380),"",ReferenceData!$AD$380),"")</f>
        <v/>
      </c>
      <c r="AE380" t="str">
        <f ca="1">IFERROR(IF(0=LEN(ReferenceData!$AE$380),"",ReferenceData!$AE$380),"")</f>
        <v/>
      </c>
      <c r="AF380" t="str">
        <f ca="1">IFERROR(IF(0=LEN(ReferenceData!$AF$380),"",ReferenceData!$AF$380),"")</f>
        <v/>
      </c>
      <c r="AG380" t="str">
        <f ca="1">IFERROR(IF(0=LEN(ReferenceData!$AG$380),"",ReferenceData!$AG$380),"")</f>
        <v/>
      </c>
      <c r="AH380" t="str">
        <f ca="1">IFERROR(IF(0=LEN(ReferenceData!$AH$380),"",ReferenceData!$AH$380),"")</f>
        <v/>
      </c>
      <c r="AI380" t="str">
        <f ca="1">IFERROR(IF(0=LEN(ReferenceData!$AI$380),"",ReferenceData!$AI$380),"")</f>
        <v/>
      </c>
      <c r="AJ380" t="str">
        <f ca="1">IFERROR(IF(0=LEN(ReferenceData!$AJ$380),"",ReferenceData!$AJ$380),"")</f>
        <v/>
      </c>
      <c r="AK380" t="str">
        <f ca="1">IFERROR(IF(0=LEN(ReferenceData!$AK$380),"",ReferenceData!$AK$380),"")</f>
        <v/>
      </c>
      <c r="AL380" t="str">
        <f ca="1">IFERROR(IF(0=LEN(ReferenceData!$AL$380),"",ReferenceData!$AL$380),"")</f>
        <v/>
      </c>
    </row>
    <row r="381" spans="1:38" x14ac:dyDescent="0.25">
      <c r="A381" t="str">
        <f>IFERROR(IF(0=LEN(ReferenceData!$A$381),"",ReferenceData!$A$381),"")</f>
        <v xml:space="preserve">        JPMorgan Chase &amp; Co</v>
      </c>
      <c r="B381" t="str">
        <f>IFERROR(IF(0=LEN(ReferenceData!$B$381),"",ReferenceData!$B$381),"")</f>
        <v>JPM US Equity</v>
      </c>
      <c r="C381" t="str">
        <f>IFERROR(IF(0=LEN(ReferenceData!$C$381),"",ReferenceData!$C$381),"")</f>
        <v>F0127</v>
      </c>
      <c r="D381" t="str">
        <f>IFERROR(IF(0=LEN(ReferenceData!$D$381),"",ReferenceData!$D$381),"")</f>
        <v>FED_FARMERS_LOANS_%_TOT_LNS_LEAS</v>
      </c>
      <c r="E381" t="str">
        <f>IFERROR(IF(0=LEN(ReferenceData!$E$381),"",ReferenceData!$E$381),"")</f>
        <v>Dynamic</v>
      </c>
      <c r="F381">
        <f ca="1">IFERROR(IF(0=LEN(ReferenceData!$F$381),"",ReferenceData!$F$381),"")</f>
        <v>3.5144940999999999E-2</v>
      </c>
      <c r="G381">
        <f ca="1">IFERROR(IF(0=LEN(ReferenceData!$G$381),"",ReferenceData!$G$381),"")</f>
        <v>3.9078819000000001E-2</v>
      </c>
      <c r="H381">
        <f ca="1">IFERROR(IF(0=LEN(ReferenceData!$H$381),"",ReferenceData!$H$381),"")</f>
        <v>7.3169002999999996E-2</v>
      </c>
      <c r="I381">
        <f ca="1">IFERROR(IF(0=LEN(ReferenceData!$I$381),"",ReferenceData!$I$381),"")</f>
        <v>7.4382061999999999E-2</v>
      </c>
      <c r="J381">
        <f ca="1">IFERROR(IF(0=LEN(ReferenceData!$J$381),"",ReferenceData!$J$381),"")</f>
        <v>6.2418794E-2</v>
      </c>
      <c r="K381">
        <f ca="1">IFERROR(IF(0=LEN(ReferenceData!$K$381),"",ReferenceData!$K$381),"")</f>
        <v>7.0458828000000001E-2</v>
      </c>
      <c r="L381">
        <f ca="1">IFERROR(IF(0=LEN(ReferenceData!$L$381),"",ReferenceData!$L$381),"")</f>
        <v>6.4941144000000006E-2</v>
      </c>
      <c r="M381">
        <f ca="1">IFERROR(IF(0=LEN(ReferenceData!$M$381),"",ReferenceData!$M$381),"")</f>
        <v>7.3576365000000005E-2</v>
      </c>
      <c r="N381">
        <f ca="1">IFERROR(IF(0=LEN(ReferenceData!$N$381),"",ReferenceData!$N$381),"")</f>
        <v>5.5798676999999998E-2</v>
      </c>
      <c r="O381">
        <f ca="1">IFERROR(IF(0=LEN(ReferenceData!$O$381),"",ReferenceData!$O$381),"")</f>
        <v>9.6152489999999993E-2</v>
      </c>
      <c r="P381">
        <f ca="1">IFERROR(IF(0=LEN(ReferenceData!$P$381),"",ReferenceData!$P$381),"")</f>
        <v>9.1442438000000001E-2</v>
      </c>
      <c r="Q381">
        <f ca="1">IFERROR(IF(0=LEN(ReferenceData!$Q$381),"",ReferenceData!$Q$381),"")</f>
        <v>0.102992534</v>
      </c>
      <c r="R381">
        <f ca="1">IFERROR(IF(0=LEN(ReferenceData!$R$381),"",ReferenceData!$R$381),"")</f>
        <v>8.4884719999999997E-2</v>
      </c>
      <c r="S381">
        <f ca="1">IFERROR(IF(0=LEN(ReferenceData!$S$381),"",ReferenceData!$S$381),"")</f>
        <v>9.7929208000000004E-2</v>
      </c>
      <c r="T381">
        <f ca="1">IFERROR(IF(0=LEN(ReferenceData!$T$381),"",ReferenceData!$T$381),"")</f>
        <v>8.6391661999999994E-2</v>
      </c>
      <c r="U381">
        <f ca="1">IFERROR(IF(0=LEN(ReferenceData!$U$381),"",ReferenceData!$U$381),"")</f>
        <v>6.4688122000000001E-2</v>
      </c>
      <c r="V381">
        <f ca="1">IFERROR(IF(0=LEN(ReferenceData!$V$381),"",ReferenceData!$V$381),"")</f>
        <v>6.0300635999999998E-2</v>
      </c>
      <c r="W381">
        <f ca="1">IFERROR(IF(0=LEN(ReferenceData!$W$381),"",ReferenceData!$W$381),"")</f>
        <v>0.110346268</v>
      </c>
      <c r="X381">
        <f ca="1">IFERROR(IF(0=LEN(ReferenceData!$X$381),"",ReferenceData!$X$381),"")</f>
        <v>0.123156023</v>
      </c>
      <c r="Y381">
        <f ca="1">IFERROR(IF(0=LEN(ReferenceData!$Y$381),"",ReferenceData!$Y$381),"")</f>
        <v>0.15638644800000001</v>
      </c>
      <c r="Z381">
        <f ca="1">IFERROR(IF(0=LEN(ReferenceData!$Z$381),"",ReferenceData!$Z$381),"")</f>
        <v>0.169418859</v>
      </c>
      <c r="AA381">
        <f ca="1">IFERROR(IF(0=LEN(ReferenceData!$AA$381),"",ReferenceData!$AA$381),"")</f>
        <v>1.4577392E-2</v>
      </c>
      <c r="AB381">
        <f ca="1">IFERROR(IF(0=LEN(ReferenceData!$AB$381),"",ReferenceData!$AB$381),"")</f>
        <v>3.9305813000000002E-2</v>
      </c>
      <c r="AC381">
        <f ca="1">IFERROR(IF(0=LEN(ReferenceData!$AC$381),"",ReferenceData!$AC$381),"")</f>
        <v>5.3818589999999999E-2</v>
      </c>
      <c r="AD381" t="str">
        <f ca="1">IFERROR(IF(0=LEN(ReferenceData!$AD$381),"",ReferenceData!$AD$381),"")</f>
        <v/>
      </c>
      <c r="AE381" t="str">
        <f ca="1">IFERROR(IF(0=LEN(ReferenceData!$AE$381),"",ReferenceData!$AE$381),"")</f>
        <v/>
      </c>
      <c r="AF381" t="str">
        <f ca="1">IFERROR(IF(0=LEN(ReferenceData!$AF$381),"",ReferenceData!$AF$381),"")</f>
        <v/>
      </c>
      <c r="AG381" t="str">
        <f ca="1">IFERROR(IF(0=LEN(ReferenceData!$AG$381),"",ReferenceData!$AG$381),"")</f>
        <v/>
      </c>
      <c r="AH381" t="str">
        <f ca="1">IFERROR(IF(0=LEN(ReferenceData!$AH$381),"",ReferenceData!$AH$381),"")</f>
        <v/>
      </c>
      <c r="AI381" t="str">
        <f ca="1">IFERROR(IF(0=LEN(ReferenceData!$AI$381),"",ReferenceData!$AI$381),"")</f>
        <v/>
      </c>
      <c r="AJ381" t="str">
        <f ca="1">IFERROR(IF(0=LEN(ReferenceData!$AJ$381),"",ReferenceData!$AJ$381),"")</f>
        <v/>
      </c>
      <c r="AK381" t="str">
        <f ca="1">IFERROR(IF(0=LEN(ReferenceData!$AK$381),"",ReferenceData!$AK$381),"")</f>
        <v/>
      </c>
      <c r="AL381" t="str">
        <f ca="1">IFERROR(IF(0=LEN(ReferenceData!$AL$381),"",ReferenceData!$AL$381),"")</f>
        <v/>
      </c>
    </row>
    <row r="382" spans="1:38" x14ac:dyDescent="0.25">
      <c r="A382" t="str">
        <f>IFERROR(IF(0=LEN(ReferenceData!$A$382),"",ReferenceData!$A$382),"")</f>
        <v xml:space="preserve">        KeyCorp</v>
      </c>
      <c r="B382" t="str">
        <f>IFERROR(IF(0=LEN(ReferenceData!$B$382),"",ReferenceData!$B$382),"")</f>
        <v>KEY US Equity</v>
      </c>
      <c r="C382" t="str">
        <f>IFERROR(IF(0=LEN(ReferenceData!$C$382),"",ReferenceData!$C$382),"")</f>
        <v>F0127</v>
      </c>
      <c r="D382" t="str">
        <f>IFERROR(IF(0=LEN(ReferenceData!$D$382),"",ReferenceData!$D$382),"")</f>
        <v>FED_FARMERS_LOANS_%_TOT_LNS_LEAS</v>
      </c>
      <c r="E382" t="str">
        <f>IFERROR(IF(0=LEN(ReferenceData!$E$382),"",ReferenceData!$E$382),"")</f>
        <v>Dynamic</v>
      </c>
      <c r="F382">
        <f ca="1">IFERROR(IF(0=LEN(ReferenceData!$F$382),"",ReferenceData!$F$382),"")</f>
        <v>0.61060318499999999</v>
      </c>
      <c r="G382">
        <f ca="1">IFERROR(IF(0=LEN(ReferenceData!$G$382),"",ReferenceData!$G$382),"")</f>
        <v>0.60306654699999995</v>
      </c>
      <c r="H382">
        <f ca="1">IFERROR(IF(0=LEN(ReferenceData!$H$382),"",ReferenceData!$H$382),"")</f>
        <v>0.48246478700000001</v>
      </c>
      <c r="I382">
        <f ca="1">IFERROR(IF(0=LEN(ReferenceData!$I$382),"",ReferenceData!$I$382),"")</f>
        <v>0.46702440899999997</v>
      </c>
      <c r="J382">
        <f ca="1">IFERROR(IF(0=LEN(ReferenceData!$J$382),"",ReferenceData!$J$382),"")</f>
        <v>0.450603853</v>
      </c>
      <c r="K382">
        <f ca="1">IFERROR(IF(0=LEN(ReferenceData!$K$382),"",ReferenceData!$K$382),"")</f>
        <v>0.64899290200000004</v>
      </c>
      <c r="L382">
        <f ca="1">IFERROR(IF(0=LEN(ReferenceData!$L$382),"",ReferenceData!$L$382),"")</f>
        <v>0.77201185999999999</v>
      </c>
      <c r="M382">
        <f ca="1">IFERROR(IF(0=LEN(ReferenceData!$M$382),"",ReferenceData!$M$382),"")</f>
        <v>0.766706365</v>
      </c>
      <c r="N382">
        <f ca="1">IFERROR(IF(0=LEN(ReferenceData!$N$382),"",ReferenceData!$N$382),"")</f>
        <v>0.80422919400000004</v>
      </c>
      <c r="O382">
        <f ca="1">IFERROR(IF(0=LEN(ReferenceData!$O$382),"",ReferenceData!$O$382),"")</f>
        <v>0.99322343899999999</v>
      </c>
      <c r="P382">
        <f ca="1">IFERROR(IF(0=LEN(ReferenceData!$P$382),"",ReferenceData!$P$382),"")</f>
        <v>0.90348888599999999</v>
      </c>
      <c r="Q382">
        <f ca="1">IFERROR(IF(0=LEN(ReferenceData!$Q$382),"",ReferenceData!$Q$382),"")</f>
        <v>0.86980489699999997</v>
      </c>
      <c r="R382">
        <f ca="1">IFERROR(IF(0=LEN(ReferenceData!$R$382),"",ReferenceData!$R$382),"")</f>
        <v>0.94858160400000002</v>
      </c>
      <c r="S382">
        <f ca="1">IFERROR(IF(0=LEN(ReferenceData!$S$382),"",ReferenceData!$S$382),"")</f>
        <v>0.96538590599999996</v>
      </c>
      <c r="T382">
        <f ca="1">IFERROR(IF(0=LEN(ReferenceData!$T$382),"",ReferenceData!$T$382),"")</f>
        <v>0.97410506100000005</v>
      </c>
      <c r="U382">
        <f ca="1">IFERROR(IF(0=LEN(ReferenceData!$U$382),"",ReferenceData!$U$382),"")</f>
        <v>0.83788427200000004</v>
      </c>
      <c r="V382">
        <f ca="1">IFERROR(IF(0=LEN(ReferenceData!$V$382),"",ReferenceData!$V$382),"")</f>
        <v>0.62748304700000002</v>
      </c>
      <c r="W382">
        <f ca="1">IFERROR(IF(0=LEN(ReferenceData!$W$382),"",ReferenceData!$W$382),"")</f>
        <v>0.50381147400000004</v>
      </c>
      <c r="X382">
        <f ca="1">IFERROR(IF(0=LEN(ReferenceData!$X$382),"",ReferenceData!$X$382),"")</f>
        <v>0.60002392299999996</v>
      </c>
      <c r="Y382">
        <f ca="1">IFERROR(IF(0=LEN(ReferenceData!$Y$382),"",ReferenceData!$Y$382),"")</f>
        <v>0.61080108799999999</v>
      </c>
      <c r="Z382">
        <f ca="1">IFERROR(IF(0=LEN(ReferenceData!$Z$382),"",ReferenceData!$Z$382),"")</f>
        <v>0.71184944500000003</v>
      </c>
      <c r="AA382">
        <f ca="1">IFERROR(IF(0=LEN(ReferenceData!$AA$382),"",ReferenceData!$AA$382),"")</f>
        <v>0.77599808400000003</v>
      </c>
      <c r="AB382">
        <f ca="1">IFERROR(IF(0=LEN(ReferenceData!$AB$382),"",ReferenceData!$AB$382),"")</f>
        <v>0.73207161799999998</v>
      </c>
      <c r="AC382">
        <f ca="1">IFERROR(IF(0=LEN(ReferenceData!$AC$382),"",ReferenceData!$AC$382),"")</f>
        <v>0.85209932200000005</v>
      </c>
      <c r="AD382" t="str">
        <f ca="1">IFERROR(IF(0=LEN(ReferenceData!$AD$382),"",ReferenceData!$AD$382),"")</f>
        <v/>
      </c>
      <c r="AE382" t="str">
        <f ca="1">IFERROR(IF(0=LEN(ReferenceData!$AE$382),"",ReferenceData!$AE$382),"")</f>
        <v/>
      </c>
      <c r="AF382" t="str">
        <f ca="1">IFERROR(IF(0=LEN(ReferenceData!$AF$382),"",ReferenceData!$AF$382),"")</f>
        <v/>
      </c>
      <c r="AG382" t="str">
        <f ca="1">IFERROR(IF(0=LEN(ReferenceData!$AG$382),"",ReferenceData!$AG$382),"")</f>
        <v/>
      </c>
      <c r="AH382" t="str">
        <f ca="1">IFERROR(IF(0=LEN(ReferenceData!$AH$382),"",ReferenceData!$AH$382),"")</f>
        <v/>
      </c>
      <c r="AI382" t="str">
        <f ca="1">IFERROR(IF(0=LEN(ReferenceData!$AI$382),"",ReferenceData!$AI$382),"")</f>
        <v/>
      </c>
      <c r="AJ382" t="str">
        <f ca="1">IFERROR(IF(0=LEN(ReferenceData!$AJ$382),"",ReferenceData!$AJ$382),"")</f>
        <v/>
      </c>
      <c r="AK382" t="str">
        <f ca="1">IFERROR(IF(0=LEN(ReferenceData!$AK$382),"",ReferenceData!$AK$382),"")</f>
        <v/>
      </c>
      <c r="AL382" t="str">
        <f ca="1">IFERROR(IF(0=LEN(ReferenceData!$AL$382),"",ReferenceData!$AL$382),"")</f>
        <v/>
      </c>
    </row>
    <row r="383" spans="1:38" x14ac:dyDescent="0.25">
      <c r="A383" t="str">
        <f>IFERROR(IF(0=LEN(ReferenceData!$A$383),"",ReferenceData!$A$383),"")</f>
        <v xml:space="preserve">        M&amp;T Bank Corp</v>
      </c>
      <c r="B383" t="str">
        <f>IFERROR(IF(0=LEN(ReferenceData!$B$383),"",ReferenceData!$B$383),"")</f>
        <v>MTB US Equity</v>
      </c>
      <c r="C383" t="str">
        <f>IFERROR(IF(0=LEN(ReferenceData!$C$383),"",ReferenceData!$C$383),"")</f>
        <v>F0127</v>
      </c>
      <c r="D383" t="str">
        <f>IFERROR(IF(0=LEN(ReferenceData!$D$383),"",ReferenceData!$D$383),"")</f>
        <v>FED_FARMERS_LOANS_%_TOT_LNS_LEAS</v>
      </c>
      <c r="E383" t="str">
        <f>IFERROR(IF(0=LEN(ReferenceData!$E$383),"",ReferenceData!$E$383),"")</f>
        <v>Dynamic</v>
      </c>
      <c r="F383">
        <f ca="1">IFERROR(IF(0=LEN(ReferenceData!$F$383),"",ReferenceData!$F$383),"")</f>
        <v>4.5178432999999997E-2</v>
      </c>
      <c r="G383">
        <f ca="1">IFERROR(IF(0=LEN(ReferenceData!$G$383),"",ReferenceData!$G$383),"")</f>
        <v>4.6498633999999997E-2</v>
      </c>
      <c r="H383">
        <f ca="1">IFERROR(IF(0=LEN(ReferenceData!$H$383),"",ReferenceData!$H$383),"")</f>
        <v>4.6521975E-2</v>
      </c>
      <c r="I383">
        <f ca="1">IFERROR(IF(0=LEN(ReferenceData!$I$383),"",ReferenceData!$I$383),"")</f>
        <v>2.4335811999999998E-2</v>
      </c>
      <c r="J383">
        <f ca="1">IFERROR(IF(0=LEN(ReferenceData!$J$383),"",ReferenceData!$J$383),"")</f>
        <v>2.5973283E-2</v>
      </c>
      <c r="K383">
        <f ca="1">IFERROR(IF(0=LEN(ReferenceData!$K$383),"",ReferenceData!$K$383),"")</f>
        <v>2.0011467000000002E-2</v>
      </c>
      <c r="L383">
        <f ca="1">IFERROR(IF(0=LEN(ReferenceData!$L$383),"",ReferenceData!$L$383),"")</f>
        <v>2.7685062999999999E-2</v>
      </c>
      <c r="M383">
        <f ca="1">IFERROR(IF(0=LEN(ReferenceData!$M$383),"",ReferenceData!$M$383),"")</f>
        <v>7.8342762999999996E-2</v>
      </c>
      <c r="N383">
        <f ca="1">IFERROR(IF(0=LEN(ReferenceData!$N$383),"",ReferenceData!$N$383),"")</f>
        <v>8.9975703000000004E-2</v>
      </c>
      <c r="O383">
        <f ca="1">IFERROR(IF(0=LEN(ReferenceData!$O$383),"",ReferenceData!$O$383),"")</f>
        <v>8.9569606999999996E-2</v>
      </c>
      <c r="P383">
        <f ca="1">IFERROR(IF(0=LEN(ReferenceData!$P$383),"",ReferenceData!$P$383),"")</f>
        <v>8.8281732000000002E-2</v>
      </c>
      <c r="Q383">
        <f ca="1">IFERROR(IF(0=LEN(ReferenceData!$Q$383),"",ReferenceData!$Q$383),"")</f>
        <v>9.5687493999999998E-2</v>
      </c>
      <c r="R383">
        <f ca="1">IFERROR(IF(0=LEN(ReferenceData!$R$383),"",ReferenceData!$R$383),"")</f>
        <v>9.2971473999999998E-2</v>
      </c>
      <c r="S383">
        <f ca="1">IFERROR(IF(0=LEN(ReferenceData!$S$383),"",ReferenceData!$S$383),"")</f>
        <v>0.116465313</v>
      </c>
      <c r="T383">
        <f ca="1">IFERROR(IF(0=LEN(ReferenceData!$T$383),"",ReferenceData!$T$383),"")</f>
        <v>5.6779732999999999E-2</v>
      </c>
      <c r="U383">
        <f ca="1">IFERROR(IF(0=LEN(ReferenceData!$U$383),"",ReferenceData!$U$383),"")</f>
        <v>4.0795826E-2</v>
      </c>
      <c r="V383">
        <f ca="1">IFERROR(IF(0=LEN(ReferenceData!$V$383),"",ReferenceData!$V$383),"")</f>
        <v>6.1172891E-2</v>
      </c>
      <c r="W383">
        <f ca="1">IFERROR(IF(0=LEN(ReferenceData!$W$383),"",ReferenceData!$W$383),"")</f>
        <v>5.9069298999999999E-2</v>
      </c>
      <c r="X383">
        <f ca="1">IFERROR(IF(0=LEN(ReferenceData!$X$383),"",ReferenceData!$X$383),"")</f>
        <v>4.7772505999999999E-2</v>
      </c>
      <c r="Y383">
        <f ca="1">IFERROR(IF(0=LEN(ReferenceData!$Y$383),"",ReferenceData!$Y$383),"")</f>
        <v>5.1935692999999998E-2</v>
      </c>
      <c r="Z383">
        <f ca="1">IFERROR(IF(0=LEN(ReferenceData!$Z$383),"",ReferenceData!$Z$383),"")</f>
        <v>6.5434886999999997E-2</v>
      </c>
      <c r="AA383">
        <f ca="1">IFERROR(IF(0=LEN(ReferenceData!$AA$383),"",ReferenceData!$AA$383),"")</f>
        <v>3.3899925999999997E-2</v>
      </c>
      <c r="AB383">
        <f ca="1">IFERROR(IF(0=LEN(ReferenceData!$AB$383),"",ReferenceData!$AB$383),"")</f>
        <v>4.1946869999999997E-2</v>
      </c>
      <c r="AC383">
        <f ca="1">IFERROR(IF(0=LEN(ReferenceData!$AC$383),"",ReferenceData!$AC$383),"")</f>
        <v>5.2668438999999997E-2</v>
      </c>
      <c r="AD383" t="str">
        <f ca="1">IFERROR(IF(0=LEN(ReferenceData!$AD$383),"",ReferenceData!$AD$383),"")</f>
        <v/>
      </c>
      <c r="AE383" t="str">
        <f ca="1">IFERROR(IF(0=LEN(ReferenceData!$AE$383),"",ReferenceData!$AE$383),"")</f>
        <v/>
      </c>
      <c r="AF383" t="str">
        <f ca="1">IFERROR(IF(0=LEN(ReferenceData!$AF$383),"",ReferenceData!$AF$383),"")</f>
        <v/>
      </c>
      <c r="AG383" t="str">
        <f ca="1">IFERROR(IF(0=LEN(ReferenceData!$AG$383),"",ReferenceData!$AG$383),"")</f>
        <v/>
      </c>
      <c r="AH383" t="str">
        <f ca="1">IFERROR(IF(0=LEN(ReferenceData!$AH$383),"",ReferenceData!$AH$383),"")</f>
        <v/>
      </c>
      <c r="AI383" t="str">
        <f ca="1">IFERROR(IF(0=LEN(ReferenceData!$AI$383),"",ReferenceData!$AI$383),"")</f>
        <v/>
      </c>
      <c r="AJ383" t="str">
        <f ca="1">IFERROR(IF(0=LEN(ReferenceData!$AJ$383),"",ReferenceData!$AJ$383),"")</f>
        <v/>
      </c>
      <c r="AK383" t="str">
        <f ca="1">IFERROR(IF(0=LEN(ReferenceData!$AK$383),"",ReferenceData!$AK$383),"")</f>
        <v/>
      </c>
      <c r="AL383" t="str">
        <f ca="1">IFERROR(IF(0=LEN(ReferenceData!$AL$383),"",ReferenceData!$AL$383),"")</f>
        <v/>
      </c>
    </row>
    <row r="384" spans="1:38" x14ac:dyDescent="0.25">
      <c r="A384" t="str">
        <f>IFERROR(IF(0=LEN(ReferenceData!$A$384),"",ReferenceData!$A$384),"")</f>
        <v xml:space="preserve">        PNC Financial Services Group I</v>
      </c>
      <c r="B384" t="str">
        <f>IFERROR(IF(0=LEN(ReferenceData!$B$384),"",ReferenceData!$B$384),"")</f>
        <v>PNC US Equity</v>
      </c>
      <c r="C384" t="str">
        <f>IFERROR(IF(0=LEN(ReferenceData!$C$384),"",ReferenceData!$C$384),"")</f>
        <v>F0127</v>
      </c>
      <c r="D384" t="str">
        <f>IFERROR(IF(0=LEN(ReferenceData!$D$384),"",ReferenceData!$D$384),"")</f>
        <v>FED_FARMERS_LOANS_%_TOT_LNS_LEAS</v>
      </c>
      <c r="E384" t="str">
        <f>IFERROR(IF(0=LEN(ReferenceData!$E$384),"",ReferenceData!$E$384),"")</f>
        <v>Dynamic</v>
      </c>
      <c r="F384" t="str">
        <f ca="1">IFERROR(IF(0=LEN(ReferenceData!$F$384),"",ReferenceData!$F$384),"")</f>
        <v/>
      </c>
      <c r="G384">
        <f ca="1">IFERROR(IF(0=LEN(ReferenceData!$G$384),"",ReferenceData!$G$384),"")</f>
        <v>3.3058217000000001E-2</v>
      </c>
      <c r="H384">
        <f ca="1">IFERROR(IF(0=LEN(ReferenceData!$H$384),"",ReferenceData!$H$384),"")</f>
        <v>5.8453694E-2</v>
      </c>
      <c r="I384">
        <f ca="1">IFERROR(IF(0=LEN(ReferenceData!$I$384),"",ReferenceData!$I$384),"")</f>
        <v>7.9058557000000002E-2</v>
      </c>
      <c r="J384">
        <f ca="1">IFERROR(IF(0=LEN(ReferenceData!$J$384),"",ReferenceData!$J$384),"")</f>
        <v>8.4277068999999996E-2</v>
      </c>
      <c r="K384">
        <f ca="1">IFERROR(IF(0=LEN(ReferenceData!$K$384),"",ReferenceData!$K$384),"")</f>
        <v>7.6577505000000004E-2</v>
      </c>
      <c r="L384">
        <f ca="1">IFERROR(IF(0=LEN(ReferenceData!$L$384),"",ReferenceData!$L$384),"")</f>
        <v>4.5603899000000003E-2</v>
      </c>
      <c r="M384">
        <f ca="1">IFERROR(IF(0=LEN(ReferenceData!$M$384),"",ReferenceData!$M$384),"")</f>
        <v>5.0625096000000001E-2</v>
      </c>
      <c r="N384">
        <f ca="1">IFERROR(IF(0=LEN(ReferenceData!$N$384),"",ReferenceData!$N$384),"")</f>
        <v>6.0978788999999999E-2</v>
      </c>
      <c r="O384">
        <f ca="1">IFERROR(IF(0=LEN(ReferenceData!$O$384),"",ReferenceData!$O$384),"")</f>
        <v>6.4644672E-2</v>
      </c>
      <c r="P384">
        <f ca="1">IFERROR(IF(0=LEN(ReferenceData!$P$384),"",ReferenceData!$P$384),"")</f>
        <v>6.2666417000000002E-2</v>
      </c>
      <c r="Q384">
        <f ca="1">IFERROR(IF(0=LEN(ReferenceData!$Q$384),"",ReferenceData!$Q$384),"")</f>
        <v>5.9536841E-2</v>
      </c>
      <c r="R384">
        <f ca="1">IFERROR(IF(0=LEN(ReferenceData!$R$384),"",ReferenceData!$R$384),"")</f>
        <v>5.7491709000000002E-2</v>
      </c>
      <c r="S384">
        <f ca="1">IFERROR(IF(0=LEN(ReferenceData!$S$384),"",ReferenceData!$S$384),"")</f>
        <v>5.0522842999999998E-2</v>
      </c>
      <c r="T384">
        <f ca="1">IFERROR(IF(0=LEN(ReferenceData!$T$384),"",ReferenceData!$T$384),"")</f>
        <v>5.5941518000000003E-2</v>
      </c>
      <c r="U384">
        <f ca="1">IFERROR(IF(0=LEN(ReferenceData!$U$384),"",ReferenceData!$U$384),"")</f>
        <v>8.9743057000000001E-2</v>
      </c>
      <c r="V384">
        <f ca="1">IFERROR(IF(0=LEN(ReferenceData!$V$384),"",ReferenceData!$V$384),"")</f>
        <v>0.12759414799999999</v>
      </c>
      <c r="W384">
        <f ca="1">IFERROR(IF(0=LEN(ReferenceData!$W$384),"",ReferenceData!$W$384),"")</f>
        <v>1.0601673000000001E-2</v>
      </c>
      <c r="X384">
        <f ca="1">IFERROR(IF(0=LEN(ReferenceData!$X$384),"",ReferenceData!$X$384),"")</f>
        <v>1.746945E-3</v>
      </c>
      <c r="Y384">
        <f ca="1">IFERROR(IF(0=LEN(ReferenceData!$Y$384),"",ReferenceData!$Y$384),"")</f>
        <v>2.4241549999999999E-3</v>
      </c>
      <c r="Z384">
        <f ca="1">IFERROR(IF(0=LEN(ReferenceData!$Z$384),"",ReferenceData!$Z$384),"")</f>
        <v>3.4158249999999999E-3</v>
      </c>
      <c r="AA384">
        <f ca="1">IFERROR(IF(0=LEN(ReferenceData!$AA$384),"",ReferenceData!$AA$384),"")</f>
        <v>3.0207849999999998E-3</v>
      </c>
      <c r="AB384">
        <f ca="1">IFERROR(IF(0=LEN(ReferenceData!$AB$384),"",ReferenceData!$AB$384),"")</f>
        <v>6.0433659999999997E-3</v>
      </c>
      <c r="AC384">
        <f ca="1">IFERROR(IF(0=LEN(ReferenceData!$AC$384),"",ReferenceData!$AC$384),"")</f>
        <v>8.9302050000000001E-3</v>
      </c>
      <c r="AD384" t="str">
        <f ca="1">IFERROR(IF(0=LEN(ReferenceData!$AD$384),"",ReferenceData!$AD$384),"")</f>
        <v/>
      </c>
      <c r="AE384" t="str">
        <f ca="1">IFERROR(IF(0=LEN(ReferenceData!$AE$384),"",ReferenceData!$AE$384),"")</f>
        <v/>
      </c>
      <c r="AF384" t="str">
        <f ca="1">IFERROR(IF(0=LEN(ReferenceData!$AF$384),"",ReferenceData!$AF$384),"")</f>
        <v/>
      </c>
      <c r="AG384" t="str">
        <f ca="1">IFERROR(IF(0=LEN(ReferenceData!$AG$384),"",ReferenceData!$AG$384),"")</f>
        <v/>
      </c>
      <c r="AH384" t="str">
        <f ca="1">IFERROR(IF(0=LEN(ReferenceData!$AH$384),"",ReferenceData!$AH$384),"")</f>
        <v/>
      </c>
      <c r="AI384" t="str">
        <f ca="1">IFERROR(IF(0=LEN(ReferenceData!$AI$384),"",ReferenceData!$AI$384),"")</f>
        <v/>
      </c>
      <c r="AJ384" t="str">
        <f ca="1">IFERROR(IF(0=LEN(ReferenceData!$AJ$384),"",ReferenceData!$AJ$384),"")</f>
        <v/>
      </c>
      <c r="AK384" t="str">
        <f ca="1">IFERROR(IF(0=LEN(ReferenceData!$AK$384),"",ReferenceData!$AK$384),"")</f>
        <v/>
      </c>
      <c r="AL384" t="str">
        <f ca="1">IFERROR(IF(0=LEN(ReferenceData!$AL$384),"",ReferenceData!$AL$384),"")</f>
        <v/>
      </c>
    </row>
    <row r="385" spans="1:38" x14ac:dyDescent="0.25">
      <c r="A385" t="str">
        <f>IFERROR(IF(0=LEN(ReferenceData!$A$385),"",ReferenceData!$A$385),"")</f>
        <v xml:space="preserve">        Regions Financial Corp</v>
      </c>
      <c r="B385" t="str">
        <f>IFERROR(IF(0=LEN(ReferenceData!$B$385),"",ReferenceData!$B$385),"")</f>
        <v>RF US Equity</v>
      </c>
      <c r="C385" t="str">
        <f>IFERROR(IF(0=LEN(ReferenceData!$C$385),"",ReferenceData!$C$385),"")</f>
        <v>F0127</v>
      </c>
      <c r="D385" t="str">
        <f>IFERROR(IF(0=LEN(ReferenceData!$D$385),"",ReferenceData!$D$385),"")</f>
        <v>FED_FARMERS_LOANS_%_TOT_LNS_LEAS</v>
      </c>
      <c r="E385" t="str">
        <f>IFERROR(IF(0=LEN(ReferenceData!$E$385),"",ReferenceData!$E$385),"")</f>
        <v>Dynamic</v>
      </c>
      <c r="F385" t="str">
        <f ca="1">IFERROR(IF(0=LEN(ReferenceData!$F$385),"",ReferenceData!$F$385),"")</f>
        <v/>
      </c>
      <c r="G385">
        <f ca="1">IFERROR(IF(0=LEN(ReferenceData!$G$385),"",ReferenceData!$G$385),"")</f>
        <v>0.14985520799999999</v>
      </c>
      <c r="H385">
        <f ca="1">IFERROR(IF(0=LEN(ReferenceData!$H$385),"",ReferenceData!$H$385),"")</f>
        <v>0.223941159</v>
      </c>
      <c r="I385">
        <f ca="1">IFERROR(IF(0=LEN(ReferenceData!$I$385),"",ReferenceData!$I$385),"")</f>
        <v>0.20839435000000001</v>
      </c>
      <c r="J385">
        <f ca="1">IFERROR(IF(0=LEN(ReferenceData!$J$385),"",ReferenceData!$J$385),"")</f>
        <v>0.253545042</v>
      </c>
      <c r="K385">
        <f ca="1">IFERROR(IF(0=LEN(ReferenceData!$K$385),"",ReferenceData!$K$385),"")</f>
        <v>0.29186602900000003</v>
      </c>
      <c r="L385">
        <f ca="1">IFERROR(IF(0=LEN(ReferenceData!$L$385),"",ReferenceData!$L$385),"")</f>
        <v>0.35795390599999999</v>
      </c>
      <c r="M385">
        <f ca="1">IFERROR(IF(0=LEN(ReferenceData!$M$385),"",ReferenceData!$M$385),"")</f>
        <v>0.27747663099999997</v>
      </c>
      <c r="N385">
        <f ca="1">IFERROR(IF(0=LEN(ReferenceData!$N$385),"",ReferenceData!$N$385),"")</f>
        <v>0.319963944</v>
      </c>
      <c r="O385">
        <f ca="1">IFERROR(IF(0=LEN(ReferenceData!$O$385),"",ReferenceData!$O$385),"")</f>
        <v>0.39528888699999998</v>
      </c>
      <c r="P385">
        <f ca="1">IFERROR(IF(0=LEN(ReferenceData!$P$385),"",ReferenceData!$P$385),"")</f>
        <v>0.47411836200000002</v>
      </c>
      <c r="Q385">
        <f ca="1">IFERROR(IF(0=LEN(ReferenceData!$Q$385),"",ReferenceData!$Q$385),"")</f>
        <v>0.47743107899999998</v>
      </c>
      <c r="R385">
        <f ca="1">IFERROR(IF(0=LEN(ReferenceData!$R$385),"",ReferenceData!$R$385),"")</f>
        <v>0.44726018000000001</v>
      </c>
      <c r="S385">
        <f ca="1">IFERROR(IF(0=LEN(ReferenceData!$S$385),"",ReferenceData!$S$385),"")</f>
        <v>0.438039503</v>
      </c>
      <c r="T385">
        <f ca="1">IFERROR(IF(0=LEN(ReferenceData!$T$385),"",ReferenceData!$T$385),"")</f>
        <v>0.39222884099999999</v>
      </c>
      <c r="U385">
        <f ca="1">IFERROR(IF(0=LEN(ReferenceData!$U$385),"",ReferenceData!$U$385),"")</f>
        <v>0.33360268900000001</v>
      </c>
      <c r="V385">
        <f ca="1">IFERROR(IF(0=LEN(ReferenceData!$V$385),"",ReferenceData!$V$385),"")</f>
        <v>0.43496693199999997</v>
      </c>
      <c r="W385">
        <f ca="1">IFERROR(IF(0=LEN(ReferenceData!$W$385),"",ReferenceData!$W$385),"")</f>
        <v>0.38241053699999999</v>
      </c>
      <c r="X385">
        <f ca="1">IFERROR(IF(0=LEN(ReferenceData!$X$385),"",ReferenceData!$X$385),"")</f>
        <v>0.45565366400000001</v>
      </c>
      <c r="Y385">
        <f ca="1">IFERROR(IF(0=LEN(ReferenceData!$Y$385),"",ReferenceData!$Y$385),"")</f>
        <v>0.78828531000000002</v>
      </c>
      <c r="Z385">
        <f ca="1">IFERROR(IF(0=LEN(ReferenceData!$Z$385),"",ReferenceData!$Z$385),"")</f>
        <v>0.75162804900000002</v>
      </c>
      <c r="AA385" t="str">
        <f ca="1">IFERROR(IF(0=LEN(ReferenceData!$AA$385),"",ReferenceData!$AA$385),"")</f>
        <v/>
      </c>
      <c r="AB385" t="str">
        <f ca="1">IFERROR(IF(0=LEN(ReferenceData!$AB$385),"",ReferenceData!$AB$385),"")</f>
        <v/>
      </c>
      <c r="AC385" t="str">
        <f ca="1">IFERROR(IF(0=LEN(ReferenceData!$AC$385),"",ReferenceData!$AC$385),"")</f>
        <v/>
      </c>
      <c r="AD385" t="str">
        <f ca="1">IFERROR(IF(0=LEN(ReferenceData!$AD$385),"",ReferenceData!$AD$385),"")</f>
        <v/>
      </c>
      <c r="AE385" t="str">
        <f ca="1">IFERROR(IF(0=LEN(ReferenceData!$AE$385),"",ReferenceData!$AE$385),"")</f>
        <v/>
      </c>
      <c r="AF385" t="str">
        <f ca="1">IFERROR(IF(0=LEN(ReferenceData!$AF$385),"",ReferenceData!$AF$385),"")</f>
        <v/>
      </c>
      <c r="AG385" t="str">
        <f ca="1">IFERROR(IF(0=LEN(ReferenceData!$AG$385),"",ReferenceData!$AG$385),"")</f>
        <v/>
      </c>
      <c r="AH385" t="str">
        <f ca="1">IFERROR(IF(0=LEN(ReferenceData!$AH$385),"",ReferenceData!$AH$385),"")</f>
        <v/>
      </c>
      <c r="AI385" t="str">
        <f ca="1">IFERROR(IF(0=LEN(ReferenceData!$AI$385),"",ReferenceData!$AI$385),"")</f>
        <v/>
      </c>
      <c r="AJ385" t="str">
        <f ca="1">IFERROR(IF(0=LEN(ReferenceData!$AJ$385),"",ReferenceData!$AJ$385),"")</f>
        <v/>
      </c>
      <c r="AK385" t="str">
        <f ca="1">IFERROR(IF(0=LEN(ReferenceData!$AK$385),"",ReferenceData!$AK$385),"")</f>
        <v/>
      </c>
      <c r="AL385" t="str">
        <f ca="1">IFERROR(IF(0=LEN(ReferenceData!$AL$385),"",ReferenceData!$AL$385),"")</f>
        <v/>
      </c>
    </row>
    <row r="386" spans="1:38" x14ac:dyDescent="0.25">
      <c r="A386" t="str">
        <f>IFERROR(IF(0=LEN(ReferenceData!$A$386),"",ReferenceData!$A$386),"")</f>
        <v xml:space="preserve">        Truist Financial Corp</v>
      </c>
      <c r="B386" t="str">
        <f>IFERROR(IF(0=LEN(ReferenceData!$B$386),"",ReferenceData!$B$386),"")</f>
        <v>TFC US Equity</v>
      </c>
      <c r="C386" t="str">
        <f>IFERROR(IF(0=LEN(ReferenceData!$C$386),"",ReferenceData!$C$386),"")</f>
        <v>F0127</v>
      </c>
      <c r="D386" t="str">
        <f>IFERROR(IF(0=LEN(ReferenceData!$D$386),"",ReferenceData!$D$386),"")</f>
        <v>FED_FARMERS_LOANS_%_TOT_LNS_LEAS</v>
      </c>
      <c r="E386" t="str">
        <f>IFERROR(IF(0=LEN(ReferenceData!$E$386),"",ReferenceData!$E$386),"")</f>
        <v>Dynamic</v>
      </c>
      <c r="F386">
        <f ca="1">IFERROR(IF(0=LEN(ReferenceData!$F$386),"",ReferenceData!$F$386),"")</f>
        <v>8.3178726999999994E-2</v>
      </c>
      <c r="G386">
        <f ca="1">IFERROR(IF(0=LEN(ReferenceData!$G$386),"",ReferenceData!$G$386),"")</f>
        <v>9.5742337999999996E-2</v>
      </c>
      <c r="H386">
        <f ca="1">IFERROR(IF(0=LEN(ReferenceData!$H$386),"",ReferenceData!$H$386),"")</f>
        <v>0.114831951</v>
      </c>
      <c r="I386">
        <f ca="1">IFERROR(IF(0=LEN(ReferenceData!$I$386),"",ReferenceData!$I$386),"")</f>
        <v>0.154251253</v>
      </c>
      <c r="J386">
        <f ca="1">IFERROR(IF(0=LEN(ReferenceData!$J$386),"",ReferenceData!$J$386),"")</f>
        <v>0.17168476699999999</v>
      </c>
      <c r="K386">
        <f ca="1">IFERROR(IF(0=LEN(ReferenceData!$K$386),"",ReferenceData!$K$386),"")</f>
        <v>8.8898983000000001E-2</v>
      </c>
      <c r="L386">
        <f ca="1">IFERROR(IF(0=LEN(ReferenceData!$L$386),"",ReferenceData!$L$386),"")</f>
        <v>0.154665636</v>
      </c>
      <c r="M386">
        <f ca="1">IFERROR(IF(0=LEN(ReferenceData!$M$386),"",ReferenceData!$M$386),"")</f>
        <v>0.153314917</v>
      </c>
      <c r="N386">
        <f ca="1">IFERROR(IF(0=LEN(ReferenceData!$N$386),"",ReferenceData!$N$386),"")</f>
        <v>0.15783967099999999</v>
      </c>
      <c r="O386">
        <f ca="1">IFERROR(IF(0=LEN(ReferenceData!$O$386),"",ReferenceData!$O$386),"")</f>
        <v>0.14586977500000001</v>
      </c>
      <c r="P386">
        <f ca="1">IFERROR(IF(0=LEN(ReferenceData!$P$386),"",ReferenceData!$P$386),"")</f>
        <v>0.12111655</v>
      </c>
      <c r="Q386">
        <f ca="1">IFERROR(IF(0=LEN(ReferenceData!$Q$386),"",ReferenceData!$Q$386),"")</f>
        <v>0.117851734</v>
      </c>
      <c r="R386">
        <f ca="1">IFERROR(IF(0=LEN(ReferenceData!$R$386),"",ReferenceData!$R$386),"")</f>
        <v>0.131669641</v>
      </c>
      <c r="S386">
        <f ca="1">IFERROR(IF(0=LEN(ReferenceData!$S$386),"",ReferenceData!$S$386),"")</f>
        <v>0.126418367</v>
      </c>
      <c r="T386">
        <f ca="1">IFERROR(IF(0=LEN(ReferenceData!$T$386),"",ReferenceData!$T$386),"")</f>
        <v>0.124174459</v>
      </c>
      <c r="U386">
        <f ca="1">IFERROR(IF(0=LEN(ReferenceData!$U$386),"",ReferenceData!$U$386),"")</f>
        <v>0.12689889600000001</v>
      </c>
      <c r="V386">
        <f ca="1">IFERROR(IF(0=LEN(ReferenceData!$V$386),"",ReferenceData!$V$386),"")</f>
        <v>0.12609236300000001</v>
      </c>
      <c r="W386">
        <f ca="1">IFERROR(IF(0=LEN(ReferenceData!$W$386),"",ReferenceData!$W$386),"")</f>
        <v>0.104503056</v>
      </c>
      <c r="X386">
        <f ca="1">IFERROR(IF(0=LEN(ReferenceData!$X$386),"",ReferenceData!$X$386),"")</f>
        <v>0.13085274499999999</v>
      </c>
      <c r="Y386">
        <f ca="1">IFERROR(IF(0=LEN(ReferenceData!$Y$386),"",ReferenceData!$Y$386),"")</f>
        <v>0.121179405</v>
      </c>
      <c r="Z386">
        <f ca="1">IFERROR(IF(0=LEN(ReferenceData!$Z$386),"",ReferenceData!$Z$386),"")</f>
        <v>0.15725656900000001</v>
      </c>
      <c r="AA386">
        <f ca="1">IFERROR(IF(0=LEN(ReferenceData!$AA$386),"",ReferenceData!$AA$386),"")</f>
        <v>0.13344741199999999</v>
      </c>
      <c r="AB386">
        <f ca="1">IFERROR(IF(0=LEN(ReferenceData!$AB$386),"",ReferenceData!$AB$386),"")</f>
        <v>0.182344489</v>
      </c>
      <c r="AC386">
        <f ca="1">IFERROR(IF(0=LEN(ReferenceData!$AC$386),"",ReferenceData!$AC$386),"")</f>
        <v>0.14254264899999999</v>
      </c>
      <c r="AD386" t="str">
        <f ca="1">IFERROR(IF(0=LEN(ReferenceData!$AD$386),"",ReferenceData!$AD$386),"")</f>
        <v/>
      </c>
      <c r="AE386" t="str">
        <f ca="1">IFERROR(IF(0=LEN(ReferenceData!$AE$386),"",ReferenceData!$AE$386),"")</f>
        <v/>
      </c>
      <c r="AF386" t="str">
        <f ca="1">IFERROR(IF(0=LEN(ReferenceData!$AF$386),"",ReferenceData!$AF$386),"")</f>
        <v/>
      </c>
      <c r="AG386" t="str">
        <f ca="1">IFERROR(IF(0=LEN(ReferenceData!$AG$386),"",ReferenceData!$AG$386),"")</f>
        <v/>
      </c>
      <c r="AH386" t="str">
        <f ca="1">IFERROR(IF(0=LEN(ReferenceData!$AH$386),"",ReferenceData!$AH$386),"")</f>
        <v/>
      </c>
      <c r="AI386" t="str">
        <f ca="1">IFERROR(IF(0=LEN(ReferenceData!$AI$386),"",ReferenceData!$AI$386),"")</f>
        <v/>
      </c>
      <c r="AJ386" t="str">
        <f ca="1">IFERROR(IF(0=LEN(ReferenceData!$AJ$386),"",ReferenceData!$AJ$386),"")</f>
        <v/>
      </c>
      <c r="AK386" t="str">
        <f ca="1">IFERROR(IF(0=LEN(ReferenceData!$AK$386),"",ReferenceData!$AK$386),"")</f>
        <v/>
      </c>
      <c r="AL386" t="str">
        <f ca="1">IFERROR(IF(0=LEN(ReferenceData!$AL$386),"",ReferenceData!$AL$386),"")</f>
        <v/>
      </c>
    </row>
    <row r="387" spans="1:38" x14ac:dyDescent="0.25">
      <c r="A387" t="str">
        <f>IFERROR(IF(0=LEN(ReferenceData!$A$387),"",ReferenceData!$A$387),"")</f>
        <v xml:space="preserve">        US Bancorp</v>
      </c>
      <c r="B387" t="str">
        <f>IFERROR(IF(0=LEN(ReferenceData!$B$387),"",ReferenceData!$B$387),"")</f>
        <v>USB US Equity</v>
      </c>
      <c r="C387" t="str">
        <f>IFERROR(IF(0=LEN(ReferenceData!$C$387),"",ReferenceData!$C$387),"")</f>
        <v>F0127</v>
      </c>
      <c r="D387" t="str">
        <f>IFERROR(IF(0=LEN(ReferenceData!$D$387),"",ReferenceData!$D$387),"")</f>
        <v>FED_FARMERS_LOANS_%_TOT_LNS_LEAS</v>
      </c>
      <c r="E387" t="str">
        <f>IFERROR(IF(0=LEN(ReferenceData!$E$387),"",ReferenceData!$E$387),"")</f>
        <v>Dynamic</v>
      </c>
      <c r="F387">
        <f ca="1">IFERROR(IF(0=LEN(ReferenceData!$F$387),"",ReferenceData!$F$387),"")</f>
        <v>0.27327048500000001</v>
      </c>
      <c r="G387">
        <f ca="1">IFERROR(IF(0=LEN(ReferenceData!$G$387),"",ReferenceData!$G$387),"")</f>
        <v>0.31406567499999999</v>
      </c>
      <c r="H387">
        <f ca="1">IFERROR(IF(0=LEN(ReferenceData!$H$387),"",ReferenceData!$H$387),"")</f>
        <v>0.30659839700000002</v>
      </c>
      <c r="I387">
        <f ca="1">IFERROR(IF(0=LEN(ReferenceData!$I$387),"",ReferenceData!$I$387),"")</f>
        <v>0.165727026</v>
      </c>
      <c r="J387">
        <f ca="1">IFERROR(IF(0=LEN(ReferenceData!$J$387),"",ReferenceData!$J$387),"")</f>
        <v>0.21503060700000001</v>
      </c>
      <c r="K387">
        <f ca="1">IFERROR(IF(0=LEN(ReferenceData!$K$387),"",ReferenceData!$K$387),"")</f>
        <v>0.22639883299999999</v>
      </c>
      <c r="L387">
        <f ca="1">IFERROR(IF(0=LEN(ReferenceData!$L$387),"",ReferenceData!$L$387),"")</f>
        <v>0.27460920999999999</v>
      </c>
      <c r="M387">
        <f ca="1">IFERROR(IF(0=LEN(ReferenceData!$M$387),"",ReferenceData!$M$387),"")</f>
        <v>0.34400270999999999</v>
      </c>
      <c r="N387">
        <f ca="1">IFERROR(IF(0=LEN(ReferenceData!$N$387),"",ReferenceData!$N$387),"")</f>
        <v>0.37045186499999999</v>
      </c>
      <c r="O387">
        <f ca="1">IFERROR(IF(0=LEN(ReferenceData!$O$387),"",ReferenceData!$O$387),"")</f>
        <v>0.44220364200000001</v>
      </c>
      <c r="P387">
        <f ca="1">IFERROR(IF(0=LEN(ReferenceData!$P$387),"",ReferenceData!$P$387),"")</f>
        <v>0.49270682599999999</v>
      </c>
      <c r="Q387">
        <f ca="1">IFERROR(IF(0=LEN(ReferenceData!$Q$387),"",ReferenceData!$Q$387),"")</f>
        <v>0.44744051400000001</v>
      </c>
      <c r="R387">
        <f ca="1">IFERROR(IF(0=LEN(ReferenceData!$R$387),"",ReferenceData!$R$387),"")</f>
        <v>0.473861537</v>
      </c>
      <c r="S387">
        <f ca="1">IFERROR(IF(0=LEN(ReferenceData!$S$387),"",ReferenceData!$S$387),"")</f>
        <v>0.48259622800000002</v>
      </c>
      <c r="T387">
        <f ca="1">IFERROR(IF(0=LEN(ReferenceData!$T$387),"",ReferenceData!$T$387),"")</f>
        <v>0.49185595300000001</v>
      </c>
      <c r="U387">
        <f ca="1">IFERROR(IF(0=LEN(ReferenceData!$U$387),"",ReferenceData!$U$387),"")</f>
        <v>0.52273627099999997</v>
      </c>
      <c r="V387">
        <f ca="1">IFERROR(IF(0=LEN(ReferenceData!$V$387),"",ReferenceData!$V$387),"")</f>
        <v>0.55695798900000004</v>
      </c>
      <c r="W387">
        <f ca="1">IFERROR(IF(0=LEN(ReferenceData!$W$387),"",ReferenceData!$W$387),"")</f>
        <v>0.69210695499999997</v>
      </c>
      <c r="X387">
        <f ca="1">IFERROR(IF(0=LEN(ReferenceData!$X$387),"",ReferenceData!$X$387),"")</f>
        <v>0.76811505400000002</v>
      </c>
      <c r="Y387">
        <f ca="1">IFERROR(IF(0=LEN(ReferenceData!$Y$387),"",ReferenceData!$Y$387),"")</f>
        <v>0.87245146699999998</v>
      </c>
      <c r="Z387">
        <f ca="1">IFERROR(IF(0=LEN(ReferenceData!$Z$387),"",ReferenceData!$Z$387),"")</f>
        <v>1.009753119</v>
      </c>
      <c r="AA387">
        <f ca="1">IFERROR(IF(0=LEN(ReferenceData!$AA$387),"",ReferenceData!$AA$387),"")</f>
        <v>1.067954675</v>
      </c>
      <c r="AB387">
        <f ca="1">IFERROR(IF(0=LEN(ReferenceData!$AB$387),"",ReferenceData!$AB$387),"")</f>
        <v>1.1037289260000001</v>
      </c>
      <c r="AC387">
        <f ca="1">IFERROR(IF(0=LEN(ReferenceData!$AC$387),"",ReferenceData!$AC$387),"")</f>
        <v>0.91362763899999999</v>
      </c>
      <c r="AD387" t="str">
        <f ca="1">IFERROR(IF(0=LEN(ReferenceData!$AD$387),"",ReferenceData!$AD$387),"")</f>
        <v/>
      </c>
      <c r="AE387" t="str">
        <f ca="1">IFERROR(IF(0=LEN(ReferenceData!$AE$387),"",ReferenceData!$AE$387),"")</f>
        <v/>
      </c>
      <c r="AF387" t="str">
        <f ca="1">IFERROR(IF(0=LEN(ReferenceData!$AF$387),"",ReferenceData!$AF$387),"")</f>
        <v/>
      </c>
      <c r="AG387" t="str">
        <f ca="1">IFERROR(IF(0=LEN(ReferenceData!$AG$387),"",ReferenceData!$AG$387),"")</f>
        <v/>
      </c>
      <c r="AH387" t="str">
        <f ca="1">IFERROR(IF(0=LEN(ReferenceData!$AH$387),"",ReferenceData!$AH$387),"")</f>
        <v/>
      </c>
      <c r="AI387" t="str">
        <f ca="1">IFERROR(IF(0=LEN(ReferenceData!$AI$387),"",ReferenceData!$AI$387),"")</f>
        <v/>
      </c>
      <c r="AJ387" t="str">
        <f ca="1">IFERROR(IF(0=LEN(ReferenceData!$AJ$387),"",ReferenceData!$AJ$387),"")</f>
        <v/>
      </c>
      <c r="AK387" t="str">
        <f ca="1">IFERROR(IF(0=LEN(ReferenceData!$AK$387),"",ReferenceData!$AK$387),"")</f>
        <v/>
      </c>
      <c r="AL387" t="str">
        <f ca="1">IFERROR(IF(0=LEN(ReferenceData!$AL$387),"",ReferenceData!$AL$387),"")</f>
        <v/>
      </c>
    </row>
    <row r="388" spans="1:38" x14ac:dyDescent="0.25">
      <c r="A388" t="str">
        <f>IFERROR(IF(0=LEN(ReferenceData!$A$388),"",ReferenceData!$A$388),"")</f>
        <v xml:space="preserve">        Wells Fargo &amp; Co</v>
      </c>
      <c r="B388" t="str">
        <f>IFERROR(IF(0=LEN(ReferenceData!$B$388),"",ReferenceData!$B$388),"")</f>
        <v>WFC US Equity</v>
      </c>
      <c r="C388" t="str">
        <f>IFERROR(IF(0=LEN(ReferenceData!$C$388),"",ReferenceData!$C$388),"")</f>
        <v>F0127</v>
      </c>
      <c r="D388" t="str">
        <f>IFERROR(IF(0=LEN(ReferenceData!$D$388),"",ReferenceData!$D$388),"")</f>
        <v>FED_FARMERS_LOANS_%_TOT_LNS_LEAS</v>
      </c>
      <c r="E388" t="str">
        <f>IFERROR(IF(0=LEN(ReferenceData!$E$388),"",ReferenceData!$E$388),"")</f>
        <v>Dynamic</v>
      </c>
      <c r="F388">
        <f ca="1">IFERROR(IF(0=LEN(ReferenceData!$F$388),"",ReferenceData!$F$388),"")</f>
        <v>0.37818788800000003</v>
      </c>
      <c r="G388">
        <f ca="1">IFERROR(IF(0=LEN(ReferenceData!$G$388),"",ReferenceData!$G$388),"")</f>
        <v>0.38166679999999997</v>
      </c>
      <c r="H388">
        <f ca="1">IFERROR(IF(0=LEN(ReferenceData!$H$388),"",ReferenceData!$H$388),"")</f>
        <v>0.40082828100000001</v>
      </c>
      <c r="I388">
        <f ca="1">IFERROR(IF(0=LEN(ReferenceData!$I$388),"",ReferenceData!$I$388),"")</f>
        <v>0.37094402900000001</v>
      </c>
      <c r="J388">
        <f ca="1">IFERROR(IF(0=LEN(ReferenceData!$J$388),"",ReferenceData!$J$388),"")</f>
        <v>0.39518217100000003</v>
      </c>
      <c r="K388">
        <f ca="1">IFERROR(IF(0=LEN(ReferenceData!$K$388),"",ReferenceData!$K$388),"")</f>
        <v>0.47335206899999999</v>
      </c>
      <c r="L388">
        <f ca="1">IFERROR(IF(0=LEN(ReferenceData!$L$388),"",ReferenceData!$L$388),"")</f>
        <v>0.53531969899999998</v>
      </c>
      <c r="M388">
        <f ca="1">IFERROR(IF(0=LEN(ReferenceData!$M$388),"",ReferenceData!$M$388),"")</f>
        <v>0.51272668200000004</v>
      </c>
      <c r="N388">
        <f ca="1">IFERROR(IF(0=LEN(ReferenceData!$N$388),"",ReferenceData!$N$388),"")</f>
        <v>0.54097296299999997</v>
      </c>
      <c r="O388">
        <f ca="1">IFERROR(IF(0=LEN(ReferenceData!$O$388),"",ReferenceData!$O$388),"")</f>
        <v>0.58642498600000004</v>
      </c>
      <c r="P388">
        <f ca="1">IFERROR(IF(0=LEN(ReferenceData!$P$388),"",ReferenceData!$P$388),"")</f>
        <v>0.634627037</v>
      </c>
      <c r="Q388">
        <f ca="1">IFERROR(IF(0=LEN(ReferenceData!$Q$388),"",ReferenceData!$Q$388),"")</f>
        <v>0.68298594700000004</v>
      </c>
      <c r="R388">
        <f ca="1">IFERROR(IF(0=LEN(ReferenceData!$R$388),"",ReferenceData!$R$388),"")</f>
        <v>0.752826365</v>
      </c>
      <c r="S388">
        <f ca="1">IFERROR(IF(0=LEN(ReferenceData!$S$388),"",ReferenceData!$S$388),"")</f>
        <v>0.80346528699999997</v>
      </c>
      <c r="T388">
        <f ca="1">IFERROR(IF(0=LEN(ReferenceData!$T$388),"",ReferenceData!$T$388),"")</f>
        <v>0.77318443999999997</v>
      </c>
      <c r="U388">
        <f ca="1">IFERROR(IF(0=LEN(ReferenceData!$U$388),"",ReferenceData!$U$388),"")</f>
        <v>0.79398547799999997</v>
      </c>
      <c r="V388">
        <f ca="1">IFERROR(IF(0=LEN(ReferenceData!$V$388),"",ReferenceData!$V$388),"")</f>
        <v>0.72568663600000005</v>
      </c>
      <c r="W388">
        <f ca="1">IFERROR(IF(0=LEN(ReferenceData!$W$388),"",ReferenceData!$W$388),"")</f>
        <v>1.262080506</v>
      </c>
      <c r="X388">
        <f ca="1">IFERROR(IF(0=LEN(ReferenceData!$X$388),"",ReferenceData!$X$388),"")</f>
        <v>1.482247404</v>
      </c>
      <c r="Y388">
        <f ca="1">IFERROR(IF(0=LEN(ReferenceData!$Y$388),"",ReferenceData!$Y$388),"")</f>
        <v>1.343246691</v>
      </c>
      <c r="Z388">
        <f ca="1">IFERROR(IF(0=LEN(ReferenceData!$Z$388),"",ReferenceData!$Z$388),"")</f>
        <v>1.3421336740000001</v>
      </c>
      <c r="AA388">
        <f ca="1">IFERROR(IF(0=LEN(ReferenceData!$AA$388),"",ReferenceData!$AA$388),"")</f>
        <v>1.391934309</v>
      </c>
      <c r="AB388">
        <f ca="1">IFERROR(IF(0=LEN(ReferenceData!$AB$388),"",ReferenceData!$AB$388),"")</f>
        <v>1.75788849</v>
      </c>
      <c r="AC388">
        <f ca="1">IFERROR(IF(0=LEN(ReferenceData!$AC$388),"",ReferenceData!$AC$388),"")</f>
        <v>2.0924733560000002</v>
      </c>
      <c r="AD388" t="str">
        <f ca="1">IFERROR(IF(0=LEN(ReferenceData!$AD$388),"",ReferenceData!$AD$388),"")</f>
        <v/>
      </c>
      <c r="AE388" t="str">
        <f ca="1">IFERROR(IF(0=LEN(ReferenceData!$AE$388),"",ReferenceData!$AE$388),"")</f>
        <v/>
      </c>
      <c r="AF388" t="str">
        <f ca="1">IFERROR(IF(0=LEN(ReferenceData!$AF$388),"",ReferenceData!$AF$388),"")</f>
        <v/>
      </c>
      <c r="AG388" t="str">
        <f ca="1">IFERROR(IF(0=LEN(ReferenceData!$AG$388),"",ReferenceData!$AG$388),"")</f>
        <v/>
      </c>
      <c r="AH388" t="str">
        <f ca="1">IFERROR(IF(0=LEN(ReferenceData!$AH$388),"",ReferenceData!$AH$388),"")</f>
        <v/>
      </c>
      <c r="AI388" t="str">
        <f ca="1">IFERROR(IF(0=LEN(ReferenceData!$AI$388),"",ReferenceData!$AI$388),"")</f>
        <v/>
      </c>
      <c r="AJ388" t="str">
        <f ca="1">IFERROR(IF(0=LEN(ReferenceData!$AJ$388),"",ReferenceData!$AJ$388),"")</f>
        <v/>
      </c>
      <c r="AK388" t="str">
        <f ca="1">IFERROR(IF(0=LEN(ReferenceData!$AK$388),"",ReferenceData!$AK$388),"")</f>
        <v/>
      </c>
      <c r="AL388" t="str">
        <f ca="1">IFERROR(IF(0=LEN(ReferenceData!$AL$388),"",ReferenceData!$AL$388),"")</f>
        <v/>
      </c>
    </row>
    <row r="389" spans="1:38" x14ac:dyDescent="0.25">
      <c r="A389" t="str">
        <f>IFERROR(IF(0=LEN(ReferenceData!$A$389),"",ReferenceData!$A$389),"")</f>
        <v xml:space="preserve">        Western Alliance Bancorp</v>
      </c>
      <c r="B389" t="str">
        <f>IFERROR(IF(0=LEN(ReferenceData!$B$389),"",ReferenceData!$B$389),"")</f>
        <v>WAL US Equity</v>
      </c>
      <c r="C389" t="str">
        <f>IFERROR(IF(0=LEN(ReferenceData!$C$389),"",ReferenceData!$C$389),"")</f>
        <v>F0127</v>
      </c>
      <c r="D389" t="str">
        <f>IFERROR(IF(0=LEN(ReferenceData!$D$389),"",ReferenceData!$D$389),"")</f>
        <v>FED_FARMERS_LOANS_%_TOT_LNS_LEAS</v>
      </c>
      <c r="E389" t="str">
        <f>IFERROR(IF(0=LEN(ReferenceData!$E$389),"",ReferenceData!$E$389),"")</f>
        <v>Dynamic</v>
      </c>
      <c r="F389">
        <f ca="1">IFERROR(IF(0=LEN(ReferenceData!$F$389),"",ReferenceData!$F$389),"")</f>
        <v>1.82762E-4</v>
      </c>
      <c r="G389">
        <f ca="1">IFERROR(IF(0=LEN(ReferenceData!$G$389),"",ReferenceData!$G$389),"")</f>
        <v>4.4331E-5</v>
      </c>
      <c r="H389">
        <f ca="1">IFERROR(IF(0=LEN(ReferenceData!$H$389),"",ReferenceData!$H$389),"")</f>
        <v>1.30669E-5</v>
      </c>
      <c r="I389">
        <f ca="1">IFERROR(IF(0=LEN(ReferenceData!$I$389),"",ReferenceData!$I$389),"")</f>
        <v>6.8877800000000002E-4</v>
      </c>
      <c r="J389">
        <f ca="1">IFERROR(IF(0=LEN(ReferenceData!$J$389),"",ReferenceData!$J$389),"")</f>
        <v>1.145898E-3</v>
      </c>
      <c r="K389">
        <f ca="1">IFERROR(IF(0=LEN(ReferenceData!$K$389),"",ReferenceData!$K$389),"")</f>
        <v>6.7697799999999995E-4</v>
      </c>
      <c r="L389">
        <f ca="1">IFERROR(IF(0=LEN(ReferenceData!$L$389),"",ReferenceData!$L$389),"")</f>
        <v>5.2510839999999996E-3</v>
      </c>
      <c r="M389">
        <f ca="1">IFERROR(IF(0=LEN(ReferenceData!$M$389),"",ReferenceData!$M$389),"")</f>
        <v>5.6446509999999997E-3</v>
      </c>
      <c r="N389">
        <f ca="1">IFERROR(IF(0=LEN(ReferenceData!$N$389),"",ReferenceData!$N$389),"")</f>
        <v>6.7835430000000004E-3</v>
      </c>
      <c r="O389">
        <f ca="1">IFERROR(IF(0=LEN(ReferenceData!$O$389),"",ReferenceData!$O$389),"")</f>
        <v>2.3041012999999999E-2</v>
      </c>
      <c r="P389">
        <f ca="1">IFERROR(IF(0=LEN(ReferenceData!$P$389),"",ReferenceData!$P$389),"")</f>
        <v>2.7160371999999999E-2</v>
      </c>
      <c r="Q389">
        <f ca="1">IFERROR(IF(0=LEN(ReferenceData!$Q$389),"",ReferenceData!$Q$389),"")</f>
        <v>3.2874814000000002E-2</v>
      </c>
      <c r="R389">
        <f ca="1">IFERROR(IF(0=LEN(ReferenceData!$R$389),"",ReferenceData!$R$389),"")</f>
        <v>2.7259855999999999E-2</v>
      </c>
      <c r="S389">
        <f ca="1">IFERROR(IF(0=LEN(ReferenceData!$S$389),"",ReferenceData!$S$389),"")</f>
        <v>3.6827865000000001E-2</v>
      </c>
      <c r="T389">
        <f ca="1">IFERROR(IF(0=LEN(ReferenceData!$T$389),"",ReferenceData!$T$389),"")</f>
        <v>3.0636410999999999E-2</v>
      </c>
      <c r="U389">
        <f ca="1">IFERROR(IF(0=LEN(ReferenceData!$U$389),"",ReferenceData!$U$389),"")</f>
        <v>8.6054417999999994E-2</v>
      </c>
      <c r="V389">
        <f ca="1">IFERROR(IF(0=LEN(ReferenceData!$V$389),"",ReferenceData!$V$389),"")</f>
        <v>7.7659893999999993E-2</v>
      </c>
      <c r="W389">
        <f ca="1">IFERROR(IF(0=LEN(ReferenceData!$W$389),"",ReferenceData!$W$389),"")</f>
        <v>9.8004029000000006E-2</v>
      </c>
      <c r="X389">
        <f ca="1">IFERROR(IF(0=LEN(ReferenceData!$X$389),"",ReferenceData!$X$389),"")</f>
        <v>3.6914869999999998E-3</v>
      </c>
      <c r="Y389">
        <f ca="1">IFERROR(IF(0=LEN(ReferenceData!$Y$389),"",ReferenceData!$Y$389),"")</f>
        <v>7.7967300000000004E-4</v>
      </c>
      <c r="Z389">
        <f ca="1">IFERROR(IF(0=LEN(ReferenceData!$Z$389),"",ReferenceData!$Z$389),"")</f>
        <v>0</v>
      </c>
      <c r="AA389">
        <f ca="1">IFERROR(IF(0=LEN(ReferenceData!$AA$389),"",ReferenceData!$AA$389),"")</f>
        <v>0</v>
      </c>
      <c r="AB389">
        <f ca="1">IFERROR(IF(0=LEN(ReferenceData!$AB$389),"",ReferenceData!$AB$389),"")</f>
        <v>0</v>
      </c>
      <c r="AC389">
        <f ca="1">IFERROR(IF(0=LEN(ReferenceData!$AC$389),"",ReferenceData!$AC$389),"")</f>
        <v>0</v>
      </c>
      <c r="AD389" t="str">
        <f ca="1">IFERROR(IF(0=LEN(ReferenceData!$AD$389),"",ReferenceData!$AD$389),"")</f>
        <v/>
      </c>
      <c r="AE389" t="str">
        <f ca="1">IFERROR(IF(0=LEN(ReferenceData!$AE$389),"",ReferenceData!$AE$389),"")</f>
        <v/>
      </c>
      <c r="AF389" t="str">
        <f ca="1">IFERROR(IF(0=LEN(ReferenceData!$AF$389),"",ReferenceData!$AF$389),"")</f>
        <v/>
      </c>
      <c r="AG389" t="str">
        <f ca="1">IFERROR(IF(0=LEN(ReferenceData!$AG$389),"",ReferenceData!$AG$389),"")</f>
        <v/>
      </c>
      <c r="AH389" t="str">
        <f ca="1">IFERROR(IF(0=LEN(ReferenceData!$AH$389),"",ReferenceData!$AH$389),"")</f>
        <v/>
      </c>
      <c r="AI389" t="str">
        <f ca="1">IFERROR(IF(0=LEN(ReferenceData!$AI$389),"",ReferenceData!$AI$389),"")</f>
        <v/>
      </c>
      <c r="AJ389" t="str">
        <f ca="1">IFERROR(IF(0=LEN(ReferenceData!$AJ$389),"",ReferenceData!$AJ$389),"")</f>
        <v/>
      </c>
      <c r="AK389" t="str">
        <f ca="1">IFERROR(IF(0=LEN(ReferenceData!$AK$389),"",ReferenceData!$AK$389),"")</f>
        <v/>
      </c>
      <c r="AL389" t="str">
        <f ca="1">IFERROR(IF(0=LEN(ReferenceData!$AL$389),"",ReferenceData!$AL$389),"")</f>
        <v/>
      </c>
    </row>
    <row r="390" spans="1:38" x14ac:dyDescent="0.25">
      <c r="A390" t="str">
        <f>IFERROR(IF(0=LEN(ReferenceData!$A$390),"",ReferenceData!$A$390),"")</f>
        <v xml:space="preserve">        Zions Bancorp NA</v>
      </c>
      <c r="B390" t="str">
        <f>IFERROR(IF(0=LEN(ReferenceData!$B$390),"",ReferenceData!$B$390),"")</f>
        <v>ZION US Equity</v>
      </c>
      <c r="C390" t="str">
        <f>IFERROR(IF(0=LEN(ReferenceData!$C$390),"",ReferenceData!$C$390),"")</f>
        <v>F0127</v>
      </c>
      <c r="D390" t="str">
        <f>IFERROR(IF(0=LEN(ReferenceData!$D$390),"",ReferenceData!$D$390),"")</f>
        <v>FED_FARMERS_LOANS_%_TOT_LNS_LEAS</v>
      </c>
      <c r="E390" t="str">
        <f>IFERROR(IF(0=LEN(ReferenceData!$E$390),"",ReferenceData!$E$390),"")</f>
        <v>Dynamic</v>
      </c>
      <c r="F390" t="str">
        <f ca="1">IFERROR(IF(0=LEN(ReferenceData!$F$390),"",ReferenceData!$F$390),"")</f>
        <v/>
      </c>
      <c r="G390" t="str">
        <f ca="1">IFERROR(IF(0=LEN(ReferenceData!$G$390),"",ReferenceData!$G$390),"")</f>
        <v/>
      </c>
      <c r="H390" t="str">
        <f ca="1">IFERROR(IF(0=LEN(ReferenceData!$H$390),"",ReferenceData!$H$390),"")</f>
        <v/>
      </c>
      <c r="I390" t="str">
        <f ca="1">IFERROR(IF(0=LEN(ReferenceData!$I$390),"",ReferenceData!$I$390),"")</f>
        <v/>
      </c>
      <c r="J390" t="str">
        <f ca="1">IFERROR(IF(0=LEN(ReferenceData!$J$390),"",ReferenceData!$J$390),"")</f>
        <v/>
      </c>
      <c r="K390" t="str">
        <f ca="1">IFERROR(IF(0=LEN(ReferenceData!$K$390),"",ReferenceData!$K$390),"")</f>
        <v/>
      </c>
      <c r="L390" t="str">
        <f ca="1">IFERROR(IF(0=LEN(ReferenceData!$L$390),"",ReferenceData!$L$390),"")</f>
        <v/>
      </c>
      <c r="M390" t="str">
        <f ca="1">IFERROR(IF(0=LEN(ReferenceData!$M$390),"",ReferenceData!$M$390),"")</f>
        <v/>
      </c>
      <c r="N390" t="str">
        <f ca="1">IFERROR(IF(0=LEN(ReferenceData!$N$390),"",ReferenceData!$N$390),"")</f>
        <v/>
      </c>
      <c r="O390" t="str">
        <f ca="1">IFERROR(IF(0=LEN(ReferenceData!$O$390),"",ReferenceData!$O$390),"")</f>
        <v/>
      </c>
      <c r="P390" t="str">
        <f ca="1">IFERROR(IF(0=LEN(ReferenceData!$P$390),"",ReferenceData!$P$390),"")</f>
        <v/>
      </c>
      <c r="Q390" t="str">
        <f ca="1">IFERROR(IF(0=LEN(ReferenceData!$Q$390),"",ReferenceData!$Q$390),"")</f>
        <v/>
      </c>
      <c r="R390" t="str">
        <f ca="1">IFERROR(IF(0=LEN(ReferenceData!$R$390),"",ReferenceData!$R$390),"")</f>
        <v/>
      </c>
      <c r="S390" t="str">
        <f ca="1">IFERROR(IF(0=LEN(ReferenceData!$S$390),"",ReferenceData!$S$390),"")</f>
        <v/>
      </c>
      <c r="T390" t="str">
        <f ca="1">IFERROR(IF(0=LEN(ReferenceData!$T$390),"",ReferenceData!$T$390),"")</f>
        <v/>
      </c>
      <c r="U390" t="str">
        <f ca="1">IFERROR(IF(0=LEN(ReferenceData!$U$390),"",ReferenceData!$U$390),"")</f>
        <v/>
      </c>
      <c r="V390" t="str">
        <f ca="1">IFERROR(IF(0=LEN(ReferenceData!$V$390),"",ReferenceData!$V$390),"")</f>
        <v/>
      </c>
      <c r="W390" t="str">
        <f ca="1">IFERROR(IF(0=LEN(ReferenceData!$W$390),"",ReferenceData!$W$390),"")</f>
        <v/>
      </c>
      <c r="X390" t="str">
        <f ca="1">IFERROR(IF(0=LEN(ReferenceData!$X$390),"",ReferenceData!$X$390),"")</f>
        <v/>
      </c>
      <c r="Y390" t="str">
        <f ca="1">IFERROR(IF(0=LEN(ReferenceData!$Y$390),"",ReferenceData!$Y$390),"")</f>
        <v/>
      </c>
      <c r="Z390" t="str">
        <f ca="1">IFERROR(IF(0=LEN(ReferenceData!$Z$390),"",ReferenceData!$Z$390),"")</f>
        <v/>
      </c>
      <c r="AA390" t="str">
        <f ca="1">IFERROR(IF(0=LEN(ReferenceData!$AA$390),"",ReferenceData!$AA$390),"")</f>
        <v/>
      </c>
      <c r="AB390" t="str">
        <f ca="1">IFERROR(IF(0=LEN(ReferenceData!$AB$390),"",ReferenceData!$AB$390),"")</f>
        <v/>
      </c>
      <c r="AC390" t="str">
        <f ca="1">IFERROR(IF(0=LEN(ReferenceData!$AC$390),"",ReferenceData!$AC$390),"")</f>
        <v/>
      </c>
      <c r="AD390" t="str">
        <f ca="1">IFERROR(IF(0=LEN(ReferenceData!$AD$390),"",ReferenceData!$AD$390),"")</f>
        <v/>
      </c>
      <c r="AE390" t="str">
        <f ca="1">IFERROR(IF(0=LEN(ReferenceData!$AE$390),"",ReferenceData!$AE$390),"")</f>
        <v/>
      </c>
      <c r="AF390" t="str">
        <f ca="1">IFERROR(IF(0=LEN(ReferenceData!$AF$390),"",ReferenceData!$AF$390),"")</f>
        <v/>
      </c>
      <c r="AG390" t="str">
        <f ca="1">IFERROR(IF(0=LEN(ReferenceData!$AG$390),"",ReferenceData!$AG$390),"")</f>
        <v/>
      </c>
      <c r="AH390" t="str">
        <f ca="1">IFERROR(IF(0=LEN(ReferenceData!$AH$390),"",ReferenceData!$AH$390),"")</f>
        <v/>
      </c>
      <c r="AI390" t="str">
        <f ca="1">IFERROR(IF(0=LEN(ReferenceData!$AI$390),"",ReferenceData!$AI$390),"")</f>
        <v/>
      </c>
      <c r="AJ390" t="str">
        <f ca="1">IFERROR(IF(0=LEN(ReferenceData!$AJ$390),"",ReferenceData!$AJ$390),"")</f>
        <v/>
      </c>
      <c r="AK390" t="str">
        <f ca="1">IFERROR(IF(0=LEN(ReferenceData!$AK$390),"",ReferenceData!$AK$390),"")</f>
        <v/>
      </c>
      <c r="AL390" t="str">
        <f ca="1">IFERROR(IF(0=LEN(ReferenceData!$AL$390),"",ReferenceData!$AL$390),"")</f>
        <v/>
      </c>
    </row>
    <row r="391" spans="1:38" x14ac:dyDescent="0.25">
      <c r="A391" t="str">
        <f>IFERROR(IF(0=LEN(ReferenceData!$A$391),"",ReferenceData!$A$391),"")</f>
        <v xml:space="preserve">    Other</v>
      </c>
      <c r="B391" t="str">
        <f>IFERROR(IF(0=LEN(ReferenceData!$B$391),"",ReferenceData!$B$391),"")</f>
        <v/>
      </c>
      <c r="C391" t="str">
        <f>IFERROR(IF(0=LEN(ReferenceData!$C$391),"",ReferenceData!$C$391),"")</f>
        <v/>
      </c>
      <c r="D391" t="str">
        <f>IFERROR(IF(0=LEN(ReferenceData!$D$391),"",ReferenceData!$D$391),"")</f>
        <v/>
      </c>
      <c r="E391" t="str">
        <f>IFERROR(IF(0=LEN(ReferenceData!$E$391),"",ReferenceData!$E$391),"")</f>
        <v>Median</v>
      </c>
      <c r="F391">
        <f ca="1">IFERROR(IF(0=LEN(ReferenceData!$F$391),"",ReferenceData!$F$391),"")</f>
        <v>3.4350821125</v>
      </c>
      <c r="G391">
        <f ca="1">IFERROR(IF(0=LEN(ReferenceData!$G$391),"",ReferenceData!$G$391),"")</f>
        <v>3.1432493739999998</v>
      </c>
      <c r="H391">
        <f ca="1">IFERROR(IF(0=LEN(ReferenceData!$H$391),"",ReferenceData!$H$391),"")</f>
        <v>2.9934485309999999</v>
      </c>
      <c r="I391">
        <f ca="1">IFERROR(IF(0=LEN(ReferenceData!$I$391),"",ReferenceData!$I$391),"")</f>
        <v>2.6991828820000001</v>
      </c>
      <c r="J391">
        <f ca="1">IFERROR(IF(0=LEN(ReferenceData!$J$391),"",ReferenceData!$J$391),"")</f>
        <v>3.104458792</v>
      </c>
      <c r="K391">
        <f ca="1">IFERROR(IF(0=LEN(ReferenceData!$K$391),"",ReferenceData!$K$391),"")</f>
        <v>3.0493851200000002</v>
      </c>
      <c r="L391">
        <f ca="1">IFERROR(IF(0=LEN(ReferenceData!$L$391),"",ReferenceData!$L$391),"")</f>
        <v>3.2355125830000002</v>
      </c>
      <c r="M391">
        <f ca="1">IFERROR(IF(0=LEN(ReferenceData!$M$391),"",ReferenceData!$M$391),"")</f>
        <v>3.5683061760000001</v>
      </c>
      <c r="N391">
        <f ca="1">IFERROR(IF(0=LEN(ReferenceData!$N$391),"",ReferenceData!$N$391),"")</f>
        <v>3.4167469050000001</v>
      </c>
      <c r="O391">
        <f ca="1">IFERROR(IF(0=LEN(ReferenceData!$O$391),"",ReferenceData!$O$391),"")</f>
        <v>3.4659480560000002</v>
      </c>
      <c r="P391">
        <f ca="1">IFERROR(IF(0=LEN(ReferenceData!$P$391),"",ReferenceData!$P$391),"")</f>
        <v>3.3218746440000002</v>
      </c>
      <c r="Q391">
        <f ca="1">IFERROR(IF(0=LEN(ReferenceData!$Q$391),"",ReferenceData!$Q$391),"")</f>
        <v>2.7825608100000001</v>
      </c>
      <c r="R391">
        <f ca="1">IFERROR(IF(0=LEN(ReferenceData!$R$391),"",ReferenceData!$R$391),"")</f>
        <v>2.3399273049999998</v>
      </c>
      <c r="S391">
        <f ca="1">IFERROR(IF(0=LEN(ReferenceData!$S$391),"",ReferenceData!$S$391),"")</f>
        <v>1.919748671</v>
      </c>
      <c r="T391">
        <f ca="1">IFERROR(IF(0=LEN(ReferenceData!$T$391),"",ReferenceData!$T$391),"")</f>
        <v>1.901238194</v>
      </c>
      <c r="U391" t="str">
        <f ca="1">IFERROR(IF(0=LEN(ReferenceData!$U$391),"",ReferenceData!$U$391),"")</f>
        <v/>
      </c>
      <c r="V391" t="str">
        <f ca="1">IFERROR(IF(0=LEN(ReferenceData!$V$391),"",ReferenceData!$V$391),"")</f>
        <v/>
      </c>
      <c r="W391" t="str">
        <f ca="1">IFERROR(IF(0=LEN(ReferenceData!$W$391),"",ReferenceData!$W$391),"")</f>
        <v/>
      </c>
      <c r="X391" t="str">
        <f ca="1">IFERROR(IF(0=LEN(ReferenceData!$X$391),"",ReferenceData!$X$391),"")</f>
        <v/>
      </c>
      <c r="Y391" t="str">
        <f ca="1">IFERROR(IF(0=LEN(ReferenceData!$Y$391),"",ReferenceData!$Y$391),"")</f>
        <v/>
      </c>
      <c r="Z391" t="str">
        <f ca="1">IFERROR(IF(0=LEN(ReferenceData!$Z$391),"",ReferenceData!$Z$391),"")</f>
        <v/>
      </c>
      <c r="AA391" t="str">
        <f ca="1">IFERROR(IF(0=LEN(ReferenceData!$AA$391),"",ReferenceData!$AA$391),"")</f>
        <v/>
      </c>
      <c r="AB391" t="str">
        <f ca="1">IFERROR(IF(0=LEN(ReferenceData!$AB$391),"",ReferenceData!$AB$391),"")</f>
        <v/>
      </c>
      <c r="AC391" t="str">
        <f ca="1">IFERROR(IF(0=LEN(ReferenceData!$AC$391),"",ReferenceData!$AC$391),"")</f>
        <v/>
      </c>
      <c r="AD391" t="str">
        <f ca="1">IFERROR(IF(0=LEN(ReferenceData!$AD$391),"",ReferenceData!$AD$391),"")</f>
        <v/>
      </c>
      <c r="AE391" t="str">
        <f ca="1">IFERROR(IF(0=LEN(ReferenceData!$AE$391),"",ReferenceData!$AE$391),"")</f>
        <v/>
      </c>
      <c r="AF391" t="str">
        <f ca="1">IFERROR(IF(0=LEN(ReferenceData!$AF$391),"",ReferenceData!$AF$391),"")</f>
        <v/>
      </c>
      <c r="AG391" t="str">
        <f ca="1">IFERROR(IF(0=LEN(ReferenceData!$AG$391),"",ReferenceData!$AG$391),"")</f>
        <v/>
      </c>
      <c r="AH391" t="str">
        <f ca="1">IFERROR(IF(0=LEN(ReferenceData!$AH$391),"",ReferenceData!$AH$391),"")</f>
        <v/>
      </c>
      <c r="AI391" t="str">
        <f ca="1">IFERROR(IF(0=LEN(ReferenceData!$AI$391),"",ReferenceData!$AI$391),"")</f>
        <v/>
      </c>
      <c r="AJ391" t="str">
        <f ca="1">IFERROR(IF(0=LEN(ReferenceData!$AJ$391),"",ReferenceData!$AJ$391),"")</f>
        <v/>
      </c>
      <c r="AK391" t="str">
        <f ca="1">IFERROR(IF(0=LEN(ReferenceData!$AK$391),"",ReferenceData!$AK$391),"")</f>
        <v/>
      </c>
      <c r="AL391" t="str">
        <f ca="1">IFERROR(IF(0=LEN(ReferenceData!$AL$391),"",ReferenceData!$AL$391),"")</f>
        <v/>
      </c>
    </row>
    <row r="392" spans="1:38" x14ac:dyDescent="0.25">
      <c r="A392" t="str">
        <f>IFERROR(IF(0=LEN(ReferenceData!$A$392),"",ReferenceData!$A$392),"")</f>
        <v xml:space="preserve">        Bank of America Corp</v>
      </c>
      <c r="B392" t="str">
        <f>IFERROR(IF(0=LEN(ReferenceData!$B$392),"",ReferenceData!$B$392),"")</f>
        <v>BAC US Equity</v>
      </c>
      <c r="C392" t="str">
        <f>IFERROR(IF(0=LEN(ReferenceData!$C$392),"",ReferenceData!$C$392),"")</f>
        <v>F0128</v>
      </c>
      <c r="D392" t="str">
        <f>IFERROR(IF(0=LEN(ReferenceData!$D$392),"",ReferenceData!$D$392),"")</f>
        <v>FED_OTH_NONCONS_LNS_%_TOT_LNS_LS</v>
      </c>
      <c r="E392" t="str">
        <f>IFERROR(IF(0=LEN(ReferenceData!$E$392),"",ReferenceData!$E$392),"")</f>
        <v>Dynamic</v>
      </c>
      <c r="F392">
        <f ca="1">IFERROR(IF(0=LEN(ReferenceData!$F$392),"",ReferenceData!$F$392),"")</f>
        <v>6.7997001429999999</v>
      </c>
      <c r="G392">
        <f ca="1">IFERROR(IF(0=LEN(ReferenceData!$G$392),"",ReferenceData!$G$392),"")</f>
        <v>6.3470644519999997</v>
      </c>
      <c r="H392">
        <f ca="1">IFERROR(IF(0=LEN(ReferenceData!$H$392),"",ReferenceData!$H$392),"")</f>
        <v>7.0405092680000001</v>
      </c>
      <c r="I392">
        <f ca="1">IFERROR(IF(0=LEN(ReferenceData!$I$392),"",ReferenceData!$I$392),"")</f>
        <v>6.8080910120000002</v>
      </c>
      <c r="J392">
        <f ca="1">IFERROR(IF(0=LEN(ReferenceData!$J$392),"",ReferenceData!$J$392),"")</f>
        <v>5.3528968099999998</v>
      </c>
      <c r="K392">
        <f ca="1">IFERROR(IF(0=LEN(ReferenceData!$K$392),"",ReferenceData!$K$392),"")</f>
        <v>4.65140245</v>
      </c>
      <c r="L392">
        <f ca="1">IFERROR(IF(0=LEN(ReferenceData!$L$392),"",ReferenceData!$L$392),"")</f>
        <v>5.0943511700000004</v>
      </c>
      <c r="M392">
        <f ca="1">IFERROR(IF(0=LEN(ReferenceData!$M$392),"",ReferenceData!$M$392),"")</f>
        <v>4.7028354429999997</v>
      </c>
      <c r="N392">
        <f ca="1">IFERROR(IF(0=LEN(ReferenceData!$N$392),"",ReferenceData!$N$392),"")</f>
        <v>4.7465874790000004</v>
      </c>
      <c r="O392">
        <f ca="1">IFERROR(IF(0=LEN(ReferenceData!$O$392),"",ReferenceData!$O$392),"")</f>
        <v>4.7956831219999998</v>
      </c>
      <c r="P392">
        <f ca="1">IFERROR(IF(0=LEN(ReferenceData!$P$392),"",ReferenceData!$P$392),"")</f>
        <v>3.8344185259999999</v>
      </c>
      <c r="Q392">
        <f ca="1">IFERROR(IF(0=LEN(ReferenceData!$Q$392),"",ReferenceData!$Q$392),"")</f>
        <v>3.6861667389999999</v>
      </c>
      <c r="R392">
        <f ca="1">IFERROR(IF(0=LEN(ReferenceData!$R$392),"",ReferenceData!$R$392),"")</f>
        <v>3.396472524</v>
      </c>
      <c r="S392">
        <f ca="1">IFERROR(IF(0=LEN(ReferenceData!$S$392),"",ReferenceData!$S$392),"")</f>
        <v>3.145337922</v>
      </c>
      <c r="T392">
        <f ca="1">IFERROR(IF(0=LEN(ReferenceData!$T$392),"",ReferenceData!$T$392),"")</f>
        <v>3.1011210120000001</v>
      </c>
      <c r="U392" t="str">
        <f ca="1">IFERROR(IF(0=LEN(ReferenceData!$U$392),"",ReferenceData!$U$392),"")</f>
        <v/>
      </c>
      <c r="V392" t="str">
        <f ca="1">IFERROR(IF(0=LEN(ReferenceData!$V$392),"",ReferenceData!$V$392),"")</f>
        <v/>
      </c>
      <c r="W392" t="str">
        <f ca="1">IFERROR(IF(0=LEN(ReferenceData!$W$392),"",ReferenceData!$W$392),"")</f>
        <v/>
      </c>
      <c r="X392" t="str">
        <f ca="1">IFERROR(IF(0=LEN(ReferenceData!$X$392),"",ReferenceData!$X$392),"")</f>
        <v/>
      </c>
      <c r="Y392" t="str">
        <f ca="1">IFERROR(IF(0=LEN(ReferenceData!$Y$392),"",ReferenceData!$Y$392),"")</f>
        <v/>
      </c>
      <c r="Z392" t="str">
        <f ca="1">IFERROR(IF(0=LEN(ReferenceData!$Z$392),"",ReferenceData!$Z$392),"")</f>
        <v/>
      </c>
      <c r="AA392" t="str">
        <f ca="1">IFERROR(IF(0=LEN(ReferenceData!$AA$392),"",ReferenceData!$AA$392),"")</f>
        <v/>
      </c>
      <c r="AB392" t="str">
        <f ca="1">IFERROR(IF(0=LEN(ReferenceData!$AB$392),"",ReferenceData!$AB$392),"")</f>
        <v/>
      </c>
      <c r="AC392" t="str">
        <f ca="1">IFERROR(IF(0=LEN(ReferenceData!$AC$392),"",ReferenceData!$AC$392),"")</f>
        <v/>
      </c>
      <c r="AD392" t="str">
        <f ca="1">IFERROR(IF(0=LEN(ReferenceData!$AD$392),"",ReferenceData!$AD$392),"")</f>
        <v/>
      </c>
      <c r="AE392" t="str">
        <f ca="1">IFERROR(IF(0=LEN(ReferenceData!$AE$392),"",ReferenceData!$AE$392),"")</f>
        <v/>
      </c>
      <c r="AF392" t="str">
        <f ca="1">IFERROR(IF(0=LEN(ReferenceData!$AF$392),"",ReferenceData!$AF$392),"")</f>
        <v/>
      </c>
      <c r="AG392" t="str">
        <f ca="1">IFERROR(IF(0=LEN(ReferenceData!$AG$392),"",ReferenceData!$AG$392),"")</f>
        <v/>
      </c>
      <c r="AH392" t="str">
        <f ca="1">IFERROR(IF(0=LEN(ReferenceData!$AH$392),"",ReferenceData!$AH$392),"")</f>
        <v/>
      </c>
      <c r="AI392" t="str">
        <f ca="1">IFERROR(IF(0=LEN(ReferenceData!$AI$392),"",ReferenceData!$AI$392),"")</f>
        <v/>
      </c>
      <c r="AJ392" t="str">
        <f ca="1">IFERROR(IF(0=LEN(ReferenceData!$AJ$392),"",ReferenceData!$AJ$392),"")</f>
        <v/>
      </c>
      <c r="AK392" t="str">
        <f ca="1">IFERROR(IF(0=LEN(ReferenceData!$AK$392),"",ReferenceData!$AK$392),"")</f>
        <v/>
      </c>
      <c r="AL392" t="str">
        <f ca="1">IFERROR(IF(0=LEN(ReferenceData!$AL$392),"",ReferenceData!$AL$392),"")</f>
        <v/>
      </c>
    </row>
    <row r="393" spans="1:38" x14ac:dyDescent="0.25">
      <c r="A393" t="str">
        <f>IFERROR(IF(0=LEN(ReferenceData!$A$393),"",ReferenceData!$A$393),"")</f>
        <v xml:space="preserve">        Citigroup Inc</v>
      </c>
      <c r="B393" t="str">
        <f>IFERROR(IF(0=LEN(ReferenceData!$B$393),"",ReferenceData!$B$393),"")</f>
        <v>C US Equity</v>
      </c>
      <c r="C393" t="str">
        <f>IFERROR(IF(0=LEN(ReferenceData!$C$393),"",ReferenceData!$C$393),"")</f>
        <v>F0128</v>
      </c>
      <c r="D393" t="str">
        <f>IFERROR(IF(0=LEN(ReferenceData!$D$393),"",ReferenceData!$D$393),"")</f>
        <v>FED_OTH_NONCONS_LNS_%_TOT_LNS_LS</v>
      </c>
      <c r="E393" t="str">
        <f>IFERROR(IF(0=LEN(ReferenceData!$E$393),"",ReferenceData!$E$393),"")</f>
        <v>Dynamic</v>
      </c>
      <c r="F393">
        <f ca="1">IFERROR(IF(0=LEN(ReferenceData!$F$393),"",ReferenceData!$F$393),"")</f>
        <v>5.5035433100000004</v>
      </c>
      <c r="G393">
        <f ca="1">IFERROR(IF(0=LEN(ReferenceData!$G$393),"",ReferenceData!$G$393),"")</f>
        <v>5.2939750099999996</v>
      </c>
      <c r="H393">
        <f ca="1">IFERROR(IF(0=LEN(ReferenceData!$H$393),"",ReferenceData!$H$393),"")</f>
        <v>9.160716592</v>
      </c>
      <c r="I393">
        <f ca="1">IFERROR(IF(0=LEN(ReferenceData!$I$393),"",ReferenceData!$I$393),"")</f>
        <v>8.8914415370000004</v>
      </c>
      <c r="J393">
        <f ca="1">IFERROR(IF(0=LEN(ReferenceData!$J$393),"",ReferenceData!$J$393),"")</f>
        <v>8.389059413</v>
      </c>
      <c r="K393">
        <f ca="1">IFERROR(IF(0=LEN(ReferenceData!$K$393),"",ReferenceData!$K$393),"")</f>
        <v>8.0338384049999991</v>
      </c>
      <c r="L393">
        <f ca="1">IFERROR(IF(0=LEN(ReferenceData!$L$393),"",ReferenceData!$L$393),"")</f>
        <v>8.6202423009999993</v>
      </c>
      <c r="M393">
        <f ca="1">IFERROR(IF(0=LEN(ReferenceData!$M$393),"",ReferenceData!$M$393),"")</f>
        <v>8.1088654640000009</v>
      </c>
      <c r="N393">
        <f ca="1">IFERROR(IF(0=LEN(ReferenceData!$N$393),"",ReferenceData!$N$393),"")</f>
        <v>8.4782899629999999</v>
      </c>
      <c r="O393">
        <f ca="1">IFERROR(IF(0=LEN(ReferenceData!$O$393),"",ReferenceData!$O$393),"")</f>
        <v>7.9248913400000003</v>
      </c>
      <c r="P393">
        <f ca="1">IFERROR(IF(0=LEN(ReferenceData!$P$393),"",ReferenceData!$P$393),"")</f>
        <v>6.6422678780000002</v>
      </c>
      <c r="Q393">
        <f ca="1">IFERROR(IF(0=LEN(ReferenceData!$Q$393),"",ReferenceData!$Q$393),"")</f>
        <v>7.2282220600000002</v>
      </c>
      <c r="R393">
        <f ca="1">IFERROR(IF(0=LEN(ReferenceData!$R$393),"",ReferenceData!$R$393),"")</f>
        <v>5.9039059590000003</v>
      </c>
      <c r="S393">
        <f ca="1">IFERROR(IF(0=LEN(ReferenceData!$S$393),"",ReferenceData!$S$393),"")</f>
        <v>5.9829690190000004</v>
      </c>
      <c r="T393">
        <f ca="1">IFERROR(IF(0=LEN(ReferenceData!$T$393),"",ReferenceData!$T$393),"")</f>
        <v>5.7549868430000002</v>
      </c>
      <c r="U393" t="str">
        <f ca="1">IFERROR(IF(0=LEN(ReferenceData!$U$393),"",ReferenceData!$U$393),"")</f>
        <v/>
      </c>
      <c r="V393" t="str">
        <f ca="1">IFERROR(IF(0=LEN(ReferenceData!$V$393),"",ReferenceData!$V$393),"")</f>
        <v/>
      </c>
      <c r="W393" t="str">
        <f ca="1">IFERROR(IF(0=LEN(ReferenceData!$W$393),"",ReferenceData!$W$393),"")</f>
        <v/>
      </c>
      <c r="X393" t="str">
        <f ca="1">IFERROR(IF(0=LEN(ReferenceData!$X$393),"",ReferenceData!$X$393),"")</f>
        <v/>
      </c>
      <c r="Y393" t="str">
        <f ca="1">IFERROR(IF(0=LEN(ReferenceData!$Y$393),"",ReferenceData!$Y$393),"")</f>
        <v/>
      </c>
      <c r="Z393" t="str">
        <f ca="1">IFERROR(IF(0=LEN(ReferenceData!$Z$393),"",ReferenceData!$Z$393),"")</f>
        <v/>
      </c>
      <c r="AA393" t="str">
        <f ca="1">IFERROR(IF(0=LEN(ReferenceData!$AA$393),"",ReferenceData!$AA$393),"")</f>
        <v/>
      </c>
      <c r="AB393" t="str">
        <f ca="1">IFERROR(IF(0=LEN(ReferenceData!$AB$393),"",ReferenceData!$AB$393),"")</f>
        <v/>
      </c>
      <c r="AC393" t="str">
        <f ca="1">IFERROR(IF(0=LEN(ReferenceData!$AC$393),"",ReferenceData!$AC$393),"")</f>
        <v/>
      </c>
      <c r="AD393" t="str">
        <f ca="1">IFERROR(IF(0=LEN(ReferenceData!$AD$393),"",ReferenceData!$AD$393),"")</f>
        <v/>
      </c>
      <c r="AE393" t="str">
        <f ca="1">IFERROR(IF(0=LEN(ReferenceData!$AE$393),"",ReferenceData!$AE$393),"")</f>
        <v/>
      </c>
      <c r="AF393" t="str">
        <f ca="1">IFERROR(IF(0=LEN(ReferenceData!$AF$393),"",ReferenceData!$AF$393),"")</f>
        <v/>
      </c>
      <c r="AG393" t="str">
        <f ca="1">IFERROR(IF(0=LEN(ReferenceData!$AG$393),"",ReferenceData!$AG$393),"")</f>
        <v/>
      </c>
      <c r="AH393" t="str">
        <f ca="1">IFERROR(IF(0=LEN(ReferenceData!$AH$393),"",ReferenceData!$AH$393),"")</f>
        <v/>
      </c>
      <c r="AI393" t="str">
        <f ca="1">IFERROR(IF(0=LEN(ReferenceData!$AI$393),"",ReferenceData!$AI$393),"")</f>
        <v/>
      </c>
      <c r="AJ393" t="str">
        <f ca="1">IFERROR(IF(0=LEN(ReferenceData!$AJ$393),"",ReferenceData!$AJ$393),"")</f>
        <v/>
      </c>
      <c r="AK393" t="str">
        <f ca="1">IFERROR(IF(0=LEN(ReferenceData!$AK$393),"",ReferenceData!$AK$393),"")</f>
        <v/>
      </c>
      <c r="AL393" t="str">
        <f ca="1">IFERROR(IF(0=LEN(ReferenceData!$AL$393),"",ReferenceData!$AL$393),"")</f>
        <v/>
      </c>
    </row>
    <row r="394" spans="1:38" x14ac:dyDescent="0.25">
      <c r="A394" t="str">
        <f>IFERROR(IF(0=LEN(ReferenceData!$A$394),"",ReferenceData!$A$394),"")</f>
        <v xml:space="preserve">        Citizens Financial Group Inc</v>
      </c>
      <c r="B394" t="str">
        <f>IFERROR(IF(0=LEN(ReferenceData!$B$394),"",ReferenceData!$B$394),"")</f>
        <v>CFG US Equity</v>
      </c>
      <c r="C394" t="str">
        <f>IFERROR(IF(0=LEN(ReferenceData!$C$394),"",ReferenceData!$C$394),"")</f>
        <v>F0128</v>
      </c>
      <c r="D394" t="str">
        <f>IFERROR(IF(0=LEN(ReferenceData!$D$394),"",ReferenceData!$D$394),"")</f>
        <v>FED_OTH_NONCONS_LNS_%_TOT_LNS_LS</v>
      </c>
      <c r="E394" t="str">
        <f>IFERROR(IF(0=LEN(ReferenceData!$E$394),"",ReferenceData!$E$394),"")</f>
        <v>Dynamic</v>
      </c>
      <c r="F394">
        <f ca="1">IFERROR(IF(0=LEN(ReferenceData!$F$394),"",ReferenceData!$F$394),"")</f>
        <v>0.43046330999999999</v>
      </c>
      <c r="G394">
        <f ca="1">IFERROR(IF(0=LEN(ReferenceData!$G$394),"",ReferenceData!$G$394),"")</f>
        <v>0.662390861</v>
      </c>
      <c r="H394">
        <f ca="1">IFERROR(IF(0=LEN(ReferenceData!$H$394),"",ReferenceData!$H$394),"")</f>
        <v>0.74001894899999998</v>
      </c>
      <c r="I394">
        <f ca="1">IFERROR(IF(0=LEN(ReferenceData!$I$394),"",ReferenceData!$I$394),"")</f>
        <v>0.71896290299999999</v>
      </c>
      <c r="J394">
        <f ca="1">IFERROR(IF(0=LEN(ReferenceData!$J$394),"",ReferenceData!$J$394),"")</f>
        <v>0.99454315800000004</v>
      </c>
      <c r="K394">
        <f ca="1">IFERROR(IF(0=LEN(ReferenceData!$K$394),"",ReferenceData!$K$394),"")</f>
        <v>0.87696041999999996</v>
      </c>
      <c r="L394">
        <f ca="1">IFERROR(IF(0=LEN(ReferenceData!$L$394),"",ReferenceData!$L$394),"")</f>
        <v>1.092729509</v>
      </c>
      <c r="M394">
        <f ca="1">IFERROR(IF(0=LEN(ReferenceData!$M$394),"",ReferenceData!$M$394),"")</f>
        <v>1.3378050779999999</v>
      </c>
      <c r="N394">
        <f ca="1">IFERROR(IF(0=LEN(ReferenceData!$N$394),"",ReferenceData!$N$394),"")</f>
        <v>1.5675528510000001</v>
      </c>
      <c r="O394">
        <f ca="1">IFERROR(IF(0=LEN(ReferenceData!$O$394),"",ReferenceData!$O$394),"")</f>
        <v>1.782970841</v>
      </c>
      <c r="P394">
        <f ca="1">IFERROR(IF(0=LEN(ReferenceData!$P$394),"",ReferenceData!$P$394),"")</f>
        <v>1.9276850350000001</v>
      </c>
      <c r="Q394">
        <f ca="1">IFERROR(IF(0=LEN(ReferenceData!$Q$394),"",ReferenceData!$Q$394),"")</f>
        <v>1.3799406080000001</v>
      </c>
      <c r="R394">
        <f ca="1">IFERROR(IF(0=LEN(ReferenceData!$R$394),"",ReferenceData!$R$394),"")</f>
        <v>1.1715840909999999</v>
      </c>
      <c r="S394">
        <f ca="1">IFERROR(IF(0=LEN(ReferenceData!$S$394),"",ReferenceData!$S$394),"")</f>
        <v>1.150678036</v>
      </c>
      <c r="T394">
        <f ca="1">IFERROR(IF(0=LEN(ReferenceData!$T$394),"",ReferenceData!$T$394),"")</f>
        <v>1.2067570830000001</v>
      </c>
      <c r="U394" t="str">
        <f ca="1">IFERROR(IF(0=LEN(ReferenceData!$U$394),"",ReferenceData!$U$394),"")</f>
        <v/>
      </c>
      <c r="V394" t="str">
        <f ca="1">IFERROR(IF(0=LEN(ReferenceData!$V$394),"",ReferenceData!$V$394),"")</f>
        <v/>
      </c>
      <c r="W394" t="str">
        <f ca="1">IFERROR(IF(0=LEN(ReferenceData!$W$394),"",ReferenceData!$W$394),"")</f>
        <v/>
      </c>
      <c r="X394" t="str">
        <f ca="1">IFERROR(IF(0=LEN(ReferenceData!$X$394),"",ReferenceData!$X$394),"")</f>
        <v/>
      </c>
      <c r="Y394" t="str">
        <f ca="1">IFERROR(IF(0=LEN(ReferenceData!$Y$394),"",ReferenceData!$Y$394),"")</f>
        <v/>
      </c>
      <c r="Z394" t="str">
        <f ca="1">IFERROR(IF(0=LEN(ReferenceData!$Z$394),"",ReferenceData!$Z$394),"")</f>
        <v/>
      </c>
      <c r="AA394" t="str">
        <f ca="1">IFERROR(IF(0=LEN(ReferenceData!$AA$394),"",ReferenceData!$AA$394),"")</f>
        <v/>
      </c>
      <c r="AB394" t="str">
        <f ca="1">IFERROR(IF(0=LEN(ReferenceData!$AB$394),"",ReferenceData!$AB$394),"")</f>
        <v/>
      </c>
      <c r="AC394" t="str">
        <f ca="1">IFERROR(IF(0=LEN(ReferenceData!$AC$394),"",ReferenceData!$AC$394),"")</f>
        <v/>
      </c>
      <c r="AD394" t="str">
        <f ca="1">IFERROR(IF(0=LEN(ReferenceData!$AD$394),"",ReferenceData!$AD$394),"")</f>
        <v/>
      </c>
      <c r="AE394" t="str">
        <f ca="1">IFERROR(IF(0=LEN(ReferenceData!$AE$394),"",ReferenceData!$AE$394),"")</f>
        <v/>
      </c>
      <c r="AF394" t="str">
        <f ca="1">IFERROR(IF(0=LEN(ReferenceData!$AF$394),"",ReferenceData!$AF$394),"")</f>
        <v/>
      </c>
      <c r="AG394" t="str">
        <f ca="1">IFERROR(IF(0=LEN(ReferenceData!$AG$394),"",ReferenceData!$AG$394),"")</f>
        <v/>
      </c>
      <c r="AH394" t="str">
        <f ca="1">IFERROR(IF(0=LEN(ReferenceData!$AH$394),"",ReferenceData!$AH$394),"")</f>
        <v/>
      </c>
      <c r="AI394" t="str">
        <f ca="1">IFERROR(IF(0=LEN(ReferenceData!$AI$394),"",ReferenceData!$AI$394),"")</f>
        <v/>
      </c>
      <c r="AJ394" t="str">
        <f ca="1">IFERROR(IF(0=LEN(ReferenceData!$AJ$394),"",ReferenceData!$AJ$394),"")</f>
        <v/>
      </c>
      <c r="AK394" t="str">
        <f ca="1">IFERROR(IF(0=LEN(ReferenceData!$AK$394),"",ReferenceData!$AK$394),"")</f>
        <v/>
      </c>
      <c r="AL394" t="str">
        <f ca="1">IFERROR(IF(0=LEN(ReferenceData!$AL$394),"",ReferenceData!$AL$394),"")</f>
        <v/>
      </c>
    </row>
    <row r="395" spans="1:38" x14ac:dyDescent="0.25">
      <c r="A395" t="str">
        <f>IFERROR(IF(0=LEN(ReferenceData!$A$395),"",ReferenceData!$A$395),"")</f>
        <v xml:space="preserve">        Capital One Financial Corp</v>
      </c>
      <c r="B395" t="str">
        <f>IFERROR(IF(0=LEN(ReferenceData!$B$395),"",ReferenceData!$B$395),"")</f>
        <v>COF US Equity</v>
      </c>
      <c r="C395" t="str">
        <f>IFERROR(IF(0=LEN(ReferenceData!$C$395),"",ReferenceData!$C$395),"")</f>
        <v>F0128</v>
      </c>
      <c r="D395" t="str">
        <f>IFERROR(IF(0=LEN(ReferenceData!$D$395),"",ReferenceData!$D$395),"")</f>
        <v>FED_OTH_NONCONS_LNS_%_TOT_LNS_LS</v>
      </c>
      <c r="E395" t="str">
        <f>IFERROR(IF(0=LEN(ReferenceData!$E$395),"",ReferenceData!$E$395),"")</f>
        <v>Dynamic</v>
      </c>
      <c r="F395">
        <f ca="1">IFERROR(IF(0=LEN(ReferenceData!$F$395),"",ReferenceData!$F$395),"")</f>
        <v>2.544606586</v>
      </c>
      <c r="G395">
        <f ca="1">IFERROR(IF(0=LEN(ReferenceData!$G$395),"",ReferenceData!$G$395),"")</f>
        <v>2.6060803309999998</v>
      </c>
      <c r="H395">
        <f ca="1">IFERROR(IF(0=LEN(ReferenceData!$H$395),"",ReferenceData!$H$395),"")</f>
        <v>2.629438156</v>
      </c>
      <c r="I395">
        <f ca="1">IFERROR(IF(0=LEN(ReferenceData!$I$395),"",ReferenceData!$I$395),"")</f>
        <v>2.572208083</v>
      </c>
      <c r="J395">
        <f ca="1">IFERROR(IF(0=LEN(ReferenceData!$J$395),"",ReferenceData!$J$395),"")</f>
        <v>2.9654900350000002</v>
      </c>
      <c r="K395">
        <f ca="1">IFERROR(IF(0=LEN(ReferenceData!$K$395),"",ReferenceData!$K$395),"")</f>
        <v>2.6057032800000002</v>
      </c>
      <c r="L395">
        <f ca="1">IFERROR(IF(0=LEN(ReferenceData!$L$395),"",ReferenceData!$L$395),"")</f>
        <v>2.6952494389999999</v>
      </c>
      <c r="M395">
        <f ca="1">IFERROR(IF(0=LEN(ReferenceData!$M$395),"",ReferenceData!$M$395),"")</f>
        <v>2.6458629760000001</v>
      </c>
      <c r="N395">
        <f ca="1">IFERROR(IF(0=LEN(ReferenceData!$N$395),"",ReferenceData!$N$395),"")</f>
        <v>2.6817074399999998</v>
      </c>
      <c r="O395">
        <f ca="1">IFERROR(IF(0=LEN(ReferenceData!$O$395),"",ReferenceData!$O$395),"")</f>
        <v>2.6871087380000001</v>
      </c>
      <c r="P395">
        <f ca="1">IFERROR(IF(0=LEN(ReferenceData!$P$395),"",ReferenceData!$P$395),"")</f>
        <v>2.7486755559999998</v>
      </c>
      <c r="Q395">
        <f ca="1">IFERROR(IF(0=LEN(ReferenceData!$Q$395),"",ReferenceData!$Q$395),"")</f>
        <v>2.5086929769999999</v>
      </c>
      <c r="R395">
        <f ca="1">IFERROR(IF(0=LEN(ReferenceData!$R$395),"",ReferenceData!$R$395),"")</f>
        <v>1.147122867</v>
      </c>
      <c r="S395">
        <f ca="1">IFERROR(IF(0=LEN(ReferenceData!$S$395),"",ReferenceData!$S$395),"")</f>
        <v>1.4704244120000001</v>
      </c>
      <c r="T395">
        <f ca="1">IFERROR(IF(0=LEN(ReferenceData!$T$395),"",ReferenceData!$T$395),"")</f>
        <v>1.3129018160000001</v>
      </c>
      <c r="U395" t="str">
        <f ca="1">IFERROR(IF(0=LEN(ReferenceData!$U$395),"",ReferenceData!$U$395),"")</f>
        <v/>
      </c>
      <c r="V395" t="str">
        <f ca="1">IFERROR(IF(0=LEN(ReferenceData!$V$395),"",ReferenceData!$V$395),"")</f>
        <v/>
      </c>
      <c r="W395" t="str">
        <f ca="1">IFERROR(IF(0=LEN(ReferenceData!$W$395),"",ReferenceData!$W$395),"")</f>
        <v/>
      </c>
      <c r="X395" t="str">
        <f ca="1">IFERROR(IF(0=LEN(ReferenceData!$X$395),"",ReferenceData!$X$395),"")</f>
        <v/>
      </c>
      <c r="Y395" t="str">
        <f ca="1">IFERROR(IF(0=LEN(ReferenceData!$Y$395),"",ReferenceData!$Y$395),"")</f>
        <v/>
      </c>
      <c r="Z395" t="str">
        <f ca="1">IFERROR(IF(0=LEN(ReferenceData!$Z$395),"",ReferenceData!$Z$395),"")</f>
        <v/>
      </c>
      <c r="AA395" t="str">
        <f ca="1">IFERROR(IF(0=LEN(ReferenceData!$AA$395),"",ReferenceData!$AA$395),"")</f>
        <v/>
      </c>
      <c r="AB395" t="str">
        <f ca="1">IFERROR(IF(0=LEN(ReferenceData!$AB$395),"",ReferenceData!$AB$395),"")</f>
        <v/>
      </c>
      <c r="AC395" t="str">
        <f ca="1">IFERROR(IF(0=LEN(ReferenceData!$AC$395),"",ReferenceData!$AC$395),"")</f>
        <v/>
      </c>
      <c r="AD395" t="str">
        <f ca="1">IFERROR(IF(0=LEN(ReferenceData!$AD$395),"",ReferenceData!$AD$395),"")</f>
        <v/>
      </c>
      <c r="AE395" t="str">
        <f ca="1">IFERROR(IF(0=LEN(ReferenceData!$AE$395),"",ReferenceData!$AE$395),"")</f>
        <v/>
      </c>
      <c r="AF395" t="str">
        <f ca="1">IFERROR(IF(0=LEN(ReferenceData!$AF$395),"",ReferenceData!$AF$395),"")</f>
        <v/>
      </c>
      <c r="AG395" t="str">
        <f ca="1">IFERROR(IF(0=LEN(ReferenceData!$AG$395),"",ReferenceData!$AG$395),"")</f>
        <v/>
      </c>
      <c r="AH395" t="str">
        <f ca="1">IFERROR(IF(0=LEN(ReferenceData!$AH$395),"",ReferenceData!$AH$395),"")</f>
        <v/>
      </c>
      <c r="AI395" t="str">
        <f ca="1">IFERROR(IF(0=LEN(ReferenceData!$AI$395),"",ReferenceData!$AI$395),"")</f>
        <v/>
      </c>
      <c r="AJ395" t="str">
        <f ca="1">IFERROR(IF(0=LEN(ReferenceData!$AJ$395),"",ReferenceData!$AJ$395),"")</f>
        <v/>
      </c>
      <c r="AK395" t="str">
        <f ca="1">IFERROR(IF(0=LEN(ReferenceData!$AK$395),"",ReferenceData!$AK$395),"")</f>
        <v/>
      </c>
      <c r="AL395" t="str">
        <f ca="1">IFERROR(IF(0=LEN(ReferenceData!$AL$395),"",ReferenceData!$AL$395),"")</f>
        <v/>
      </c>
    </row>
    <row r="396" spans="1:38" x14ac:dyDescent="0.25">
      <c r="A396" t="str">
        <f>IFERROR(IF(0=LEN(ReferenceData!$A$396),"",ReferenceData!$A$396),"")</f>
        <v xml:space="preserve">        Comerica Inc</v>
      </c>
      <c r="B396" t="str">
        <f>IFERROR(IF(0=LEN(ReferenceData!$B$396),"",ReferenceData!$B$396),"")</f>
        <v>CMA US Equity</v>
      </c>
      <c r="C396" t="str">
        <f>IFERROR(IF(0=LEN(ReferenceData!$C$396),"",ReferenceData!$C$396),"")</f>
        <v>F0128</v>
      </c>
      <c r="D396" t="str">
        <f>IFERROR(IF(0=LEN(ReferenceData!$D$396),"",ReferenceData!$D$396),"")</f>
        <v>FED_OTH_NONCONS_LNS_%_TOT_LNS_LS</v>
      </c>
      <c r="E396" t="str">
        <f>IFERROR(IF(0=LEN(ReferenceData!$E$396),"",ReferenceData!$E$396),"")</f>
        <v>Dynamic</v>
      </c>
      <c r="F396" t="str">
        <f ca="1">IFERROR(IF(0=LEN(ReferenceData!$F$396),"",ReferenceData!$F$396),"")</f>
        <v/>
      </c>
      <c r="G396">
        <f ca="1">IFERROR(IF(0=LEN(ReferenceData!$G$396),"",ReferenceData!$G$396),"")</f>
        <v>0.83102493099999997</v>
      </c>
      <c r="H396">
        <f ca="1">IFERROR(IF(0=LEN(ReferenceData!$H$396),"",ReferenceData!$H$396),"")</f>
        <v>0.78085500799999996</v>
      </c>
      <c r="I396">
        <f ca="1">IFERROR(IF(0=LEN(ReferenceData!$I$396),"",ReferenceData!$I$396),"")</f>
        <v>0.81759347599999999</v>
      </c>
      <c r="J396">
        <f ca="1">IFERROR(IF(0=LEN(ReferenceData!$J$396),"",ReferenceData!$J$396),"")</f>
        <v>0.91785222600000005</v>
      </c>
      <c r="K396">
        <f ca="1">IFERROR(IF(0=LEN(ReferenceData!$K$396),"",ReferenceData!$K$396),"")</f>
        <v>0.89923773200000001</v>
      </c>
      <c r="L396">
        <f ca="1">IFERROR(IF(0=LEN(ReferenceData!$L$396),"",ReferenceData!$L$396),"")</f>
        <v>1.0413913910000001</v>
      </c>
      <c r="M396">
        <f ca="1">IFERROR(IF(0=LEN(ReferenceData!$M$396),"",ReferenceData!$M$396),"")</f>
        <v>0.97563052800000005</v>
      </c>
      <c r="N396">
        <f ca="1">IFERROR(IF(0=LEN(ReferenceData!$N$396),"",ReferenceData!$N$396),"")</f>
        <v>1.368416584</v>
      </c>
      <c r="O396">
        <f ca="1">IFERROR(IF(0=LEN(ReferenceData!$O$396),"",ReferenceData!$O$396),"")</f>
        <v>1.3407973230000001</v>
      </c>
      <c r="P396">
        <f ca="1">IFERROR(IF(0=LEN(ReferenceData!$P$396),"",ReferenceData!$P$396),"")</f>
        <v>1.438473691</v>
      </c>
      <c r="Q396">
        <f ca="1">IFERROR(IF(0=LEN(ReferenceData!$Q$396),"",ReferenceData!$Q$396),"")</f>
        <v>1.8654045370000001</v>
      </c>
      <c r="R396">
        <f ca="1">IFERROR(IF(0=LEN(ReferenceData!$R$396),"",ReferenceData!$R$396),"")</f>
        <v>1.5145471020000001</v>
      </c>
      <c r="S396">
        <f ca="1">IFERROR(IF(0=LEN(ReferenceData!$S$396),"",ReferenceData!$S$396),"")</f>
        <v>1.501383232</v>
      </c>
      <c r="T396">
        <f ca="1">IFERROR(IF(0=LEN(ReferenceData!$T$396),"",ReferenceData!$T$396),"")</f>
        <v>1.5251721540000001</v>
      </c>
      <c r="U396" t="str">
        <f ca="1">IFERROR(IF(0=LEN(ReferenceData!$U$396),"",ReferenceData!$U$396),"")</f>
        <v/>
      </c>
      <c r="V396" t="str">
        <f ca="1">IFERROR(IF(0=LEN(ReferenceData!$V$396),"",ReferenceData!$V$396),"")</f>
        <v/>
      </c>
      <c r="W396" t="str">
        <f ca="1">IFERROR(IF(0=LEN(ReferenceData!$W$396),"",ReferenceData!$W$396),"")</f>
        <v/>
      </c>
      <c r="X396" t="str">
        <f ca="1">IFERROR(IF(0=LEN(ReferenceData!$X$396),"",ReferenceData!$X$396),"")</f>
        <v/>
      </c>
      <c r="Y396" t="str">
        <f ca="1">IFERROR(IF(0=LEN(ReferenceData!$Y$396),"",ReferenceData!$Y$396),"")</f>
        <v/>
      </c>
      <c r="Z396" t="str">
        <f ca="1">IFERROR(IF(0=LEN(ReferenceData!$Z$396),"",ReferenceData!$Z$396),"")</f>
        <v/>
      </c>
      <c r="AA396" t="str">
        <f ca="1">IFERROR(IF(0=LEN(ReferenceData!$AA$396),"",ReferenceData!$AA$396),"")</f>
        <v/>
      </c>
      <c r="AB396" t="str">
        <f ca="1">IFERROR(IF(0=LEN(ReferenceData!$AB$396),"",ReferenceData!$AB$396),"")</f>
        <v/>
      </c>
      <c r="AC396" t="str">
        <f ca="1">IFERROR(IF(0=LEN(ReferenceData!$AC$396),"",ReferenceData!$AC$396),"")</f>
        <v/>
      </c>
      <c r="AD396" t="str">
        <f ca="1">IFERROR(IF(0=LEN(ReferenceData!$AD$396),"",ReferenceData!$AD$396),"")</f>
        <v/>
      </c>
      <c r="AE396" t="str">
        <f ca="1">IFERROR(IF(0=LEN(ReferenceData!$AE$396),"",ReferenceData!$AE$396),"")</f>
        <v/>
      </c>
      <c r="AF396" t="str">
        <f ca="1">IFERROR(IF(0=LEN(ReferenceData!$AF$396),"",ReferenceData!$AF$396),"")</f>
        <v/>
      </c>
      <c r="AG396" t="str">
        <f ca="1">IFERROR(IF(0=LEN(ReferenceData!$AG$396),"",ReferenceData!$AG$396),"")</f>
        <v/>
      </c>
      <c r="AH396" t="str">
        <f ca="1">IFERROR(IF(0=LEN(ReferenceData!$AH$396),"",ReferenceData!$AH$396),"")</f>
        <v/>
      </c>
      <c r="AI396" t="str">
        <f ca="1">IFERROR(IF(0=LEN(ReferenceData!$AI$396),"",ReferenceData!$AI$396),"")</f>
        <v/>
      </c>
      <c r="AJ396" t="str">
        <f ca="1">IFERROR(IF(0=LEN(ReferenceData!$AJ$396),"",ReferenceData!$AJ$396),"")</f>
        <v/>
      </c>
      <c r="AK396" t="str">
        <f ca="1">IFERROR(IF(0=LEN(ReferenceData!$AK$396),"",ReferenceData!$AK$396),"")</f>
        <v/>
      </c>
      <c r="AL396" t="str">
        <f ca="1">IFERROR(IF(0=LEN(ReferenceData!$AL$396),"",ReferenceData!$AL$396),"")</f>
        <v/>
      </c>
    </row>
    <row r="397" spans="1:38" x14ac:dyDescent="0.25">
      <c r="A397" t="str">
        <f>IFERROR(IF(0=LEN(ReferenceData!$A$397),"",ReferenceData!$A$397),"")</f>
        <v xml:space="preserve">        East West Bancorp Inc</v>
      </c>
      <c r="B397" t="str">
        <f>IFERROR(IF(0=LEN(ReferenceData!$B$397),"",ReferenceData!$B$397),"")</f>
        <v>EWBC US Equity</v>
      </c>
      <c r="C397" t="str">
        <f>IFERROR(IF(0=LEN(ReferenceData!$C$397),"",ReferenceData!$C$397),"")</f>
        <v>F0128</v>
      </c>
      <c r="D397" t="str">
        <f>IFERROR(IF(0=LEN(ReferenceData!$D$397),"",ReferenceData!$D$397),"")</f>
        <v>FED_OTH_NONCONS_LNS_%_TOT_LNS_LS</v>
      </c>
      <c r="E397" t="str">
        <f>IFERROR(IF(0=LEN(ReferenceData!$E$397),"",ReferenceData!$E$397),"")</f>
        <v>Dynamic</v>
      </c>
      <c r="F397" t="str">
        <f ca="1">IFERROR(IF(0=LEN(ReferenceData!$F$397),"",ReferenceData!$F$397),"")</f>
        <v/>
      </c>
      <c r="G397">
        <f ca="1">IFERROR(IF(0=LEN(ReferenceData!$G$397),"",ReferenceData!$G$397),"")</f>
        <v>0.123686821</v>
      </c>
      <c r="H397">
        <f ca="1">IFERROR(IF(0=LEN(ReferenceData!$H$397),"",ReferenceData!$H$397),"")</f>
        <v>0.23542348499999999</v>
      </c>
      <c r="I397">
        <f ca="1">IFERROR(IF(0=LEN(ReferenceData!$I$397),"",ReferenceData!$I$397),"")</f>
        <v>2.6835112809999999</v>
      </c>
      <c r="J397">
        <f ca="1">IFERROR(IF(0=LEN(ReferenceData!$J$397),"",ReferenceData!$J$397),"")</f>
        <v>1.1774662760000001</v>
      </c>
      <c r="K397">
        <f ca="1">IFERROR(IF(0=LEN(ReferenceData!$K$397),"",ReferenceData!$K$397),"")</f>
        <v>0.77487337000000001</v>
      </c>
      <c r="L397">
        <f ca="1">IFERROR(IF(0=LEN(ReferenceData!$L$397),"",ReferenceData!$L$397),"")</f>
        <v>0.91791323599999997</v>
      </c>
      <c r="M397">
        <f ca="1">IFERROR(IF(0=LEN(ReferenceData!$M$397),"",ReferenceData!$M$397),"")</f>
        <v>1.150672541</v>
      </c>
      <c r="N397">
        <f ca="1">IFERROR(IF(0=LEN(ReferenceData!$N$397),"",ReferenceData!$N$397),"")</f>
        <v>1.65295075</v>
      </c>
      <c r="O397">
        <f ca="1">IFERROR(IF(0=LEN(ReferenceData!$O$397),"",ReferenceData!$O$397),"")</f>
        <v>1.638381318</v>
      </c>
      <c r="P397">
        <f ca="1">IFERROR(IF(0=LEN(ReferenceData!$P$397),"",ReferenceData!$P$397),"")</f>
        <v>1.8016328500000001</v>
      </c>
      <c r="Q397">
        <f ca="1">IFERROR(IF(0=LEN(ReferenceData!$Q$397),"",ReferenceData!$Q$397),"")</f>
        <v>1.7247414889999999</v>
      </c>
      <c r="R397">
        <f ca="1">IFERROR(IF(0=LEN(ReferenceData!$R$397),"",ReferenceData!$R$397),"")</f>
        <v>0.116105533</v>
      </c>
      <c r="S397">
        <f ca="1">IFERROR(IF(0=LEN(ReferenceData!$S$397),"",ReferenceData!$S$397),"")</f>
        <v>0.14337407199999999</v>
      </c>
      <c r="T397">
        <f ca="1">IFERROR(IF(0=LEN(ReferenceData!$T$397),"",ReferenceData!$T$397),"")</f>
        <v>4.4761429999999998E-2</v>
      </c>
      <c r="U397" t="str">
        <f ca="1">IFERROR(IF(0=LEN(ReferenceData!$U$397),"",ReferenceData!$U$397),"")</f>
        <v/>
      </c>
      <c r="V397" t="str">
        <f ca="1">IFERROR(IF(0=LEN(ReferenceData!$V$397),"",ReferenceData!$V$397),"")</f>
        <v/>
      </c>
      <c r="W397" t="str">
        <f ca="1">IFERROR(IF(0=LEN(ReferenceData!$W$397),"",ReferenceData!$W$397),"")</f>
        <v/>
      </c>
      <c r="X397" t="str">
        <f ca="1">IFERROR(IF(0=LEN(ReferenceData!$X$397),"",ReferenceData!$X$397),"")</f>
        <v/>
      </c>
      <c r="Y397" t="str">
        <f ca="1">IFERROR(IF(0=LEN(ReferenceData!$Y$397),"",ReferenceData!$Y$397),"")</f>
        <v/>
      </c>
      <c r="Z397" t="str">
        <f ca="1">IFERROR(IF(0=LEN(ReferenceData!$Z$397),"",ReferenceData!$Z$397),"")</f>
        <v/>
      </c>
      <c r="AA397" t="str">
        <f ca="1">IFERROR(IF(0=LEN(ReferenceData!$AA$397),"",ReferenceData!$AA$397),"")</f>
        <v/>
      </c>
      <c r="AB397" t="str">
        <f ca="1">IFERROR(IF(0=LEN(ReferenceData!$AB$397),"",ReferenceData!$AB$397),"")</f>
        <v/>
      </c>
      <c r="AC397" t="str">
        <f ca="1">IFERROR(IF(0=LEN(ReferenceData!$AC$397),"",ReferenceData!$AC$397),"")</f>
        <v/>
      </c>
      <c r="AD397" t="str">
        <f ca="1">IFERROR(IF(0=LEN(ReferenceData!$AD$397),"",ReferenceData!$AD$397),"")</f>
        <v/>
      </c>
      <c r="AE397" t="str">
        <f ca="1">IFERROR(IF(0=LEN(ReferenceData!$AE$397),"",ReferenceData!$AE$397),"")</f>
        <v/>
      </c>
      <c r="AF397" t="str">
        <f ca="1">IFERROR(IF(0=LEN(ReferenceData!$AF$397),"",ReferenceData!$AF$397),"")</f>
        <v/>
      </c>
      <c r="AG397" t="str">
        <f ca="1">IFERROR(IF(0=LEN(ReferenceData!$AG$397),"",ReferenceData!$AG$397),"")</f>
        <v/>
      </c>
      <c r="AH397" t="str">
        <f ca="1">IFERROR(IF(0=LEN(ReferenceData!$AH$397),"",ReferenceData!$AH$397),"")</f>
        <v/>
      </c>
      <c r="AI397" t="str">
        <f ca="1">IFERROR(IF(0=LEN(ReferenceData!$AI$397),"",ReferenceData!$AI$397),"")</f>
        <v/>
      </c>
      <c r="AJ397" t="str">
        <f ca="1">IFERROR(IF(0=LEN(ReferenceData!$AJ$397),"",ReferenceData!$AJ$397),"")</f>
        <v/>
      </c>
      <c r="AK397" t="str">
        <f ca="1">IFERROR(IF(0=LEN(ReferenceData!$AK$397),"",ReferenceData!$AK$397),"")</f>
        <v/>
      </c>
      <c r="AL397" t="str">
        <f ca="1">IFERROR(IF(0=LEN(ReferenceData!$AL$397),"",ReferenceData!$AL$397),"")</f>
        <v/>
      </c>
    </row>
    <row r="398" spans="1:38" x14ac:dyDescent="0.25">
      <c r="A398" t="str">
        <f>IFERROR(IF(0=LEN(ReferenceData!$A$398),"",ReferenceData!$A$398),"")</f>
        <v xml:space="preserve">        Fifth Third Bancorp</v>
      </c>
      <c r="B398" t="str">
        <f>IFERROR(IF(0=LEN(ReferenceData!$B$398),"",ReferenceData!$B$398),"")</f>
        <v>FITB US Equity</v>
      </c>
      <c r="C398" t="str">
        <f>IFERROR(IF(0=LEN(ReferenceData!$C$398),"",ReferenceData!$C$398),"")</f>
        <v>F0128</v>
      </c>
      <c r="D398" t="str">
        <f>IFERROR(IF(0=LEN(ReferenceData!$D$398),"",ReferenceData!$D$398),"")</f>
        <v>FED_OTH_NONCONS_LNS_%_TOT_LNS_LS</v>
      </c>
      <c r="E398" t="str">
        <f>IFERROR(IF(0=LEN(ReferenceData!$E$398),"",ReferenceData!$E$398),"")</f>
        <v>Dynamic</v>
      </c>
      <c r="F398">
        <f ca="1">IFERROR(IF(0=LEN(ReferenceData!$F$398),"",ReferenceData!$F$398),"")</f>
        <v>1.6075595149999999</v>
      </c>
      <c r="G398">
        <f ca="1">IFERROR(IF(0=LEN(ReferenceData!$G$398),"",ReferenceData!$G$398),"")</f>
        <v>2.1885521890000001</v>
      </c>
      <c r="H398">
        <f ca="1">IFERROR(IF(0=LEN(ReferenceData!$H$398),"",ReferenceData!$H$398),"")</f>
        <v>2.2903233549999999</v>
      </c>
      <c r="I398">
        <f ca="1">IFERROR(IF(0=LEN(ReferenceData!$I$398),"",ReferenceData!$I$398),"")</f>
        <v>2.4226210629999998</v>
      </c>
      <c r="J398">
        <f ca="1">IFERROR(IF(0=LEN(ReferenceData!$J$398),"",ReferenceData!$J$398),"")</f>
        <v>3.104458792</v>
      </c>
      <c r="K398">
        <f ca="1">IFERROR(IF(0=LEN(ReferenceData!$K$398),"",ReferenceData!$K$398),"")</f>
        <v>3.0493851200000002</v>
      </c>
      <c r="L398">
        <f ca="1">IFERROR(IF(0=LEN(ReferenceData!$L$398),"",ReferenceData!$L$398),"")</f>
        <v>3.2355125830000002</v>
      </c>
      <c r="M398">
        <f ca="1">IFERROR(IF(0=LEN(ReferenceData!$M$398),"",ReferenceData!$M$398),"")</f>
        <v>3.5683061760000001</v>
      </c>
      <c r="N398">
        <f ca="1">IFERROR(IF(0=LEN(ReferenceData!$N$398),"",ReferenceData!$N$398),"")</f>
        <v>3.4167469050000001</v>
      </c>
      <c r="O398">
        <f ca="1">IFERROR(IF(0=LEN(ReferenceData!$O$398),"",ReferenceData!$O$398),"")</f>
        <v>3.4659480560000002</v>
      </c>
      <c r="P398">
        <f ca="1">IFERROR(IF(0=LEN(ReferenceData!$P$398),"",ReferenceData!$P$398),"")</f>
        <v>3.2913082629999999</v>
      </c>
      <c r="Q398">
        <f ca="1">IFERROR(IF(0=LEN(ReferenceData!$Q$398),"",ReferenceData!$Q$398),"")</f>
        <v>2.7825608100000001</v>
      </c>
      <c r="R398">
        <f ca="1">IFERROR(IF(0=LEN(ReferenceData!$R$398),"",ReferenceData!$R$398),"")</f>
        <v>2.2660492739999998</v>
      </c>
      <c r="S398">
        <f ca="1">IFERROR(IF(0=LEN(ReferenceData!$S$398),"",ReferenceData!$S$398),"")</f>
        <v>1.918510387</v>
      </c>
      <c r="T398">
        <f ca="1">IFERROR(IF(0=LEN(ReferenceData!$T$398),"",ReferenceData!$T$398),"")</f>
        <v>1.628065621</v>
      </c>
      <c r="U398" t="str">
        <f ca="1">IFERROR(IF(0=LEN(ReferenceData!$U$398),"",ReferenceData!$U$398),"")</f>
        <v/>
      </c>
      <c r="V398" t="str">
        <f ca="1">IFERROR(IF(0=LEN(ReferenceData!$V$398),"",ReferenceData!$V$398),"")</f>
        <v/>
      </c>
      <c r="W398" t="str">
        <f ca="1">IFERROR(IF(0=LEN(ReferenceData!$W$398),"",ReferenceData!$W$398),"")</f>
        <v/>
      </c>
      <c r="X398" t="str">
        <f ca="1">IFERROR(IF(0=LEN(ReferenceData!$X$398),"",ReferenceData!$X$398),"")</f>
        <v/>
      </c>
      <c r="Y398" t="str">
        <f ca="1">IFERROR(IF(0=LEN(ReferenceData!$Y$398),"",ReferenceData!$Y$398),"")</f>
        <v/>
      </c>
      <c r="Z398" t="str">
        <f ca="1">IFERROR(IF(0=LEN(ReferenceData!$Z$398),"",ReferenceData!$Z$398),"")</f>
        <v/>
      </c>
      <c r="AA398" t="str">
        <f ca="1">IFERROR(IF(0=LEN(ReferenceData!$AA$398),"",ReferenceData!$AA$398),"")</f>
        <v/>
      </c>
      <c r="AB398" t="str">
        <f ca="1">IFERROR(IF(0=LEN(ReferenceData!$AB$398),"",ReferenceData!$AB$398),"")</f>
        <v/>
      </c>
      <c r="AC398" t="str">
        <f ca="1">IFERROR(IF(0=LEN(ReferenceData!$AC$398),"",ReferenceData!$AC$398),"")</f>
        <v/>
      </c>
      <c r="AD398" t="str">
        <f ca="1">IFERROR(IF(0=LEN(ReferenceData!$AD$398),"",ReferenceData!$AD$398),"")</f>
        <v/>
      </c>
      <c r="AE398" t="str">
        <f ca="1">IFERROR(IF(0=LEN(ReferenceData!$AE$398),"",ReferenceData!$AE$398),"")</f>
        <v/>
      </c>
      <c r="AF398" t="str">
        <f ca="1">IFERROR(IF(0=LEN(ReferenceData!$AF$398),"",ReferenceData!$AF$398),"")</f>
        <v/>
      </c>
      <c r="AG398" t="str">
        <f ca="1">IFERROR(IF(0=LEN(ReferenceData!$AG$398),"",ReferenceData!$AG$398),"")</f>
        <v/>
      </c>
      <c r="AH398" t="str">
        <f ca="1">IFERROR(IF(0=LEN(ReferenceData!$AH$398),"",ReferenceData!$AH$398),"")</f>
        <v/>
      </c>
      <c r="AI398" t="str">
        <f ca="1">IFERROR(IF(0=LEN(ReferenceData!$AI$398),"",ReferenceData!$AI$398),"")</f>
        <v/>
      </c>
      <c r="AJ398" t="str">
        <f ca="1">IFERROR(IF(0=LEN(ReferenceData!$AJ$398),"",ReferenceData!$AJ$398),"")</f>
        <v/>
      </c>
      <c r="AK398" t="str">
        <f ca="1">IFERROR(IF(0=LEN(ReferenceData!$AK$398),"",ReferenceData!$AK$398),"")</f>
        <v/>
      </c>
      <c r="AL398" t="str">
        <f ca="1">IFERROR(IF(0=LEN(ReferenceData!$AL$398),"",ReferenceData!$AL$398),"")</f>
        <v/>
      </c>
    </row>
    <row r="399" spans="1:38" x14ac:dyDescent="0.25">
      <c r="A399" t="str">
        <f>IFERROR(IF(0=LEN(ReferenceData!$A$399),"",ReferenceData!$A$399),"")</f>
        <v xml:space="preserve">        First Citizens BancShares Inc/</v>
      </c>
      <c r="B399" t="str">
        <f>IFERROR(IF(0=LEN(ReferenceData!$B$399),"",ReferenceData!$B$399),"")</f>
        <v>FCNCA US Equity</v>
      </c>
      <c r="C399" t="str">
        <f>IFERROR(IF(0=LEN(ReferenceData!$C$399),"",ReferenceData!$C$399),"")</f>
        <v>F0128</v>
      </c>
      <c r="D399" t="str">
        <f>IFERROR(IF(0=LEN(ReferenceData!$D$399),"",ReferenceData!$D$399),"")</f>
        <v>FED_OTH_NONCONS_LNS_%_TOT_LNS_LS</v>
      </c>
      <c r="E399" t="str">
        <f>IFERROR(IF(0=LEN(ReferenceData!$E$399),"",ReferenceData!$E$399),"")</f>
        <v>Dynamic</v>
      </c>
      <c r="F399">
        <f ca="1">IFERROR(IF(0=LEN(ReferenceData!$F$399),"",ReferenceData!$F$399),"")</f>
        <v>3.2251626839999998</v>
      </c>
      <c r="G399">
        <f ca="1">IFERROR(IF(0=LEN(ReferenceData!$G$399),"",ReferenceData!$G$399),"")</f>
        <v>3.1163853910000001</v>
      </c>
      <c r="H399">
        <f ca="1">IFERROR(IF(0=LEN(ReferenceData!$H$399),"",ReferenceData!$H$399),"")</f>
        <v>2.8454380389999998</v>
      </c>
      <c r="I399">
        <f ca="1">IFERROR(IF(0=LEN(ReferenceData!$I$399),"",ReferenceData!$I$399),"")</f>
        <v>2.3498762540000002</v>
      </c>
      <c r="J399">
        <f ca="1">IFERROR(IF(0=LEN(ReferenceData!$J$399),"",ReferenceData!$J$399),"")</f>
        <v>2.0892758389999999</v>
      </c>
      <c r="K399">
        <f ca="1">IFERROR(IF(0=LEN(ReferenceData!$K$399),"",ReferenceData!$K$399),"")</f>
        <v>2.1251139710000002</v>
      </c>
      <c r="L399">
        <f ca="1">IFERROR(IF(0=LEN(ReferenceData!$L$399),"",ReferenceData!$L$399),"")</f>
        <v>2.319367513</v>
      </c>
      <c r="M399">
        <f ca="1">IFERROR(IF(0=LEN(ReferenceData!$M$399),"",ReferenceData!$M$399),"")</f>
        <v>2.5005746790000001</v>
      </c>
      <c r="N399">
        <f ca="1">IFERROR(IF(0=LEN(ReferenceData!$N$399),"",ReferenceData!$N$399),"")</f>
        <v>2.9232617099999998</v>
      </c>
      <c r="O399">
        <f ca="1">IFERROR(IF(0=LEN(ReferenceData!$O$399),"",ReferenceData!$O$399),"")</f>
        <v>3.038332086</v>
      </c>
      <c r="P399">
        <f ca="1">IFERROR(IF(0=LEN(ReferenceData!$P$399),"",ReferenceData!$P$399),"")</f>
        <v>3.3218746440000002</v>
      </c>
      <c r="Q399">
        <f ca="1">IFERROR(IF(0=LEN(ReferenceData!$Q$399),"",ReferenceData!$Q$399),"")</f>
        <v>1.7661943</v>
      </c>
      <c r="R399">
        <f ca="1">IFERROR(IF(0=LEN(ReferenceData!$R$399),"",ReferenceData!$R$399),"")</f>
        <v>1.034436455</v>
      </c>
      <c r="S399">
        <f ca="1">IFERROR(IF(0=LEN(ReferenceData!$S$399),"",ReferenceData!$S$399),"")</f>
        <v>1.177451824</v>
      </c>
      <c r="T399">
        <f ca="1">IFERROR(IF(0=LEN(ReferenceData!$T$399),"",ReferenceData!$T$399),"")</f>
        <v>1.368067567</v>
      </c>
      <c r="U399" t="str">
        <f ca="1">IFERROR(IF(0=LEN(ReferenceData!$U$399),"",ReferenceData!$U$399),"")</f>
        <v/>
      </c>
      <c r="V399" t="str">
        <f ca="1">IFERROR(IF(0=LEN(ReferenceData!$V$399),"",ReferenceData!$V$399),"")</f>
        <v/>
      </c>
      <c r="W399" t="str">
        <f ca="1">IFERROR(IF(0=LEN(ReferenceData!$W$399),"",ReferenceData!$W$399),"")</f>
        <v/>
      </c>
      <c r="X399" t="str">
        <f ca="1">IFERROR(IF(0=LEN(ReferenceData!$X$399),"",ReferenceData!$X$399),"")</f>
        <v/>
      </c>
      <c r="Y399" t="str">
        <f ca="1">IFERROR(IF(0=LEN(ReferenceData!$Y$399),"",ReferenceData!$Y$399),"")</f>
        <v/>
      </c>
      <c r="Z399" t="str">
        <f ca="1">IFERROR(IF(0=LEN(ReferenceData!$Z$399),"",ReferenceData!$Z$399),"")</f>
        <v/>
      </c>
      <c r="AA399" t="str">
        <f ca="1">IFERROR(IF(0=LEN(ReferenceData!$AA$399),"",ReferenceData!$AA$399),"")</f>
        <v/>
      </c>
      <c r="AB399" t="str">
        <f ca="1">IFERROR(IF(0=LEN(ReferenceData!$AB$399),"",ReferenceData!$AB$399),"")</f>
        <v/>
      </c>
      <c r="AC399" t="str">
        <f ca="1">IFERROR(IF(0=LEN(ReferenceData!$AC$399),"",ReferenceData!$AC$399),"")</f>
        <v/>
      </c>
      <c r="AD399" t="str">
        <f ca="1">IFERROR(IF(0=LEN(ReferenceData!$AD$399),"",ReferenceData!$AD$399),"")</f>
        <v/>
      </c>
      <c r="AE399" t="str">
        <f ca="1">IFERROR(IF(0=LEN(ReferenceData!$AE$399),"",ReferenceData!$AE$399),"")</f>
        <v/>
      </c>
      <c r="AF399" t="str">
        <f ca="1">IFERROR(IF(0=LEN(ReferenceData!$AF$399),"",ReferenceData!$AF$399),"")</f>
        <v/>
      </c>
      <c r="AG399" t="str">
        <f ca="1">IFERROR(IF(0=LEN(ReferenceData!$AG$399),"",ReferenceData!$AG$399),"")</f>
        <v/>
      </c>
      <c r="AH399" t="str">
        <f ca="1">IFERROR(IF(0=LEN(ReferenceData!$AH$399),"",ReferenceData!$AH$399),"")</f>
        <v/>
      </c>
      <c r="AI399" t="str">
        <f ca="1">IFERROR(IF(0=LEN(ReferenceData!$AI$399),"",ReferenceData!$AI$399),"")</f>
        <v/>
      </c>
      <c r="AJ399" t="str">
        <f ca="1">IFERROR(IF(0=LEN(ReferenceData!$AJ$399),"",ReferenceData!$AJ$399),"")</f>
        <v/>
      </c>
      <c r="AK399" t="str">
        <f ca="1">IFERROR(IF(0=LEN(ReferenceData!$AK$399),"",ReferenceData!$AK$399),"")</f>
        <v/>
      </c>
      <c r="AL399" t="str">
        <f ca="1">IFERROR(IF(0=LEN(ReferenceData!$AL$399),"",ReferenceData!$AL$399),"")</f>
        <v/>
      </c>
    </row>
    <row r="400" spans="1:38" x14ac:dyDescent="0.25">
      <c r="A400" t="str">
        <f>IFERROR(IF(0=LEN(ReferenceData!$A$400),"",ReferenceData!$A$400),"")</f>
        <v xml:space="preserve">        Flagstar Financial Inc</v>
      </c>
      <c r="B400" t="str">
        <f>IFERROR(IF(0=LEN(ReferenceData!$B$400),"",ReferenceData!$B$400),"")</f>
        <v>FLG US Equity</v>
      </c>
      <c r="C400" t="str">
        <f>IFERROR(IF(0=LEN(ReferenceData!$C$400),"",ReferenceData!$C$400),"")</f>
        <v>F0128</v>
      </c>
      <c r="D400" t="str">
        <f>IFERROR(IF(0=LEN(ReferenceData!$D$400),"",ReferenceData!$D$400),"")</f>
        <v>FED_OTH_NONCONS_LNS_%_TOT_LNS_LS</v>
      </c>
      <c r="E400" t="str">
        <f>IFERROR(IF(0=LEN(ReferenceData!$E$400),"",ReferenceData!$E$400),"")</f>
        <v>Dynamic</v>
      </c>
      <c r="F400" t="str">
        <f ca="1">IFERROR(IF(0=LEN(ReferenceData!$F$400),"",ReferenceData!$F$400),"")</f>
        <v/>
      </c>
      <c r="G400">
        <f ca="1">IFERROR(IF(0=LEN(ReferenceData!$G$400),"",ReferenceData!$G$400),"")</f>
        <v>1.27304219</v>
      </c>
      <c r="H400">
        <f ca="1">IFERROR(IF(0=LEN(ReferenceData!$H$400),"",ReferenceData!$H$400),"")</f>
        <v>3.8618464999999998E-2</v>
      </c>
      <c r="I400">
        <f ca="1">IFERROR(IF(0=LEN(ReferenceData!$I$400),"",ReferenceData!$I$400),"")</f>
        <v>9.2875800000000001E-3</v>
      </c>
      <c r="J400">
        <f ca="1">IFERROR(IF(0=LEN(ReferenceData!$J$400),"",ReferenceData!$J$400),"")</f>
        <v>1.0346335E-2</v>
      </c>
      <c r="K400">
        <f ca="1">IFERROR(IF(0=LEN(ReferenceData!$K$400),"",ReferenceData!$K$400),"")</f>
        <v>1.1901422E-2</v>
      </c>
      <c r="L400">
        <f ca="1">IFERROR(IF(0=LEN(ReferenceData!$L$400),"",ReferenceData!$L$400),"")</f>
        <v>1.3362077999999999E-2</v>
      </c>
      <c r="M400">
        <f ca="1">IFERROR(IF(0=LEN(ReferenceData!$M$400),"",ReferenceData!$M$400),"")</f>
        <v>1.4072217E-2</v>
      </c>
      <c r="N400">
        <f ca="1">IFERROR(IF(0=LEN(ReferenceData!$N$400),"",ReferenceData!$N$400),"")</f>
        <v>2.1580143E-2</v>
      </c>
      <c r="O400">
        <f ca="1">IFERROR(IF(0=LEN(ReferenceData!$O$400),"",ReferenceData!$O$400),"")</f>
        <v>2.8274038000000001E-2</v>
      </c>
      <c r="P400">
        <f ca="1">IFERROR(IF(0=LEN(ReferenceData!$P$400),"",ReferenceData!$P$400),"")</f>
        <v>1.1648199999999999E-2</v>
      </c>
      <c r="Q400">
        <f ca="1">IFERROR(IF(0=LEN(ReferenceData!$Q$400),"",ReferenceData!$Q$400),"")</f>
        <v>1.4943631000000001E-2</v>
      </c>
      <c r="R400">
        <f ca="1">IFERROR(IF(0=LEN(ReferenceData!$R$400),"",ReferenceData!$R$400),"")</f>
        <v>1.5737983000000001E-2</v>
      </c>
      <c r="S400">
        <f ca="1">IFERROR(IF(0=LEN(ReferenceData!$S$400),"",ReferenceData!$S$400),"")</f>
        <v>3.2713832999999998E-2</v>
      </c>
      <c r="T400">
        <f ca="1">IFERROR(IF(0=LEN(ReferenceData!$T$400),"",ReferenceData!$T$400),"")</f>
        <v>7.7303627E-2</v>
      </c>
      <c r="U400" t="str">
        <f ca="1">IFERROR(IF(0=LEN(ReferenceData!$U$400),"",ReferenceData!$U$400),"")</f>
        <v/>
      </c>
      <c r="V400" t="str">
        <f ca="1">IFERROR(IF(0=LEN(ReferenceData!$V$400),"",ReferenceData!$V$400),"")</f>
        <v/>
      </c>
      <c r="W400" t="str">
        <f ca="1">IFERROR(IF(0=LEN(ReferenceData!$W$400),"",ReferenceData!$W$400),"")</f>
        <v/>
      </c>
      <c r="X400" t="str">
        <f ca="1">IFERROR(IF(0=LEN(ReferenceData!$X$400),"",ReferenceData!$X$400),"")</f>
        <v/>
      </c>
      <c r="Y400" t="str">
        <f ca="1">IFERROR(IF(0=LEN(ReferenceData!$Y$400),"",ReferenceData!$Y$400),"")</f>
        <v/>
      </c>
      <c r="Z400" t="str">
        <f ca="1">IFERROR(IF(0=LEN(ReferenceData!$Z$400),"",ReferenceData!$Z$400),"")</f>
        <v/>
      </c>
      <c r="AA400" t="str">
        <f ca="1">IFERROR(IF(0=LEN(ReferenceData!$AA$400),"",ReferenceData!$AA$400),"")</f>
        <v/>
      </c>
      <c r="AB400" t="str">
        <f ca="1">IFERROR(IF(0=LEN(ReferenceData!$AB$400),"",ReferenceData!$AB$400),"")</f>
        <v/>
      </c>
      <c r="AC400" t="str">
        <f ca="1">IFERROR(IF(0=LEN(ReferenceData!$AC$400),"",ReferenceData!$AC$400),"")</f>
        <v/>
      </c>
      <c r="AD400" t="str">
        <f ca="1">IFERROR(IF(0=LEN(ReferenceData!$AD$400),"",ReferenceData!$AD$400),"")</f>
        <v/>
      </c>
      <c r="AE400" t="str">
        <f ca="1">IFERROR(IF(0=LEN(ReferenceData!$AE$400),"",ReferenceData!$AE$400),"")</f>
        <v/>
      </c>
      <c r="AF400" t="str">
        <f ca="1">IFERROR(IF(0=LEN(ReferenceData!$AF$400),"",ReferenceData!$AF$400),"")</f>
        <v/>
      </c>
      <c r="AG400" t="str">
        <f ca="1">IFERROR(IF(0=LEN(ReferenceData!$AG$400),"",ReferenceData!$AG$400),"")</f>
        <v/>
      </c>
      <c r="AH400" t="str">
        <f ca="1">IFERROR(IF(0=LEN(ReferenceData!$AH$400),"",ReferenceData!$AH$400),"")</f>
        <v/>
      </c>
      <c r="AI400" t="str">
        <f ca="1">IFERROR(IF(0=LEN(ReferenceData!$AI$400),"",ReferenceData!$AI$400),"")</f>
        <v/>
      </c>
      <c r="AJ400" t="str">
        <f ca="1">IFERROR(IF(0=LEN(ReferenceData!$AJ$400),"",ReferenceData!$AJ$400),"")</f>
        <v/>
      </c>
      <c r="AK400" t="str">
        <f ca="1">IFERROR(IF(0=LEN(ReferenceData!$AK$400),"",ReferenceData!$AK$400),"")</f>
        <v/>
      </c>
      <c r="AL400" t="str">
        <f ca="1">IFERROR(IF(0=LEN(ReferenceData!$AL$400),"",ReferenceData!$AL$400),"")</f>
        <v/>
      </c>
    </row>
    <row r="401" spans="1:38" x14ac:dyDescent="0.25">
      <c r="A401" t="str">
        <f>IFERROR(IF(0=LEN(ReferenceData!$A$401),"",ReferenceData!$A$401),"")</f>
        <v xml:space="preserve">        Huntington Bancshares Inc/OH</v>
      </c>
      <c r="B401" t="str">
        <f>IFERROR(IF(0=LEN(ReferenceData!$B$401),"",ReferenceData!$B$401),"")</f>
        <v>HBAN US Equity</v>
      </c>
      <c r="C401" t="str">
        <f>IFERROR(IF(0=LEN(ReferenceData!$C$401),"",ReferenceData!$C$401),"")</f>
        <v>F0128</v>
      </c>
      <c r="D401" t="str">
        <f>IFERROR(IF(0=LEN(ReferenceData!$D$401),"",ReferenceData!$D$401),"")</f>
        <v>FED_OTH_NONCONS_LNS_%_TOT_LNS_LS</v>
      </c>
      <c r="E401" t="str">
        <f>IFERROR(IF(0=LEN(ReferenceData!$E$401),"",ReferenceData!$E$401),"")</f>
        <v>Dynamic</v>
      </c>
      <c r="F401">
        <f ca="1">IFERROR(IF(0=LEN(ReferenceData!$F$401),"",ReferenceData!$F$401),"")</f>
        <v>1.037549987</v>
      </c>
      <c r="G401">
        <f ca="1">IFERROR(IF(0=LEN(ReferenceData!$G$401),"",ReferenceData!$G$401),"")</f>
        <v>1.192018255</v>
      </c>
      <c r="H401">
        <f ca="1">IFERROR(IF(0=LEN(ReferenceData!$H$401),"",ReferenceData!$H$401),"")</f>
        <v>1.3837535679999999</v>
      </c>
      <c r="I401">
        <f ca="1">IFERROR(IF(0=LEN(ReferenceData!$I$401),"",ReferenceData!$I$401),"")</f>
        <v>1.8777728659999999</v>
      </c>
      <c r="J401">
        <f ca="1">IFERROR(IF(0=LEN(ReferenceData!$J$401),"",ReferenceData!$J$401),"")</f>
        <v>2.2628235800000001</v>
      </c>
      <c r="K401">
        <f ca="1">IFERROR(IF(0=LEN(ReferenceData!$K$401),"",ReferenceData!$K$401),"")</f>
        <v>1.3617140539999999</v>
      </c>
      <c r="L401">
        <f ca="1">IFERROR(IF(0=LEN(ReferenceData!$L$401),"",ReferenceData!$L$401),"")</f>
        <v>1.283540473</v>
      </c>
      <c r="M401">
        <f ca="1">IFERROR(IF(0=LEN(ReferenceData!$M$401),"",ReferenceData!$M$401),"")</f>
        <v>1.4529271669999999</v>
      </c>
      <c r="N401">
        <f ca="1">IFERROR(IF(0=LEN(ReferenceData!$N$401),"",ReferenceData!$N$401),"")</f>
        <v>1.5151112449999999</v>
      </c>
      <c r="O401">
        <f ca="1">IFERROR(IF(0=LEN(ReferenceData!$O$401),"",ReferenceData!$O$401),"")</f>
        <v>1.383714444</v>
      </c>
      <c r="P401">
        <f ca="1">IFERROR(IF(0=LEN(ReferenceData!$P$401),"",ReferenceData!$P$401),"")</f>
        <v>1.3059564930000001</v>
      </c>
      <c r="Q401">
        <f ca="1">IFERROR(IF(0=LEN(ReferenceData!$Q$401),"",ReferenceData!$Q$401),"")</f>
        <v>1.016764156</v>
      </c>
      <c r="R401">
        <f ca="1">IFERROR(IF(0=LEN(ReferenceData!$R$401),"",ReferenceData!$R$401),"")</f>
        <v>1.6762260950000001</v>
      </c>
      <c r="S401">
        <f ca="1">IFERROR(IF(0=LEN(ReferenceData!$S$401),"",ReferenceData!$S$401),"")</f>
        <v>1.212130903</v>
      </c>
      <c r="T401">
        <f ca="1">IFERROR(IF(0=LEN(ReferenceData!$T$401),"",ReferenceData!$T$401),"")</f>
        <v>1.4378620929999999</v>
      </c>
      <c r="U401" t="str">
        <f ca="1">IFERROR(IF(0=LEN(ReferenceData!$U$401),"",ReferenceData!$U$401),"")</f>
        <v/>
      </c>
      <c r="V401" t="str">
        <f ca="1">IFERROR(IF(0=LEN(ReferenceData!$V$401),"",ReferenceData!$V$401),"")</f>
        <v/>
      </c>
      <c r="W401" t="str">
        <f ca="1">IFERROR(IF(0=LEN(ReferenceData!$W$401),"",ReferenceData!$W$401),"")</f>
        <v/>
      </c>
      <c r="X401" t="str">
        <f ca="1">IFERROR(IF(0=LEN(ReferenceData!$X$401),"",ReferenceData!$X$401),"")</f>
        <v/>
      </c>
      <c r="Y401" t="str">
        <f ca="1">IFERROR(IF(0=LEN(ReferenceData!$Y$401),"",ReferenceData!$Y$401),"")</f>
        <v/>
      </c>
      <c r="Z401" t="str">
        <f ca="1">IFERROR(IF(0=LEN(ReferenceData!$Z$401),"",ReferenceData!$Z$401),"")</f>
        <v/>
      </c>
      <c r="AA401" t="str">
        <f ca="1">IFERROR(IF(0=LEN(ReferenceData!$AA$401),"",ReferenceData!$AA$401),"")</f>
        <v/>
      </c>
      <c r="AB401" t="str">
        <f ca="1">IFERROR(IF(0=LEN(ReferenceData!$AB$401),"",ReferenceData!$AB$401),"")</f>
        <v/>
      </c>
      <c r="AC401" t="str">
        <f ca="1">IFERROR(IF(0=LEN(ReferenceData!$AC$401),"",ReferenceData!$AC$401),"")</f>
        <v/>
      </c>
      <c r="AD401" t="str">
        <f ca="1">IFERROR(IF(0=LEN(ReferenceData!$AD$401),"",ReferenceData!$AD$401),"")</f>
        <v/>
      </c>
      <c r="AE401" t="str">
        <f ca="1">IFERROR(IF(0=LEN(ReferenceData!$AE$401),"",ReferenceData!$AE$401),"")</f>
        <v/>
      </c>
      <c r="AF401" t="str">
        <f ca="1">IFERROR(IF(0=LEN(ReferenceData!$AF$401),"",ReferenceData!$AF$401),"")</f>
        <v/>
      </c>
      <c r="AG401" t="str">
        <f ca="1">IFERROR(IF(0=LEN(ReferenceData!$AG$401),"",ReferenceData!$AG$401),"")</f>
        <v/>
      </c>
      <c r="AH401" t="str">
        <f ca="1">IFERROR(IF(0=LEN(ReferenceData!$AH$401),"",ReferenceData!$AH$401),"")</f>
        <v/>
      </c>
      <c r="AI401" t="str">
        <f ca="1">IFERROR(IF(0=LEN(ReferenceData!$AI$401),"",ReferenceData!$AI$401),"")</f>
        <v/>
      </c>
      <c r="AJ401" t="str">
        <f ca="1">IFERROR(IF(0=LEN(ReferenceData!$AJ$401),"",ReferenceData!$AJ$401),"")</f>
        <v/>
      </c>
      <c r="AK401" t="str">
        <f ca="1">IFERROR(IF(0=LEN(ReferenceData!$AK$401),"",ReferenceData!$AK$401),"")</f>
        <v/>
      </c>
      <c r="AL401" t="str">
        <f ca="1">IFERROR(IF(0=LEN(ReferenceData!$AL$401),"",ReferenceData!$AL$401),"")</f>
        <v/>
      </c>
    </row>
    <row r="402" spans="1:38" x14ac:dyDescent="0.25">
      <c r="A402" t="str">
        <f>IFERROR(IF(0=LEN(ReferenceData!$A$402),"",ReferenceData!$A$402),"")</f>
        <v xml:space="preserve">        JPMorgan Chase &amp; Co</v>
      </c>
      <c r="B402" t="str">
        <f>IFERROR(IF(0=LEN(ReferenceData!$B$402),"",ReferenceData!$B$402),"")</f>
        <v>JPM US Equity</v>
      </c>
      <c r="C402" t="str">
        <f>IFERROR(IF(0=LEN(ReferenceData!$C$402),"",ReferenceData!$C$402),"")</f>
        <v>F0128</v>
      </c>
      <c r="D402" t="str">
        <f>IFERROR(IF(0=LEN(ReferenceData!$D$402),"",ReferenceData!$D$402),"")</f>
        <v>FED_OTH_NONCONS_LNS_%_TOT_LNS_LS</v>
      </c>
      <c r="E402" t="str">
        <f>IFERROR(IF(0=LEN(ReferenceData!$E$402),"",ReferenceData!$E$402),"")</f>
        <v>Dynamic</v>
      </c>
      <c r="F402">
        <f ca="1">IFERROR(IF(0=LEN(ReferenceData!$F$402),"",ReferenceData!$F$402),"")</f>
        <v>12.158935140000001</v>
      </c>
      <c r="G402">
        <f ca="1">IFERROR(IF(0=LEN(ReferenceData!$G$402),"",ReferenceData!$G$402),"")</f>
        <v>12.126682450000001</v>
      </c>
      <c r="H402">
        <f ca="1">IFERROR(IF(0=LEN(ReferenceData!$H$402),"",ReferenceData!$H$402),"")</f>
        <v>12.71545613</v>
      </c>
      <c r="I402">
        <f ca="1">IFERROR(IF(0=LEN(ReferenceData!$I$402),"",ReferenceData!$I$402),"")</f>
        <v>12.92111369</v>
      </c>
      <c r="J402">
        <f ca="1">IFERROR(IF(0=LEN(ReferenceData!$J$402),"",ReferenceData!$J$402),"")</f>
        <v>13.5717505</v>
      </c>
      <c r="K402">
        <f ca="1">IFERROR(IF(0=LEN(ReferenceData!$K$402),"",ReferenceData!$K$402),"")</f>
        <v>13.004283900000001</v>
      </c>
      <c r="L402">
        <f ca="1">IFERROR(IF(0=LEN(ReferenceData!$L$402),"",ReferenceData!$L$402),"")</f>
        <v>11.85220223</v>
      </c>
      <c r="M402">
        <f ca="1">IFERROR(IF(0=LEN(ReferenceData!$M$402),"",ReferenceData!$M$402),"")</f>
        <v>11.49912889</v>
      </c>
      <c r="N402">
        <f ca="1">IFERROR(IF(0=LEN(ReferenceData!$N$402),"",ReferenceData!$N$402),"")</f>
        <v>11.315401749999999</v>
      </c>
      <c r="O402">
        <f ca="1">IFERROR(IF(0=LEN(ReferenceData!$O$402),"",ReferenceData!$O$402),"")</f>
        <v>12.22582435</v>
      </c>
      <c r="P402">
        <f ca="1">IFERROR(IF(0=LEN(ReferenceData!$P$402),"",ReferenceData!$P$402),"")</f>
        <v>11.90074362</v>
      </c>
      <c r="Q402">
        <f ca="1">IFERROR(IF(0=LEN(ReferenceData!$Q$402),"",ReferenceData!$Q$402),"")</f>
        <v>11.4862816</v>
      </c>
      <c r="R402">
        <f ca="1">IFERROR(IF(0=LEN(ReferenceData!$R$402),"",ReferenceData!$R$402),"")</f>
        <v>8.2957678900000005</v>
      </c>
      <c r="S402">
        <f ca="1">IFERROR(IF(0=LEN(ReferenceData!$S$402),"",ReferenceData!$S$402),"")</f>
        <v>8.1526402499999993</v>
      </c>
      <c r="T402">
        <f ca="1">IFERROR(IF(0=LEN(ReferenceData!$T$402),"",ReferenceData!$T$402),"")</f>
        <v>6.7692269600000001</v>
      </c>
      <c r="U402" t="str">
        <f ca="1">IFERROR(IF(0=LEN(ReferenceData!$U$402),"",ReferenceData!$U$402),"")</f>
        <v/>
      </c>
      <c r="V402" t="str">
        <f ca="1">IFERROR(IF(0=LEN(ReferenceData!$V$402),"",ReferenceData!$V$402),"")</f>
        <v/>
      </c>
      <c r="W402" t="str">
        <f ca="1">IFERROR(IF(0=LEN(ReferenceData!$W$402),"",ReferenceData!$W$402),"")</f>
        <v/>
      </c>
      <c r="X402" t="str">
        <f ca="1">IFERROR(IF(0=LEN(ReferenceData!$X$402),"",ReferenceData!$X$402),"")</f>
        <v/>
      </c>
      <c r="Y402" t="str">
        <f ca="1">IFERROR(IF(0=LEN(ReferenceData!$Y$402),"",ReferenceData!$Y$402),"")</f>
        <v/>
      </c>
      <c r="Z402" t="str">
        <f ca="1">IFERROR(IF(0=LEN(ReferenceData!$Z$402),"",ReferenceData!$Z$402),"")</f>
        <v/>
      </c>
      <c r="AA402" t="str">
        <f ca="1">IFERROR(IF(0=LEN(ReferenceData!$AA$402),"",ReferenceData!$AA$402),"")</f>
        <v/>
      </c>
      <c r="AB402" t="str">
        <f ca="1">IFERROR(IF(0=LEN(ReferenceData!$AB$402),"",ReferenceData!$AB$402),"")</f>
        <v/>
      </c>
      <c r="AC402" t="str">
        <f ca="1">IFERROR(IF(0=LEN(ReferenceData!$AC$402),"",ReferenceData!$AC$402),"")</f>
        <v/>
      </c>
      <c r="AD402" t="str">
        <f ca="1">IFERROR(IF(0=LEN(ReferenceData!$AD$402),"",ReferenceData!$AD$402),"")</f>
        <v/>
      </c>
      <c r="AE402" t="str">
        <f ca="1">IFERROR(IF(0=LEN(ReferenceData!$AE$402),"",ReferenceData!$AE$402),"")</f>
        <v/>
      </c>
      <c r="AF402" t="str">
        <f ca="1">IFERROR(IF(0=LEN(ReferenceData!$AF$402),"",ReferenceData!$AF$402),"")</f>
        <v/>
      </c>
      <c r="AG402" t="str">
        <f ca="1">IFERROR(IF(0=LEN(ReferenceData!$AG$402),"",ReferenceData!$AG$402),"")</f>
        <v/>
      </c>
      <c r="AH402" t="str">
        <f ca="1">IFERROR(IF(0=LEN(ReferenceData!$AH$402),"",ReferenceData!$AH$402),"")</f>
        <v/>
      </c>
      <c r="AI402" t="str">
        <f ca="1">IFERROR(IF(0=LEN(ReferenceData!$AI$402),"",ReferenceData!$AI$402),"")</f>
        <v/>
      </c>
      <c r="AJ402" t="str">
        <f ca="1">IFERROR(IF(0=LEN(ReferenceData!$AJ$402),"",ReferenceData!$AJ$402),"")</f>
        <v/>
      </c>
      <c r="AK402" t="str">
        <f ca="1">IFERROR(IF(0=LEN(ReferenceData!$AK$402),"",ReferenceData!$AK$402),"")</f>
        <v/>
      </c>
      <c r="AL402" t="str">
        <f ca="1">IFERROR(IF(0=LEN(ReferenceData!$AL$402),"",ReferenceData!$AL$402),"")</f>
        <v/>
      </c>
    </row>
    <row r="403" spans="1:38" x14ac:dyDescent="0.25">
      <c r="A403" t="str">
        <f>IFERROR(IF(0=LEN(ReferenceData!$A$403),"",ReferenceData!$A$403),"")</f>
        <v xml:space="preserve">        KeyCorp</v>
      </c>
      <c r="B403" t="str">
        <f>IFERROR(IF(0=LEN(ReferenceData!$B$403),"",ReferenceData!$B$403),"")</f>
        <v>KEY US Equity</v>
      </c>
      <c r="C403" t="str">
        <f>IFERROR(IF(0=LEN(ReferenceData!$C$403),"",ReferenceData!$C$403),"")</f>
        <v>F0128</v>
      </c>
      <c r="D403" t="str">
        <f>IFERROR(IF(0=LEN(ReferenceData!$D$403),"",ReferenceData!$D$403),"")</f>
        <v>FED_OTH_NONCONS_LNS_%_TOT_LNS_LS</v>
      </c>
      <c r="E403" t="str">
        <f>IFERROR(IF(0=LEN(ReferenceData!$E$403),"",ReferenceData!$E$403),"")</f>
        <v>Dynamic</v>
      </c>
      <c r="F403">
        <f ca="1">IFERROR(IF(0=LEN(ReferenceData!$F$403),"",ReferenceData!$F$403),"")</f>
        <v>4.6957522540000003</v>
      </c>
      <c r="G403">
        <f ca="1">IFERROR(IF(0=LEN(ReferenceData!$G$403),"",ReferenceData!$G$403),"")</f>
        <v>4.8473989749999999</v>
      </c>
      <c r="H403">
        <f ca="1">IFERROR(IF(0=LEN(ReferenceData!$H$403),"",ReferenceData!$H$403),"")</f>
        <v>4.7071254390000004</v>
      </c>
      <c r="I403">
        <f ca="1">IFERROR(IF(0=LEN(ReferenceData!$I$403),"",ReferenceData!$I$403),"")</f>
        <v>6.2260480840000003</v>
      </c>
      <c r="J403">
        <f ca="1">IFERROR(IF(0=LEN(ReferenceData!$J$403),"",ReferenceData!$J$403),"")</f>
        <v>5.9887420450000004</v>
      </c>
      <c r="K403">
        <f ca="1">IFERROR(IF(0=LEN(ReferenceData!$K$403),"",ReferenceData!$K$403),"")</f>
        <v>6.7083031130000004</v>
      </c>
      <c r="L403">
        <f ca="1">IFERROR(IF(0=LEN(ReferenceData!$L$403),"",ReferenceData!$L$403),"")</f>
        <v>7.0098902489999997</v>
      </c>
      <c r="M403">
        <f ca="1">IFERROR(IF(0=LEN(ReferenceData!$M$403),"",ReferenceData!$M$403),"")</f>
        <v>7.2977527660000003</v>
      </c>
      <c r="N403">
        <f ca="1">IFERROR(IF(0=LEN(ReferenceData!$N$403),"",ReferenceData!$N$403),"")</f>
        <v>6.1463825520000004</v>
      </c>
      <c r="O403">
        <f ca="1">IFERROR(IF(0=LEN(ReferenceData!$O$403),"",ReferenceData!$O$403),"")</f>
        <v>7.5500463910000004</v>
      </c>
      <c r="P403">
        <f ca="1">IFERROR(IF(0=LEN(ReferenceData!$P$403),"",ReferenceData!$P$403),"")</f>
        <v>7.2612811260000001</v>
      </c>
      <c r="Q403">
        <f ca="1">IFERROR(IF(0=LEN(ReferenceData!$Q$403),"",ReferenceData!$Q$403),"")</f>
        <v>6.6758675829999996</v>
      </c>
      <c r="R403">
        <f ca="1">IFERROR(IF(0=LEN(ReferenceData!$R$403),"",ReferenceData!$R$403),"")</f>
        <v>6.1791464339999997</v>
      </c>
      <c r="S403">
        <f ca="1">IFERROR(IF(0=LEN(ReferenceData!$S$403),"",ReferenceData!$S$403),"")</f>
        <v>5.0885575049999998</v>
      </c>
      <c r="T403">
        <f ca="1">IFERROR(IF(0=LEN(ReferenceData!$T$403),"",ReferenceData!$T$403),"")</f>
        <v>3.981671945</v>
      </c>
      <c r="U403" t="str">
        <f ca="1">IFERROR(IF(0=LEN(ReferenceData!$U$403),"",ReferenceData!$U$403),"")</f>
        <v/>
      </c>
      <c r="V403" t="str">
        <f ca="1">IFERROR(IF(0=LEN(ReferenceData!$V$403),"",ReferenceData!$V$403),"")</f>
        <v/>
      </c>
      <c r="W403" t="str">
        <f ca="1">IFERROR(IF(0=LEN(ReferenceData!$W$403),"",ReferenceData!$W$403),"")</f>
        <v/>
      </c>
      <c r="X403" t="str">
        <f ca="1">IFERROR(IF(0=LEN(ReferenceData!$X$403),"",ReferenceData!$X$403),"")</f>
        <v/>
      </c>
      <c r="Y403" t="str">
        <f ca="1">IFERROR(IF(0=LEN(ReferenceData!$Y$403),"",ReferenceData!$Y$403),"")</f>
        <v/>
      </c>
      <c r="Z403" t="str">
        <f ca="1">IFERROR(IF(0=LEN(ReferenceData!$Z$403),"",ReferenceData!$Z$403),"")</f>
        <v/>
      </c>
      <c r="AA403" t="str">
        <f ca="1">IFERROR(IF(0=LEN(ReferenceData!$AA$403),"",ReferenceData!$AA$403),"")</f>
        <v/>
      </c>
      <c r="AB403" t="str">
        <f ca="1">IFERROR(IF(0=LEN(ReferenceData!$AB$403),"",ReferenceData!$AB$403),"")</f>
        <v/>
      </c>
      <c r="AC403" t="str">
        <f ca="1">IFERROR(IF(0=LEN(ReferenceData!$AC$403),"",ReferenceData!$AC$403),"")</f>
        <v/>
      </c>
      <c r="AD403" t="str">
        <f ca="1">IFERROR(IF(0=LEN(ReferenceData!$AD$403),"",ReferenceData!$AD$403),"")</f>
        <v/>
      </c>
      <c r="AE403" t="str">
        <f ca="1">IFERROR(IF(0=LEN(ReferenceData!$AE$403),"",ReferenceData!$AE$403),"")</f>
        <v/>
      </c>
      <c r="AF403" t="str">
        <f ca="1">IFERROR(IF(0=LEN(ReferenceData!$AF$403),"",ReferenceData!$AF$403),"")</f>
        <v/>
      </c>
      <c r="AG403" t="str">
        <f ca="1">IFERROR(IF(0=LEN(ReferenceData!$AG$403),"",ReferenceData!$AG$403),"")</f>
        <v/>
      </c>
      <c r="AH403" t="str">
        <f ca="1">IFERROR(IF(0=LEN(ReferenceData!$AH$403),"",ReferenceData!$AH$403),"")</f>
        <v/>
      </c>
      <c r="AI403" t="str">
        <f ca="1">IFERROR(IF(0=LEN(ReferenceData!$AI$403),"",ReferenceData!$AI$403),"")</f>
        <v/>
      </c>
      <c r="AJ403" t="str">
        <f ca="1">IFERROR(IF(0=LEN(ReferenceData!$AJ$403),"",ReferenceData!$AJ$403),"")</f>
        <v/>
      </c>
      <c r="AK403" t="str">
        <f ca="1">IFERROR(IF(0=LEN(ReferenceData!$AK$403),"",ReferenceData!$AK$403),"")</f>
        <v/>
      </c>
      <c r="AL403" t="str">
        <f ca="1">IFERROR(IF(0=LEN(ReferenceData!$AL$403),"",ReferenceData!$AL$403),"")</f>
        <v/>
      </c>
    </row>
    <row r="404" spans="1:38" x14ac:dyDescent="0.25">
      <c r="A404" t="str">
        <f>IFERROR(IF(0=LEN(ReferenceData!$A$404),"",ReferenceData!$A$404),"")</f>
        <v xml:space="preserve">        M&amp;T Bank Corp</v>
      </c>
      <c r="B404" t="str">
        <f>IFERROR(IF(0=LEN(ReferenceData!$B$404),"",ReferenceData!$B$404),"")</f>
        <v>MTB US Equity</v>
      </c>
      <c r="C404" t="str">
        <f>IFERROR(IF(0=LEN(ReferenceData!$C$404),"",ReferenceData!$C$404),"")</f>
        <v>F0128</v>
      </c>
      <c r="D404" t="str">
        <f>IFERROR(IF(0=LEN(ReferenceData!$D$404),"",ReferenceData!$D$404),"")</f>
        <v>FED_OTH_NONCONS_LNS_%_TOT_LNS_LS</v>
      </c>
      <c r="E404" t="str">
        <f>IFERROR(IF(0=LEN(ReferenceData!$E$404),"",ReferenceData!$E$404),"")</f>
        <v>Dynamic</v>
      </c>
      <c r="F404">
        <f ca="1">IFERROR(IF(0=LEN(ReferenceData!$F$404),"",ReferenceData!$F$404),"")</f>
        <v>3.1742002739999999</v>
      </c>
      <c r="G404">
        <f ca="1">IFERROR(IF(0=LEN(ReferenceData!$G$404),"",ReferenceData!$G$404),"")</f>
        <v>3.1432493739999998</v>
      </c>
      <c r="H404">
        <f ca="1">IFERROR(IF(0=LEN(ReferenceData!$H$404),"",ReferenceData!$H$404),"")</f>
        <v>2.9934485309999999</v>
      </c>
      <c r="I404">
        <f ca="1">IFERROR(IF(0=LEN(ReferenceData!$I$404),"",ReferenceData!$I$404),"")</f>
        <v>2.6991828820000001</v>
      </c>
      <c r="J404">
        <f ca="1">IFERROR(IF(0=LEN(ReferenceData!$J$404),"",ReferenceData!$J$404),"")</f>
        <v>2.50571703</v>
      </c>
      <c r="K404">
        <f ca="1">IFERROR(IF(0=LEN(ReferenceData!$K$404),"",ReferenceData!$K$404),"")</f>
        <v>2.401859977</v>
      </c>
      <c r="L404">
        <f ca="1">IFERROR(IF(0=LEN(ReferenceData!$L$404),"",ReferenceData!$L$404),"")</f>
        <v>2.3841980280000001</v>
      </c>
      <c r="M404">
        <f ca="1">IFERROR(IF(0=LEN(ReferenceData!$M$404),"",ReferenceData!$M$404),"")</f>
        <v>2.2990844209999999</v>
      </c>
      <c r="N404">
        <f ca="1">IFERROR(IF(0=LEN(ReferenceData!$N$404),"",ReferenceData!$N$404),"")</f>
        <v>2.2269278240000001</v>
      </c>
      <c r="O404">
        <f ca="1">IFERROR(IF(0=LEN(ReferenceData!$O$404),"",ReferenceData!$O$404),"")</f>
        <v>1.973480269</v>
      </c>
      <c r="P404">
        <f ca="1">IFERROR(IF(0=LEN(ReferenceData!$P$404),"",ReferenceData!$P$404),"")</f>
        <v>2.25337853</v>
      </c>
      <c r="Q404">
        <f ca="1">IFERROR(IF(0=LEN(ReferenceData!$Q$404),"",ReferenceData!$Q$404),"")</f>
        <v>2.1735825449999999</v>
      </c>
      <c r="R404">
        <f ca="1">IFERROR(IF(0=LEN(ReferenceData!$R$404),"",ReferenceData!$R$404),"")</f>
        <v>2.3399273049999998</v>
      </c>
      <c r="S404">
        <f ca="1">IFERROR(IF(0=LEN(ReferenceData!$S$404),"",ReferenceData!$S$404),"")</f>
        <v>1.872227613</v>
      </c>
      <c r="T404">
        <f ca="1">IFERROR(IF(0=LEN(ReferenceData!$T$404),"",ReferenceData!$T$404),"")</f>
        <v>1.901238194</v>
      </c>
      <c r="U404" t="str">
        <f ca="1">IFERROR(IF(0=LEN(ReferenceData!$U$404),"",ReferenceData!$U$404),"")</f>
        <v/>
      </c>
      <c r="V404" t="str">
        <f ca="1">IFERROR(IF(0=LEN(ReferenceData!$V$404),"",ReferenceData!$V$404),"")</f>
        <v/>
      </c>
      <c r="W404" t="str">
        <f ca="1">IFERROR(IF(0=LEN(ReferenceData!$W$404),"",ReferenceData!$W$404),"")</f>
        <v/>
      </c>
      <c r="X404" t="str">
        <f ca="1">IFERROR(IF(0=LEN(ReferenceData!$X$404),"",ReferenceData!$X$404),"")</f>
        <v/>
      </c>
      <c r="Y404" t="str">
        <f ca="1">IFERROR(IF(0=LEN(ReferenceData!$Y$404),"",ReferenceData!$Y$404),"")</f>
        <v/>
      </c>
      <c r="Z404" t="str">
        <f ca="1">IFERROR(IF(0=LEN(ReferenceData!$Z$404),"",ReferenceData!$Z$404),"")</f>
        <v/>
      </c>
      <c r="AA404" t="str">
        <f ca="1">IFERROR(IF(0=LEN(ReferenceData!$AA$404),"",ReferenceData!$AA$404),"")</f>
        <v/>
      </c>
      <c r="AB404" t="str">
        <f ca="1">IFERROR(IF(0=LEN(ReferenceData!$AB$404),"",ReferenceData!$AB$404),"")</f>
        <v/>
      </c>
      <c r="AC404" t="str">
        <f ca="1">IFERROR(IF(0=LEN(ReferenceData!$AC$404),"",ReferenceData!$AC$404),"")</f>
        <v/>
      </c>
      <c r="AD404" t="str">
        <f ca="1">IFERROR(IF(0=LEN(ReferenceData!$AD$404),"",ReferenceData!$AD$404),"")</f>
        <v/>
      </c>
      <c r="AE404" t="str">
        <f ca="1">IFERROR(IF(0=LEN(ReferenceData!$AE$404),"",ReferenceData!$AE$404),"")</f>
        <v/>
      </c>
      <c r="AF404" t="str">
        <f ca="1">IFERROR(IF(0=LEN(ReferenceData!$AF$404),"",ReferenceData!$AF$404),"")</f>
        <v/>
      </c>
      <c r="AG404" t="str">
        <f ca="1">IFERROR(IF(0=LEN(ReferenceData!$AG$404),"",ReferenceData!$AG$404),"")</f>
        <v/>
      </c>
      <c r="AH404" t="str">
        <f ca="1">IFERROR(IF(0=LEN(ReferenceData!$AH$404),"",ReferenceData!$AH$404),"")</f>
        <v/>
      </c>
      <c r="AI404" t="str">
        <f ca="1">IFERROR(IF(0=LEN(ReferenceData!$AI$404),"",ReferenceData!$AI$404),"")</f>
        <v/>
      </c>
      <c r="AJ404" t="str">
        <f ca="1">IFERROR(IF(0=LEN(ReferenceData!$AJ$404),"",ReferenceData!$AJ$404),"")</f>
        <v/>
      </c>
      <c r="AK404" t="str">
        <f ca="1">IFERROR(IF(0=LEN(ReferenceData!$AK$404),"",ReferenceData!$AK$404),"")</f>
        <v/>
      </c>
      <c r="AL404" t="str">
        <f ca="1">IFERROR(IF(0=LEN(ReferenceData!$AL$404),"",ReferenceData!$AL$404),"")</f>
        <v/>
      </c>
    </row>
    <row r="405" spans="1:38" x14ac:dyDescent="0.25">
      <c r="A405" t="str">
        <f>IFERROR(IF(0=LEN(ReferenceData!$A$405),"",ReferenceData!$A$405),"")</f>
        <v xml:space="preserve">        PNC Financial Services Group I</v>
      </c>
      <c r="B405" t="str">
        <f>IFERROR(IF(0=LEN(ReferenceData!$B$405),"",ReferenceData!$B$405),"")</f>
        <v>PNC US Equity</v>
      </c>
      <c r="C405" t="str">
        <f>IFERROR(IF(0=LEN(ReferenceData!$C$405),"",ReferenceData!$C$405),"")</f>
        <v>F0128</v>
      </c>
      <c r="D405" t="str">
        <f>IFERROR(IF(0=LEN(ReferenceData!$D$405),"",ReferenceData!$D$405),"")</f>
        <v>FED_OTH_NONCONS_LNS_%_TOT_LNS_LS</v>
      </c>
      <c r="E405" t="str">
        <f>IFERROR(IF(0=LEN(ReferenceData!$E$405),"",ReferenceData!$E$405),"")</f>
        <v>Dynamic</v>
      </c>
      <c r="F405" t="str">
        <f ca="1">IFERROR(IF(0=LEN(ReferenceData!$F$405),"",ReferenceData!$F$405),"")</f>
        <v/>
      </c>
      <c r="G405">
        <f ca="1">IFERROR(IF(0=LEN(ReferenceData!$G$405),"",ReferenceData!$G$405),"")</f>
        <v>5.5355393240000001</v>
      </c>
      <c r="H405">
        <f ca="1">IFERROR(IF(0=LEN(ReferenceData!$H$405),"",ReferenceData!$H$405),"")</f>
        <v>6.4055599230000002</v>
      </c>
      <c r="I405">
        <f ca="1">IFERROR(IF(0=LEN(ReferenceData!$I$405),"",ReferenceData!$I$405),"")</f>
        <v>6.7100390150000004</v>
      </c>
      <c r="J405">
        <f ca="1">IFERROR(IF(0=LEN(ReferenceData!$J$405),"",ReferenceData!$J$405),"")</f>
        <v>6.1868080839999999</v>
      </c>
      <c r="K405">
        <f ca="1">IFERROR(IF(0=LEN(ReferenceData!$K$405),"",ReferenceData!$K$405),"")</f>
        <v>5.4632974949999999</v>
      </c>
      <c r="L405">
        <f ca="1">IFERROR(IF(0=LEN(ReferenceData!$L$405),"",ReferenceData!$L$405),"")</f>
        <v>6.1853900199999998</v>
      </c>
      <c r="M405">
        <f ca="1">IFERROR(IF(0=LEN(ReferenceData!$M$405),"",ReferenceData!$M$405),"")</f>
        <v>7.7124973739999998</v>
      </c>
      <c r="N405">
        <f ca="1">IFERROR(IF(0=LEN(ReferenceData!$N$405),"",ReferenceData!$N$405),"")</f>
        <v>7.4289670460000004</v>
      </c>
      <c r="O405">
        <f ca="1">IFERROR(IF(0=LEN(ReferenceData!$O$405),"",ReferenceData!$O$405),"")</f>
        <v>7.6530611710000001</v>
      </c>
      <c r="P405">
        <f ca="1">IFERROR(IF(0=LEN(ReferenceData!$P$405),"",ReferenceData!$P$405),"")</f>
        <v>7.7065055630000003</v>
      </c>
      <c r="Q405">
        <f ca="1">IFERROR(IF(0=LEN(ReferenceData!$Q$405),"",ReferenceData!$Q$405),"")</f>
        <v>7.4829714479999998</v>
      </c>
      <c r="R405">
        <f ca="1">IFERROR(IF(0=LEN(ReferenceData!$R$405),"",ReferenceData!$R$405),"")</f>
        <v>6.1450707580000001</v>
      </c>
      <c r="S405">
        <f ca="1">IFERROR(IF(0=LEN(ReferenceData!$S$405),"",ReferenceData!$S$405),"")</f>
        <v>4.0051875929999996</v>
      </c>
      <c r="T405">
        <f ca="1">IFERROR(IF(0=LEN(ReferenceData!$T$405),"",ReferenceData!$T$405),"")</f>
        <v>2.5878505700000001</v>
      </c>
      <c r="U405" t="str">
        <f ca="1">IFERROR(IF(0=LEN(ReferenceData!$U$405),"",ReferenceData!$U$405),"")</f>
        <v/>
      </c>
      <c r="V405" t="str">
        <f ca="1">IFERROR(IF(0=LEN(ReferenceData!$V$405),"",ReferenceData!$V$405),"")</f>
        <v/>
      </c>
      <c r="W405" t="str">
        <f ca="1">IFERROR(IF(0=LEN(ReferenceData!$W$405),"",ReferenceData!$W$405),"")</f>
        <v/>
      </c>
      <c r="X405" t="str">
        <f ca="1">IFERROR(IF(0=LEN(ReferenceData!$X$405),"",ReferenceData!$X$405),"")</f>
        <v/>
      </c>
      <c r="Y405" t="str">
        <f ca="1">IFERROR(IF(0=LEN(ReferenceData!$Y$405),"",ReferenceData!$Y$405),"")</f>
        <v/>
      </c>
      <c r="Z405" t="str">
        <f ca="1">IFERROR(IF(0=LEN(ReferenceData!$Z$405),"",ReferenceData!$Z$405),"")</f>
        <v/>
      </c>
      <c r="AA405" t="str">
        <f ca="1">IFERROR(IF(0=LEN(ReferenceData!$AA$405),"",ReferenceData!$AA$405),"")</f>
        <v/>
      </c>
      <c r="AB405" t="str">
        <f ca="1">IFERROR(IF(0=LEN(ReferenceData!$AB$405),"",ReferenceData!$AB$405),"")</f>
        <v/>
      </c>
      <c r="AC405" t="str">
        <f ca="1">IFERROR(IF(0=LEN(ReferenceData!$AC$405),"",ReferenceData!$AC$405),"")</f>
        <v/>
      </c>
      <c r="AD405" t="str">
        <f ca="1">IFERROR(IF(0=LEN(ReferenceData!$AD$405),"",ReferenceData!$AD$405),"")</f>
        <v/>
      </c>
      <c r="AE405" t="str">
        <f ca="1">IFERROR(IF(0=LEN(ReferenceData!$AE$405),"",ReferenceData!$AE$405),"")</f>
        <v/>
      </c>
      <c r="AF405" t="str">
        <f ca="1">IFERROR(IF(0=LEN(ReferenceData!$AF$405),"",ReferenceData!$AF$405),"")</f>
        <v/>
      </c>
      <c r="AG405" t="str">
        <f ca="1">IFERROR(IF(0=LEN(ReferenceData!$AG$405),"",ReferenceData!$AG$405),"")</f>
        <v/>
      </c>
      <c r="AH405" t="str">
        <f ca="1">IFERROR(IF(0=LEN(ReferenceData!$AH$405),"",ReferenceData!$AH$405),"")</f>
        <v/>
      </c>
      <c r="AI405" t="str">
        <f ca="1">IFERROR(IF(0=LEN(ReferenceData!$AI$405),"",ReferenceData!$AI$405),"")</f>
        <v/>
      </c>
      <c r="AJ405" t="str">
        <f ca="1">IFERROR(IF(0=LEN(ReferenceData!$AJ$405),"",ReferenceData!$AJ$405),"")</f>
        <v/>
      </c>
      <c r="AK405" t="str">
        <f ca="1">IFERROR(IF(0=LEN(ReferenceData!$AK$405),"",ReferenceData!$AK$405),"")</f>
        <v/>
      </c>
      <c r="AL405" t="str">
        <f ca="1">IFERROR(IF(0=LEN(ReferenceData!$AL$405),"",ReferenceData!$AL$405),"")</f>
        <v/>
      </c>
    </row>
    <row r="406" spans="1:38" x14ac:dyDescent="0.25">
      <c r="A406" t="str">
        <f>IFERROR(IF(0=LEN(ReferenceData!$A$406),"",ReferenceData!$A$406),"")</f>
        <v xml:space="preserve">        Regions Financial Corp</v>
      </c>
      <c r="B406" t="str">
        <f>IFERROR(IF(0=LEN(ReferenceData!$B$406),"",ReferenceData!$B$406),"")</f>
        <v>RF US Equity</v>
      </c>
      <c r="C406" t="str">
        <f>IFERROR(IF(0=LEN(ReferenceData!$C$406),"",ReferenceData!$C$406),"")</f>
        <v>F0128</v>
      </c>
      <c r="D406" t="str">
        <f>IFERROR(IF(0=LEN(ReferenceData!$D$406),"",ReferenceData!$D$406),"")</f>
        <v>FED_OTH_NONCONS_LNS_%_TOT_LNS_LS</v>
      </c>
      <c r="E406" t="str">
        <f>IFERROR(IF(0=LEN(ReferenceData!$E$406),"",ReferenceData!$E$406),"")</f>
        <v>Dynamic</v>
      </c>
      <c r="F406" t="str">
        <f ca="1">IFERROR(IF(0=LEN(ReferenceData!$F$406),"",ReferenceData!$F$406),"")</f>
        <v/>
      </c>
      <c r="G406">
        <f ca="1">IFERROR(IF(0=LEN(ReferenceData!$G$406),"",ReferenceData!$G$406),"")</f>
        <v>8.1711589480000004</v>
      </c>
      <c r="H406">
        <f ca="1">IFERROR(IF(0=LEN(ReferenceData!$H$406),"",ReferenceData!$H$406),"")</f>
        <v>7.9283388290000003</v>
      </c>
      <c r="I406">
        <f ca="1">IFERROR(IF(0=LEN(ReferenceData!$I$406),"",ReferenceData!$I$406),"")</f>
        <v>7.9201117439999997</v>
      </c>
      <c r="J406">
        <f ca="1">IFERROR(IF(0=LEN(ReferenceData!$J$406),"",ReferenceData!$J$406),"")</f>
        <v>8.2052223390000005</v>
      </c>
      <c r="K406">
        <f ca="1">IFERROR(IF(0=LEN(ReferenceData!$K$406),"",ReferenceData!$K$406),"")</f>
        <v>7.8313397130000002</v>
      </c>
      <c r="L406">
        <f ca="1">IFERROR(IF(0=LEN(ReferenceData!$L$406),"",ReferenceData!$L$406),"")</f>
        <v>8.2484905029999993</v>
      </c>
      <c r="M406">
        <f ca="1">IFERROR(IF(0=LEN(ReferenceData!$M$406),"",ReferenceData!$M$406),"")</f>
        <v>7.9227435279999998</v>
      </c>
      <c r="N406">
        <f ca="1">IFERROR(IF(0=LEN(ReferenceData!$N$406),"",ReferenceData!$N$406),"")</f>
        <v>6.9161899780000002</v>
      </c>
      <c r="O406">
        <f ca="1">IFERROR(IF(0=LEN(ReferenceData!$O$406),"",ReferenceData!$O$406),"")</f>
        <v>5.4965331720000004</v>
      </c>
      <c r="P406">
        <f ca="1">IFERROR(IF(0=LEN(ReferenceData!$P$406),"",ReferenceData!$P$406),"")</f>
        <v>3.5541561480000001</v>
      </c>
      <c r="Q406">
        <f ca="1">IFERROR(IF(0=LEN(ReferenceData!$Q$406),"",ReferenceData!$Q$406),"")</f>
        <v>3.9339129480000001</v>
      </c>
      <c r="R406">
        <f ca="1">IFERROR(IF(0=LEN(ReferenceData!$R$406),"",ReferenceData!$R$406),"")</f>
        <v>4.1395515969999996</v>
      </c>
      <c r="S406">
        <f ca="1">IFERROR(IF(0=LEN(ReferenceData!$S$406),"",ReferenceData!$S$406),"")</f>
        <v>4.2325884819999997</v>
      </c>
      <c r="T406">
        <f ca="1">IFERROR(IF(0=LEN(ReferenceData!$T$406),"",ReferenceData!$T$406),"")</f>
        <v>3.8842513379999999</v>
      </c>
      <c r="U406" t="str">
        <f ca="1">IFERROR(IF(0=LEN(ReferenceData!$U$406),"",ReferenceData!$U$406),"")</f>
        <v/>
      </c>
      <c r="V406" t="str">
        <f ca="1">IFERROR(IF(0=LEN(ReferenceData!$V$406),"",ReferenceData!$V$406),"")</f>
        <v/>
      </c>
      <c r="W406" t="str">
        <f ca="1">IFERROR(IF(0=LEN(ReferenceData!$W$406),"",ReferenceData!$W$406),"")</f>
        <v/>
      </c>
      <c r="X406" t="str">
        <f ca="1">IFERROR(IF(0=LEN(ReferenceData!$X$406),"",ReferenceData!$X$406),"")</f>
        <v/>
      </c>
      <c r="Y406" t="str">
        <f ca="1">IFERROR(IF(0=LEN(ReferenceData!$Y$406),"",ReferenceData!$Y$406),"")</f>
        <v/>
      </c>
      <c r="Z406" t="str">
        <f ca="1">IFERROR(IF(0=LEN(ReferenceData!$Z$406),"",ReferenceData!$Z$406),"")</f>
        <v/>
      </c>
      <c r="AA406" t="str">
        <f ca="1">IFERROR(IF(0=LEN(ReferenceData!$AA$406),"",ReferenceData!$AA$406),"")</f>
        <v/>
      </c>
      <c r="AB406" t="str">
        <f ca="1">IFERROR(IF(0=LEN(ReferenceData!$AB$406),"",ReferenceData!$AB$406),"")</f>
        <v/>
      </c>
      <c r="AC406" t="str">
        <f ca="1">IFERROR(IF(0=LEN(ReferenceData!$AC$406),"",ReferenceData!$AC$406),"")</f>
        <v/>
      </c>
      <c r="AD406" t="str">
        <f ca="1">IFERROR(IF(0=LEN(ReferenceData!$AD$406),"",ReferenceData!$AD$406),"")</f>
        <v/>
      </c>
      <c r="AE406" t="str">
        <f ca="1">IFERROR(IF(0=LEN(ReferenceData!$AE$406),"",ReferenceData!$AE$406),"")</f>
        <v/>
      </c>
      <c r="AF406" t="str">
        <f ca="1">IFERROR(IF(0=LEN(ReferenceData!$AF$406),"",ReferenceData!$AF$406),"")</f>
        <v/>
      </c>
      <c r="AG406" t="str">
        <f ca="1">IFERROR(IF(0=LEN(ReferenceData!$AG$406),"",ReferenceData!$AG$406),"")</f>
        <v/>
      </c>
      <c r="AH406" t="str">
        <f ca="1">IFERROR(IF(0=LEN(ReferenceData!$AH$406),"",ReferenceData!$AH$406),"")</f>
        <v/>
      </c>
      <c r="AI406" t="str">
        <f ca="1">IFERROR(IF(0=LEN(ReferenceData!$AI$406),"",ReferenceData!$AI$406),"")</f>
        <v/>
      </c>
      <c r="AJ406" t="str">
        <f ca="1">IFERROR(IF(0=LEN(ReferenceData!$AJ$406),"",ReferenceData!$AJ$406),"")</f>
        <v/>
      </c>
      <c r="AK406" t="str">
        <f ca="1">IFERROR(IF(0=LEN(ReferenceData!$AK$406),"",ReferenceData!$AK$406),"")</f>
        <v/>
      </c>
      <c r="AL406" t="str">
        <f ca="1">IFERROR(IF(0=LEN(ReferenceData!$AL$406),"",ReferenceData!$AL$406),"")</f>
        <v/>
      </c>
    </row>
    <row r="407" spans="1:38" x14ac:dyDescent="0.25">
      <c r="A407" t="str">
        <f>IFERROR(IF(0=LEN(ReferenceData!$A$407),"",ReferenceData!$A$407),"")</f>
        <v xml:space="preserve">        Truist Financial Corp</v>
      </c>
      <c r="B407" t="str">
        <f>IFERROR(IF(0=LEN(ReferenceData!$B$407),"",ReferenceData!$B$407),"")</f>
        <v>TFC US Equity</v>
      </c>
      <c r="C407" t="str">
        <f>IFERROR(IF(0=LEN(ReferenceData!$C$407),"",ReferenceData!$C$407),"")</f>
        <v>F0128</v>
      </c>
      <c r="D407" t="str">
        <f>IFERROR(IF(0=LEN(ReferenceData!$D$407),"",ReferenceData!$D$407),"")</f>
        <v>FED_OTH_NONCONS_LNS_%_TOT_LNS_LS</v>
      </c>
      <c r="E407" t="str">
        <f>IFERROR(IF(0=LEN(ReferenceData!$E$407),"",ReferenceData!$E$407),"")</f>
        <v>Dynamic</v>
      </c>
      <c r="F407">
        <f ca="1">IFERROR(IF(0=LEN(ReferenceData!$F$407),"",ReferenceData!$F$407),"")</f>
        <v>9.8001436129999995</v>
      </c>
      <c r="G407">
        <f ca="1">IFERROR(IF(0=LEN(ReferenceData!$G$407),"",ReferenceData!$G$407),"")</f>
        <v>9.8640139659999999</v>
      </c>
      <c r="H407">
        <f ca="1">IFERROR(IF(0=LEN(ReferenceData!$H$407),"",ReferenceData!$H$407),"")</f>
        <v>8.4093026099999992</v>
      </c>
      <c r="I407">
        <f ca="1">IFERROR(IF(0=LEN(ReferenceData!$I$407),"",ReferenceData!$I$407),"")</f>
        <v>8.3071434639999993</v>
      </c>
      <c r="J407">
        <f ca="1">IFERROR(IF(0=LEN(ReferenceData!$J$407),"",ReferenceData!$J$407),"")</f>
        <v>7.6996530329999997</v>
      </c>
      <c r="K407">
        <f ca="1">IFERROR(IF(0=LEN(ReferenceData!$K$407),"",ReferenceData!$K$407),"")</f>
        <v>6.8147234880000003</v>
      </c>
      <c r="L407">
        <f ca="1">IFERROR(IF(0=LEN(ReferenceData!$L$407),"",ReferenceData!$L$407),"")</f>
        <v>7.7412817250000003</v>
      </c>
      <c r="M407">
        <f ca="1">IFERROR(IF(0=LEN(ReferenceData!$M$407),"",ReferenceData!$M$407),"")</f>
        <v>8.0255524860000005</v>
      </c>
      <c r="N407">
        <f ca="1">IFERROR(IF(0=LEN(ReferenceData!$N$407),"",ReferenceData!$N$407),"")</f>
        <v>6.843033385</v>
      </c>
      <c r="O407">
        <f ca="1">IFERROR(IF(0=LEN(ReferenceData!$O$407),"",ReferenceData!$O$407),"")</f>
        <v>6.7167833640000003</v>
      </c>
      <c r="P407">
        <f ca="1">IFERROR(IF(0=LEN(ReferenceData!$P$407),"",ReferenceData!$P$407),"")</f>
        <v>6.6609222389999996</v>
      </c>
      <c r="Q407">
        <f ca="1">IFERROR(IF(0=LEN(ReferenceData!$Q$407),"",ReferenceData!$Q$407),"")</f>
        <v>6.6274537249999996</v>
      </c>
      <c r="R407">
        <f ca="1">IFERROR(IF(0=LEN(ReferenceData!$R$407),"",ReferenceData!$R$407),"")</f>
        <v>6.1864936349999997</v>
      </c>
      <c r="S407">
        <f ca="1">IFERROR(IF(0=LEN(ReferenceData!$S$407),"",ReferenceData!$S$407),"")</f>
        <v>5.3584174229999997</v>
      </c>
      <c r="T407">
        <f ca="1">IFERROR(IF(0=LEN(ReferenceData!$T$407),"",ReferenceData!$T$407),"")</f>
        <v>4.9855270569999997</v>
      </c>
      <c r="U407" t="str">
        <f ca="1">IFERROR(IF(0=LEN(ReferenceData!$U$407),"",ReferenceData!$U$407),"")</f>
        <v/>
      </c>
      <c r="V407" t="str">
        <f ca="1">IFERROR(IF(0=LEN(ReferenceData!$V$407),"",ReferenceData!$V$407),"")</f>
        <v/>
      </c>
      <c r="W407" t="str">
        <f ca="1">IFERROR(IF(0=LEN(ReferenceData!$W$407),"",ReferenceData!$W$407),"")</f>
        <v/>
      </c>
      <c r="X407" t="str">
        <f ca="1">IFERROR(IF(0=LEN(ReferenceData!$X$407),"",ReferenceData!$X$407),"")</f>
        <v/>
      </c>
      <c r="Y407" t="str">
        <f ca="1">IFERROR(IF(0=LEN(ReferenceData!$Y$407),"",ReferenceData!$Y$407),"")</f>
        <v/>
      </c>
      <c r="Z407" t="str">
        <f ca="1">IFERROR(IF(0=LEN(ReferenceData!$Z$407),"",ReferenceData!$Z$407),"")</f>
        <v/>
      </c>
      <c r="AA407" t="str">
        <f ca="1">IFERROR(IF(0=LEN(ReferenceData!$AA$407),"",ReferenceData!$AA$407),"")</f>
        <v/>
      </c>
      <c r="AB407" t="str">
        <f ca="1">IFERROR(IF(0=LEN(ReferenceData!$AB$407),"",ReferenceData!$AB$407),"")</f>
        <v/>
      </c>
      <c r="AC407" t="str">
        <f ca="1">IFERROR(IF(0=LEN(ReferenceData!$AC$407),"",ReferenceData!$AC$407),"")</f>
        <v/>
      </c>
      <c r="AD407" t="str">
        <f ca="1">IFERROR(IF(0=LEN(ReferenceData!$AD$407),"",ReferenceData!$AD$407),"")</f>
        <v/>
      </c>
      <c r="AE407" t="str">
        <f ca="1">IFERROR(IF(0=LEN(ReferenceData!$AE$407),"",ReferenceData!$AE$407),"")</f>
        <v/>
      </c>
      <c r="AF407" t="str">
        <f ca="1">IFERROR(IF(0=LEN(ReferenceData!$AF$407),"",ReferenceData!$AF$407),"")</f>
        <v/>
      </c>
      <c r="AG407" t="str">
        <f ca="1">IFERROR(IF(0=LEN(ReferenceData!$AG$407),"",ReferenceData!$AG$407),"")</f>
        <v/>
      </c>
      <c r="AH407" t="str">
        <f ca="1">IFERROR(IF(0=LEN(ReferenceData!$AH$407),"",ReferenceData!$AH$407),"")</f>
        <v/>
      </c>
      <c r="AI407" t="str">
        <f ca="1">IFERROR(IF(0=LEN(ReferenceData!$AI$407),"",ReferenceData!$AI$407),"")</f>
        <v/>
      </c>
      <c r="AJ407" t="str">
        <f ca="1">IFERROR(IF(0=LEN(ReferenceData!$AJ$407),"",ReferenceData!$AJ$407),"")</f>
        <v/>
      </c>
      <c r="AK407" t="str">
        <f ca="1">IFERROR(IF(0=LEN(ReferenceData!$AK$407),"",ReferenceData!$AK$407),"")</f>
        <v/>
      </c>
      <c r="AL407" t="str">
        <f ca="1">IFERROR(IF(0=LEN(ReferenceData!$AL$407),"",ReferenceData!$AL$407),"")</f>
        <v/>
      </c>
    </row>
    <row r="408" spans="1:38" x14ac:dyDescent="0.25">
      <c r="A408" t="str">
        <f>IFERROR(IF(0=LEN(ReferenceData!$A$408),"",ReferenceData!$A$408),"")</f>
        <v xml:space="preserve">        US Bancorp</v>
      </c>
      <c r="B408" t="str">
        <f>IFERROR(IF(0=LEN(ReferenceData!$B$408),"",ReferenceData!$B$408),"")</f>
        <v>USB US Equity</v>
      </c>
      <c r="C408" t="str">
        <f>IFERROR(IF(0=LEN(ReferenceData!$C$408),"",ReferenceData!$C$408),"")</f>
        <v>F0128</v>
      </c>
      <c r="D408" t="str">
        <f>IFERROR(IF(0=LEN(ReferenceData!$D$408),"",ReferenceData!$D$408),"")</f>
        <v>FED_OTH_NONCONS_LNS_%_TOT_LNS_LS</v>
      </c>
      <c r="E408" t="str">
        <f>IFERROR(IF(0=LEN(ReferenceData!$E$408),"",ReferenceData!$E$408),"")</f>
        <v>Dynamic</v>
      </c>
      <c r="F408">
        <f ca="1">IFERROR(IF(0=LEN(ReferenceData!$F$408),"",ReferenceData!$F$408),"")</f>
        <v>3.922542854</v>
      </c>
      <c r="G408">
        <f ca="1">IFERROR(IF(0=LEN(ReferenceData!$G$408),"",ReferenceData!$G$408),"")</f>
        <v>4.1583784530000001</v>
      </c>
      <c r="H408">
        <f ca="1">IFERROR(IF(0=LEN(ReferenceData!$H$408),"",ReferenceData!$H$408),"")</f>
        <v>3.9253303549999998</v>
      </c>
      <c r="I408">
        <f ca="1">IFERROR(IF(0=LEN(ReferenceData!$I$408),"",ReferenceData!$I$408),"")</f>
        <v>4.6165920900000001</v>
      </c>
      <c r="J408">
        <f ca="1">IFERROR(IF(0=LEN(ReferenceData!$J$408),"",ReferenceData!$J$408),"")</f>
        <v>4.9447250609999998</v>
      </c>
      <c r="K408">
        <f ca="1">IFERROR(IF(0=LEN(ReferenceData!$K$408),"",ReferenceData!$K$408),"")</f>
        <v>4.6913948550000004</v>
      </c>
      <c r="L408">
        <f ca="1">IFERROR(IF(0=LEN(ReferenceData!$L$408),"",ReferenceData!$L$408),"")</f>
        <v>5.4679437899999996</v>
      </c>
      <c r="M408">
        <f ca="1">IFERROR(IF(0=LEN(ReferenceData!$M$408),"",ReferenceData!$M$408),"")</f>
        <v>5.9764737429999997</v>
      </c>
      <c r="N408">
        <f ca="1">IFERROR(IF(0=LEN(ReferenceData!$N$408),"",ReferenceData!$N$408),"")</f>
        <v>5.9203762949999996</v>
      </c>
      <c r="O408">
        <f ca="1">IFERROR(IF(0=LEN(ReferenceData!$O$408),"",ReferenceData!$O$408),"")</f>
        <v>5.5482678769999998</v>
      </c>
      <c r="P408">
        <f ca="1">IFERROR(IF(0=LEN(ReferenceData!$P$408),"",ReferenceData!$P$408),"")</f>
        <v>5.011373216</v>
      </c>
      <c r="Q408">
        <f ca="1">IFERROR(IF(0=LEN(ReferenceData!$Q$408),"",ReferenceData!$Q$408),"")</f>
        <v>5.0923795820000004</v>
      </c>
      <c r="R408">
        <f ca="1">IFERROR(IF(0=LEN(ReferenceData!$R$408),"",ReferenceData!$R$408),"")</f>
        <v>4.9294641889999999</v>
      </c>
      <c r="S408">
        <f ca="1">IFERROR(IF(0=LEN(ReferenceData!$S$408),"",ReferenceData!$S$408),"")</f>
        <v>3.9059986480000002</v>
      </c>
      <c r="T408">
        <f ca="1">IFERROR(IF(0=LEN(ReferenceData!$T$408),"",ReferenceData!$T$408),"")</f>
        <v>3.1869299780000002</v>
      </c>
      <c r="U408" t="str">
        <f ca="1">IFERROR(IF(0=LEN(ReferenceData!$U$408),"",ReferenceData!$U$408),"")</f>
        <v/>
      </c>
      <c r="V408" t="str">
        <f ca="1">IFERROR(IF(0=LEN(ReferenceData!$V$408),"",ReferenceData!$V$408),"")</f>
        <v/>
      </c>
      <c r="W408" t="str">
        <f ca="1">IFERROR(IF(0=LEN(ReferenceData!$W$408),"",ReferenceData!$W$408),"")</f>
        <v/>
      </c>
      <c r="X408" t="str">
        <f ca="1">IFERROR(IF(0=LEN(ReferenceData!$X$408),"",ReferenceData!$X$408),"")</f>
        <v/>
      </c>
      <c r="Y408" t="str">
        <f ca="1">IFERROR(IF(0=LEN(ReferenceData!$Y$408),"",ReferenceData!$Y$408),"")</f>
        <v/>
      </c>
      <c r="Z408" t="str">
        <f ca="1">IFERROR(IF(0=LEN(ReferenceData!$Z$408),"",ReferenceData!$Z$408),"")</f>
        <v/>
      </c>
      <c r="AA408" t="str">
        <f ca="1">IFERROR(IF(0=LEN(ReferenceData!$AA$408),"",ReferenceData!$AA$408),"")</f>
        <v/>
      </c>
      <c r="AB408" t="str">
        <f ca="1">IFERROR(IF(0=LEN(ReferenceData!$AB$408),"",ReferenceData!$AB$408),"")</f>
        <v/>
      </c>
      <c r="AC408" t="str">
        <f ca="1">IFERROR(IF(0=LEN(ReferenceData!$AC$408),"",ReferenceData!$AC$408),"")</f>
        <v/>
      </c>
      <c r="AD408" t="str">
        <f ca="1">IFERROR(IF(0=LEN(ReferenceData!$AD$408),"",ReferenceData!$AD$408),"")</f>
        <v/>
      </c>
      <c r="AE408" t="str">
        <f ca="1">IFERROR(IF(0=LEN(ReferenceData!$AE$408),"",ReferenceData!$AE$408),"")</f>
        <v/>
      </c>
      <c r="AF408" t="str">
        <f ca="1">IFERROR(IF(0=LEN(ReferenceData!$AF$408),"",ReferenceData!$AF$408),"")</f>
        <v/>
      </c>
      <c r="AG408" t="str">
        <f ca="1">IFERROR(IF(0=LEN(ReferenceData!$AG$408),"",ReferenceData!$AG$408),"")</f>
        <v/>
      </c>
      <c r="AH408" t="str">
        <f ca="1">IFERROR(IF(0=LEN(ReferenceData!$AH$408),"",ReferenceData!$AH$408),"")</f>
        <v/>
      </c>
      <c r="AI408" t="str">
        <f ca="1">IFERROR(IF(0=LEN(ReferenceData!$AI$408),"",ReferenceData!$AI$408),"")</f>
        <v/>
      </c>
      <c r="AJ408" t="str">
        <f ca="1">IFERROR(IF(0=LEN(ReferenceData!$AJ$408),"",ReferenceData!$AJ$408),"")</f>
        <v/>
      </c>
      <c r="AK408" t="str">
        <f ca="1">IFERROR(IF(0=LEN(ReferenceData!$AK$408),"",ReferenceData!$AK$408),"")</f>
        <v/>
      </c>
      <c r="AL408" t="str">
        <f ca="1">IFERROR(IF(0=LEN(ReferenceData!$AL$408),"",ReferenceData!$AL$408),"")</f>
        <v/>
      </c>
    </row>
    <row r="409" spans="1:38" x14ac:dyDescent="0.25">
      <c r="A409" t="str">
        <f>IFERROR(IF(0=LEN(ReferenceData!$A$409),"",ReferenceData!$A$409),"")</f>
        <v xml:space="preserve">        Wells Fargo &amp; Co</v>
      </c>
      <c r="B409" t="str">
        <f>IFERROR(IF(0=LEN(ReferenceData!$B$409),"",ReferenceData!$B$409),"")</f>
        <v>WFC US Equity</v>
      </c>
      <c r="C409" t="str">
        <f>IFERROR(IF(0=LEN(ReferenceData!$C$409),"",ReferenceData!$C$409),"")</f>
        <v>F0128</v>
      </c>
      <c r="D409" t="str">
        <f>IFERROR(IF(0=LEN(ReferenceData!$D$409),"",ReferenceData!$D$409),"")</f>
        <v>FED_OTH_NONCONS_LNS_%_TOT_LNS_LS</v>
      </c>
      <c r="E409" t="str">
        <f>IFERROR(IF(0=LEN(ReferenceData!$E$409),"",ReferenceData!$E$409),"")</f>
        <v>Dynamic</v>
      </c>
      <c r="F409">
        <f ca="1">IFERROR(IF(0=LEN(ReferenceData!$F$409),"",ReferenceData!$F$409),"")</f>
        <v>2.9587576389999999</v>
      </c>
      <c r="G409">
        <f ca="1">IFERROR(IF(0=LEN(ReferenceData!$G$409),"",ReferenceData!$G$409),"")</f>
        <v>2.8028622350000001</v>
      </c>
      <c r="H409">
        <f ca="1">IFERROR(IF(0=LEN(ReferenceData!$H$409),"",ReferenceData!$H$409),"")</f>
        <v>2.8258705850000001</v>
      </c>
      <c r="I409">
        <f ca="1">IFERROR(IF(0=LEN(ReferenceData!$I$409),"",ReferenceData!$I$409),"")</f>
        <v>2.6510045849999999</v>
      </c>
      <c r="J409">
        <f ca="1">IFERROR(IF(0=LEN(ReferenceData!$J$409),"",ReferenceData!$J$409),"")</f>
        <v>2.8771466490000002</v>
      </c>
      <c r="K409">
        <f ca="1">IFERROR(IF(0=LEN(ReferenceData!$K$409),"",ReferenceData!$K$409),"")</f>
        <v>2.6165624379999999</v>
      </c>
      <c r="L409">
        <f ca="1">IFERROR(IF(0=LEN(ReferenceData!$L$409),"",ReferenceData!$L$409),"")</f>
        <v>2.868546625</v>
      </c>
      <c r="M409">
        <f ca="1">IFERROR(IF(0=LEN(ReferenceData!$M$409),"",ReferenceData!$M$409),"")</f>
        <v>3.1235416379999998</v>
      </c>
      <c r="N409">
        <f ca="1">IFERROR(IF(0=LEN(ReferenceData!$N$409),"",ReferenceData!$N$409),"")</f>
        <v>3.0948427039999999</v>
      </c>
      <c r="O409">
        <f ca="1">IFERROR(IF(0=LEN(ReferenceData!$O$409),"",ReferenceData!$O$409),"")</f>
        <v>2.7939153440000002</v>
      </c>
      <c r="P409">
        <f ca="1">IFERROR(IF(0=LEN(ReferenceData!$P$409),"",ReferenceData!$P$409),"")</f>
        <v>2.7061626699999999</v>
      </c>
      <c r="Q409">
        <f ca="1">IFERROR(IF(0=LEN(ReferenceData!$Q$409),"",ReferenceData!$Q$409),"")</f>
        <v>1.554665067</v>
      </c>
      <c r="R409">
        <f ca="1">IFERROR(IF(0=LEN(ReferenceData!$R$409),"",ReferenceData!$R$409),"")</f>
        <v>1.1117789179999999</v>
      </c>
      <c r="S409">
        <f ca="1">IFERROR(IF(0=LEN(ReferenceData!$S$409),"",ReferenceData!$S$409),"")</f>
        <v>1.919748671</v>
      </c>
      <c r="T409">
        <f ca="1">IFERROR(IF(0=LEN(ReferenceData!$T$409),"",ReferenceData!$T$409),"")</f>
        <v>2.0874624069999999</v>
      </c>
      <c r="U409" t="str">
        <f ca="1">IFERROR(IF(0=LEN(ReferenceData!$U$409),"",ReferenceData!$U$409),"")</f>
        <v/>
      </c>
      <c r="V409" t="str">
        <f ca="1">IFERROR(IF(0=LEN(ReferenceData!$V$409),"",ReferenceData!$V$409),"")</f>
        <v/>
      </c>
      <c r="W409" t="str">
        <f ca="1">IFERROR(IF(0=LEN(ReferenceData!$W$409),"",ReferenceData!$W$409),"")</f>
        <v/>
      </c>
      <c r="X409" t="str">
        <f ca="1">IFERROR(IF(0=LEN(ReferenceData!$X$409),"",ReferenceData!$X$409),"")</f>
        <v/>
      </c>
      <c r="Y409" t="str">
        <f ca="1">IFERROR(IF(0=LEN(ReferenceData!$Y$409),"",ReferenceData!$Y$409),"")</f>
        <v/>
      </c>
      <c r="Z409" t="str">
        <f ca="1">IFERROR(IF(0=LEN(ReferenceData!$Z$409),"",ReferenceData!$Z$409),"")</f>
        <v/>
      </c>
      <c r="AA409" t="str">
        <f ca="1">IFERROR(IF(0=LEN(ReferenceData!$AA$409),"",ReferenceData!$AA$409),"")</f>
        <v/>
      </c>
      <c r="AB409" t="str">
        <f ca="1">IFERROR(IF(0=LEN(ReferenceData!$AB$409),"",ReferenceData!$AB$409),"")</f>
        <v/>
      </c>
      <c r="AC409" t="str">
        <f ca="1">IFERROR(IF(0=LEN(ReferenceData!$AC$409),"",ReferenceData!$AC$409),"")</f>
        <v/>
      </c>
      <c r="AD409" t="str">
        <f ca="1">IFERROR(IF(0=LEN(ReferenceData!$AD$409),"",ReferenceData!$AD$409),"")</f>
        <v/>
      </c>
      <c r="AE409" t="str">
        <f ca="1">IFERROR(IF(0=LEN(ReferenceData!$AE$409),"",ReferenceData!$AE$409),"")</f>
        <v/>
      </c>
      <c r="AF409" t="str">
        <f ca="1">IFERROR(IF(0=LEN(ReferenceData!$AF$409),"",ReferenceData!$AF$409),"")</f>
        <v/>
      </c>
      <c r="AG409" t="str">
        <f ca="1">IFERROR(IF(0=LEN(ReferenceData!$AG$409),"",ReferenceData!$AG$409),"")</f>
        <v/>
      </c>
      <c r="AH409" t="str">
        <f ca="1">IFERROR(IF(0=LEN(ReferenceData!$AH$409),"",ReferenceData!$AH$409),"")</f>
        <v/>
      </c>
      <c r="AI409" t="str">
        <f ca="1">IFERROR(IF(0=LEN(ReferenceData!$AI$409),"",ReferenceData!$AI$409),"")</f>
        <v/>
      </c>
      <c r="AJ409" t="str">
        <f ca="1">IFERROR(IF(0=LEN(ReferenceData!$AJ$409),"",ReferenceData!$AJ$409),"")</f>
        <v/>
      </c>
      <c r="AK409" t="str">
        <f ca="1">IFERROR(IF(0=LEN(ReferenceData!$AK$409),"",ReferenceData!$AK$409),"")</f>
        <v/>
      </c>
      <c r="AL409" t="str">
        <f ca="1">IFERROR(IF(0=LEN(ReferenceData!$AL$409),"",ReferenceData!$AL$409),"")</f>
        <v/>
      </c>
    </row>
    <row r="410" spans="1:38" x14ac:dyDescent="0.25">
      <c r="A410" t="str">
        <f>IFERROR(IF(0=LEN(ReferenceData!$A$410),"",ReferenceData!$A$410),"")</f>
        <v xml:space="preserve">        Western Alliance Bancorp</v>
      </c>
      <c r="B410" t="str">
        <f>IFERROR(IF(0=LEN(ReferenceData!$B$410),"",ReferenceData!$B$410),"")</f>
        <v>WAL US Equity</v>
      </c>
      <c r="C410" t="str">
        <f>IFERROR(IF(0=LEN(ReferenceData!$C$410),"",ReferenceData!$C$410),"")</f>
        <v>F0128</v>
      </c>
      <c r="D410" t="str">
        <f>IFERROR(IF(0=LEN(ReferenceData!$D$410),"",ReferenceData!$D$410),"")</f>
        <v>FED_OTH_NONCONS_LNS_%_TOT_LNS_LS</v>
      </c>
      <c r="E410" t="str">
        <f>IFERROR(IF(0=LEN(ReferenceData!$E$410),"",ReferenceData!$E$410),"")</f>
        <v>Dynamic</v>
      </c>
      <c r="F410">
        <f ca="1">IFERROR(IF(0=LEN(ReferenceData!$F$410),"",ReferenceData!$F$410),"")</f>
        <v>3.6450015410000001</v>
      </c>
      <c r="G410">
        <f ca="1">IFERROR(IF(0=LEN(ReferenceData!$G$410),"",ReferenceData!$G$410),"")</f>
        <v>4.048134481</v>
      </c>
      <c r="H410">
        <f ca="1">IFERROR(IF(0=LEN(ReferenceData!$H$410),"",ReferenceData!$H$410),"")</f>
        <v>3.834480122</v>
      </c>
      <c r="I410">
        <f ca="1">IFERROR(IF(0=LEN(ReferenceData!$I$410),"",ReferenceData!$I$410),"")</f>
        <v>4.6441572119999996</v>
      </c>
      <c r="J410">
        <f ca="1">IFERROR(IF(0=LEN(ReferenceData!$J$410),"",ReferenceData!$J$410),"")</f>
        <v>8.5903983060000009</v>
      </c>
      <c r="K410">
        <f ca="1">IFERROR(IF(0=LEN(ReferenceData!$K$410),"",ReferenceData!$K$410),"")</f>
        <v>10.26339829</v>
      </c>
      <c r="L410">
        <f ca="1">IFERROR(IF(0=LEN(ReferenceData!$L$410),"",ReferenceData!$L$410),"")</f>
        <v>11.625905550000001</v>
      </c>
      <c r="M410">
        <f ca="1">IFERROR(IF(0=LEN(ReferenceData!$M$410),"",ReferenceData!$M$410),"")</f>
        <v>13.252740259999999</v>
      </c>
      <c r="N410">
        <f ca="1">IFERROR(IF(0=LEN(ReferenceData!$N$410),"",ReferenceData!$N$410),"")</f>
        <v>13.75829811</v>
      </c>
      <c r="O410">
        <f ca="1">IFERROR(IF(0=LEN(ReferenceData!$O$410),"",ReferenceData!$O$410),"")</f>
        <v>15.35557824</v>
      </c>
      <c r="P410">
        <f ca="1">IFERROR(IF(0=LEN(ReferenceData!$P$410),"",ReferenceData!$P$410),"")</f>
        <v>12.983395979999999</v>
      </c>
      <c r="Q410">
        <f ca="1">IFERROR(IF(0=LEN(ReferenceData!$Q$410),"",ReferenceData!$Q$410),"")</f>
        <v>12.01287389</v>
      </c>
      <c r="R410">
        <f ca="1">IFERROR(IF(0=LEN(ReferenceData!$R$410),"",ReferenceData!$R$410),"")</f>
        <v>6.4437015740000003</v>
      </c>
      <c r="S410">
        <f ca="1">IFERROR(IF(0=LEN(ReferenceData!$S$410),"",ReferenceData!$S$410),"")</f>
        <v>2.7466735849999999</v>
      </c>
      <c r="T410">
        <f ca="1">IFERROR(IF(0=LEN(ReferenceData!$T$410),"",ReferenceData!$T$410),"")</f>
        <v>6.6665395000000002E-2</v>
      </c>
      <c r="U410" t="str">
        <f ca="1">IFERROR(IF(0=LEN(ReferenceData!$U$410),"",ReferenceData!$U$410),"")</f>
        <v/>
      </c>
      <c r="V410" t="str">
        <f ca="1">IFERROR(IF(0=LEN(ReferenceData!$V$410),"",ReferenceData!$V$410),"")</f>
        <v/>
      </c>
      <c r="W410" t="str">
        <f ca="1">IFERROR(IF(0=LEN(ReferenceData!$W$410),"",ReferenceData!$W$410),"")</f>
        <v/>
      </c>
      <c r="X410" t="str">
        <f ca="1">IFERROR(IF(0=LEN(ReferenceData!$X$410),"",ReferenceData!$X$410),"")</f>
        <v/>
      </c>
      <c r="Y410" t="str">
        <f ca="1">IFERROR(IF(0=LEN(ReferenceData!$Y$410),"",ReferenceData!$Y$410),"")</f>
        <v/>
      </c>
      <c r="Z410" t="str">
        <f ca="1">IFERROR(IF(0=LEN(ReferenceData!$Z$410),"",ReferenceData!$Z$410),"")</f>
        <v/>
      </c>
      <c r="AA410" t="str">
        <f ca="1">IFERROR(IF(0=LEN(ReferenceData!$AA$410),"",ReferenceData!$AA$410),"")</f>
        <v/>
      </c>
      <c r="AB410" t="str">
        <f ca="1">IFERROR(IF(0=LEN(ReferenceData!$AB$410),"",ReferenceData!$AB$410),"")</f>
        <v/>
      </c>
      <c r="AC410" t="str">
        <f ca="1">IFERROR(IF(0=LEN(ReferenceData!$AC$410),"",ReferenceData!$AC$410),"")</f>
        <v/>
      </c>
      <c r="AD410" t="str">
        <f ca="1">IFERROR(IF(0=LEN(ReferenceData!$AD$410),"",ReferenceData!$AD$410),"")</f>
        <v/>
      </c>
      <c r="AE410" t="str">
        <f ca="1">IFERROR(IF(0=LEN(ReferenceData!$AE$410),"",ReferenceData!$AE$410),"")</f>
        <v/>
      </c>
      <c r="AF410" t="str">
        <f ca="1">IFERROR(IF(0=LEN(ReferenceData!$AF$410),"",ReferenceData!$AF$410),"")</f>
        <v/>
      </c>
      <c r="AG410" t="str">
        <f ca="1">IFERROR(IF(0=LEN(ReferenceData!$AG$410),"",ReferenceData!$AG$410),"")</f>
        <v/>
      </c>
      <c r="AH410" t="str">
        <f ca="1">IFERROR(IF(0=LEN(ReferenceData!$AH$410),"",ReferenceData!$AH$410),"")</f>
        <v/>
      </c>
      <c r="AI410" t="str">
        <f ca="1">IFERROR(IF(0=LEN(ReferenceData!$AI$410),"",ReferenceData!$AI$410),"")</f>
        <v/>
      </c>
      <c r="AJ410" t="str">
        <f ca="1">IFERROR(IF(0=LEN(ReferenceData!$AJ$410),"",ReferenceData!$AJ$410),"")</f>
        <v/>
      </c>
      <c r="AK410" t="str">
        <f ca="1">IFERROR(IF(0=LEN(ReferenceData!$AK$410),"",ReferenceData!$AK$410),"")</f>
        <v/>
      </c>
      <c r="AL410" t="str">
        <f ca="1">IFERROR(IF(0=LEN(ReferenceData!$AL$410),"",ReferenceData!$AL$410),"")</f>
        <v/>
      </c>
    </row>
    <row r="411" spans="1:38" x14ac:dyDescent="0.25">
      <c r="A411" t="str">
        <f>IFERROR(IF(0=LEN(ReferenceData!$A$411),"",ReferenceData!$A$411),"")</f>
        <v xml:space="preserve">        Zions Bancorp NA</v>
      </c>
      <c r="B411" t="str">
        <f>IFERROR(IF(0=LEN(ReferenceData!$B$411),"",ReferenceData!$B$411),"")</f>
        <v>ZION US Equity</v>
      </c>
      <c r="C411" t="str">
        <f>IFERROR(IF(0=LEN(ReferenceData!$C$411),"",ReferenceData!$C$411),"")</f>
        <v>F0128</v>
      </c>
      <c r="D411" t="str">
        <f>IFERROR(IF(0=LEN(ReferenceData!$D$411),"",ReferenceData!$D$411),"")</f>
        <v>FED_OTH_NONCONS_LNS_%_TOT_LNS_LS</v>
      </c>
      <c r="E411" t="str">
        <f>IFERROR(IF(0=LEN(ReferenceData!$E$411),"",ReferenceData!$E$411),"")</f>
        <v>Dynamic</v>
      </c>
      <c r="F411" t="str">
        <f ca="1">IFERROR(IF(0=LEN(ReferenceData!$F$411),"",ReferenceData!$F$411),"")</f>
        <v/>
      </c>
      <c r="G411" t="str">
        <f ca="1">IFERROR(IF(0=LEN(ReferenceData!$G$411),"",ReferenceData!$G$411),"")</f>
        <v/>
      </c>
      <c r="H411" t="str">
        <f ca="1">IFERROR(IF(0=LEN(ReferenceData!$H$411),"",ReferenceData!$H$411),"")</f>
        <v/>
      </c>
      <c r="I411" t="str">
        <f ca="1">IFERROR(IF(0=LEN(ReferenceData!$I$411),"",ReferenceData!$I$411),"")</f>
        <v/>
      </c>
      <c r="J411" t="str">
        <f ca="1">IFERROR(IF(0=LEN(ReferenceData!$J$411),"",ReferenceData!$J$411),"")</f>
        <v/>
      </c>
      <c r="K411" t="str">
        <f ca="1">IFERROR(IF(0=LEN(ReferenceData!$K$411),"",ReferenceData!$K$411),"")</f>
        <v/>
      </c>
      <c r="L411" t="str">
        <f ca="1">IFERROR(IF(0=LEN(ReferenceData!$L$411),"",ReferenceData!$L$411),"")</f>
        <v/>
      </c>
      <c r="M411" t="str">
        <f ca="1">IFERROR(IF(0=LEN(ReferenceData!$M$411),"",ReferenceData!$M$411),"")</f>
        <v/>
      </c>
      <c r="N411" t="str">
        <f ca="1">IFERROR(IF(0=LEN(ReferenceData!$N$411),"",ReferenceData!$N$411),"")</f>
        <v/>
      </c>
      <c r="O411" t="str">
        <f ca="1">IFERROR(IF(0=LEN(ReferenceData!$O$411),"",ReferenceData!$O$411),"")</f>
        <v/>
      </c>
      <c r="P411" t="str">
        <f ca="1">IFERROR(IF(0=LEN(ReferenceData!$P$411),"",ReferenceData!$P$411),"")</f>
        <v/>
      </c>
      <c r="Q411" t="str">
        <f ca="1">IFERROR(IF(0=LEN(ReferenceData!$Q$411),"",ReferenceData!$Q$411),"")</f>
        <v/>
      </c>
      <c r="R411" t="str">
        <f ca="1">IFERROR(IF(0=LEN(ReferenceData!$R$411),"",ReferenceData!$R$411),"")</f>
        <v/>
      </c>
      <c r="S411" t="str">
        <f ca="1">IFERROR(IF(0=LEN(ReferenceData!$S$411),"",ReferenceData!$S$411),"")</f>
        <v/>
      </c>
      <c r="T411" t="str">
        <f ca="1">IFERROR(IF(0=LEN(ReferenceData!$T$411),"",ReferenceData!$T$411),"")</f>
        <v/>
      </c>
      <c r="U411" t="str">
        <f ca="1">IFERROR(IF(0=LEN(ReferenceData!$U$411),"",ReferenceData!$U$411),"")</f>
        <v/>
      </c>
      <c r="V411" t="str">
        <f ca="1">IFERROR(IF(0=LEN(ReferenceData!$V$411),"",ReferenceData!$V$411),"")</f>
        <v/>
      </c>
      <c r="W411" t="str">
        <f ca="1">IFERROR(IF(0=LEN(ReferenceData!$W$411),"",ReferenceData!$W$411),"")</f>
        <v/>
      </c>
      <c r="X411" t="str">
        <f ca="1">IFERROR(IF(0=LEN(ReferenceData!$X$411),"",ReferenceData!$X$411),"")</f>
        <v/>
      </c>
      <c r="Y411" t="str">
        <f ca="1">IFERROR(IF(0=LEN(ReferenceData!$Y$411),"",ReferenceData!$Y$411),"")</f>
        <v/>
      </c>
      <c r="Z411" t="str">
        <f ca="1">IFERROR(IF(0=LEN(ReferenceData!$Z$411),"",ReferenceData!$Z$411),"")</f>
        <v/>
      </c>
      <c r="AA411" t="str">
        <f ca="1">IFERROR(IF(0=LEN(ReferenceData!$AA$411),"",ReferenceData!$AA$411),"")</f>
        <v/>
      </c>
      <c r="AB411" t="str">
        <f ca="1">IFERROR(IF(0=LEN(ReferenceData!$AB$411),"",ReferenceData!$AB$411),"")</f>
        <v/>
      </c>
      <c r="AC411" t="str">
        <f ca="1">IFERROR(IF(0=LEN(ReferenceData!$AC$411),"",ReferenceData!$AC$411),"")</f>
        <v/>
      </c>
      <c r="AD411" t="str">
        <f ca="1">IFERROR(IF(0=LEN(ReferenceData!$AD$411),"",ReferenceData!$AD$411),"")</f>
        <v/>
      </c>
      <c r="AE411" t="str">
        <f ca="1">IFERROR(IF(0=LEN(ReferenceData!$AE$411),"",ReferenceData!$AE$411),"")</f>
        <v/>
      </c>
      <c r="AF411" t="str">
        <f ca="1">IFERROR(IF(0=LEN(ReferenceData!$AF$411),"",ReferenceData!$AF$411),"")</f>
        <v/>
      </c>
      <c r="AG411" t="str">
        <f ca="1">IFERROR(IF(0=LEN(ReferenceData!$AG$411),"",ReferenceData!$AG$411),"")</f>
        <v/>
      </c>
      <c r="AH411" t="str">
        <f ca="1">IFERROR(IF(0=LEN(ReferenceData!$AH$411),"",ReferenceData!$AH$411),"")</f>
        <v/>
      </c>
      <c r="AI411" t="str">
        <f ca="1">IFERROR(IF(0=LEN(ReferenceData!$AI$411),"",ReferenceData!$AI$411),"")</f>
        <v/>
      </c>
      <c r="AJ411" t="str">
        <f ca="1">IFERROR(IF(0=LEN(ReferenceData!$AJ$411),"",ReferenceData!$AJ$411),"")</f>
        <v/>
      </c>
      <c r="AK411" t="str">
        <f ca="1">IFERROR(IF(0=LEN(ReferenceData!$AK$411),"",ReferenceData!$AK$411),"")</f>
        <v/>
      </c>
      <c r="AL411" t="str">
        <f ca="1">IFERROR(IF(0=LEN(ReferenceData!$AL$411),"",ReferenceData!$AL$411),"")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837"/>
  <sheetViews>
    <sheetView workbookViewId="0"/>
  </sheetViews>
  <sheetFormatPr defaultRowHeight="15" x14ac:dyDescent="0.25"/>
  <cols>
    <col min="1" max="1" width="56.28515625" customWidth="1"/>
    <col min="2" max="2" width="15.85546875" customWidth="1"/>
    <col min="3" max="71" width="9.140625" bestFit="1" customWidth="1"/>
  </cols>
  <sheetData>
    <row r="1" spans="1:7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x14ac:dyDescent="0.25">
      <c r="A2" s="1" t="str">
        <f>"Description"</f>
        <v>Description</v>
      </c>
      <c r="B2" s="1" t="str">
        <f>"Ticker"</f>
        <v>Ticker</v>
      </c>
      <c r="C2" s="1" t="str">
        <f>"Field ID"</f>
        <v>Field ID</v>
      </c>
      <c r="D2" s="1" t="str">
        <f>"Field Mnemonic"</f>
        <v>Field Mnemonic</v>
      </c>
      <c r="E2" s="1" t="str">
        <f>"Data State"</f>
        <v>Data State</v>
      </c>
      <c r="F2" s="1" t="str">
        <f>ReferenceData!$C$828</f>
        <v>2024</v>
      </c>
      <c r="G2" s="1" t="str">
        <f>ReferenceData!$D$828</f>
        <v>2023</v>
      </c>
      <c r="H2" s="1" t="str">
        <f>ReferenceData!$E$828</f>
        <v>2022</v>
      </c>
      <c r="I2" s="1" t="str">
        <f>ReferenceData!$F$828</f>
        <v>2021</v>
      </c>
      <c r="J2" s="1" t="str">
        <f>ReferenceData!$G$828</f>
        <v>2020</v>
      </c>
      <c r="K2" s="1" t="str">
        <f>ReferenceData!$H$828</f>
        <v>2019</v>
      </c>
      <c r="L2" s="1" t="str">
        <f>ReferenceData!$I$828</f>
        <v>2018</v>
      </c>
      <c r="M2" s="1" t="str">
        <f>ReferenceData!$J$828</f>
        <v>2017</v>
      </c>
      <c r="N2" s="1" t="str">
        <f>ReferenceData!$K$828</f>
        <v>2016</v>
      </c>
      <c r="O2" s="1" t="str">
        <f>ReferenceData!$L$828</f>
        <v>2015</v>
      </c>
      <c r="P2" s="1" t="str">
        <f>ReferenceData!$M$828</f>
        <v>2014</v>
      </c>
      <c r="Q2" s="1" t="str">
        <f>ReferenceData!$N$828</f>
        <v>2013</v>
      </c>
      <c r="R2" s="1" t="str">
        <f>ReferenceData!$O$828</f>
        <v>2012</v>
      </c>
      <c r="S2" s="1" t="str">
        <f>ReferenceData!$P$828</f>
        <v>2011</v>
      </c>
      <c r="T2" s="1" t="str">
        <f>ReferenceData!$Q$828</f>
        <v>2010</v>
      </c>
      <c r="U2" s="1" t="str">
        <f>ReferenceData!$R$828</f>
        <v>2009</v>
      </c>
      <c r="V2" s="1" t="str">
        <f>ReferenceData!$S$828</f>
        <v>2008</v>
      </c>
      <c r="W2" s="1" t="str">
        <f>ReferenceData!$T$828</f>
        <v>2007</v>
      </c>
      <c r="X2" s="1" t="str">
        <f>ReferenceData!$U$828</f>
        <v>2006</v>
      </c>
      <c r="Y2" s="1" t="str">
        <f>ReferenceData!$V$828</f>
        <v>2005</v>
      </c>
      <c r="Z2" s="1" t="str">
        <f>ReferenceData!$W$828</f>
        <v>2004</v>
      </c>
      <c r="AA2" s="1" t="str">
        <f>ReferenceData!$X$828</f>
        <v>2003</v>
      </c>
      <c r="AB2" s="1" t="str">
        <f>ReferenceData!$Y$828</f>
        <v>2002</v>
      </c>
      <c r="AC2" s="1" t="str">
        <f>ReferenceData!$Z$828</f>
        <v>2001</v>
      </c>
      <c r="AD2" s="1" t="str">
        <f>ReferenceData!$AA$828</f>
        <v>2000</v>
      </c>
      <c r="AE2" s="1" t="str">
        <f>ReferenceData!$AB$828</f>
        <v>1999</v>
      </c>
      <c r="AF2" s="1" t="str">
        <f>ReferenceData!$AC$828</f>
        <v>1998</v>
      </c>
      <c r="AG2" s="1" t="str">
        <f>ReferenceData!$AD$828</f>
        <v>1997</v>
      </c>
      <c r="AH2" s="1" t="str">
        <f>ReferenceData!$AE$828</f>
        <v>1996</v>
      </c>
      <c r="AI2" s="1" t="str">
        <f>ReferenceData!$AF$828</f>
        <v>1995</v>
      </c>
      <c r="AJ2" s="1" t="str">
        <f>ReferenceData!$AG$828</f>
        <v>1994</v>
      </c>
      <c r="AK2" s="1" t="str">
        <f>ReferenceData!$AH$828</f>
        <v>1993</v>
      </c>
      <c r="AL2" s="1" t="str">
        <f>ReferenceData!$AI$828</f>
        <v>1992</v>
      </c>
      <c r="AM2" t="str">
        <f>$C$828</f>
        <v>2024</v>
      </c>
      <c r="AN2" t="str">
        <f>$D$828</f>
        <v>2023</v>
      </c>
      <c r="AO2" t="str">
        <f>$E$828</f>
        <v>2022</v>
      </c>
      <c r="AP2" t="str">
        <f>$F$828</f>
        <v>2021</v>
      </c>
      <c r="AQ2" t="str">
        <f>$G$828</f>
        <v>2020</v>
      </c>
      <c r="AR2" t="str">
        <f>$H$828</f>
        <v>2019</v>
      </c>
      <c r="AS2" t="str">
        <f>$I$828</f>
        <v>2018</v>
      </c>
      <c r="AT2" t="str">
        <f>$J$828</f>
        <v>2017</v>
      </c>
      <c r="AU2" t="str">
        <f>$K$828</f>
        <v>2016</v>
      </c>
      <c r="AV2" t="str">
        <f>$L$828</f>
        <v>2015</v>
      </c>
      <c r="AW2" t="str">
        <f>$M$828</f>
        <v>2014</v>
      </c>
      <c r="AX2" t="str">
        <f>$N$828</f>
        <v>2013</v>
      </c>
      <c r="AY2" t="str">
        <f>$O$828</f>
        <v>2012</v>
      </c>
      <c r="AZ2" t="str">
        <f>$P$828</f>
        <v>2011</v>
      </c>
      <c r="BA2" t="str">
        <f>$Q$828</f>
        <v>2010</v>
      </c>
      <c r="BB2" t="str">
        <f>$R$828</f>
        <v>2009</v>
      </c>
      <c r="BC2" t="str">
        <f>$S$828</f>
        <v>2008</v>
      </c>
      <c r="BD2" t="str">
        <f>$T$828</f>
        <v>2007</v>
      </c>
      <c r="BE2" t="str">
        <f>$U$828</f>
        <v>2006</v>
      </c>
      <c r="BF2" t="str">
        <f>$V$828</f>
        <v>2005</v>
      </c>
      <c r="BG2" t="str">
        <f>$W$828</f>
        <v>2004</v>
      </c>
      <c r="BH2" t="str">
        <f>$X$828</f>
        <v>2003</v>
      </c>
      <c r="BI2" t="str">
        <f>$Y$828</f>
        <v>2002</v>
      </c>
      <c r="BJ2" t="str">
        <f>$Z$828</f>
        <v>2001</v>
      </c>
      <c r="BK2" t="str">
        <f>$AA$828</f>
        <v>2000</v>
      </c>
      <c r="BL2" t="str">
        <f>$AB$828</f>
        <v>1999</v>
      </c>
      <c r="BM2" t="str">
        <f>$AC$828</f>
        <v>1998</v>
      </c>
      <c r="BN2" t="str">
        <f>$AD$828</f>
        <v>1997</v>
      </c>
      <c r="BO2" t="str">
        <f>$AE$828</f>
        <v>1996</v>
      </c>
      <c r="BP2" t="str">
        <f>$AF$828</f>
        <v>1995</v>
      </c>
      <c r="BQ2" t="str">
        <f>$AG$828</f>
        <v>1994</v>
      </c>
      <c r="BR2" t="str">
        <f>$AH$828</f>
        <v>1993</v>
      </c>
      <c r="BS2" t="str">
        <f>$AI$828</f>
        <v>1992</v>
      </c>
    </row>
    <row r="3" spans="1:71" x14ac:dyDescent="0.25">
      <c r="A3" t="str">
        <f>"Loan Composition - Total Loans and Leases, net"</f>
        <v>Loan Composition - Total Loans and Leases, net</v>
      </c>
      <c r="B3" t="str">
        <f>""</f>
        <v/>
      </c>
      <c r="E3" t="str">
        <f>"Sum"</f>
        <v>Sum</v>
      </c>
      <c r="F3">
        <f ca="1">IF(ISERROR(IF(SUM($F$4:$F$23) = 0, "", SUM($F$4:$F$23))), "", (IF(SUM($F$4:$F$23) = 0, "", SUM($F$4:$F$23))))</f>
        <v>5974270.943</v>
      </c>
      <c r="G3">
        <f ca="1">IF(ISERROR(IF(SUM($G$4:$G$23) = 0, "", SUM($G$4:$G$23))), "", (IF(SUM($G$4:$G$23) = 0, "", SUM($G$4:$G$23))))</f>
        <v>6555148.7280000001</v>
      </c>
      <c r="H3">
        <f ca="1">IF(ISERROR(IF(SUM($H$4:$H$23) = 0, "", SUM($H$4:$H$23))), "", (IF(SUM($H$4:$H$23) = 0, "", SUM($H$4:$H$23))))</f>
        <v>6314115.2799999984</v>
      </c>
      <c r="I3">
        <f ca="1">IF(ISERROR(IF(SUM($I$4:$I$23) = 0, "", SUM($I$4:$I$23))), "", (IF(SUM($I$4:$I$23) = 0, "", SUM($I$4:$I$23))))</f>
        <v>5848894.5390000008</v>
      </c>
      <c r="J3">
        <f ca="1">IF(ISERROR(IF(SUM($J$4:$J$23) = 0, "", SUM($J$4:$J$23))), "", (IF(SUM($J$4:$J$23) = 0, "", SUM($J$4:$J$23))))</f>
        <v>5571191.9579999996</v>
      </c>
      <c r="K3">
        <f ca="1">IF(ISERROR(IF(SUM($K$4:$K$23) = 0, "", SUM($K$4:$K$23))), "", (IF(SUM($K$4:$K$23) = 0, "", SUM($K$4:$K$23))))</f>
        <v>5598014.8959999997</v>
      </c>
      <c r="L3">
        <f ca="1">IF(ISERROR(IF(SUM($L$4:$L$23) = 0, "", SUM($L$4:$L$23))), "", (IF(SUM($L$4:$L$23) = 0, "", SUM($L$4:$L$23))))</f>
        <v>5292972.175999999</v>
      </c>
      <c r="M3">
        <f ca="1">IF(ISERROR(IF(SUM($M$4:$M$23) = 0, "", SUM($M$4:$M$23))), "", (IF(SUM($M$4:$M$23) = 0, "", SUM($M$4:$M$23))))</f>
        <v>5202559.1910000006</v>
      </c>
      <c r="N3">
        <f ca="1">IF(ISERROR(IF(SUM($N$4:$N$23) = 0, "", SUM($N$4:$N$23))), "", (IF(SUM($N$4:$N$23) = 0, "", SUM($N$4:$N$23))))</f>
        <v>5050342.0930000003</v>
      </c>
      <c r="O3">
        <f ca="1">IF(ISERROR(IF(SUM($O$4:$O$23) = 0, "", SUM($O$4:$O$23))), "", (IF(SUM($O$4:$O$23) = 0, "", SUM($O$4:$O$23))))</f>
        <v>4809914.7409999995</v>
      </c>
      <c r="P3">
        <f ca="1">IF(ISERROR(IF(SUM($P$4:$P$23) = 0, "", SUM($P$4:$P$23))), "", (IF(SUM($P$4:$P$23) = 0, "", SUM($P$4:$P$23))))</f>
        <v>4602872.483</v>
      </c>
      <c r="Q3">
        <f ca="1">IF(ISERROR(IF(SUM($Q$4:$Q$23) = 0, "", SUM($Q$4:$Q$23))), "", (IF(SUM($Q$4:$Q$23) = 0, "", SUM($Q$4:$Q$23))))</f>
        <v>4537634.3020000001</v>
      </c>
      <c r="R3">
        <f ca="1">IF(ISERROR(IF(SUM($R$4:$R$23) = 0, "", SUM($R$4:$R$23))), "", (IF(SUM($R$4:$R$23) = 0, "", SUM($R$4:$R$23))))</f>
        <v>4517013.682</v>
      </c>
      <c r="S3">
        <f ca="1">IF(ISERROR(IF(SUM($S$4:$S$23) = 0, "", SUM($S$4:$S$23))), "", (IF(SUM($S$4:$S$23) = 0, "", SUM($S$4:$S$23))))</f>
        <v>4342953.0599999996</v>
      </c>
      <c r="T3">
        <f ca="1">IF(ISERROR(IF(SUM($T$4:$T$23) = 0, "", SUM($T$4:$T$23))), "", (IF(SUM($T$4:$T$23) = 0, "", SUM($T$4:$T$23))))</f>
        <v>4301148.5269999998</v>
      </c>
      <c r="U3">
        <f ca="1">IF(ISERROR(IF(SUM($U$4:$U$23) = 0, "", SUM($U$4:$U$23))), "", (IF(SUM($U$4:$U$23) = 0, "", SUM($U$4:$U$23))))</f>
        <v>4137345.9220000003</v>
      </c>
      <c r="V3">
        <f ca="1">IF(ISERROR(IF(SUM($V$4:$V$23) = 0, "", SUM($V$4:$V$23))), "", (IF(SUM($V$4:$V$23) = 0, "", SUM($V$4:$V$23))))</f>
        <v>4465669.1320000002</v>
      </c>
      <c r="W3">
        <f ca="1">IF(ISERROR(IF(SUM($W$4:$W$23) = 0, "", SUM($W$4:$W$23))), "", (IF(SUM($W$4:$W$23) = 0, "", SUM($W$4:$W$23))))</f>
        <v>3709432.358</v>
      </c>
      <c r="X3">
        <f ca="1">IF(ISERROR(IF(SUM($X$4:$X$23) = 0, "", SUM($X$4:$X$23))), "", (IF(SUM($X$4:$X$23) = 0, "", SUM($X$4:$X$23))))</f>
        <v>3178079.6060000006</v>
      </c>
      <c r="Y3">
        <f ca="1">IF(ISERROR(IF(SUM($Y$4:$Y$23) = 0, "", SUM($Y$4:$Y$23))), "", (IF(SUM($Y$4:$Y$23) = 0, "", SUM($Y$4:$Y$23))))</f>
        <v>2777701.1799999992</v>
      </c>
      <c r="Z3">
        <f ca="1">IF(ISERROR(IF(SUM($Z$4:$Z$23) = 0, "", SUM($Z$4:$Z$23))), "", (IF(SUM($Z$4:$Z$23) = 0, "", SUM($Z$4:$Z$23))))</f>
        <v>2563222.5320000001</v>
      </c>
      <c r="AA3">
        <f ca="1">IF(ISERROR(IF(SUM($AA$4:$AA$23) = 0, "", SUM($AA$4:$AA$23))), "", (IF(SUM($AA$4:$AA$23) = 0, "", SUM($AA$4:$AA$23))))</f>
        <v>1892815.6410000001</v>
      </c>
      <c r="AB3">
        <f ca="1">IF(ISERROR(IF(SUM($AB$4:$AB$23) = 0, "", SUM($AB$4:$AB$23))), "", (IF(SUM($AB$4:$AB$23) = 0, "", SUM($AB$4:$AB$23))))</f>
        <v>1762210.986</v>
      </c>
      <c r="AC3">
        <f ca="1">IF(ISERROR(IF(SUM($AC$4:$AC$23) = 0, "", SUM($AC$4:$AC$23))), "", (IF(SUM($AC$4:$AC$23) = 0, "", SUM($AC$4:$AC$23))))</f>
        <v>1623605.97</v>
      </c>
      <c r="AD3" t="str">
        <f ca="1">IF(ISERROR(IF(SUM($AD$4:$AD$23) = 0, "", SUM($AD$4:$AD$23))), "", (IF(SUM($AD$4:$AD$23) = 0, "", SUM($AD$4:$AD$23))))</f>
        <v/>
      </c>
      <c r="AE3" t="str">
        <f ca="1">IF(ISERROR(IF(SUM($AE$4:$AE$23) = 0, "", SUM($AE$4:$AE$23))), "", (IF(SUM($AE$4:$AE$23) = 0, "", SUM($AE$4:$AE$23))))</f>
        <v/>
      </c>
      <c r="AF3" t="str">
        <f ca="1">IF(ISERROR(IF(SUM($AF$4:$AF$23) = 0, "", SUM($AF$4:$AF$23))), "", (IF(SUM($AF$4:$AF$23) = 0, "", SUM($AF$4:$AF$23))))</f>
        <v/>
      </c>
      <c r="AG3" t="str">
        <f ca="1">IF(ISERROR(IF(SUM($AG$4:$AG$23) = 0, "", SUM($AG$4:$AG$23))), "", (IF(SUM($AG$4:$AG$23) = 0, "", SUM($AG$4:$AG$23))))</f>
        <v/>
      </c>
      <c r="AH3" t="str">
        <f ca="1">IF(ISERROR(IF(SUM($AH$4:$AH$23) = 0, "", SUM($AH$4:$AH$23))), "", (IF(SUM($AH$4:$AH$23) = 0, "", SUM($AH$4:$AH$23))))</f>
        <v/>
      </c>
      <c r="AI3" t="str">
        <f ca="1">IF(ISERROR(IF(SUM($AI$4:$AI$23) = 0, "", SUM($AI$4:$AI$23))), "", (IF(SUM($AI$4:$AI$23) = 0, "", SUM($AI$4:$AI$23))))</f>
        <v/>
      </c>
      <c r="AJ3" t="str">
        <f ca="1">IF(ISERROR(IF(SUM($AJ$4:$AJ$23) = 0, "", SUM($AJ$4:$AJ$23))), "", (IF(SUM($AJ$4:$AJ$23) = 0, "", SUM($AJ$4:$AJ$23))))</f>
        <v/>
      </c>
      <c r="AK3" t="str">
        <f ca="1">IF(ISERROR(IF(SUM($AK$4:$AK$23) = 0, "", SUM($AK$4:$AK$23))), "", (IF(SUM($AK$4:$AK$23) = 0, "", SUM($AK$4:$AK$23))))</f>
        <v/>
      </c>
      <c r="AL3" t="str">
        <f ca="1">IF(ISERROR(IF(SUM($AL$4:$AL$23) = 0, "", SUM($AL$4:$AL$23))), "", (IF(SUM($AL$4:$AL$23) = 0, "", SUM($AL$4:$AL$23))))</f>
        <v/>
      </c>
      <c r="AM3" t="str">
        <f>""</f>
        <v/>
      </c>
      <c r="AN3">
        <f>6555148.728</f>
        <v>6555148.7280000001</v>
      </c>
      <c r="AO3">
        <f>6314115.28</f>
        <v>6314115.2800000003</v>
      </c>
      <c r="AP3">
        <f>5848894.539</f>
        <v>5848894.5389999999</v>
      </c>
      <c r="AQ3">
        <f>5571191.958</f>
        <v>5571191.9579999996</v>
      </c>
      <c r="AR3">
        <f>5598014.896</f>
        <v>5598014.8959999997</v>
      </c>
      <c r="AS3">
        <f>5292972.176</f>
        <v>5292972.176</v>
      </c>
      <c r="AT3">
        <f>5202559.191</f>
        <v>5202559.1909999996</v>
      </c>
      <c r="AU3">
        <f>5050342.093</f>
        <v>5050342.0930000003</v>
      </c>
      <c r="AV3">
        <f>4809914.741</f>
        <v>4809914.7410000004</v>
      </c>
      <c r="AW3">
        <f>4602872.483</f>
        <v>4602872.483</v>
      </c>
      <c r="AX3">
        <f>4537634.302</f>
        <v>4537634.3020000001</v>
      </c>
      <c r="AY3">
        <f>4517013.682</f>
        <v>4517013.682</v>
      </c>
      <c r="AZ3">
        <f>4342953.06</f>
        <v>4342953.0599999996</v>
      </c>
      <c r="BA3">
        <f>4301148.527</f>
        <v>4301148.5269999998</v>
      </c>
      <c r="BB3">
        <f>4137345.922</f>
        <v>4137345.9219999998</v>
      </c>
      <c r="BC3">
        <f>4465669.132</f>
        <v>4465669.1320000002</v>
      </c>
      <c r="BD3">
        <f>3709432.358</f>
        <v>3709432.358</v>
      </c>
      <c r="BE3">
        <f>3178079.606</f>
        <v>3178079.6060000001</v>
      </c>
      <c r="BF3">
        <f>2777701.18</f>
        <v>2777701.18</v>
      </c>
      <c r="BG3">
        <f>2563222.532</f>
        <v>2563222.5320000001</v>
      </c>
      <c r="BH3">
        <f>1892815.641</f>
        <v>1892815.6410000001</v>
      </c>
      <c r="BI3">
        <f>1762210.986</f>
        <v>1762210.986</v>
      </c>
      <c r="BJ3">
        <f>1623605.97</f>
        <v>1623605.97</v>
      </c>
      <c r="BK3" t="str">
        <f>""</f>
        <v/>
      </c>
      <c r="BL3" t="str">
        <f>""</f>
        <v/>
      </c>
      <c r="BM3" t="str">
        <f>""</f>
        <v/>
      </c>
      <c r="BN3" t="str">
        <f>""</f>
        <v/>
      </c>
      <c r="BO3" t="str">
        <f>""</f>
        <v/>
      </c>
      <c r="BP3" t="str">
        <f>""</f>
        <v/>
      </c>
      <c r="BQ3" t="str">
        <f>""</f>
        <v/>
      </c>
      <c r="BR3" t="str">
        <f>""</f>
        <v/>
      </c>
      <c r="BS3" t="str">
        <f>""</f>
        <v/>
      </c>
    </row>
    <row r="4" spans="1:71" x14ac:dyDescent="0.25">
      <c r="A4" t="str">
        <f>"        Bank of America Corp"</f>
        <v xml:space="preserve">        Bank of America Corp</v>
      </c>
      <c r="B4" t="str">
        <f>"BAC US Equity"</f>
        <v>BAC US Equity</v>
      </c>
      <c r="C4" t="str">
        <f t="shared" ref="C4:C23" si="0">"FY421"</f>
        <v>FY421</v>
      </c>
      <c r="D4" t="str">
        <f t="shared" ref="D4:D23" si="1">"FED_TOTAL_CONSOLIDATED_LOANS"</f>
        <v>FED_TOTAL_CONSOLIDATED_LOANS</v>
      </c>
      <c r="E4" t="str">
        <f t="shared" ref="E4:E23" si="2">"Dynamic"</f>
        <v>Dynamic</v>
      </c>
      <c r="F4">
        <f ca="1">IF(AND(ISNUMBER($F$429),$B$427=1),$F$429,HLOOKUP(INDIRECT(ADDRESS(2,COLUMN())),OFFSET($AM$2,0,0,ROW()-1,33),ROW()-1,FALSE))</f>
        <v>1156551</v>
      </c>
      <c r="G4">
        <f ca="1">IF(AND(ISNUMBER($G$429),$B$427=1),$G$429,HLOOKUP(INDIRECT(ADDRESS(2,COLUMN())),OFFSET($AM$2,0,0,ROW()-1,33),ROW()-1,FALSE))</f>
        <v>1100493</v>
      </c>
      <c r="H4">
        <f ca="1">IF(AND(ISNUMBER($H$429),$B$427=1),$H$429,HLOOKUP(INDIRECT(ADDRESS(2,COLUMN())),OFFSET($AM$2,0,0,ROW()-1,33),ROW()-1,FALSE))</f>
        <v>1082024</v>
      </c>
      <c r="I4">
        <f ca="1">IF(AND(ISNUMBER($I$429),$B$427=1),$I$429,HLOOKUP(INDIRECT(ADDRESS(2,COLUMN())),OFFSET($AM$2,0,0,ROW()-1,33),ROW()-1,FALSE))</f>
        <v>1039425</v>
      </c>
      <c r="J4">
        <f ca="1">IF(AND(ISNUMBER($J$429),$B$427=1),$J$429,HLOOKUP(INDIRECT(ADDRESS(2,COLUMN())),OFFSET($AM$2,0,0,ROW()-1,33),ROW()-1,FALSE))</f>
        <v>973174</v>
      </c>
      <c r="K4">
        <f ca="1">IF(AND(ISNUMBER($K$429),$B$427=1),$K$429,HLOOKUP(INDIRECT(ADDRESS(2,COLUMN())),OFFSET($AM$2,0,0,ROW()-1,33),ROW()-1,FALSE))</f>
        <v>1028593</v>
      </c>
      <c r="L4">
        <f ca="1">IF(AND(ISNUMBER($L$429),$B$427=1),$L$429,HLOOKUP(INDIRECT(ADDRESS(2,COLUMN())),OFFSET($AM$2,0,0,ROW()-1,33),ROW()-1,FALSE))</f>
        <v>980380</v>
      </c>
      <c r="M4">
        <f ca="1">IF(AND(ISNUMBER($M$429),$B$427=1),$M$429,HLOOKUP(INDIRECT(ADDRESS(2,COLUMN())),OFFSET($AM$2,0,0,ROW()-1,33),ROW()-1,FALSE))</f>
        <v>991168</v>
      </c>
      <c r="N4">
        <f ca="1">IF(AND(ISNUMBER($N$429),$B$427=1),$N$429,HLOOKUP(INDIRECT(ADDRESS(2,COLUMN())),OFFSET($AM$2,0,0,ROW()-1,33),ROW()-1,FALSE))</f>
        <v>946954</v>
      </c>
      <c r="O4">
        <f ca="1">IF(AND(ISNUMBER($O$429),$B$427=1),$O$429,HLOOKUP(INDIRECT(ADDRESS(2,COLUMN())),OFFSET($AM$2,0,0,ROW()-1,33),ROW()-1,FALSE))</f>
        <v>930858</v>
      </c>
      <c r="P4">
        <f ca="1">IF(AND(ISNUMBER($P$429),$B$427=1),$P$429,HLOOKUP(INDIRECT(ADDRESS(2,COLUMN())),OFFSET($AM$2,0,0,ROW()-1,33),ROW()-1,FALSE))</f>
        <v>917349</v>
      </c>
      <c r="Q4">
        <f ca="1">IF(AND(ISNUMBER($Q$429),$B$427=1),$Q$429,HLOOKUP(INDIRECT(ADDRESS(2,COLUMN())),OFFSET($AM$2,0,0,ROW()-1,33),ROW()-1,FALSE))</f>
        <v>969381</v>
      </c>
      <c r="R4">
        <f ca="1">IF(AND(ISNUMBER($R$429),$B$427=1),$R$429,HLOOKUP(INDIRECT(ADDRESS(2,COLUMN())),OFFSET($AM$2,0,0,ROW()-1,33),ROW()-1,FALSE))</f>
        <v>968295.80599999998</v>
      </c>
      <c r="S4">
        <f ca="1">IF(AND(ISNUMBER($S$429),$B$427=1),$S$429,HLOOKUP(INDIRECT(ADDRESS(2,COLUMN())),OFFSET($AM$2,0,0,ROW()-1,33),ROW()-1,FALSE))</f>
        <v>967120.505</v>
      </c>
      <c r="T4">
        <f ca="1">IF(AND(ISNUMBER($T$429),$B$427=1),$T$429,HLOOKUP(INDIRECT(ADDRESS(2,COLUMN())),OFFSET($AM$2,0,0,ROW()-1,33),ROW()-1,FALSE))</f>
        <v>993149.15099999995</v>
      </c>
      <c r="U4">
        <f ca="1">IF(AND(ISNUMBER($U$429),$B$427=1),$U$429,HLOOKUP(INDIRECT(ADDRESS(2,COLUMN())),OFFSET($AM$2,0,0,ROW()-1,33),ROW()-1,FALSE))</f>
        <v>960866.92500000005</v>
      </c>
      <c r="V4">
        <f ca="1">IF(AND(ISNUMBER($V$429),$B$427=1),$V$429,HLOOKUP(INDIRECT(ADDRESS(2,COLUMN())),OFFSET($AM$2,0,0,ROW()-1,33),ROW()-1,FALSE))</f>
        <v>960802.76100000006</v>
      </c>
      <c r="W4">
        <f ca="1">IF(AND(ISNUMBER($W$429),$B$427=1),$W$429,HLOOKUP(INDIRECT(ADDRESS(2,COLUMN())),OFFSET($AM$2,0,0,ROW()-1,33),ROW()-1,FALSE))</f>
        <v>908519.18400000001</v>
      </c>
      <c r="X4">
        <f ca="1">IF(AND(ISNUMBER($X$429),$B$427=1),$X$429,HLOOKUP(INDIRECT(ADDRESS(2,COLUMN())),OFFSET($AM$2,0,0,ROW()-1,33),ROW()-1,FALSE))</f>
        <v>723420.56599999999</v>
      </c>
      <c r="Y4">
        <f ca="1">IF(AND(ISNUMBER($Y$429),$B$427=1),$Y$429,HLOOKUP(INDIRECT(ADDRESS(2,COLUMN())),OFFSET($AM$2,0,0,ROW()-1,33),ROW()-1,FALSE))</f>
        <v>586308.11</v>
      </c>
      <c r="Z4">
        <f ca="1">IF(AND(ISNUMBER($Z$429),$B$427=1),$Z$429,HLOOKUP(INDIRECT(ADDRESS(2,COLUMN())),OFFSET($AM$2,0,0,ROW()-1,33),ROW()-1,FALSE))</f>
        <v>530040.33100000001</v>
      </c>
      <c r="AA4">
        <f ca="1">IF(AND(ISNUMBER($AA$429),$B$427=1),$AA$429,HLOOKUP(INDIRECT(ADDRESS(2,COLUMN())),OFFSET($AM$2,0,0,ROW()-1,33),ROW()-1,FALSE))</f>
        <v>380341.098</v>
      </c>
      <c r="AB4">
        <f ca="1">IF(AND(ISNUMBER($AB$429),$B$427=1),$AB$429,HLOOKUP(INDIRECT(ADDRESS(2,COLUMN())),OFFSET($AM$2,0,0,ROW()-1,33),ROW()-1,FALSE))</f>
        <v>356586</v>
      </c>
      <c r="AC4">
        <f ca="1">IF(AND(ISNUMBER($AC$429),$B$427=1),$AC$429,HLOOKUP(INDIRECT(ADDRESS(2,COLUMN())),OFFSET($AM$2,0,0,ROW()-1,33),ROW()-1,FALSE))</f>
        <v>337466</v>
      </c>
      <c r="AD4" t="str">
        <f ca="1">IF(AND(ISNUMBER($AD$429),$B$427=1),$AD$429,HLOOKUP(INDIRECT(ADDRESS(2,COLUMN())),OFFSET($AM$2,0,0,ROW()-1,33),ROW()-1,FALSE))</f>
        <v/>
      </c>
      <c r="AE4" t="str">
        <f ca="1">IF(AND(ISNUMBER($AE$429),$B$427=1),$AE$429,HLOOKUP(INDIRECT(ADDRESS(2,COLUMN())),OFFSET($AM$2,0,0,ROW()-1,33),ROW()-1,FALSE))</f>
        <v/>
      </c>
      <c r="AF4" t="str">
        <f ca="1">IF(AND(ISNUMBER($AF$429),$B$427=1),$AF$429,HLOOKUP(INDIRECT(ADDRESS(2,COLUMN())),OFFSET($AM$2,0,0,ROW()-1,33),ROW()-1,FALSE))</f>
        <v/>
      </c>
      <c r="AG4" t="str">
        <f ca="1">IF(AND(ISNUMBER($AG$429),$B$427=1),$AG$429,HLOOKUP(INDIRECT(ADDRESS(2,COLUMN())),OFFSET($AM$2,0,0,ROW()-1,33),ROW()-1,FALSE))</f>
        <v/>
      </c>
      <c r="AH4" t="str">
        <f ca="1">IF(AND(ISNUMBER($AH$429),$B$427=1),$AH$429,HLOOKUP(INDIRECT(ADDRESS(2,COLUMN())),OFFSET($AM$2,0,0,ROW()-1,33),ROW()-1,FALSE))</f>
        <v/>
      </c>
      <c r="AI4" t="str">
        <f ca="1">IF(AND(ISNUMBER($AI$429),$B$427=1),$AI$429,HLOOKUP(INDIRECT(ADDRESS(2,COLUMN())),OFFSET($AM$2,0,0,ROW()-1,33),ROW()-1,FALSE))</f>
        <v/>
      </c>
      <c r="AJ4" t="str">
        <f ca="1">IF(AND(ISNUMBER($AJ$429),$B$427=1),$AJ$429,HLOOKUP(INDIRECT(ADDRESS(2,COLUMN())),OFFSET($AM$2,0,0,ROW()-1,33),ROW()-1,FALSE))</f>
        <v/>
      </c>
      <c r="AK4" t="str">
        <f ca="1">IF(AND(ISNUMBER($AK$429),$B$427=1),$AK$429,HLOOKUP(INDIRECT(ADDRESS(2,COLUMN())),OFFSET($AM$2,0,0,ROW()-1,33),ROW()-1,FALSE))</f>
        <v/>
      </c>
      <c r="AL4" t="str">
        <f ca="1">IF(AND(ISNUMBER($AL$429),$B$427=1),$AL$429,HLOOKUP(INDIRECT(ADDRESS(2,COLUMN())),OFFSET($AM$2,0,0,ROW()-1,33),ROW()-1,FALSE))</f>
        <v/>
      </c>
      <c r="AM4">
        <f>1156551</f>
        <v>1156551</v>
      </c>
      <c r="AN4">
        <f>1100493</f>
        <v>1100493</v>
      </c>
      <c r="AO4">
        <f>1082024</f>
        <v>1082024</v>
      </c>
      <c r="AP4">
        <f>1039425</f>
        <v>1039425</v>
      </c>
      <c r="AQ4">
        <f>973174</f>
        <v>973174</v>
      </c>
      <c r="AR4">
        <f>1028593</f>
        <v>1028593</v>
      </c>
      <c r="AS4">
        <f>980380</f>
        <v>980380</v>
      </c>
      <c r="AT4">
        <f>991168</f>
        <v>991168</v>
      </c>
      <c r="AU4">
        <f>946954</f>
        <v>946954</v>
      </c>
      <c r="AV4">
        <f>930858</f>
        <v>930858</v>
      </c>
      <c r="AW4">
        <f>917349</f>
        <v>917349</v>
      </c>
      <c r="AX4">
        <f>969381</f>
        <v>969381</v>
      </c>
      <c r="AY4">
        <f>968295.806</f>
        <v>968295.80599999998</v>
      </c>
      <c r="AZ4">
        <f>967120.505</f>
        <v>967120.505</v>
      </c>
      <c r="BA4">
        <f>993149.151</f>
        <v>993149.15099999995</v>
      </c>
      <c r="BB4">
        <f>960866.925</f>
        <v>960866.92500000005</v>
      </c>
      <c r="BC4">
        <f>960802.761</f>
        <v>960802.76100000006</v>
      </c>
      <c r="BD4">
        <f>908519.184</f>
        <v>908519.18400000001</v>
      </c>
      <c r="BE4">
        <f>723420.566</f>
        <v>723420.56599999999</v>
      </c>
      <c r="BF4">
        <f>586308.11</f>
        <v>586308.11</v>
      </c>
      <c r="BG4">
        <f>530040.331</f>
        <v>530040.33100000001</v>
      </c>
      <c r="BH4">
        <f>380341.098</f>
        <v>380341.098</v>
      </c>
      <c r="BI4">
        <f>356586</f>
        <v>356586</v>
      </c>
      <c r="BJ4">
        <f>337466</f>
        <v>337466</v>
      </c>
      <c r="BK4" t="str">
        <f>""</f>
        <v/>
      </c>
      <c r="BL4" t="str">
        <f>""</f>
        <v/>
      </c>
      <c r="BM4" t="str">
        <f>""</f>
        <v/>
      </c>
      <c r="BN4" t="str">
        <f>""</f>
        <v/>
      </c>
      <c r="BO4" t="str">
        <f>""</f>
        <v/>
      </c>
      <c r="BP4" t="str">
        <f>""</f>
        <v/>
      </c>
      <c r="BQ4" t="str">
        <f>""</f>
        <v/>
      </c>
      <c r="BR4" t="str">
        <f>""</f>
        <v/>
      </c>
      <c r="BS4" t="str">
        <f>""</f>
        <v/>
      </c>
    </row>
    <row r="5" spans="1:71" x14ac:dyDescent="0.25">
      <c r="A5" t="str">
        <f>"        Citigroup Inc"</f>
        <v xml:space="preserve">        Citigroup Inc</v>
      </c>
      <c r="B5" t="str">
        <f>"C US Equity"</f>
        <v>C US Equity</v>
      </c>
      <c r="C5" t="str">
        <f t="shared" si="0"/>
        <v>FY421</v>
      </c>
      <c r="D5" t="str">
        <f t="shared" si="1"/>
        <v>FED_TOTAL_CONSOLIDATED_LOANS</v>
      </c>
      <c r="E5" t="str">
        <f t="shared" si="2"/>
        <v>Dynamic</v>
      </c>
      <c r="F5">
        <f ca="1">IF(AND(ISNUMBER($F$430),$B$427=1),$F$430,HLOOKUP(INDIRECT(ADDRESS(2,COLUMN())),OFFSET($AM$2,0,0,ROW()-1,33),ROW()-1,FALSE))</f>
        <v>711609</v>
      </c>
      <c r="G5">
        <f ca="1">IF(AND(ISNUMBER($G$430),$B$427=1),$G$430,HLOOKUP(INDIRECT(ADDRESS(2,COLUMN())),OFFSET($AM$2,0,0,ROW()-1,33),ROW()-1,FALSE))</f>
        <v>701173</v>
      </c>
      <c r="H5">
        <f ca="1">IF(AND(ISNUMBER($H$430),$B$427=1),$H$430,HLOOKUP(INDIRECT(ADDRESS(2,COLUMN())),OFFSET($AM$2,0,0,ROW()-1,33),ROW()-1,FALSE))</f>
        <v>681224</v>
      </c>
      <c r="I5">
        <f ca="1">IF(AND(ISNUMBER($I$430),$B$427=1),$I$430,HLOOKUP(INDIRECT(ADDRESS(2,COLUMN())),OFFSET($AM$2,0,0,ROW()-1,33),ROW()-1,FALSE))</f>
        <v>705150</v>
      </c>
      <c r="J5">
        <f ca="1">IF(AND(ISNUMBER($J$430),$B$427=1),$J$430,HLOOKUP(INDIRECT(ADDRESS(2,COLUMN())),OFFSET($AM$2,0,0,ROW()-1,33),ROW()-1,FALSE))</f>
        <v>694285</v>
      </c>
      <c r="K5">
        <f ca="1">IF(AND(ISNUMBER($K$430),$B$427=1),$K$430,HLOOKUP(INDIRECT(ADDRESS(2,COLUMN())),OFFSET($AM$2,0,0,ROW()-1,33),ROW()-1,FALSE))</f>
        <v>718117</v>
      </c>
      <c r="L5">
        <f ca="1">IF(AND(ISNUMBER($L$430),$B$427=1),$L$430,HLOOKUP(INDIRECT(ADDRESS(2,COLUMN())),OFFSET($AM$2,0,0,ROW()-1,33),ROW()-1,FALSE))</f>
        <v>700790</v>
      </c>
      <c r="M5">
        <f ca="1">IF(AND(ISNUMBER($M$430),$B$427=1),$M$430,HLOOKUP(INDIRECT(ADDRESS(2,COLUMN())),OFFSET($AM$2,0,0,ROW()-1,33),ROW()-1,FALSE))</f>
        <v>688135</v>
      </c>
      <c r="N5">
        <f ca="1">IF(AND(ISNUMBER($N$430),$B$427=1),$N$430,HLOOKUP(INDIRECT(ADDRESS(2,COLUMN())),OFFSET($AM$2,0,0,ROW()-1,33),ROW()-1,FALSE))</f>
        <v>641977</v>
      </c>
      <c r="O5">
        <f ca="1">IF(AND(ISNUMBER($O$430),$B$427=1),$O$430,HLOOKUP(INDIRECT(ADDRESS(2,COLUMN())),OFFSET($AM$2,0,0,ROW()-1,33),ROW()-1,FALSE))</f>
        <v>639726</v>
      </c>
      <c r="P5">
        <f ca="1">IF(AND(ISNUMBER($P$430),$B$427=1),$P$430,HLOOKUP(INDIRECT(ADDRESS(2,COLUMN())),OFFSET($AM$2,0,0,ROW()-1,33),ROW()-1,FALSE))</f>
        <v>660639</v>
      </c>
      <c r="Q5">
        <f ca="1">IF(AND(ISNUMBER($Q$430),$B$427=1),$Q$430,HLOOKUP(INDIRECT(ADDRESS(2,COLUMN())),OFFSET($AM$2,0,0,ROW()-1,33),ROW()-1,FALSE))</f>
        <v>677133</v>
      </c>
      <c r="R5">
        <f ca="1">IF(AND(ISNUMBER($R$430),$B$427=1),$R$430,HLOOKUP(INDIRECT(ADDRESS(2,COLUMN())),OFFSET($AM$2,0,0,ROW()-1,33),ROW()-1,FALSE))</f>
        <v>673019</v>
      </c>
      <c r="S5">
        <f ca="1">IF(AND(ISNUMBER($S$430),$B$427=1),$S$430,HLOOKUP(INDIRECT(ADDRESS(2,COLUMN())),OFFSET($AM$2,0,0,ROW()-1,33),ROW()-1,FALSE))</f>
        <v>676030</v>
      </c>
      <c r="T5">
        <f ca="1">IF(AND(ISNUMBER($T$430),$B$427=1),$T$430,HLOOKUP(INDIRECT(ADDRESS(2,COLUMN())),OFFSET($AM$2,0,0,ROW()-1,33),ROW()-1,FALSE))</f>
        <v>678662</v>
      </c>
      <c r="U5">
        <f ca="1">IF(AND(ISNUMBER($U$430),$B$427=1),$U$430,HLOOKUP(INDIRECT(ADDRESS(2,COLUMN())),OFFSET($AM$2,0,0,ROW()-1,33),ROW()-1,FALSE))</f>
        <v>619634</v>
      </c>
      <c r="V5">
        <f ca="1">IF(AND(ISNUMBER($V$430),$B$427=1),$V$430,HLOOKUP(INDIRECT(ADDRESS(2,COLUMN())),OFFSET($AM$2,0,0,ROW()-1,33),ROW()-1,FALSE))</f>
        <v>723696</v>
      </c>
      <c r="W5">
        <f ca="1">IF(AND(ISNUMBER($W$430),$B$427=1),$W$430,HLOOKUP(INDIRECT(ADDRESS(2,COLUMN())),OFFSET($AM$2,0,0,ROW()-1,33),ROW()-1,FALSE))</f>
        <v>858438</v>
      </c>
      <c r="X5">
        <f ca="1">IF(AND(ISNUMBER($X$430),$B$427=1),$X$430,HLOOKUP(INDIRECT(ADDRESS(2,COLUMN())),OFFSET($AM$2,0,0,ROW()-1,33),ROW()-1,FALSE))</f>
        <v>717294</v>
      </c>
      <c r="Y5">
        <f ca="1">IF(AND(ISNUMBER($Y$430),$B$427=1),$Y$430,HLOOKUP(INDIRECT(ADDRESS(2,COLUMN())),OFFSET($AM$2,0,0,ROW()-1,33),ROW()-1,FALSE))</f>
        <v>619160</v>
      </c>
      <c r="Z5">
        <f ca="1">IF(AND(ISNUMBER($Z$430),$B$427=1),$Z$430,HLOOKUP(INDIRECT(ADDRESS(2,COLUMN())),OFFSET($AM$2,0,0,ROW()-1,33),ROW()-1,FALSE))</f>
        <v>586057</v>
      </c>
      <c r="AA5">
        <f ca="1">IF(AND(ISNUMBER($AA$430),$B$427=1),$AA$430,HLOOKUP(INDIRECT(ADDRESS(2,COLUMN())),OFFSET($AM$2,0,0,ROW()-1,33),ROW()-1,FALSE))</f>
        <v>504803</v>
      </c>
      <c r="AB5">
        <f ca="1">IF(AND(ISNUMBER($AB$430),$B$427=1),$AB$430,HLOOKUP(INDIRECT(ADDRESS(2,COLUMN())),OFFSET($AM$2,0,0,ROW()-1,33),ROW()-1,FALSE))</f>
        <v>477323</v>
      </c>
      <c r="AC5">
        <f ca="1">IF(AND(ISNUMBER($AC$430),$B$427=1),$AC$430,HLOOKUP(INDIRECT(ADDRESS(2,COLUMN())),OFFSET($AM$2,0,0,ROW()-1,33),ROW()-1,FALSE))</f>
        <v>419928</v>
      </c>
      <c r="AD5" t="str">
        <f ca="1">IF(AND(ISNUMBER($AD$430),$B$427=1),$AD$430,HLOOKUP(INDIRECT(ADDRESS(2,COLUMN())),OFFSET($AM$2,0,0,ROW()-1,33),ROW()-1,FALSE))</f>
        <v/>
      </c>
      <c r="AE5" t="str">
        <f ca="1">IF(AND(ISNUMBER($AE$430),$B$427=1),$AE$430,HLOOKUP(INDIRECT(ADDRESS(2,COLUMN())),OFFSET($AM$2,0,0,ROW()-1,33),ROW()-1,FALSE))</f>
        <v/>
      </c>
      <c r="AF5" t="str">
        <f ca="1">IF(AND(ISNUMBER($AF$430),$B$427=1),$AF$430,HLOOKUP(INDIRECT(ADDRESS(2,COLUMN())),OFFSET($AM$2,0,0,ROW()-1,33),ROW()-1,FALSE))</f>
        <v/>
      </c>
      <c r="AG5" t="str">
        <f ca="1">IF(AND(ISNUMBER($AG$430),$B$427=1),$AG$430,HLOOKUP(INDIRECT(ADDRESS(2,COLUMN())),OFFSET($AM$2,0,0,ROW()-1,33),ROW()-1,FALSE))</f>
        <v/>
      </c>
      <c r="AH5" t="str">
        <f ca="1">IF(AND(ISNUMBER($AH$430),$B$427=1),$AH$430,HLOOKUP(INDIRECT(ADDRESS(2,COLUMN())),OFFSET($AM$2,0,0,ROW()-1,33),ROW()-1,FALSE))</f>
        <v/>
      </c>
      <c r="AI5" t="str">
        <f ca="1">IF(AND(ISNUMBER($AI$430),$B$427=1),$AI$430,HLOOKUP(INDIRECT(ADDRESS(2,COLUMN())),OFFSET($AM$2,0,0,ROW()-1,33),ROW()-1,FALSE))</f>
        <v/>
      </c>
      <c r="AJ5" t="str">
        <f ca="1">IF(AND(ISNUMBER($AJ$430),$B$427=1),$AJ$430,HLOOKUP(INDIRECT(ADDRESS(2,COLUMN())),OFFSET($AM$2,0,0,ROW()-1,33),ROW()-1,FALSE))</f>
        <v/>
      </c>
      <c r="AK5" t="str">
        <f ca="1">IF(AND(ISNUMBER($AK$430),$B$427=1),$AK$430,HLOOKUP(INDIRECT(ADDRESS(2,COLUMN())),OFFSET($AM$2,0,0,ROW()-1,33),ROW()-1,FALSE))</f>
        <v/>
      </c>
      <c r="AL5" t="str">
        <f ca="1">IF(AND(ISNUMBER($AL$430),$B$427=1),$AL$430,HLOOKUP(INDIRECT(ADDRESS(2,COLUMN())),OFFSET($AM$2,0,0,ROW()-1,33),ROW()-1,FALSE))</f>
        <v/>
      </c>
      <c r="AM5">
        <f>711609</f>
        <v>711609</v>
      </c>
      <c r="AN5">
        <f>701173</f>
        <v>701173</v>
      </c>
      <c r="AO5">
        <f>681224</f>
        <v>681224</v>
      </c>
      <c r="AP5">
        <f>705150</f>
        <v>705150</v>
      </c>
      <c r="AQ5">
        <f>694285</f>
        <v>694285</v>
      </c>
      <c r="AR5">
        <f>718117</f>
        <v>718117</v>
      </c>
      <c r="AS5">
        <f>700790</f>
        <v>700790</v>
      </c>
      <c r="AT5">
        <f>688135</f>
        <v>688135</v>
      </c>
      <c r="AU5">
        <f>641977</f>
        <v>641977</v>
      </c>
      <c r="AV5">
        <f>639726</f>
        <v>639726</v>
      </c>
      <c r="AW5">
        <f>660639</f>
        <v>660639</v>
      </c>
      <c r="AX5">
        <f>677133</f>
        <v>677133</v>
      </c>
      <c r="AY5">
        <f>673019</f>
        <v>673019</v>
      </c>
      <c r="AZ5">
        <f>676030</f>
        <v>676030</v>
      </c>
      <c r="BA5">
        <f>678662</f>
        <v>678662</v>
      </c>
      <c r="BB5">
        <f>619634</f>
        <v>619634</v>
      </c>
      <c r="BC5">
        <f>723696</f>
        <v>723696</v>
      </c>
      <c r="BD5">
        <f>858438</f>
        <v>858438</v>
      </c>
      <c r="BE5">
        <f>717294</f>
        <v>717294</v>
      </c>
      <c r="BF5">
        <f>619160</f>
        <v>619160</v>
      </c>
      <c r="BG5">
        <f>586057</f>
        <v>586057</v>
      </c>
      <c r="BH5">
        <f>504803</f>
        <v>504803</v>
      </c>
      <c r="BI5">
        <f>477323</f>
        <v>477323</v>
      </c>
      <c r="BJ5">
        <f>419928</f>
        <v>419928</v>
      </c>
      <c r="BK5" t="str">
        <f>""</f>
        <v/>
      </c>
      <c r="BL5" t="str">
        <f>""</f>
        <v/>
      </c>
      <c r="BM5" t="str">
        <f>""</f>
        <v/>
      </c>
      <c r="BN5" t="str">
        <f>""</f>
        <v/>
      </c>
      <c r="BO5" t="str">
        <f>""</f>
        <v/>
      </c>
      <c r="BP5" t="str">
        <f>""</f>
        <v/>
      </c>
      <c r="BQ5" t="str">
        <f>""</f>
        <v/>
      </c>
      <c r="BR5" t="str">
        <f>""</f>
        <v/>
      </c>
      <c r="BS5" t="str">
        <f>""</f>
        <v/>
      </c>
    </row>
    <row r="6" spans="1:71" x14ac:dyDescent="0.25">
      <c r="A6" t="str">
        <f>"        Citizens Financial Group Inc"</f>
        <v xml:space="preserve">        Citizens Financial Group Inc</v>
      </c>
      <c r="B6" t="str">
        <f>"CFG US Equity"</f>
        <v>CFG US Equity</v>
      </c>
      <c r="C6" t="str">
        <f t="shared" si="0"/>
        <v>FY421</v>
      </c>
      <c r="D6" t="str">
        <f t="shared" si="1"/>
        <v>FED_TOTAL_CONSOLIDATED_LOANS</v>
      </c>
      <c r="E6" t="str">
        <f t="shared" si="2"/>
        <v>Dynamic</v>
      </c>
      <c r="F6">
        <f ca="1">IF(AND(ISNUMBER($F$431),$B$427=1),$F$431,HLOOKUP(INDIRECT(ADDRESS(2,COLUMN())),OFFSET($AM$2,0,0,ROW()-1,33),ROW()-1,FALSE))</f>
        <v>140207.53599999999</v>
      </c>
      <c r="G6">
        <f ca="1">IF(AND(ISNUMBER($G$431),$B$427=1),$G$431,HLOOKUP(INDIRECT(ADDRESS(2,COLUMN())),OFFSET($AM$2,0,0,ROW()-1,33),ROW()-1,FALSE))</f>
        <v>146993.72500000001</v>
      </c>
      <c r="H6">
        <f ca="1">IF(AND(ISNUMBER($H$431),$B$427=1),$H$431,HLOOKUP(INDIRECT(ADDRESS(2,COLUMN())),OFFSET($AM$2,0,0,ROW()-1,33),ROW()-1,FALSE))</f>
        <v>157774.068</v>
      </c>
      <c r="I6">
        <f ca="1">IF(AND(ISNUMBER($I$431),$B$427=1),$I$431,HLOOKUP(INDIRECT(ADDRESS(2,COLUMN())),OFFSET($AM$2,0,0,ROW()-1,33),ROW()-1,FALSE))</f>
        <v>131631.13099999999</v>
      </c>
      <c r="J6">
        <f ca="1">IF(AND(ISNUMBER($J$431),$B$427=1),$J$431,HLOOKUP(INDIRECT(ADDRESS(2,COLUMN())),OFFSET($AM$2,0,0,ROW()-1,33),ROW()-1,FALSE))</f>
        <v>128081.219</v>
      </c>
      <c r="K6">
        <f ca="1">IF(AND(ISNUMBER($K$431),$B$427=1),$K$431,HLOOKUP(INDIRECT(ADDRESS(2,COLUMN())),OFFSET($AM$2,0,0,ROW()-1,33),ROW()-1,FALSE))</f>
        <v>122272.109</v>
      </c>
      <c r="L6">
        <f ca="1">IF(AND(ISNUMBER($L$431),$B$427=1),$L$431,HLOOKUP(INDIRECT(ADDRESS(2,COLUMN())),OFFSET($AM$2,0,0,ROW()-1,33),ROW()-1,FALSE))</f>
        <v>117744.967</v>
      </c>
      <c r="M6">
        <f ca="1">IF(AND(ISNUMBER($M$431),$B$427=1),$M$431,HLOOKUP(INDIRECT(ADDRESS(2,COLUMN())),OFFSET($AM$2,0,0,ROW()-1,33),ROW()-1,FALSE))</f>
        <v>111180.173</v>
      </c>
      <c r="N6">
        <f ca="1">IF(AND(ISNUMBER($N$431),$B$427=1),$N$431,HLOOKUP(INDIRECT(ADDRESS(2,COLUMN())),OFFSET($AM$2,0,0,ROW()-1,33),ROW()-1,FALSE))</f>
        <v>108232.204</v>
      </c>
      <c r="O6">
        <f ca="1">IF(AND(ISNUMBER($O$431),$B$427=1),$O$431,HLOOKUP(INDIRECT(ADDRESS(2,COLUMN())),OFFSET($AM$2,0,0,ROW()-1,33),ROW()-1,FALSE))</f>
        <v>99384.294999999998</v>
      </c>
      <c r="P6">
        <f ca="1">IF(AND(ISNUMBER($P$431),$B$427=1),$P$431,HLOOKUP(INDIRECT(ADDRESS(2,COLUMN())),OFFSET($AM$2,0,0,ROW()-1,33),ROW()-1,FALSE))</f>
        <v>93675.936000000002</v>
      </c>
      <c r="Q6">
        <f ca="1">IF(AND(ISNUMBER($Q$431),$B$427=1),$Q$431,HLOOKUP(INDIRECT(ADDRESS(2,COLUMN())),OFFSET($AM$2,0,0,ROW()-1,33),ROW()-1,FALSE))</f>
        <v>87137.156000000003</v>
      </c>
      <c r="R6">
        <f ca="1">IF(AND(ISNUMBER($R$431),$B$427=1),$R$431,HLOOKUP(INDIRECT(ADDRESS(2,COLUMN())),OFFSET($AM$2,0,0,ROW()-1,33),ROW()-1,FALSE))</f>
        <v>87916.694000000003</v>
      </c>
      <c r="S6">
        <f ca="1">IF(AND(ISNUMBER($S$431),$B$427=1),$S$431,HLOOKUP(INDIRECT(ADDRESS(2,COLUMN())),OFFSET($AM$2,0,0,ROW()-1,33),ROW()-1,FALSE))</f>
        <v>87381.176000000007</v>
      </c>
      <c r="T6">
        <f ca="1">IF(AND(ISNUMBER($T$431),$B$427=1),$T$431,HLOOKUP(INDIRECT(ADDRESS(2,COLUMN())),OFFSET($AM$2,0,0,ROW()-1,33),ROW()-1,FALSE))</f>
        <v>87770.357000000004</v>
      </c>
      <c r="U6">
        <f ca="1">IF(AND(ISNUMBER($U$431),$B$427=1),$U$431,HLOOKUP(INDIRECT(ADDRESS(2,COLUMN())),OFFSET($AM$2,0,0,ROW()-1,33),ROW()-1,FALSE))</f>
        <v>96074.607000000004</v>
      </c>
      <c r="V6">
        <f ca="1">IF(AND(ISNUMBER($V$431),$B$427=1),$V$431,HLOOKUP(INDIRECT(ADDRESS(2,COLUMN())),OFFSET($AM$2,0,0,ROW()-1,33),ROW()-1,FALSE))</f>
        <v>111195.501</v>
      </c>
      <c r="W6">
        <f ca="1">IF(AND(ISNUMBER($W$431),$B$427=1),$W$431,HLOOKUP(INDIRECT(ADDRESS(2,COLUMN())),OFFSET($AM$2,0,0,ROW()-1,33),ROW()-1,FALSE))</f>
        <v>111762.69</v>
      </c>
      <c r="X6">
        <f ca="1">IF(AND(ISNUMBER($X$431),$B$427=1),$X$431,HLOOKUP(INDIRECT(ADDRESS(2,COLUMN())),OFFSET($AM$2,0,0,ROW()-1,33),ROW()-1,FALSE))</f>
        <v>106062.823</v>
      </c>
      <c r="Y6">
        <f ca="1">IF(AND(ISNUMBER($Y$431),$B$427=1),$Y$431,HLOOKUP(INDIRECT(ADDRESS(2,COLUMN())),OFFSET($AM$2,0,0,ROW()-1,33),ROW()-1,FALSE))</f>
        <v>100000.266</v>
      </c>
      <c r="Z6">
        <f ca="1">IF(AND(ISNUMBER($Z$431),$B$427=1),$Z$431,HLOOKUP(INDIRECT(ADDRESS(2,COLUMN())),OFFSET($AM$2,0,0,ROW()-1,33),ROW()-1,FALSE))</f>
        <v>86681.343999999997</v>
      </c>
      <c r="AA6">
        <f ca="1">IF(AND(ISNUMBER($AA$431),$B$427=1),$AA$431,HLOOKUP(INDIRECT(ADDRESS(2,COLUMN())),OFFSET($AM$2,0,0,ROW()-1,33),ROW()-1,FALSE))</f>
        <v>43764.093000000001</v>
      </c>
      <c r="AB6">
        <f ca="1">IF(AND(ISNUMBER($AB$431),$B$427=1),$AB$431,HLOOKUP(INDIRECT(ADDRESS(2,COLUMN())),OFFSET($AM$2,0,0,ROW()-1,33),ROW()-1,FALSE))</f>
        <v>31559.427</v>
      </c>
      <c r="AC6">
        <f ca="1">IF(AND(ISNUMBER($AC$431),$B$427=1),$AC$431,HLOOKUP(INDIRECT(ADDRESS(2,COLUMN())),OFFSET($AM$2,0,0,ROW()-1,33),ROW()-1,FALSE))</f>
        <v>26415.282999999999</v>
      </c>
      <c r="AD6" t="str">
        <f ca="1">IF(AND(ISNUMBER($AD$431),$B$427=1),$AD$431,HLOOKUP(INDIRECT(ADDRESS(2,COLUMN())),OFFSET($AM$2,0,0,ROW()-1,33),ROW()-1,FALSE))</f>
        <v/>
      </c>
      <c r="AE6" t="str">
        <f ca="1">IF(AND(ISNUMBER($AE$431),$B$427=1),$AE$431,HLOOKUP(INDIRECT(ADDRESS(2,COLUMN())),OFFSET($AM$2,0,0,ROW()-1,33),ROW()-1,FALSE))</f>
        <v/>
      </c>
      <c r="AF6" t="str">
        <f ca="1">IF(AND(ISNUMBER($AF$431),$B$427=1),$AF$431,HLOOKUP(INDIRECT(ADDRESS(2,COLUMN())),OFFSET($AM$2,0,0,ROW()-1,33),ROW()-1,FALSE))</f>
        <v/>
      </c>
      <c r="AG6" t="str">
        <f ca="1">IF(AND(ISNUMBER($AG$431),$B$427=1),$AG$431,HLOOKUP(INDIRECT(ADDRESS(2,COLUMN())),OFFSET($AM$2,0,0,ROW()-1,33),ROW()-1,FALSE))</f>
        <v/>
      </c>
      <c r="AH6" t="str">
        <f ca="1">IF(AND(ISNUMBER($AH$431),$B$427=1),$AH$431,HLOOKUP(INDIRECT(ADDRESS(2,COLUMN())),OFFSET($AM$2,0,0,ROW()-1,33),ROW()-1,FALSE))</f>
        <v/>
      </c>
      <c r="AI6" t="str">
        <f ca="1">IF(AND(ISNUMBER($AI$431),$B$427=1),$AI$431,HLOOKUP(INDIRECT(ADDRESS(2,COLUMN())),OFFSET($AM$2,0,0,ROW()-1,33),ROW()-1,FALSE))</f>
        <v/>
      </c>
      <c r="AJ6" t="str">
        <f ca="1">IF(AND(ISNUMBER($AJ$431),$B$427=1),$AJ$431,HLOOKUP(INDIRECT(ADDRESS(2,COLUMN())),OFFSET($AM$2,0,0,ROW()-1,33),ROW()-1,FALSE))</f>
        <v/>
      </c>
      <c r="AK6" t="str">
        <f ca="1">IF(AND(ISNUMBER($AK$431),$B$427=1),$AK$431,HLOOKUP(INDIRECT(ADDRESS(2,COLUMN())),OFFSET($AM$2,0,0,ROW()-1,33),ROW()-1,FALSE))</f>
        <v/>
      </c>
      <c r="AL6" t="str">
        <f ca="1">IF(AND(ISNUMBER($AL$431),$B$427=1),$AL$431,HLOOKUP(INDIRECT(ADDRESS(2,COLUMN())),OFFSET($AM$2,0,0,ROW()-1,33),ROW()-1,FALSE))</f>
        <v/>
      </c>
      <c r="AM6">
        <f>140207.536</f>
        <v>140207.53599999999</v>
      </c>
      <c r="AN6">
        <f>146993.725</f>
        <v>146993.72500000001</v>
      </c>
      <c r="AO6">
        <f>157774.068</f>
        <v>157774.068</v>
      </c>
      <c r="AP6">
        <f>131631.131</f>
        <v>131631.13099999999</v>
      </c>
      <c r="AQ6">
        <f>128081.219</f>
        <v>128081.219</v>
      </c>
      <c r="AR6">
        <f>122272.109</f>
        <v>122272.109</v>
      </c>
      <c r="AS6">
        <f>117744.967</f>
        <v>117744.967</v>
      </c>
      <c r="AT6">
        <f>111180.173</f>
        <v>111180.173</v>
      </c>
      <c r="AU6">
        <f>108232.204</f>
        <v>108232.204</v>
      </c>
      <c r="AV6">
        <f>99384.295</f>
        <v>99384.294999999998</v>
      </c>
      <c r="AW6">
        <f>93675.936</f>
        <v>93675.936000000002</v>
      </c>
      <c r="AX6">
        <f>87137.156</f>
        <v>87137.156000000003</v>
      </c>
      <c r="AY6">
        <f>87916.694</f>
        <v>87916.694000000003</v>
      </c>
      <c r="AZ6">
        <f>87381.176</f>
        <v>87381.176000000007</v>
      </c>
      <c r="BA6">
        <f>87770.357</f>
        <v>87770.357000000004</v>
      </c>
      <c r="BB6">
        <f>96074.607</f>
        <v>96074.607000000004</v>
      </c>
      <c r="BC6">
        <f>111195.501</f>
        <v>111195.501</v>
      </c>
      <c r="BD6">
        <f>111762.69</f>
        <v>111762.69</v>
      </c>
      <c r="BE6">
        <f>106062.823</f>
        <v>106062.823</v>
      </c>
      <c r="BF6">
        <f>100000.266</f>
        <v>100000.266</v>
      </c>
      <c r="BG6">
        <f>86681.344</f>
        <v>86681.343999999997</v>
      </c>
      <c r="BH6">
        <f>43764.093</f>
        <v>43764.093000000001</v>
      </c>
      <c r="BI6">
        <f>31559.427</f>
        <v>31559.427</v>
      </c>
      <c r="BJ6">
        <f>26415.283</f>
        <v>26415.282999999999</v>
      </c>
      <c r="BK6" t="str">
        <f>""</f>
        <v/>
      </c>
      <c r="BL6" t="str">
        <f>""</f>
        <v/>
      </c>
      <c r="BM6" t="str">
        <f>""</f>
        <v/>
      </c>
      <c r="BN6" t="str">
        <f>""</f>
        <v/>
      </c>
      <c r="BO6" t="str">
        <f>""</f>
        <v/>
      </c>
      <c r="BP6" t="str">
        <f>""</f>
        <v/>
      </c>
      <c r="BQ6" t="str">
        <f>""</f>
        <v/>
      </c>
      <c r="BR6" t="str">
        <f>""</f>
        <v/>
      </c>
      <c r="BS6" t="str">
        <f>""</f>
        <v/>
      </c>
    </row>
    <row r="7" spans="1:71" x14ac:dyDescent="0.25">
      <c r="A7" t="str">
        <f>"        Capital One Financial Corp"</f>
        <v xml:space="preserve">        Capital One Financial Corp</v>
      </c>
      <c r="B7" t="str">
        <f>"COF US Equity"</f>
        <v>COF US Equity</v>
      </c>
      <c r="C7" t="str">
        <f t="shared" si="0"/>
        <v>FY421</v>
      </c>
      <c r="D7" t="str">
        <f t="shared" si="1"/>
        <v>FED_TOTAL_CONSOLIDATED_LOANS</v>
      </c>
      <c r="E7" t="str">
        <f t="shared" si="2"/>
        <v>Dynamic</v>
      </c>
      <c r="F7">
        <f ca="1">IF(AND(ISNUMBER($F$432),$B$427=1),$F$432,HLOOKUP(INDIRECT(ADDRESS(2,COLUMN())),OFFSET($AM$2,0,0,ROW()-1,33),ROW()-1,FALSE))</f>
        <v>327977.576</v>
      </c>
      <c r="G7">
        <f ca="1">IF(AND(ISNUMBER($G$432),$B$427=1),$G$432,HLOOKUP(INDIRECT(ADDRESS(2,COLUMN())),OFFSET($AM$2,0,0,ROW()-1,33),ROW()-1,FALSE))</f>
        <v>321325.283</v>
      </c>
      <c r="H7">
        <f ca="1">IF(AND(ISNUMBER($H$432),$B$427=1),$H$432,HLOOKUP(INDIRECT(ADDRESS(2,COLUMN())),OFFSET($AM$2,0,0,ROW()-1,33),ROW()-1,FALSE))</f>
        <v>312533.19199999998</v>
      </c>
      <c r="I7">
        <f ca="1">IF(AND(ISNUMBER($I$432),$B$427=1),$I$432,HLOOKUP(INDIRECT(ADDRESS(2,COLUMN())),OFFSET($AM$2,0,0,ROW()-1,33),ROW()-1,FALSE))</f>
        <v>283227.397</v>
      </c>
      <c r="J7">
        <f ca="1">IF(AND(ISNUMBER($J$432),$B$427=1),$J$432,HLOOKUP(INDIRECT(ADDRESS(2,COLUMN())),OFFSET($AM$2,0,0,ROW()-1,33),ROW()-1,FALSE))</f>
        <v>254333.81700000001</v>
      </c>
      <c r="K7">
        <f ca="1">IF(AND(ISNUMBER($K$432),$B$427=1),$K$432,HLOOKUP(INDIRECT(ADDRESS(2,COLUMN())),OFFSET($AM$2,0,0,ROW()-1,33),ROW()-1,FALSE))</f>
        <v>266209.05200000003</v>
      </c>
      <c r="L7">
        <f ca="1">IF(AND(ISNUMBER($L$432),$B$427=1),$L$432,HLOOKUP(INDIRECT(ADDRESS(2,COLUMN())),OFFSET($AM$2,0,0,ROW()-1,33),ROW()-1,FALSE))</f>
        <v>247090.74799999999</v>
      </c>
      <c r="M7">
        <f ca="1">IF(AND(ISNUMBER($M$432),$B$427=1),$M$432,HLOOKUP(INDIRECT(ADDRESS(2,COLUMN())),OFFSET($AM$2,0,0,ROW()-1,33),ROW()-1,FALSE))</f>
        <v>255443.198</v>
      </c>
      <c r="N7">
        <f ca="1">IF(AND(ISNUMBER($N$432),$B$427=1),$N$432,HLOOKUP(INDIRECT(ADDRESS(2,COLUMN())),OFFSET($AM$2,0,0,ROW()-1,33),ROW()-1,FALSE))</f>
        <v>246754.769</v>
      </c>
      <c r="O7">
        <f ca="1">IF(AND(ISNUMBER($O$432),$B$427=1),$O$432,HLOOKUP(INDIRECT(ADDRESS(2,COLUMN())),OFFSET($AM$2,0,0,ROW()-1,33),ROW()-1,FALSE))</f>
        <v>230923.889</v>
      </c>
      <c r="P7">
        <f ca="1">IF(AND(ISNUMBER($P$432),$B$427=1),$P$432,HLOOKUP(INDIRECT(ADDRESS(2,COLUMN())),OFFSET($AM$2,0,0,ROW()-1,33),ROW()-1,FALSE))</f>
        <v>209062.215</v>
      </c>
      <c r="Q7">
        <f ca="1">IF(AND(ISNUMBER($Q$432),$B$427=1),$Q$432,HLOOKUP(INDIRECT(ADDRESS(2,COLUMN())),OFFSET($AM$2,0,0,ROW()-1,33),ROW()-1,FALSE))</f>
        <v>197869.49</v>
      </c>
      <c r="R7">
        <f ca="1">IF(AND(ISNUMBER($R$432),$B$427=1),$R$432,HLOOKUP(INDIRECT(ADDRESS(2,COLUMN())),OFFSET($AM$2,0,0,ROW()-1,33),ROW()-1,FALSE))</f>
        <v>206212.78400000001</v>
      </c>
      <c r="S7">
        <f ca="1">IF(AND(ISNUMBER($S$432),$B$427=1),$S$432,HLOOKUP(INDIRECT(ADDRESS(2,COLUMN())),OFFSET($AM$2,0,0,ROW()-1,33),ROW()-1,FALSE))</f>
        <v>136484.163</v>
      </c>
      <c r="T7">
        <f ca="1">IF(AND(ISNUMBER($T$432),$B$427=1),$T$432,HLOOKUP(INDIRECT(ADDRESS(2,COLUMN())),OFFSET($AM$2,0,0,ROW()-1,33),ROW()-1,FALSE))</f>
        <v>126550.12300000001</v>
      </c>
      <c r="U7">
        <f ca="1">IF(AND(ISNUMBER($U$432),$B$427=1),$U$432,HLOOKUP(INDIRECT(ADDRESS(2,COLUMN())),OFFSET($AM$2,0,0,ROW()-1,33),ROW()-1,FALSE))</f>
        <v>91412.434999999998</v>
      </c>
      <c r="V7">
        <f ca="1">IF(AND(ISNUMBER($V$432),$B$427=1),$V$432,HLOOKUP(INDIRECT(ADDRESS(2,COLUMN())),OFFSET($AM$2,0,0,ROW()-1,33),ROW()-1,FALSE))</f>
        <v>101654.12300000001</v>
      </c>
      <c r="W7">
        <f ca="1">IF(AND(ISNUMBER($W$432),$B$427=1),$W$432,HLOOKUP(INDIRECT(ADDRESS(2,COLUMN())),OFFSET($AM$2,0,0,ROW()-1,33),ROW()-1,FALSE))</f>
        <v>102908.785</v>
      </c>
      <c r="X7">
        <f ca="1">IF(AND(ISNUMBER($X$432),$B$427=1),$X$432,HLOOKUP(INDIRECT(ADDRESS(2,COLUMN())),OFFSET($AM$2,0,0,ROW()-1,33),ROW()-1,FALSE))</f>
        <v>107406.982</v>
      </c>
      <c r="Y7">
        <f ca="1">IF(AND(ISNUMBER($Y$432),$B$427=1),$Y$432,HLOOKUP(INDIRECT(ADDRESS(2,COLUMN())),OFFSET($AM$2,0,0,ROW()-1,33),ROW()-1,FALSE))</f>
        <v>60193.620999999999</v>
      </c>
      <c r="Z7">
        <f ca="1">IF(AND(ISNUMBER($Z$432),$B$427=1),$Z$432,HLOOKUP(INDIRECT(ADDRESS(2,COLUMN())),OFFSET($AM$2,0,0,ROW()-1,33),ROW()-1,FALSE))</f>
        <v>38774.444000000003</v>
      </c>
      <c r="AA7" t="str">
        <f ca="1">IF(AND(ISNUMBER($AA$432),$B$427=1),$AA$432,HLOOKUP(INDIRECT(ADDRESS(2,COLUMN())),OFFSET($AM$2,0,0,ROW()-1,33),ROW()-1,FALSE))</f>
        <v/>
      </c>
      <c r="AB7" t="str">
        <f ca="1">IF(AND(ISNUMBER($AB$432),$B$427=1),$AB$432,HLOOKUP(INDIRECT(ADDRESS(2,COLUMN())),OFFSET($AM$2,0,0,ROW()-1,33),ROW()-1,FALSE))</f>
        <v/>
      </c>
      <c r="AC7" t="str">
        <f ca="1">IF(AND(ISNUMBER($AC$432),$B$427=1),$AC$432,HLOOKUP(INDIRECT(ADDRESS(2,COLUMN())),OFFSET($AM$2,0,0,ROW()-1,33),ROW()-1,FALSE))</f>
        <v/>
      </c>
      <c r="AD7" t="str">
        <f ca="1">IF(AND(ISNUMBER($AD$432),$B$427=1),$AD$432,HLOOKUP(INDIRECT(ADDRESS(2,COLUMN())),OFFSET($AM$2,0,0,ROW()-1,33),ROW()-1,FALSE))</f>
        <v/>
      </c>
      <c r="AE7" t="str">
        <f ca="1">IF(AND(ISNUMBER($AE$432),$B$427=1),$AE$432,HLOOKUP(INDIRECT(ADDRESS(2,COLUMN())),OFFSET($AM$2,0,0,ROW()-1,33),ROW()-1,FALSE))</f>
        <v/>
      </c>
      <c r="AF7" t="str">
        <f ca="1">IF(AND(ISNUMBER($AF$432),$B$427=1),$AF$432,HLOOKUP(INDIRECT(ADDRESS(2,COLUMN())),OFFSET($AM$2,0,0,ROW()-1,33),ROW()-1,FALSE))</f>
        <v/>
      </c>
      <c r="AG7" t="str">
        <f ca="1">IF(AND(ISNUMBER($AG$432),$B$427=1),$AG$432,HLOOKUP(INDIRECT(ADDRESS(2,COLUMN())),OFFSET($AM$2,0,0,ROW()-1,33),ROW()-1,FALSE))</f>
        <v/>
      </c>
      <c r="AH7" t="str">
        <f ca="1">IF(AND(ISNUMBER($AH$432),$B$427=1),$AH$432,HLOOKUP(INDIRECT(ADDRESS(2,COLUMN())),OFFSET($AM$2,0,0,ROW()-1,33),ROW()-1,FALSE))</f>
        <v/>
      </c>
      <c r="AI7" t="str">
        <f ca="1">IF(AND(ISNUMBER($AI$432),$B$427=1),$AI$432,HLOOKUP(INDIRECT(ADDRESS(2,COLUMN())),OFFSET($AM$2,0,0,ROW()-1,33),ROW()-1,FALSE))</f>
        <v/>
      </c>
      <c r="AJ7" t="str">
        <f ca="1">IF(AND(ISNUMBER($AJ$432),$B$427=1),$AJ$432,HLOOKUP(INDIRECT(ADDRESS(2,COLUMN())),OFFSET($AM$2,0,0,ROW()-1,33),ROW()-1,FALSE))</f>
        <v/>
      </c>
      <c r="AK7" t="str">
        <f ca="1">IF(AND(ISNUMBER($AK$432),$B$427=1),$AK$432,HLOOKUP(INDIRECT(ADDRESS(2,COLUMN())),OFFSET($AM$2,0,0,ROW()-1,33),ROW()-1,FALSE))</f>
        <v/>
      </c>
      <c r="AL7" t="str">
        <f ca="1">IF(AND(ISNUMBER($AL$432),$B$427=1),$AL$432,HLOOKUP(INDIRECT(ADDRESS(2,COLUMN())),OFFSET($AM$2,0,0,ROW()-1,33),ROW()-1,FALSE))</f>
        <v/>
      </c>
      <c r="AM7">
        <f>327977.576</f>
        <v>327977.576</v>
      </c>
      <c r="AN7">
        <f>321325.283</f>
        <v>321325.283</v>
      </c>
      <c r="AO7">
        <f>312533.192</f>
        <v>312533.19199999998</v>
      </c>
      <c r="AP7">
        <f>283227.397</f>
        <v>283227.397</v>
      </c>
      <c r="AQ7">
        <f>254333.817</f>
        <v>254333.81700000001</v>
      </c>
      <c r="AR7">
        <f>266209.052</f>
        <v>266209.05200000003</v>
      </c>
      <c r="AS7">
        <f>247090.748</f>
        <v>247090.74799999999</v>
      </c>
      <c r="AT7">
        <f>255443.198</f>
        <v>255443.198</v>
      </c>
      <c r="AU7">
        <f>246754.769</f>
        <v>246754.769</v>
      </c>
      <c r="AV7">
        <f>230923.889</f>
        <v>230923.889</v>
      </c>
      <c r="AW7">
        <f>209062.215</f>
        <v>209062.215</v>
      </c>
      <c r="AX7">
        <f>197869.49</f>
        <v>197869.49</v>
      </c>
      <c r="AY7">
        <f>206212.784</f>
        <v>206212.78400000001</v>
      </c>
      <c r="AZ7">
        <f>136484.163</f>
        <v>136484.163</v>
      </c>
      <c r="BA7">
        <f>126550.123</f>
        <v>126550.12300000001</v>
      </c>
      <c r="BB7">
        <f>91412.435</f>
        <v>91412.434999999998</v>
      </c>
      <c r="BC7">
        <f>101654.123</f>
        <v>101654.12300000001</v>
      </c>
      <c r="BD7">
        <f>102908.785</f>
        <v>102908.785</v>
      </c>
      <c r="BE7">
        <f>107406.982</f>
        <v>107406.982</v>
      </c>
      <c r="BF7">
        <f>60193.621</f>
        <v>60193.620999999999</v>
      </c>
      <c r="BG7">
        <f>38774.444</f>
        <v>38774.444000000003</v>
      </c>
      <c r="BH7" t="str">
        <f>""</f>
        <v/>
      </c>
      <c r="BI7" t="str">
        <f>""</f>
        <v/>
      </c>
      <c r="BJ7" t="str">
        <f>""</f>
        <v/>
      </c>
      <c r="BK7" t="str">
        <f>""</f>
        <v/>
      </c>
      <c r="BL7" t="str">
        <f>""</f>
        <v/>
      </c>
      <c r="BM7" t="str">
        <f>""</f>
        <v/>
      </c>
      <c r="BN7" t="str">
        <f>""</f>
        <v/>
      </c>
      <c r="BO7" t="str">
        <f>""</f>
        <v/>
      </c>
      <c r="BP7" t="str">
        <f>""</f>
        <v/>
      </c>
      <c r="BQ7" t="str">
        <f>""</f>
        <v/>
      </c>
      <c r="BR7" t="str">
        <f>""</f>
        <v/>
      </c>
      <c r="BS7" t="str">
        <f>""</f>
        <v/>
      </c>
    </row>
    <row r="8" spans="1:71" x14ac:dyDescent="0.25">
      <c r="A8" t="str">
        <f>"        Comerica Inc"</f>
        <v xml:space="preserve">        Comerica Inc</v>
      </c>
      <c r="B8" t="str">
        <f>"CMA US Equity"</f>
        <v>CMA US Equity</v>
      </c>
      <c r="C8" t="str">
        <f t="shared" si="0"/>
        <v>FY421</v>
      </c>
      <c r="D8" t="str">
        <f t="shared" si="1"/>
        <v>FED_TOTAL_CONSOLIDATED_LOANS</v>
      </c>
      <c r="E8" t="str">
        <f t="shared" si="2"/>
        <v>Dynamic</v>
      </c>
      <c r="F8" t="str">
        <f ca="1">IF(AND(ISNUMBER($F$433),$B$427=1),$F$433,HLOOKUP(INDIRECT(ADDRESS(2,COLUMN())),OFFSET($AM$2,0,0,ROW()-1,33),ROW()-1,FALSE))</f>
        <v/>
      </c>
      <c r="G8">
        <f ca="1">IF(AND(ISNUMBER($G$433),$B$427=1),$G$433,HLOOKUP(INDIRECT(ADDRESS(2,COLUMN())),OFFSET($AM$2,0,0,ROW()-1,33),ROW()-1,FALSE))</f>
        <v>52345</v>
      </c>
      <c r="H8">
        <f ca="1">IF(AND(ISNUMBER($H$433),$B$427=1),$H$433,HLOOKUP(INDIRECT(ADDRESS(2,COLUMN())),OFFSET($AM$2,0,0,ROW()-1,33),ROW()-1,FALSE))</f>
        <v>53403</v>
      </c>
      <c r="I8">
        <f ca="1">IF(AND(ISNUMBER($I$433),$B$427=1),$I$433,HLOOKUP(INDIRECT(ADDRESS(2,COLUMN())),OFFSET($AM$2,0,0,ROW()-1,33),ROW()-1,FALSE))</f>
        <v>49291</v>
      </c>
      <c r="J8">
        <f ca="1">IF(AND(ISNUMBER($J$433),$B$427=1),$J$433,HLOOKUP(INDIRECT(ADDRESS(2,COLUMN())),OFFSET($AM$2,0,0,ROW()-1,33),ROW()-1,FALSE))</f>
        <v>52296</v>
      </c>
      <c r="K8">
        <f ca="1">IF(AND(ISNUMBER($K$433),$B$427=1),$K$433,HLOOKUP(INDIRECT(ADDRESS(2,COLUMN())),OFFSET($AM$2,0,0,ROW()-1,33),ROW()-1,FALSE))</f>
        <v>50375</v>
      </c>
      <c r="L8">
        <f ca="1">IF(AND(ISNUMBER($L$433),$B$427=1),$L$433,HLOOKUP(INDIRECT(ADDRESS(2,COLUMN())),OFFSET($AM$2,0,0,ROW()-1,33),ROW()-1,FALSE))</f>
        <v>50165.673000000003</v>
      </c>
      <c r="M8">
        <f ca="1">IF(AND(ISNUMBER($M$433),$B$427=1),$M$433,HLOOKUP(INDIRECT(ADDRESS(2,COLUMN())),OFFSET($AM$2,0,0,ROW()-1,33),ROW()-1,FALSE))</f>
        <v>49175.788</v>
      </c>
      <c r="N8">
        <f ca="1">IF(AND(ISNUMBER($N$433),$B$427=1),$N$433,HLOOKUP(INDIRECT(ADDRESS(2,COLUMN())),OFFSET($AM$2,0,0,ROW()-1,33),ROW()-1,FALSE))</f>
        <v>49091.118000000002</v>
      </c>
      <c r="O8">
        <f ca="1">IF(AND(ISNUMBER($O$433),$B$427=1),$O$433,HLOOKUP(INDIRECT(ADDRESS(2,COLUMN())),OFFSET($AM$2,0,0,ROW()-1,33),ROW()-1,FALSE))</f>
        <v>49104.214999999997</v>
      </c>
      <c r="P8">
        <f ca="1">IF(AND(ISNUMBER($P$433),$B$427=1),$P$433,HLOOKUP(INDIRECT(ADDRESS(2,COLUMN())),OFFSET($AM$2,0,0,ROW()-1,33),ROW()-1,FALSE))</f>
        <v>48597.552000000003</v>
      </c>
      <c r="Q8">
        <f ca="1">IF(AND(ISNUMBER($Q$433),$B$427=1),$Q$433,HLOOKUP(INDIRECT(ADDRESS(2,COLUMN())),OFFSET($AM$2,0,0,ROW()-1,33),ROW()-1,FALSE))</f>
        <v>45473.836000000003</v>
      </c>
      <c r="R8">
        <f ca="1">IF(AND(ISNUMBER($R$433),$B$427=1),$R$433,HLOOKUP(INDIRECT(ADDRESS(2,COLUMN())),OFFSET($AM$2,0,0,ROW()-1,33),ROW()-1,FALSE))</f>
        <v>46067.699000000001</v>
      </c>
      <c r="S8">
        <f ca="1">IF(AND(ISNUMBER($S$433),$B$427=1),$S$433,HLOOKUP(INDIRECT(ADDRESS(2,COLUMN())),OFFSET($AM$2,0,0,ROW()-1,33),ROW()-1,FALSE))</f>
        <v>42713.012000000002</v>
      </c>
      <c r="T8">
        <f ca="1">IF(AND(ISNUMBER($T$433),$B$427=1),$T$433,HLOOKUP(INDIRECT(ADDRESS(2,COLUMN())),OFFSET($AM$2,0,0,ROW()-1,33),ROW()-1,FALSE))</f>
        <v>40258.275000000001</v>
      </c>
      <c r="U8">
        <f ca="1">IF(AND(ISNUMBER($U$433),$B$427=1),$U$433,HLOOKUP(INDIRECT(ADDRESS(2,COLUMN())),OFFSET($AM$2,0,0,ROW()-1,33),ROW()-1,FALSE))</f>
        <v>42189.722999999998</v>
      </c>
      <c r="V8">
        <f ca="1">IF(AND(ISNUMBER($V$433),$B$427=1),$V$433,HLOOKUP(INDIRECT(ADDRESS(2,COLUMN())),OFFSET($AM$2,0,0,ROW()-1,33),ROW()-1,FALSE))</f>
        <v>50539.921000000002</v>
      </c>
      <c r="W8">
        <f ca="1">IF(AND(ISNUMBER($W$433),$B$427=1),$W$433,HLOOKUP(INDIRECT(ADDRESS(2,COLUMN())),OFFSET($AM$2,0,0,ROW()-1,33),ROW()-1,FALSE))</f>
        <v>50960.853999999999</v>
      </c>
      <c r="X8">
        <f ca="1">IF(AND(ISNUMBER($X$433),$B$427=1),$X$433,HLOOKUP(INDIRECT(ADDRESS(2,COLUMN())),OFFSET($AM$2,0,0,ROW()-1,33),ROW()-1,FALSE))</f>
        <v>47578.22</v>
      </c>
      <c r="Y8">
        <f ca="1">IF(AND(ISNUMBER($Y$433),$B$427=1),$Y$433,HLOOKUP(INDIRECT(ADDRESS(2,COLUMN())),OFFSET($AM$2,0,0,ROW()-1,33),ROW()-1,FALSE))</f>
        <v>43397.720999999998</v>
      </c>
      <c r="Z8">
        <f ca="1">IF(AND(ISNUMBER($Z$433),$B$427=1),$Z$433,HLOOKUP(INDIRECT(ADDRESS(2,COLUMN())),OFFSET($AM$2,0,0,ROW()-1,33),ROW()-1,FALSE))</f>
        <v>40948.607000000004</v>
      </c>
      <c r="AA8">
        <f ca="1">IF(AND(ISNUMBER($AA$433),$B$427=1),$AA$433,HLOOKUP(INDIRECT(ADDRESS(2,COLUMN())),OFFSET($AM$2,0,0,ROW()-1,33),ROW()-1,FALSE))</f>
        <v>40522.218999999997</v>
      </c>
      <c r="AB8">
        <f ca="1">IF(AND(ISNUMBER($AB$433),$B$427=1),$AB$433,HLOOKUP(INDIRECT(ADDRESS(2,COLUMN())),OFFSET($AM$2,0,0,ROW()-1,33),ROW()-1,FALSE))</f>
        <v>42530.150999999998</v>
      </c>
      <c r="AC8">
        <f ca="1">IF(AND(ISNUMBER($AC$433),$B$427=1),$AC$433,HLOOKUP(INDIRECT(ADDRESS(2,COLUMN())),OFFSET($AM$2,0,0,ROW()-1,33),ROW()-1,FALSE))</f>
        <v>41471.159</v>
      </c>
      <c r="AD8" t="str">
        <f ca="1">IF(AND(ISNUMBER($AD$433),$B$427=1),$AD$433,HLOOKUP(INDIRECT(ADDRESS(2,COLUMN())),OFFSET($AM$2,0,0,ROW()-1,33),ROW()-1,FALSE))</f>
        <v/>
      </c>
      <c r="AE8" t="str">
        <f ca="1">IF(AND(ISNUMBER($AE$433),$B$427=1),$AE$433,HLOOKUP(INDIRECT(ADDRESS(2,COLUMN())),OFFSET($AM$2,0,0,ROW()-1,33),ROW()-1,FALSE))</f>
        <v/>
      </c>
      <c r="AF8" t="str">
        <f ca="1">IF(AND(ISNUMBER($AF$433),$B$427=1),$AF$433,HLOOKUP(INDIRECT(ADDRESS(2,COLUMN())),OFFSET($AM$2,0,0,ROW()-1,33),ROW()-1,FALSE))</f>
        <v/>
      </c>
      <c r="AG8" t="str">
        <f ca="1">IF(AND(ISNUMBER($AG$433),$B$427=1),$AG$433,HLOOKUP(INDIRECT(ADDRESS(2,COLUMN())),OFFSET($AM$2,0,0,ROW()-1,33),ROW()-1,FALSE))</f>
        <v/>
      </c>
      <c r="AH8" t="str">
        <f ca="1">IF(AND(ISNUMBER($AH$433),$B$427=1),$AH$433,HLOOKUP(INDIRECT(ADDRESS(2,COLUMN())),OFFSET($AM$2,0,0,ROW()-1,33),ROW()-1,FALSE))</f>
        <v/>
      </c>
      <c r="AI8" t="str">
        <f ca="1">IF(AND(ISNUMBER($AI$433),$B$427=1),$AI$433,HLOOKUP(INDIRECT(ADDRESS(2,COLUMN())),OFFSET($AM$2,0,0,ROW()-1,33),ROW()-1,FALSE))</f>
        <v/>
      </c>
      <c r="AJ8" t="str">
        <f ca="1">IF(AND(ISNUMBER($AJ$433),$B$427=1),$AJ$433,HLOOKUP(INDIRECT(ADDRESS(2,COLUMN())),OFFSET($AM$2,0,0,ROW()-1,33),ROW()-1,FALSE))</f>
        <v/>
      </c>
      <c r="AK8" t="str">
        <f ca="1">IF(AND(ISNUMBER($AK$433),$B$427=1),$AK$433,HLOOKUP(INDIRECT(ADDRESS(2,COLUMN())),OFFSET($AM$2,0,0,ROW()-1,33),ROW()-1,FALSE))</f>
        <v/>
      </c>
      <c r="AL8" t="str">
        <f ca="1">IF(AND(ISNUMBER($AL$433),$B$427=1),$AL$433,HLOOKUP(INDIRECT(ADDRESS(2,COLUMN())),OFFSET($AM$2,0,0,ROW()-1,33),ROW()-1,FALSE))</f>
        <v/>
      </c>
      <c r="AM8" t="str">
        <f>""</f>
        <v/>
      </c>
      <c r="AN8">
        <f>52345</f>
        <v>52345</v>
      </c>
      <c r="AO8">
        <f>53403</f>
        <v>53403</v>
      </c>
      <c r="AP8">
        <f>49291</f>
        <v>49291</v>
      </c>
      <c r="AQ8">
        <f>52296</f>
        <v>52296</v>
      </c>
      <c r="AR8">
        <f>50375</f>
        <v>50375</v>
      </c>
      <c r="AS8">
        <f>50165.673</f>
        <v>50165.673000000003</v>
      </c>
      <c r="AT8">
        <f>49175.788</f>
        <v>49175.788</v>
      </c>
      <c r="AU8">
        <f>49091.118</f>
        <v>49091.118000000002</v>
      </c>
      <c r="AV8">
        <f>49104.215</f>
        <v>49104.214999999997</v>
      </c>
      <c r="AW8">
        <f>48597.552</f>
        <v>48597.552000000003</v>
      </c>
      <c r="AX8">
        <f>45473.836</f>
        <v>45473.836000000003</v>
      </c>
      <c r="AY8">
        <f>46067.699</f>
        <v>46067.699000000001</v>
      </c>
      <c r="AZ8">
        <f>42713.012</f>
        <v>42713.012000000002</v>
      </c>
      <c r="BA8">
        <f>40258.275</f>
        <v>40258.275000000001</v>
      </c>
      <c r="BB8">
        <f>42189.723</f>
        <v>42189.722999999998</v>
      </c>
      <c r="BC8">
        <f>50539.921</f>
        <v>50539.921000000002</v>
      </c>
      <c r="BD8">
        <f>50960.854</f>
        <v>50960.853999999999</v>
      </c>
      <c r="BE8">
        <f>47578.22</f>
        <v>47578.22</v>
      </c>
      <c r="BF8">
        <f>43397.721</f>
        <v>43397.720999999998</v>
      </c>
      <c r="BG8">
        <f>40948.607</f>
        <v>40948.607000000004</v>
      </c>
      <c r="BH8">
        <f>40522.219</f>
        <v>40522.218999999997</v>
      </c>
      <c r="BI8">
        <f>42530.151</f>
        <v>42530.150999999998</v>
      </c>
      <c r="BJ8">
        <f>41471.159</f>
        <v>41471.159</v>
      </c>
      <c r="BK8" t="str">
        <f>""</f>
        <v/>
      </c>
      <c r="BL8" t="str">
        <f>""</f>
        <v/>
      </c>
      <c r="BM8" t="str">
        <f>""</f>
        <v/>
      </c>
      <c r="BN8" t="str">
        <f>""</f>
        <v/>
      </c>
      <c r="BO8" t="str">
        <f>""</f>
        <v/>
      </c>
      <c r="BP8" t="str">
        <f>""</f>
        <v/>
      </c>
      <c r="BQ8" t="str">
        <f>""</f>
        <v/>
      </c>
      <c r="BR8" t="str">
        <f>""</f>
        <v/>
      </c>
      <c r="BS8" t="str">
        <f>""</f>
        <v/>
      </c>
    </row>
    <row r="9" spans="1:71" x14ac:dyDescent="0.25">
      <c r="A9" t="str">
        <f>"        East West Bancorp Inc"</f>
        <v xml:space="preserve">        East West Bancorp Inc</v>
      </c>
      <c r="B9" t="str">
        <f>"EWBC US Equity"</f>
        <v>EWBC US Equity</v>
      </c>
      <c r="C9" t="str">
        <f t="shared" si="0"/>
        <v>FY421</v>
      </c>
      <c r="D9" t="str">
        <f t="shared" si="1"/>
        <v>FED_TOTAL_CONSOLIDATED_LOANS</v>
      </c>
      <c r="E9" t="str">
        <f t="shared" si="2"/>
        <v>Dynamic</v>
      </c>
      <c r="F9" t="str">
        <f ca="1">IF(AND(ISNUMBER($F$434),$B$427=1),$F$434,HLOOKUP(INDIRECT(ADDRESS(2,COLUMN())),OFFSET($AM$2,0,0,ROW()-1,33),ROW()-1,FALSE))</f>
        <v/>
      </c>
      <c r="G9">
        <f ca="1">IF(AND(ISNUMBER($G$434),$B$427=1),$G$434,HLOOKUP(INDIRECT(ADDRESS(2,COLUMN())),OFFSET($AM$2,0,0,ROW()-1,33),ROW()-1,FALSE))</f>
        <v>52210.898000000001</v>
      </c>
      <c r="H9">
        <f ca="1">IF(AND(ISNUMBER($H$434),$B$427=1),$H$434,HLOOKUP(INDIRECT(ADDRESS(2,COLUMN())),OFFSET($AM$2,0,0,ROW()-1,33),ROW()-1,FALSE))</f>
        <v>48260.266000000003</v>
      </c>
      <c r="I9">
        <f ca="1">IF(AND(ISNUMBER($I$434),$B$427=1),$I$434,HLOOKUP(INDIRECT(ADDRESS(2,COLUMN())),OFFSET($AM$2,0,0,ROW()-1,33),ROW()-1,FALSE))</f>
        <v>42712.919000000002</v>
      </c>
      <c r="J9">
        <f ca="1">IF(AND(ISNUMBER($J$434),$B$427=1),$J$434,HLOOKUP(INDIRECT(ADDRESS(2,COLUMN())),OFFSET($AM$2,0,0,ROW()-1,33),ROW()-1,FALSE))</f>
        <v>38692.743000000002</v>
      </c>
      <c r="K9">
        <f ca="1">IF(AND(ISNUMBER($K$434),$B$427=1),$K$434,HLOOKUP(INDIRECT(ADDRESS(2,COLUMN())),OFFSET($AM$2,0,0,ROW()-1,33),ROW()-1,FALSE))</f>
        <v>34778.972999999998</v>
      </c>
      <c r="L9">
        <f ca="1">IF(AND(ISNUMBER($L$434),$B$427=1),$L$434,HLOOKUP(INDIRECT(ADDRESS(2,COLUMN())),OFFSET($AM$2,0,0,ROW()-1,33),ROW()-1,FALSE))</f>
        <v>32455.464</v>
      </c>
      <c r="M9">
        <f ca="1">IF(AND(ISNUMBER($M$434),$B$427=1),$M$434,HLOOKUP(INDIRECT(ADDRESS(2,COLUMN())),OFFSET($AM$2,0,0,ROW()-1,33),ROW()-1,FALSE))</f>
        <v>29103.936000000002</v>
      </c>
      <c r="N9">
        <f ca="1">IF(AND(ISNUMBER($N$434),$B$427=1),$N$434,HLOOKUP(INDIRECT(ADDRESS(2,COLUMN())),OFFSET($AM$2,0,0,ROW()-1,33),ROW()-1,FALSE))</f>
        <v>25551.215</v>
      </c>
      <c r="O9">
        <f ca="1">IF(AND(ISNUMBER($O$434),$B$427=1),$O$434,HLOOKUP(INDIRECT(ADDRESS(2,COLUMN())),OFFSET($AM$2,0,0,ROW()-1,33),ROW()-1,FALSE))</f>
        <v>23675.685000000001</v>
      </c>
      <c r="P9">
        <f ca="1">IF(AND(ISNUMBER($P$434),$B$427=1),$P$434,HLOOKUP(INDIRECT(ADDRESS(2,COLUMN())),OFFSET($AM$2,0,0,ROW()-1,33),ROW()-1,FALSE))</f>
        <v>21878.431</v>
      </c>
      <c r="Q9">
        <f ca="1">IF(AND(ISNUMBER($Q$434),$B$427=1),$Q$434,HLOOKUP(INDIRECT(ADDRESS(2,COLUMN())),OFFSET($AM$2,0,0,ROW()-1,33),ROW()-1,FALSE))</f>
        <v>18142.429</v>
      </c>
      <c r="R9">
        <f ca="1">IF(AND(ISNUMBER($R$434),$B$427=1),$R$434,HLOOKUP(INDIRECT(ADDRESS(2,COLUMN())),OFFSET($AM$2,0,0,ROW()-1,33),ROW()-1,FALSE))</f>
        <v>15104.361999999999</v>
      </c>
      <c r="S9">
        <f ca="1">IF(AND(ISNUMBER($S$434),$B$427=1),$S$434,HLOOKUP(INDIRECT(ADDRESS(2,COLUMN())),OFFSET($AM$2,0,0,ROW()-1,33),ROW()-1,FALSE))</f>
        <v>14962.259</v>
      </c>
      <c r="T9">
        <f ca="1">IF(AND(ISNUMBER($T$434),$B$427=1),$T$434,HLOOKUP(INDIRECT(ADDRESS(2,COLUMN())),OFFSET($AM$2,0,0,ROW()-1,33),ROW()-1,FALSE))</f>
        <v>13694.825999999999</v>
      </c>
      <c r="U9">
        <f ca="1">IF(AND(ISNUMBER($U$434),$B$427=1),$U$434,HLOOKUP(INDIRECT(ADDRESS(2,COLUMN())),OFFSET($AM$2,0,0,ROW()-1,33),ROW()-1,FALSE))</f>
        <v>14095.644</v>
      </c>
      <c r="V9">
        <f ca="1">IF(AND(ISNUMBER($V$434),$B$427=1),$V$434,HLOOKUP(INDIRECT(ADDRESS(2,COLUMN())),OFFSET($AM$2,0,0,ROW()-1,33),ROW()-1,FALSE))</f>
        <v>8248.4470000000001</v>
      </c>
      <c r="W9">
        <f ca="1">IF(AND(ISNUMBER($W$434),$B$427=1),$W$434,HLOOKUP(INDIRECT(ADDRESS(2,COLUMN())),OFFSET($AM$2,0,0,ROW()-1,33),ROW()-1,FALSE))</f>
        <v>8839.8989999999994</v>
      </c>
      <c r="X9">
        <f ca="1">IF(AND(ISNUMBER($X$434),$B$427=1),$X$434,HLOOKUP(INDIRECT(ADDRESS(2,COLUMN())),OFFSET($AM$2,0,0,ROW()-1,33),ROW()-1,FALSE))</f>
        <v>8261.0069999999996</v>
      </c>
      <c r="Y9">
        <f ca="1">IF(AND(ISNUMBER($Y$434),$B$427=1),$Y$434,HLOOKUP(INDIRECT(ADDRESS(2,COLUMN())),OFFSET($AM$2,0,0,ROW()-1,33),ROW()-1,FALSE))</f>
        <v>6793.0860000000002</v>
      </c>
      <c r="Z9">
        <f ca="1">IF(AND(ISNUMBER($Z$434),$B$427=1),$Z$434,HLOOKUP(INDIRECT(ADDRESS(2,COLUMN())),OFFSET($AM$2,0,0,ROW()-1,33),ROW()-1,FALSE))</f>
        <v>5131.3440000000001</v>
      </c>
      <c r="AA9">
        <f ca="1">IF(AND(ISNUMBER($AA$434),$B$427=1),$AA$434,HLOOKUP(INDIRECT(ADDRESS(2,COLUMN())),OFFSET($AM$2,0,0,ROW()-1,33),ROW()-1,FALSE))</f>
        <v>3273.44</v>
      </c>
      <c r="AB9">
        <f ca="1">IF(AND(ISNUMBER($AB$434),$B$427=1),$AB$434,HLOOKUP(INDIRECT(ADDRESS(2,COLUMN())),OFFSET($AM$2,0,0,ROW()-1,33),ROW()-1,FALSE))</f>
        <v>2348.6480000000001</v>
      </c>
      <c r="AC9">
        <f ca="1">IF(AND(ISNUMBER($AC$434),$B$427=1),$AC$434,HLOOKUP(INDIRECT(ADDRESS(2,COLUMN())),OFFSET($AM$2,0,0,ROW()-1,33),ROW()-1,FALSE))</f>
        <v>2160.645</v>
      </c>
      <c r="AD9" t="str">
        <f ca="1">IF(AND(ISNUMBER($AD$434),$B$427=1),$AD$434,HLOOKUP(INDIRECT(ADDRESS(2,COLUMN())),OFFSET($AM$2,0,0,ROW()-1,33),ROW()-1,FALSE))</f>
        <v/>
      </c>
      <c r="AE9" t="str">
        <f ca="1">IF(AND(ISNUMBER($AE$434),$B$427=1),$AE$434,HLOOKUP(INDIRECT(ADDRESS(2,COLUMN())),OFFSET($AM$2,0,0,ROW()-1,33),ROW()-1,FALSE))</f>
        <v/>
      </c>
      <c r="AF9" t="str">
        <f ca="1">IF(AND(ISNUMBER($AF$434),$B$427=1),$AF$434,HLOOKUP(INDIRECT(ADDRESS(2,COLUMN())),OFFSET($AM$2,0,0,ROW()-1,33),ROW()-1,FALSE))</f>
        <v/>
      </c>
      <c r="AG9" t="str">
        <f ca="1">IF(AND(ISNUMBER($AG$434),$B$427=1),$AG$434,HLOOKUP(INDIRECT(ADDRESS(2,COLUMN())),OFFSET($AM$2,0,0,ROW()-1,33),ROW()-1,FALSE))</f>
        <v/>
      </c>
      <c r="AH9" t="str">
        <f ca="1">IF(AND(ISNUMBER($AH$434),$B$427=1),$AH$434,HLOOKUP(INDIRECT(ADDRESS(2,COLUMN())),OFFSET($AM$2,0,0,ROW()-1,33),ROW()-1,FALSE))</f>
        <v/>
      </c>
      <c r="AI9" t="str">
        <f ca="1">IF(AND(ISNUMBER($AI$434),$B$427=1),$AI$434,HLOOKUP(INDIRECT(ADDRESS(2,COLUMN())),OFFSET($AM$2,0,0,ROW()-1,33),ROW()-1,FALSE))</f>
        <v/>
      </c>
      <c r="AJ9" t="str">
        <f ca="1">IF(AND(ISNUMBER($AJ$434),$B$427=1),$AJ$434,HLOOKUP(INDIRECT(ADDRESS(2,COLUMN())),OFFSET($AM$2,0,0,ROW()-1,33),ROW()-1,FALSE))</f>
        <v/>
      </c>
      <c r="AK9" t="str">
        <f ca="1">IF(AND(ISNUMBER($AK$434),$B$427=1),$AK$434,HLOOKUP(INDIRECT(ADDRESS(2,COLUMN())),OFFSET($AM$2,0,0,ROW()-1,33),ROW()-1,FALSE))</f>
        <v/>
      </c>
      <c r="AL9" t="str">
        <f ca="1">IF(AND(ISNUMBER($AL$434),$B$427=1),$AL$434,HLOOKUP(INDIRECT(ADDRESS(2,COLUMN())),OFFSET($AM$2,0,0,ROW()-1,33),ROW()-1,FALSE))</f>
        <v/>
      </c>
      <c r="AM9" t="str">
        <f>""</f>
        <v/>
      </c>
      <c r="AN9">
        <f>52210.898</f>
        <v>52210.898000000001</v>
      </c>
      <c r="AO9">
        <f>48260.266</f>
        <v>48260.266000000003</v>
      </c>
      <c r="AP9">
        <f>42712.919</f>
        <v>42712.919000000002</v>
      </c>
      <c r="AQ9">
        <f>38692.743</f>
        <v>38692.743000000002</v>
      </c>
      <c r="AR9">
        <f>34778.973</f>
        <v>34778.972999999998</v>
      </c>
      <c r="AS9">
        <f>32455.464</f>
        <v>32455.464</v>
      </c>
      <c r="AT9">
        <f>29103.936</f>
        <v>29103.936000000002</v>
      </c>
      <c r="AU9">
        <f>25551.215</f>
        <v>25551.215</v>
      </c>
      <c r="AV9">
        <f>23675.685</f>
        <v>23675.685000000001</v>
      </c>
      <c r="AW9">
        <f>21878.431</f>
        <v>21878.431</v>
      </c>
      <c r="AX9">
        <f>18142.429</f>
        <v>18142.429</v>
      </c>
      <c r="AY9">
        <f>15104.362</f>
        <v>15104.361999999999</v>
      </c>
      <c r="AZ9">
        <f>14962.259</f>
        <v>14962.259</v>
      </c>
      <c r="BA9">
        <f>13694.826</f>
        <v>13694.825999999999</v>
      </c>
      <c r="BB9">
        <f>14095.644</f>
        <v>14095.644</v>
      </c>
      <c r="BC9">
        <f>8248.447</f>
        <v>8248.4470000000001</v>
      </c>
      <c r="BD9">
        <f>8839.899</f>
        <v>8839.8989999999994</v>
      </c>
      <c r="BE9">
        <f>8261.007</f>
        <v>8261.0069999999996</v>
      </c>
      <c r="BF9">
        <f>6793.086</f>
        <v>6793.0860000000002</v>
      </c>
      <c r="BG9">
        <f>5131.344</f>
        <v>5131.3440000000001</v>
      </c>
      <c r="BH9">
        <f>3273.44</f>
        <v>3273.44</v>
      </c>
      <c r="BI9">
        <f>2348.648</f>
        <v>2348.6480000000001</v>
      </c>
      <c r="BJ9">
        <f>2160.645</f>
        <v>2160.645</v>
      </c>
      <c r="BK9" t="str">
        <f>""</f>
        <v/>
      </c>
      <c r="BL9" t="str">
        <f>""</f>
        <v/>
      </c>
      <c r="BM9" t="str">
        <f>""</f>
        <v/>
      </c>
      <c r="BN9" t="str">
        <f>""</f>
        <v/>
      </c>
      <c r="BO9" t="str">
        <f>""</f>
        <v/>
      </c>
      <c r="BP9" t="str">
        <f>""</f>
        <v/>
      </c>
      <c r="BQ9" t="str">
        <f>""</f>
        <v/>
      </c>
      <c r="BR9" t="str">
        <f>""</f>
        <v/>
      </c>
      <c r="BS9" t="str">
        <f>""</f>
        <v/>
      </c>
    </row>
    <row r="10" spans="1:71" x14ac:dyDescent="0.25">
      <c r="A10" t="str">
        <f>"        Fifth Third Bancorp"</f>
        <v xml:space="preserve">        Fifth Third Bancorp</v>
      </c>
      <c r="B10" t="str">
        <f>"FITB US Equity"</f>
        <v>FITB US Equity</v>
      </c>
      <c r="C10" t="str">
        <f t="shared" si="0"/>
        <v>FY421</v>
      </c>
      <c r="D10" t="str">
        <f t="shared" si="1"/>
        <v>FED_TOTAL_CONSOLIDATED_LOANS</v>
      </c>
      <c r="E10" t="str">
        <f t="shared" si="2"/>
        <v>Dynamic</v>
      </c>
      <c r="F10">
        <f ca="1">IF(AND(ISNUMBER($F$435),$B$427=1),$F$435,HLOOKUP(INDIRECT(ADDRESS(2,COLUMN())),OFFSET($AM$2,0,0,ROW()-1,33),ROW()-1,FALSE))</f>
        <v>120431</v>
      </c>
      <c r="G10">
        <f ca="1">IF(AND(ISNUMBER($G$435),$B$427=1),$G$435,HLOOKUP(INDIRECT(ADDRESS(2,COLUMN())),OFFSET($AM$2,0,0,ROW()-1,33),ROW()-1,FALSE))</f>
        <v>117612</v>
      </c>
      <c r="H10">
        <f ca="1">IF(AND(ISNUMBER($H$435),$B$427=1),$H$435,HLOOKUP(INDIRECT(ADDRESS(2,COLUMN())),OFFSET($AM$2,0,0,ROW()-1,33),ROW()-1,FALSE))</f>
        <v>122486.198</v>
      </c>
      <c r="I10">
        <f ca="1">IF(AND(ISNUMBER($I$435),$B$427=1),$I$435,HLOOKUP(INDIRECT(ADDRESS(2,COLUMN())),OFFSET($AM$2,0,0,ROW()-1,33),ROW()-1,FALSE))</f>
        <v>116464.768</v>
      </c>
      <c r="J10">
        <f ca="1">IF(AND(ISNUMBER($J$435),$B$427=1),$J$435,HLOOKUP(INDIRECT(ADDRESS(2,COLUMN())),OFFSET($AM$2,0,0,ROW()-1,33),ROW()-1,FALSE))</f>
        <v>113522.71799999999</v>
      </c>
      <c r="K10">
        <f ca="1">IF(AND(ISNUMBER($K$435),$B$427=1),$K$435,HLOOKUP(INDIRECT(ADDRESS(2,COLUMN())),OFFSET($AM$2,0,0,ROW()-1,33),ROW()-1,FALSE))</f>
        <v>110957.451</v>
      </c>
      <c r="L10">
        <f ca="1">IF(AND(ISNUMBER($L$435),$B$427=1),$L$435,HLOOKUP(INDIRECT(ADDRESS(2,COLUMN())),OFFSET($AM$2,0,0,ROW()-1,33),ROW()-1,FALSE))</f>
        <v>95865.243000000002</v>
      </c>
      <c r="M10">
        <f ca="1">IF(AND(ISNUMBER($M$435),$B$427=1),$M$435,HLOOKUP(INDIRECT(ADDRESS(2,COLUMN())),OFFSET($AM$2,0,0,ROW()-1,33),ROW()-1,FALSE))</f>
        <v>92462.217000000004</v>
      </c>
      <c r="N10">
        <f ca="1">IF(AND(ISNUMBER($N$435),$B$427=1),$N$435,HLOOKUP(INDIRECT(ADDRESS(2,COLUMN())),OFFSET($AM$2,0,0,ROW()-1,33),ROW()-1,FALSE))</f>
        <v>92849.839000000007</v>
      </c>
      <c r="O10">
        <f ca="1">IF(AND(ISNUMBER($O$435),$B$427=1),$O$435,HLOOKUP(INDIRECT(ADDRESS(2,COLUMN())),OFFSET($AM$2,0,0,ROW()-1,33),ROW()-1,FALSE))</f>
        <v>93484.869000000006</v>
      </c>
      <c r="P10">
        <f ca="1">IF(AND(ISNUMBER($P$435),$B$427=1),$P$435,HLOOKUP(INDIRECT(ADDRESS(2,COLUMN())),OFFSET($AM$2,0,0,ROW()-1,33),ROW()-1,FALSE))</f>
        <v>91345.713000000003</v>
      </c>
      <c r="Q10">
        <f ca="1">IF(AND(ISNUMBER($Q$435),$B$427=1),$Q$435,HLOOKUP(INDIRECT(ADDRESS(2,COLUMN())),OFFSET($AM$2,0,0,ROW()-1,33),ROW()-1,FALSE))</f>
        <v>89557.899000000005</v>
      </c>
      <c r="R10">
        <f ca="1">IF(AND(ISNUMBER($R$435),$B$427=1),$R$435,HLOOKUP(INDIRECT(ADDRESS(2,COLUMN())),OFFSET($AM$2,0,0,ROW()-1,33),ROW()-1,FALSE))</f>
        <v>88720.445000000007</v>
      </c>
      <c r="S10">
        <f ca="1">IF(AND(ISNUMBER($S$435),$B$427=1),$S$435,HLOOKUP(INDIRECT(ADDRESS(2,COLUMN())),OFFSET($AM$2,0,0,ROW()-1,33),ROW()-1,FALSE))</f>
        <v>83971.659</v>
      </c>
      <c r="T10">
        <f ca="1">IF(AND(ISNUMBER($T$435),$B$427=1),$T$435,HLOOKUP(INDIRECT(ADDRESS(2,COLUMN())),OFFSET($AM$2,0,0,ROW()-1,33),ROW()-1,FALSE))</f>
        <v>79707.597999999998</v>
      </c>
      <c r="U10">
        <f ca="1">IF(AND(ISNUMBER($U$435),$B$427=1),$U$435,HLOOKUP(INDIRECT(ADDRESS(2,COLUMN())),OFFSET($AM$2,0,0,ROW()-1,33),ROW()-1,FALSE))</f>
        <v>78845.857999999993</v>
      </c>
      <c r="V10">
        <f ca="1">IF(AND(ISNUMBER($V$435),$B$427=1),$V$435,HLOOKUP(INDIRECT(ADDRESS(2,COLUMN())),OFFSET($AM$2,0,0,ROW()-1,33),ROW()-1,FALSE))</f>
        <v>85592.67</v>
      </c>
      <c r="W10">
        <f ca="1">IF(AND(ISNUMBER($W$435),$B$427=1),$W$435,HLOOKUP(INDIRECT(ADDRESS(2,COLUMN())),OFFSET($AM$2,0,0,ROW()-1,33),ROW()-1,FALSE))</f>
        <v>84580.053</v>
      </c>
      <c r="X10">
        <f ca="1">IF(AND(ISNUMBER($X$435),$B$427=1),$X$435,HLOOKUP(INDIRECT(ADDRESS(2,COLUMN())),OFFSET($AM$2,0,0,ROW()-1,33),ROW()-1,FALSE))</f>
        <v>75501.932000000001</v>
      </c>
      <c r="Y10">
        <f ca="1">IF(AND(ISNUMBER($Y$435),$B$427=1),$Y$435,HLOOKUP(INDIRECT(ADDRESS(2,COLUMN())),OFFSET($AM$2,0,0,ROW()-1,33),ROW()-1,FALSE))</f>
        <v>71228.86</v>
      </c>
      <c r="Z10">
        <f ca="1">IF(AND(ISNUMBER($Z$435),$B$427=1),$Z$435,HLOOKUP(INDIRECT(ADDRESS(2,COLUMN())),OFFSET($AM$2,0,0,ROW()-1,33),ROW()-1,FALSE))</f>
        <v>60366.961000000003</v>
      </c>
      <c r="AA10">
        <f ca="1">IF(AND(ISNUMBER($AA$435),$B$427=1),$AA$435,HLOOKUP(INDIRECT(ADDRESS(2,COLUMN())),OFFSET($AM$2,0,0,ROW()-1,33),ROW()-1,FALSE))</f>
        <v>54188.98</v>
      </c>
      <c r="AB10">
        <f ca="1">IF(AND(ISNUMBER($AB$435),$B$427=1),$AB$435,HLOOKUP(INDIRECT(ADDRESS(2,COLUMN())),OFFSET($AM$2,0,0,ROW()-1,33),ROW()-1,FALSE))</f>
        <v>49288.59</v>
      </c>
      <c r="AC10">
        <f ca="1">IF(AND(ISNUMBER($AC$435),$B$427=1),$AC$435,HLOOKUP(INDIRECT(ADDRESS(2,COLUMN())),OFFSET($AM$2,0,0,ROW()-1,33),ROW()-1,FALSE))</f>
        <v>43727.955000000002</v>
      </c>
      <c r="AD10" t="str">
        <f ca="1">IF(AND(ISNUMBER($AD$435),$B$427=1),$AD$435,HLOOKUP(INDIRECT(ADDRESS(2,COLUMN())),OFFSET($AM$2,0,0,ROW()-1,33),ROW()-1,FALSE))</f>
        <v/>
      </c>
      <c r="AE10" t="str">
        <f ca="1">IF(AND(ISNUMBER($AE$435),$B$427=1),$AE$435,HLOOKUP(INDIRECT(ADDRESS(2,COLUMN())),OFFSET($AM$2,0,0,ROW()-1,33),ROW()-1,FALSE))</f>
        <v/>
      </c>
      <c r="AF10" t="str">
        <f ca="1">IF(AND(ISNUMBER($AF$435),$B$427=1),$AF$435,HLOOKUP(INDIRECT(ADDRESS(2,COLUMN())),OFFSET($AM$2,0,0,ROW()-1,33),ROW()-1,FALSE))</f>
        <v/>
      </c>
      <c r="AG10" t="str">
        <f ca="1">IF(AND(ISNUMBER($AG$435),$B$427=1),$AG$435,HLOOKUP(INDIRECT(ADDRESS(2,COLUMN())),OFFSET($AM$2,0,0,ROW()-1,33),ROW()-1,FALSE))</f>
        <v/>
      </c>
      <c r="AH10" t="str">
        <f ca="1">IF(AND(ISNUMBER($AH$435),$B$427=1),$AH$435,HLOOKUP(INDIRECT(ADDRESS(2,COLUMN())),OFFSET($AM$2,0,0,ROW()-1,33),ROW()-1,FALSE))</f>
        <v/>
      </c>
      <c r="AI10" t="str">
        <f ca="1">IF(AND(ISNUMBER($AI$435),$B$427=1),$AI$435,HLOOKUP(INDIRECT(ADDRESS(2,COLUMN())),OFFSET($AM$2,0,0,ROW()-1,33),ROW()-1,FALSE))</f>
        <v/>
      </c>
      <c r="AJ10" t="str">
        <f ca="1">IF(AND(ISNUMBER($AJ$435),$B$427=1),$AJ$435,HLOOKUP(INDIRECT(ADDRESS(2,COLUMN())),OFFSET($AM$2,0,0,ROW()-1,33),ROW()-1,FALSE))</f>
        <v/>
      </c>
      <c r="AK10" t="str">
        <f ca="1">IF(AND(ISNUMBER($AK$435),$B$427=1),$AK$435,HLOOKUP(INDIRECT(ADDRESS(2,COLUMN())),OFFSET($AM$2,0,0,ROW()-1,33),ROW()-1,FALSE))</f>
        <v/>
      </c>
      <c r="AL10" t="str">
        <f ca="1">IF(AND(ISNUMBER($AL$435),$B$427=1),$AL$435,HLOOKUP(INDIRECT(ADDRESS(2,COLUMN())),OFFSET($AM$2,0,0,ROW()-1,33),ROW()-1,FALSE))</f>
        <v/>
      </c>
      <c r="AM10">
        <f>120431</f>
        <v>120431</v>
      </c>
      <c r="AN10">
        <f>117612</f>
        <v>117612</v>
      </c>
      <c r="AO10">
        <f>122486.198</f>
        <v>122486.198</v>
      </c>
      <c r="AP10">
        <f>116464.768</f>
        <v>116464.768</v>
      </c>
      <c r="AQ10">
        <f>113522.718</f>
        <v>113522.71799999999</v>
      </c>
      <c r="AR10">
        <f>110957.451</f>
        <v>110957.451</v>
      </c>
      <c r="AS10">
        <f>95865.243</f>
        <v>95865.243000000002</v>
      </c>
      <c r="AT10">
        <f>92462.217</f>
        <v>92462.217000000004</v>
      </c>
      <c r="AU10">
        <f>92849.839</f>
        <v>92849.839000000007</v>
      </c>
      <c r="AV10">
        <f>93484.869</f>
        <v>93484.869000000006</v>
      </c>
      <c r="AW10">
        <f>91345.713</f>
        <v>91345.713000000003</v>
      </c>
      <c r="AX10">
        <f>89557.899</f>
        <v>89557.899000000005</v>
      </c>
      <c r="AY10">
        <f>88720.445</f>
        <v>88720.445000000007</v>
      </c>
      <c r="AZ10">
        <f>83971.659</f>
        <v>83971.659</v>
      </c>
      <c r="BA10">
        <f>79707.598</f>
        <v>79707.597999999998</v>
      </c>
      <c r="BB10">
        <f>78845.858</f>
        <v>78845.857999999993</v>
      </c>
      <c r="BC10">
        <f>85592.67</f>
        <v>85592.67</v>
      </c>
      <c r="BD10">
        <f>84580.053</f>
        <v>84580.053</v>
      </c>
      <c r="BE10">
        <f>75501.932</f>
        <v>75501.932000000001</v>
      </c>
      <c r="BF10">
        <f>71228.86</f>
        <v>71228.86</v>
      </c>
      <c r="BG10">
        <f>60366.961</f>
        <v>60366.961000000003</v>
      </c>
      <c r="BH10">
        <f>54188.98</f>
        <v>54188.98</v>
      </c>
      <c r="BI10">
        <f>49288.59</f>
        <v>49288.59</v>
      </c>
      <c r="BJ10">
        <f>43727.955</f>
        <v>43727.955000000002</v>
      </c>
      <c r="BK10" t="str">
        <f>""</f>
        <v/>
      </c>
      <c r="BL10" t="str">
        <f>""</f>
        <v/>
      </c>
      <c r="BM10" t="str">
        <f>""</f>
        <v/>
      </c>
      <c r="BN10" t="str">
        <f>""</f>
        <v/>
      </c>
      <c r="BO10" t="str">
        <f>""</f>
        <v/>
      </c>
      <c r="BP10" t="str">
        <f>""</f>
        <v/>
      </c>
      <c r="BQ10" t="str">
        <f>""</f>
        <v/>
      </c>
      <c r="BR10" t="str">
        <f>""</f>
        <v/>
      </c>
      <c r="BS10" t="str">
        <f>""</f>
        <v/>
      </c>
    </row>
    <row r="11" spans="1:71" x14ac:dyDescent="0.25">
      <c r="A11" t="str">
        <f>"        First Citizens BancShares Inc/"</f>
        <v xml:space="preserve">        First Citizens BancShares Inc/</v>
      </c>
      <c r="B11" t="str">
        <f>"FCNCA US Equity"</f>
        <v>FCNCA US Equity</v>
      </c>
      <c r="C11" t="str">
        <f t="shared" si="0"/>
        <v>FY421</v>
      </c>
      <c r="D11" t="str">
        <f t="shared" si="1"/>
        <v>FED_TOTAL_CONSOLIDATED_LOANS</v>
      </c>
      <c r="E11" t="str">
        <f t="shared" si="2"/>
        <v>Dynamic</v>
      </c>
      <c r="F11">
        <f ca="1">IF(AND(ISNUMBER($F$436),$B$427=1),$F$436,HLOOKUP(INDIRECT(ADDRESS(2,COLUMN())),OFFSET($AM$2,0,0,ROW()-1,33),ROW()-1,FALSE))</f>
        <v>140303</v>
      </c>
      <c r="G11">
        <f ca="1">IF(AND(ISNUMBER($G$436),$B$427=1),$G$436,HLOOKUP(INDIRECT(ADDRESS(2,COLUMN())),OFFSET($AM$2,0,0,ROW()-1,33),ROW()-1,FALSE))</f>
        <v>133374.807</v>
      </c>
      <c r="H11">
        <f ca="1">IF(AND(ISNUMBER($H$436),$B$427=1),$H$436,HLOOKUP(INDIRECT(ADDRESS(2,COLUMN())),OFFSET($AM$2,0,0,ROW()-1,33),ROW()-1,FALSE))</f>
        <v>70833.100999999995</v>
      </c>
      <c r="I11">
        <f ca="1">IF(AND(ISNUMBER($I$436),$B$427=1),$I$436,HLOOKUP(INDIRECT(ADDRESS(2,COLUMN())),OFFSET($AM$2,0,0,ROW()-1,33),ROW()-1,FALSE))</f>
        <v>32470.262999999999</v>
      </c>
      <c r="J11">
        <f ca="1">IF(AND(ISNUMBER($J$436),$B$427=1),$J$436,HLOOKUP(INDIRECT(ADDRESS(2,COLUMN())),OFFSET($AM$2,0,0,ROW()-1,33),ROW()-1,FALSE))</f>
        <v>32916.811999999998</v>
      </c>
      <c r="K11">
        <f ca="1">IF(AND(ISNUMBER($K$436),$B$427=1),$K$436,HLOOKUP(INDIRECT(ADDRESS(2,COLUMN())),OFFSET($AM$2,0,0,ROW()-1,33),ROW()-1,FALSE))</f>
        <v>28949.365000000002</v>
      </c>
      <c r="L11">
        <f ca="1">IF(AND(ISNUMBER($L$436),$B$427=1),$L$436,HLOOKUP(INDIRECT(ADDRESS(2,COLUMN())),OFFSET($AM$2,0,0,ROW()-1,33),ROW()-1,FALSE))</f>
        <v>25568.780999999999</v>
      </c>
      <c r="M11">
        <f ca="1">IF(AND(ISNUMBER($M$436),$B$427=1),$M$436,HLOOKUP(INDIRECT(ADDRESS(2,COLUMN())),OFFSET($AM$2,0,0,ROW()-1,33),ROW()-1,FALSE))</f>
        <v>23648.004000000001</v>
      </c>
      <c r="N11">
        <f ca="1">IF(AND(ISNUMBER($N$436),$B$427=1),$N$436,HLOOKUP(INDIRECT(ADDRESS(2,COLUMN())),OFFSET($AM$2,0,0,ROW()-1,33),ROW()-1,FALSE))</f>
        <v>21812.278999999999</v>
      </c>
      <c r="O11">
        <f ca="1">IF(AND(ISNUMBER($O$436),$B$427=1),$O$436,HLOOKUP(INDIRECT(ADDRESS(2,COLUMN())),OFFSET($AM$2,0,0,ROW()-1,33),ROW()-1,FALSE))</f>
        <v>20299.756000000001</v>
      </c>
      <c r="P11">
        <f ca="1">IF(AND(ISNUMBER($P$436),$B$427=1),$P$436,HLOOKUP(INDIRECT(ADDRESS(2,COLUMN())),OFFSET($AM$2,0,0,ROW()-1,33),ROW()-1,FALSE))</f>
        <v>18833.161</v>
      </c>
      <c r="Q11">
        <f ca="1">IF(AND(ISNUMBER($Q$436),$B$427=1),$Q$436,HLOOKUP(INDIRECT(ADDRESS(2,COLUMN())),OFFSET($AM$2,0,0,ROW()-1,33),ROW()-1,FALSE))</f>
        <v>13180.995999999999</v>
      </c>
      <c r="R11">
        <f ca="1">IF(AND(ISNUMBER($R$436),$B$427=1),$R$436,HLOOKUP(INDIRECT(ADDRESS(2,COLUMN())),OFFSET($AM$2,0,0,ROW()-1,33),ROW()-1,FALSE))</f>
        <v>13471.683000000001</v>
      </c>
      <c r="S11">
        <f ca="1">IF(AND(ISNUMBER($S$436),$B$427=1),$S$436,HLOOKUP(INDIRECT(ADDRESS(2,COLUMN())),OFFSET($AM$2,0,0,ROW()-1,33),ROW()-1,FALSE))</f>
        <v>14036.328</v>
      </c>
      <c r="T11">
        <f ca="1">IF(AND(ISNUMBER($T$436),$B$427=1),$T$436,HLOOKUP(INDIRECT(ADDRESS(2,COLUMN())),OFFSET($AM$2,0,0,ROW()-1,33),ROW()-1,FALSE))</f>
        <v>13576.960999999999</v>
      </c>
      <c r="U11">
        <f ca="1">IF(AND(ISNUMBER($U$436),$B$427=1),$U$436,HLOOKUP(INDIRECT(ADDRESS(2,COLUMN())),OFFSET($AM$2,0,0,ROW()-1,33),ROW()-1,FALSE))</f>
        <v>12885.4</v>
      </c>
      <c r="V11">
        <f ca="1">IF(AND(ISNUMBER($V$436),$B$427=1),$V$436,HLOOKUP(INDIRECT(ADDRESS(2,COLUMN())),OFFSET($AM$2,0,0,ROW()-1,33),ROW()-1,FALSE))</f>
        <v>11719.285</v>
      </c>
      <c r="W11">
        <f ca="1">IF(AND(ISNUMBER($W$436),$B$427=1),$W$436,HLOOKUP(INDIRECT(ADDRESS(2,COLUMN())),OFFSET($AM$2,0,0,ROW()-1,33),ROW()-1,FALSE))</f>
        <v>10963.904</v>
      </c>
      <c r="X11">
        <f ca="1">IF(AND(ISNUMBER($X$436),$B$427=1),$X$436,HLOOKUP(INDIRECT(ADDRESS(2,COLUMN())),OFFSET($AM$2,0,0,ROW()-1,33),ROW()-1,FALSE))</f>
        <v>10239.550999999999</v>
      </c>
      <c r="Y11">
        <f ca="1">IF(AND(ISNUMBER($Y$436),$B$427=1),$Y$436,HLOOKUP(INDIRECT(ADDRESS(2,COLUMN())),OFFSET($AM$2,0,0,ROW()-1,33),ROW()-1,FALSE))</f>
        <v>9642.9940000000006</v>
      </c>
      <c r="Z11">
        <f ca="1">IF(AND(ISNUMBER($Z$436),$B$427=1),$Z$436,HLOOKUP(INDIRECT(ADDRESS(2,COLUMN())),OFFSET($AM$2,0,0,ROW()-1,33),ROW()-1,FALSE))</f>
        <v>9354.3870000000006</v>
      </c>
      <c r="AA11">
        <f ca="1">IF(AND(ISNUMBER($AA$436),$B$427=1),$AA$436,HLOOKUP(INDIRECT(ADDRESS(2,COLUMN())),OFFSET($AM$2,0,0,ROW()-1,33),ROW()-1,FALSE))</f>
        <v>8326.598</v>
      </c>
      <c r="AB11">
        <f ca="1">IF(AND(ISNUMBER($AB$436),$B$427=1),$AB$436,HLOOKUP(INDIRECT(ADDRESS(2,COLUMN())),OFFSET($AM$2,0,0,ROW()-1,33),ROW()-1,FALSE))</f>
        <v>7620.2629999999999</v>
      </c>
      <c r="AC11">
        <f ca="1">IF(AND(ISNUMBER($AC$436),$B$427=1),$AC$436,HLOOKUP(INDIRECT(ADDRESS(2,COLUMN())),OFFSET($AM$2,0,0,ROW()-1,33),ROW()-1,FALSE))</f>
        <v>7196.1769999999997</v>
      </c>
      <c r="AD11" t="str">
        <f ca="1">IF(AND(ISNUMBER($AD$436),$B$427=1),$AD$436,HLOOKUP(INDIRECT(ADDRESS(2,COLUMN())),OFFSET($AM$2,0,0,ROW()-1,33),ROW()-1,FALSE))</f>
        <v/>
      </c>
      <c r="AE11" t="str">
        <f ca="1">IF(AND(ISNUMBER($AE$436),$B$427=1),$AE$436,HLOOKUP(INDIRECT(ADDRESS(2,COLUMN())),OFFSET($AM$2,0,0,ROW()-1,33),ROW()-1,FALSE))</f>
        <v/>
      </c>
      <c r="AF11" t="str">
        <f ca="1">IF(AND(ISNUMBER($AF$436),$B$427=1),$AF$436,HLOOKUP(INDIRECT(ADDRESS(2,COLUMN())),OFFSET($AM$2,0,0,ROW()-1,33),ROW()-1,FALSE))</f>
        <v/>
      </c>
      <c r="AG11" t="str">
        <f ca="1">IF(AND(ISNUMBER($AG$436),$B$427=1),$AG$436,HLOOKUP(INDIRECT(ADDRESS(2,COLUMN())),OFFSET($AM$2,0,0,ROW()-1,33),ROW()-1,FALSE))</f>
        <v/>
      </c>
      <c r="AH11" t="str">
        <f ca="1">IF(AND(ISNUMBER($AH$436),$B$427=1),$AH$436,HLOOKUP(INDIRECT(ADDRESS(2,COLUMN())),OFFSET($AM$2,0,0,ROW()-1,33),ROW()-1,FALSE))</f>
        <v/>
      </c>
      <c r="AI11" t="str">
        <f ca="1">IF(AND(ISNUMBER($AI$436),$B$427=1),$AI$436,HLOOKUP(INDIRECT(ADDRESS(2,COLUMN())),OFFSET($AM$2,0,0,ROW()-1,33),ROW()-1,FALSE))</f>
        <v/>
      </c>
      <c r="AJ11" t="str">
        <f ca="1">IF(AND(ISNUMBER($AJ$436),$B$427=1),$AJ$436,HLOOKUP(INDIRECT(ADDRESS(2,COLUMN())),OFFSET($AM$2,0,0,ROW()-1,33),ROW()-1,FALSE))</f>
        <v/>
      </c>
      <c r="AK11" t="str">
        <f ca="1">IF(AND(ISNUMBER($AK$436),$B$427=1),$AK$436,HLOOKUP(INDIRECT(ADDRESS(2,COLUMN())),OFFSET($AM$2,0,0,ROW()-1,33),ROW()-1,FALSE))</f>
        <v/>
      </c>
      <c r="AL11" t="str">
        <f ca="1">IF(AND(ISNUMBER($AL$436),$B$427=1),$AL$436,HLOOKUP(INDIRECT(ADDRESS(2,COLUMN())),OFFSET($AM$2,0,0,ROW()-1,33),ROW()-1,FALSE))</f>
        <v/>
      </c>
      <c r="AM11">
        <f>140303</f>
        <v>140303</v>
      </c>
      <c r="AN11">
        <f>133374.807</f>
        <v>133374.807</v>
      </c>
      <c r="AO11">
        <f>70833.101</f>
        <v>70833.100999999995</v>
      </c>
      <c r="AP11">
        <f>32470.263</f>
        <v>32470.262999999999</v>
      </c>
      <c r="AQ11">
        <f>32916.812</f>
        <v>32916.811999999998</v>
      </c>
      <c r="AR11">
        <f>28949.365</f>
        <v>28949.365000000002</v>
      </c>
      <c r="AS11">
        <f>25568.781</f>
        <v>25568.780999999999</v>
      </c>
      <c r="AT11">
        <f>23648.004</f>
        <v>23648.004000000001</v>
      </c>
      <c r="AU11">
        <f>21812.279</f>
        <v>21812.278999999999</v>
      </c>
      <c r="AV11">
        <f>20299.756</f>
        <v>20299.756000000001</v>
      </c>
      <c r="AW11">
        <f>18833.161</f>
        <v>18833.161</v>
      </c>
      <c r="AX11">
        <f>13180.996</f>
        <v>13180.995999999999</v>
      </c>
      <c r="AY11">
        <f>13471.683</f>
        <v>13471.683000000001</v>
      </c>
      <c r="AZ11">
        <f>14036.328</f>
        <v>14036.328</v>
      </c>
      <c r="BA11">
        <f>13576.961</f>
        <v>13576.960999999999</v>
      </c>
      <c r="BB11">
        <f>12885.4</f>
        <v>12885.4</v>
      </c>
      <c r="BC11">
        <f>11719.285</f>
        <v>11719.285</v>
      </c>
      <c r="BD11">
        <f>10963.904</f>
        <v>10963.904</v>
      </c>
      <c r="BE11">
        <f>10239.551</f>
        <v>10239.550999999999</v>
      </c>
      <c r="BF11">
        <f>9642.994</f>
        <v>9642.9940000000006</v>
      </c>
      <c r="BG11">
        <f>9354.387</f>
        <v>9354.3870000000006</v>
      </c>
      <c r="BH11">
        <f>8326.598</f>
        <v>8326.598</v>
      </c>
      <c r="BI11">
        <f>7620.263</f>
        <v>7620.2629999999999</v>
      </c>
      <c r="BJ11">
        <f>7196.177</f>
        <v>7196.1769999999997</v>
      </c>
      <c r="BK11" t="str">
        <f>""</f>
        <v/>
      </c>
      <c r="BL11" t="str">
        <f>""</f>
        <v/>
      </c>
      <c r="BM11" t="str">
        <f>""</f>
        <v/>
      </c>
      <c r="BN11" t="str">
        <f>""</f>
        <v/>
      </c>
      <c r="BO11" t="str">
        <f>""</f>
        <v/>
      </c>
      <c r="BP11" t="str">
        <f>""</f>
        <v/>
      </c>
      <c r="BQ11" t="str">
        <f>""</f>
        <v/>
      </c>
      <c r="BR11" t="str">
        <f>""</f>
        <v/>
      </c>
      <c r="BS11" t="str">
        <f>""</f>
        <v/>
      </c>
    </row>
    <row r="12" spans="1:71" x14ac:dyDescent="0.25">
      <c r="A12" t="str">
        <f>"        Flagstar Financial Inc"</f>
        <v xml:space="preserve">        Flagstar Financial Inc</v>
      </c>
      <c r="B12" t="str">
        <f>"FLG US Equity"</f>
        <v>FLG US Equity</v>
      </c>
      <c r="C12" t="str">
        <f t="shared" si="0"/>
        <v>FY421</v>
      </c>
      <c r="D12" t="str">
        <f t="shared" si="1"/>
        <v>FED_TOTAL_CONSOLIDATED_LOANS</v>
      </c>
      <c r="E12" t="str">
        <f t="shared" si="2"/>
        <v>Dynamic</v>
      </c>
      <c r="F12" t="str">
        <f ca="1">IF(AND(ISNUMBER($F$437),$B$427=1),$F$437,HLOOKUP(INDIRECT(ADDRESS(2,COLUMN())),OFFSET($AM$2,0,0,ROW()-1,33),ROW()-1,FALSE))</f>
        <v/>
      </c>
      <c r="G12">
        <f ca="1">IF(AND(ISNUMBER($G$437),$B$427=1),$G$437,HLOOKUP(INDIRECT(ADDRESS(2,COLUMN())),OFFSET($AM$2,0,0,ROW()-1,33),ROW()-1,FALSE))</f>
        <v>85800.926999999996</v>
      </c>
      <c r="H12">
        <f ca="1">IF(AND(ISNUMBER($H$437),$B$427=1),$H$437,HLOOKUP(INDIRECT(ADDRESS(2,COLUMN())),OFFSET($AM$2,0,0,ROW()-1,33),ROW()-1,FALSE))</f>
        <v>70116.717999999993</v>
      </c>
      <c r="I12">
        <f ca="1">IF(AND(ISNUMBER($I$437),$B$427=1),$I$437,HLOOKUP(INDIRECT(ADDRESS(2,COLUMN())),OFFSET($AM$2,0,0,ROW()-1,33),ROW()-1,FALSE))</f>
        <v>45738.504000000001</v>
      </c>
      <c r="J12">
        <f ca="1">IF(AND(ISNUMBER($J$437),$B$427=1),$J$437,HLOOKUP(INDIRECT(ADDRESS(2,COLUMN())),OFFSET($AM$2,0,0,ROW()-1,33),ROW()-1,FALSE))</f>
        <v>43000.733999999997</v>
      </c>
      <c r="K12">
        <f ca="1">IF(AND(ISNUMBER($K$437),$B$427=1),$K$437,HLOOKUP(INDIRECT(ADDRESS(2,COLUMN())),OFFSET($AM$2,0,0,ROW()-1,33),ROW()-1,FALSE))</f>
        <v>41894.154999999999</v>
      </c>
      <c r="L12">
        <f ca="1">IF(AND(ISNUMBER($L$437),$B$427=1),$L$437,HLOOKUP(INDIRECT(ADDRESS(2,COLUMN())),OFFSET($AM$2,0,0,ROW()-1,33),ROW()-1,FALSE))</f>
        <v>40165.908000000003</v>
      </c>
      <c r="M12">
        <f ca="1">IF(AND(ISNUMBER($M$437),$B$427=1),$M$437,HLOOKUP(INDIRECT(ADDRESS(2,COLUMN())),OFFSET($AM$2,0,0,ROW()-1,33),ROW()-1,FALSE))</f>
        <v>38423.228999999999</v>
      </c>
      <c r="N12">
        <f ca="1">IF(AND(ISNUMBER($N$437),$B$427=1),$N$437,HLOOKUP(INDIRECT(ADDRESS(2,COLUMN())),OFFSET($AM$2,0,0,ROW()-1,33),ROW()-1,FALSE))</f>
        <v>39490.006999999998</v>
      </c>
      <c r="O12">
        <f ca="1">IF(AND(ISNUMBER($O$437),$B$427=1),$O$437,HLOOKUP(INDIRECT(ADDRESS(2,COLUMN())),OFFSET($AM$2,0,0,ROW()-1,33),ROW()-1,FALSE))</f>
        <v>38190.512999999999</v>
      </c>
      <c r="P12">
        <f ca="1">IF(AND(ISNUMBER($P$437),$B$427=1),$P$437,HLOOKUP(INDIRECT(ADDRESS(2,COLUMN())),OFFSET($AM$2,0,0,ROW()-1,33),ROW()-1,FALSE))</f>
        <v>35832.976999999999</v>
      </c>
      <c r="Q12">
        <f ca="1">IF(AND(ISNUMBER($Q$437),$B$427=1),$Q$437,HLOOKUP(INDIRECT(ADDRESS(2,COLUMN())),OFFSET($AM$2,0,0,ROW()-1,33),ROW()-1,FALSE))</f>
        <v>32933.521999999997</v>
      </c>
      <c r="R12">
        <f ca="1">IF(AND(ISNUMBER($R$437),$B$427=1),$R$437,HLOOKUP(INDIRECT(ADDRESS(2,COLUMN())),OFFSET($AM$2,0,0,ROW()-1,33),ROW()-1,FALSE))</f>
        <v>31771.972000000002</v>
      </c>
      <c r="S12">
        <f ca="1">IF(AND(ISNUMBER($S$437),$B$427=1),$S$437,HLOOKUP(INDIRECT(ADDRESS(2,COLUMN())),OFFSET($AM$2,0,0,ROW()-1,33),ROW()-1,FALSE))</f>
        <v>30322.743999999999</v>
      </c>
      <c r="T12">
        <f ca="1">IF(AND(ISNUMBER($T$437),$B$427=1),$T$437,HLOOKUP(INDIRECT(ADDRESS(2,COLUMN())),OFFSET($AM$2,0,0,ROW()-1,33),ROW()-1,FALSE))</f>
        <v>29213.916000000001</v>
      </c>
      <c r="U12">
        <f ca="1">IF(AND(ISNUMBER($U$437),$B$427=1),$U$437,HLOOKUP(INDIRECT(ADDRESS(2,COLUMN())),OFFSET($AM$2,0,0,ROW()-1,33),ROW()-1,FALSE))</f>
        <v>28393.123</v>
      </c>
      <c r="V12">
        <f ca="1">IF(AND(ISNUMBER($V$437),$B$427=1),$V$437,HLOOKUP(INDIRECT(ADDRESS(2,COLUMN())),OFFSET($AM$2,0,0,ROW()-1,33),ROW()-1,FALSE))</f>
        <v>22192.544999999998</v>
      </c>
      <c r="W12">
        <f ca="1">IF(AND(ISNUMBER($W$437),$B$427=1),$W$437,HLOOKUP(INDIRECT(ADDRESS(2,COLUMN())),OFFSET($AM$2,0,0,ROW()-1,33),ROW()-1,FALSE))</f>
        <v>20365.07</v>
      </c>
      <c r="X12">
        <f ca="1">IF(AND(ISNUMBER($X$437),$B$427=1),$X$437,HLOOKUP(INDIRECT(ADDRESS(2,COLUMN())),OFFSET($AM$2,0,0,ROW()-1,33),ROW()-1,FALSE))</f>
        <v>19673.543000000001</v>
      </c>
      <c r="Y12">
        <f ca="1">IF(AND(ISNUMBER($Y$437),$B$427=1),$Y$437,HLOOKUP(INDIRECT(ADDRESS(2,COLUMN())),OFFSET($AM$2,0,0,ROW()-1,33),ROW()-1,FALSE))</f>
        <v>17028.95</v>
      </c>
      <c r="Z12">
        <f ca="1">IF(AND(ISNUMBER($Z$437),$B$427=1),$Z$437,HLOOKUP(INDIRECT(ADDRESS(2,COLUMN())),OFFSET($AM$2,0,0,ROW()-1,33),ROW()-1,FALSE))</f>
        <v>13396.677</v>
      </c>
      <c r="AA12">
        <f ca="1">IF(AND(ISNUMBER($AA$437),$B$427=1),$AA$437,HLOOKUP(INDIRECT(ADDRESS(2,COLUMN())),OFFSET($AM$2,0,0,ROW()-1,33),ROW()-1,FALSE))</f>
        <v>10507.083000000001</v>
      </c>
      <c r="AB12">
        <f ca="1">IF(AND(ISNUMBER($AB$437),$B$427=1),$AB$437,HLOOKUP(INDIRECT(ADDRESS(2,COLUMN())),OFFSET($AM$2,0,0,ROW()-1,33),ROW()-1,FALSE))</f>
        <v>5491.049</v>
      </c>
      <c r="AC12">
        <f ca="1">IF(AND(ISNUMBER($AC$437),$B$427=1),$AC$437,HLOOKUP(INDIRECT(ADDRESS(2,COLUMN())),OFFSET($AM$2,0,0,ROW()-1,33),ROW()-1,FALSE))</f>
        <v>5401.6869999999999</v>
      </c>
      <c r="AD12" t="str">
        <f ca="1">IF(AND(ISNUMBER($AD$437),$B$427=1),$AD$437,HLOOKUP(INDIRECT(ADDRESS(2,COLUMN())),OFFSET($AM$2,0,0,ROW()-1,33),ROW()-1,FALSE))</f>
        <v/>
      </c>
      <c r="AE12" t="str">
        <f ca="1">IF(AND(ISNUMBER($AE$437),$B$427=1),$AE$437,HLOOKUP(INDIRECT(ADDRESS(2,COLUMN())),OFFSET($AM$2,0,0,ROW()-1,33),ROW()-1,FALSE))</f>
        <v/>
      </c>
      <c r="AF12" t="str">
        <f ca="1">IF(AND(ISNUMBER($AF$437),$B$427=1),$AF$437,HLOOKUP(INDIRECT(ADDRESS(2,COLUMN())),OFFSET($AM$2,0,0,ROW()-1,33),ROW()-1,FALSE))</f>
        <v/>
      </c>
      <c r="AG12" t="str">
        <f ca="1">IF(AND(ISNUMBER($AG$437),$B$427=1),$AG$437,HLOOKUP(INDIRECT(ADDRESS(2,COLUMN())),OFFSET($AM$2,0,0,ROW()-1,33),ROW()-1,FALSE))</f>
        <v/>
      </c>
      <c r="AH12" t="str">
        <f ca="1">IF(AND(ISNUMBER($AH$437),$B$427=1),$AH$437,HLOOKUP(INDIRECT(ADDRESS(2,COLUMN())),OFFSET($AM$2,0,0,ROW()-1,33),ROW()-1,FALSE))</f>
        <v/>
      </c>
      <c r="AI12" t="str">
        <f ca="1">IF(AND(ISNUMBER($AI$437),$B$427=1),$AI$437,HLOOKUP(INDIRECT(ADDRESS(2,COLUMN())),OFFSET($AM$2,0,0,ROW()-1,33),ROW()-1,FALSE))</f>
        <v/>
      </c>
      <c r="AJ12" t="str">
        <f ca="1">IF(AND(ISNUMBER($AJ$437),$B$427=1),$AJ$437,HLOOKUP(INDIRECT(ADDRESS(2,COLUMN())),OFFSET($AM$2,0,0,ROW()-1,33),ROW()-1,FALSE))</f>
        <v/>
      </c>
      <c r="AK12" t="str">
        <f ca="1">IF(AND(ISNUMBER($AK$437),$B$427=1),$AK$437,HLOOKUP(INDIRECT(ADDRESS(2,COLUMN())),OFFSET($AM$2,0,0,ROW()-1,33),ROW()-1,FALSE))</f>
        <v/>
      </c>
      <c r="AL12" t="str">
        <f ca="1">IF(AND(ISNUMBER($AL$437),$B$427=1),$AL$437,HLOOKUP(INDIRECT(ADDRESS(2,COLUMN())),OFFSET($AM$2,0,0,ROW()-1,33),ROW()-1,FALSE))</f>
        <v/>
      </c>
      <c r="AM12" t="str">
        <f>""</f>
        <v/>
      </c>
      <c r="AN12">
        <f>85800.927</f>
        <v>85800.926999999996</v>
      </c>
      <c r="AO12">
        <f>70116.718</f>
        <v>70116.717999999993</v>
      </c>
      <c r="AP12">
        <f>45738.504</f>
        <v>45738.504000000001</v>
      </c>
      <c r="AQ12">
        <f>43000.734</f>
        <v>43000.733999999997</v>
      </c>
      <c r="AR12">
        <f>41894.155</f>
        <v>41894.154999999999</v>
      </c>
      <c r="AS12">
        <f>40165.908</f>
        <v>40165.908000000003</v>
      </c>
      <c r="AT12">
        <f>38423.229</f>
        <v>38423.228999999999</v>
      </c>
      <c r="AU12">
        <f>39490.007</f>
        <v>39490.006999999998</v>
      </c>
      <c r="AV12">
        <f>38190.513</f>
        <v>38190.512999999999</v>
      </c>
      <c r="AW12">
        <f>35832.977</f>
        <v>35832.976999999999</v>
      </c>
      <c r="AX12">
        <f>32933.522</f>
        <v>32933.521999999997</v>
      </c>
      <c r="AY12">
        <f>31771.972</f>
        <v>31771.972000000002</v>
      </c>
      <c r="AZ12">
        <f>30322.744</f>
        <v>30322.743999999999</v>
      </c>
      <c r="BA12">
        <f>29213.916</f>
        <v>29213.916000000001</v>
      </c>
      <c r="BB12">
        <f>28393.123</f>
        <v>28393.123</v>
      </c>
      <c r="BC12">
        <f>22192.545</f>
        <v>22192.544999999998</v>
      </c>
      <c r="BD12">
        <f>20365.07</f>
        <v>20365.07</v>
      </c>
      <c r="BE12">
        <f>19673.543</f>
        <v>19673.543000000001</v>
      </c>
      <c r="BF12">
        <f>17028.95</f>
        <v>17028.95</v>
      </c>
      <c r="BG12">
        <f>13396.677</f>
        <v>13396.677</v>
      </c>
      <c r="BH12">
        <f>10507.083</f>
        <v>10507.083000000001</v>
      </c>
      <c r="BI12">
        <f>5491.049</f>
        <v>5491.049</v>
      </c>
      <c r="BJ12">
        <f>5401.687</f>
        <v>5401.6869999999999</v>
      </c>
      <c r="BK12" t="str">
        <f>""</f>
        <v/>
      </c>
      <c r="BL12" t="str">
        <f>""</f>
        <v/>
      </c>
      <c r="BM12" t="str">
        <f>""</f>
        <v/>
      </c>
      <c r="BN12" t="str">
        <f>""</f>
        <v/>
      </c>
      <c r="BO12" t="str">
        <f>""</f>
        <v/>
      </c>
      <c r="BP12" t="str">
        <f>""</f>
        <v/>
      </c>
      <c r="BQ12" t="str">
        <f>""</f>
        <v/>
      </c>
      <c r="BR12" t="str">
        <f>""</f>
        <v/>
      </c>
      <c r="BS12" t="str">
        <f>""</f>
        <v/>
      </c>
    </row>
    <row r="13" spans="1:71" x14ac:dyDescent="0.25">
      <c r="A13" t="str">
        <f>"        Huntington Bancshares Inc/OH"</f>
        <v xml:space="preserve">        Huntington Bancshares Inc/OH</v>
      </c>
      <c r="B13" t="str">
        <f>"HBAN US Equity"</f>
        <v>HBAN US Equity</v>
      </c>
      <c r="C13" t="str">
        <f t="shared" si="0"/>
        <v>FY421</v>
      </c>
      <c r="D13" t="str">
        <f t="shared" si="1"/>
        <v>FED_TOTAL_CONSOLIDATED_LOANS</v>
      </c>
      <c r="E13" t="str">
        <f t="shared" si="2"/>
        <v>Dynamic</v>
      </c>
      <c r="F13">
        <f ca="1">IF(AND(ISNUMBER($F$438),$B$427=1),$F$438,HLOOKUP(INDIRECT(ADDRESS(2,COLUMN())),OFFSET($AM$2,0,0,ROW()-1,33),ROW()-1,FALSE))</f>
        <v>130695.679</v>
      </c>
      <c r="G13">
        <f ca="1">IF(AND(ISNUMBER($G$438),$B$427=1),$G$438,HLOOKUP(INDIRECT(ADDRESS(2,COLUMN())),OFFSET($AM$2,0,0,ROW()-1,33),ROW()-1,FALSE))</f>
        <v>122498.124</v>
      </c>
      <c r="H13">
        <f ca="1">IF(AND(ISNUMBER($H$438),$B$427=1),$H$438,HLOOKUP(INDIRECT(ADDRESS(2,COLUMN())),OFFSET($AM$2,0,0,ROW()-1,33),ROW()-1,FALSE))</f>
        <v>120772.227</v>
      </c>
      <c r="I13">
        <f ca="1">IF(AND(ISNUMBER($I$438),$B$427=1),$I$438,HLOOKUP(INDIRECT(ADDRESS(2,COLUMN())),OFFSET($AM$2,0,0,ROW()-1,33),ROW()-1,FALSE))</f>
        <v>113596.806</v>
      </c>
      <c r="J13">
        <f ca="1">IF(AND(ISNUMBER($J$438),$B$427=1),$J$438,HLOOKUP(INDIRECT(ADDRESS(2,COLUMN())),OFFSET($AM$2,0,0,ROW()-1,33),ROW()-1,FALSE))</f>
        <v>82882.997000000003</v>
      </c>
      <c r="K13">
        <f ca="1">IF(AND(ISNUMBER($K$438),$B$427=1),$K$438,HLOOKUP(INDIRECT(ADDRESS(2,COLUMN())),OFFSET($AM$2,0,0,ROW()-1,33),ROW()-1,FALSE))</f>
        <v>76281.36</v>
      </c>
      <c r="L13">
        <f ca="1">IF(AND(ISNUMBER($L$438),$B$427=1),$L$438,HLOOKUP(INDIRECT(ADDRESS(2,COLUMN())),OFFSET($AM$2,0,0,ROW()-1,33),ROW()-1,FALSE))</f>
        <v>75703.650999999998</v>
      </c>
      <c r="M13">
        <f ca="1">IF(AND(ISNUMBER($M$438),$B$427=1),$M$438,HLOOKUP(INDIRECT(ADDRESS(2,COLUMN())),OFFSET($AM$2,0,0,ROW()-1,33),ROW()-1,FALSE))</f>
        <v>70604.365000000005</v>
      </c>
      <c r="N13">
        <f ca="1">IF(AND(ISNUMBER($N$438),$B$427=1),$N$438,HLOOKUP(INDIRECT(ADDRESS(2,COLUMN())),OFFSET($AM$2,0,0,ROW()-1,33),ROW()-1,FALSE))</f>
        <v>67460.327000000005</v>
      </c>
      <c r="O13">
        <f ca="1">IF(AND(ISNUMBER($O$438),$B$427=1),$O$438,HLOOKUP(INDIRECT(ADDRESS(2,COLUMN())),OFFSET($AM$2,0,0,ROW()-1,33),ROW()-1,FALSE))</f>
        <v>50802.822999999997</v>
      </c>
      <c r="P13">
        <f ca="1">IF(AND(ISNUMBER($P$438),$B$427=1),$P$438,HLOOKUP(INDIRECT(ADDRESS(2,COLUMN())),OFFSET($AM$2,0,0,ROW()-1,33),ROW()-1,FALSE))</f>
        <v>48062.474000000002</v>
      </c>
      <c r="Q13">
        <f ca="1">IF(AND(ISNUMBER($Q$438),$B$427=1),$Q$438,HLOOKUP(INDIRECT(ADDRESS(2,COLUMN())),OFFSET($AM$2,0,0,ROW()-1,33),ROW()-1,FALSE))</f>
        <v>43438.392</v>
      </c>
      <c r="R13">
        <f ca="1">IF(AND(ISNUMBER($R$438),$B$427=1),$R$438,HLOOKUP(INDIRECT(ADDRESS(2,COLUMN())),OFFSET($AM$2,0,0,ROW()-1,33),ROW()-1,FALSE))</f>
        <v>41485.394</v>
      </c>
      <c r="S13">
        <f ca="1">IF(AND(ISNUMBER($S$438),$B$427=1),$S$438,HLOOKUP(INDIRECT(ADDRESS(2,COLUMN())),OFFSET($AM$2,0,0,ROW()-1,33),ROW()-1,FALSE))</f>
        <v>40527.470999999998</v>
      </c>
      <c r="T13">
        <f ca="1">IF(AND(ISNUMBER($T$438),$B$427=1),$T$438,HLOOKUP(INDIRECT(ADDRESS(2,COLUMN())),OFFSET($AM$2,0,0,ROW()-1,33),ROW()-1,FALSE))</f>
        <v>38879.737000000001</v>
      </c>
      <c r="U13">
        <f ca="1">IF(AND(ISNUMBER($U$438),$B$427=1),$U$438,HLOOKUP(INDIRECT(ADDRESS(2,COLUMN())),OFFSET($AM$2,0,0,ROW()-1,33),ROW()-1,FALSE))</f>
        <v>37232.498</v>
      </c>
      <c r="V13">
        <f ca="1">IF(AND(ISNUMBER($V$438),$B$427=1),$V$438,HLOOKUP(INDIRECT(ADDRESS(2,COLUMN())),OFFSET($AM$2,0,0,ROW()-1,33),ROW()-1,FALSE))</f>
        <v>41460.957999999999</v>
      </c>
      <c r="W13">
        <f ca="1">IF(AND(ISNUMBER($W$438),$B$427=1),$W$438,HLOOKUP(INDIRECT(ADDRESS(2,COLUMN())),OFFSET($AM$2,0,0,ROW()-1,33),ROW()-1,FALSE))</f>
        <v>40529.497000000003</v>
      </c>
      <c r="X13">
        <f ca="1">IF(AND(ISNUMBER($X$438),$B$427=1),$X$438,HLOOKUP(INDIRECT(ADDRESS(2,COLUMN())),OFFSET($AM$2,0,0,ROW()-1,33),ROW()-1,FALSE))</f>
        <v>26425.190999999999</v>
      </c>
      <c r="Y13">
        <f ca="1">IF(AND(ISNUMBER($Y$438),$B$427=1),$Y$438,HLOOKUP(INDIRECT(ADDRESS(2,COLUMN())),OFFSET($AM$2,0,0,ROW()-1,33),ROW()-1,FALSE))</f>
        <v>24764.848000000002</v>
      </c>
      <c r="Z13">
        <f ca="1">IF(AND(ISNUMBER($Z$438),$B$427=1),$Z$438,HLOOKUP(INDIRECT(ADDRESS(2,COLUMN())),OFFSET($AM$2,0,0,ROW()-1,33),ROW()-1,FALSE))</f>
        <v>23772.844000000001</v>
      </c>
      <c r="AA13">
        <f ca="1">IF(AND(ISNUMBER($AA$438),$B$427=1),$AA$438,HLOOKUP(INDIRECT(ADDRESS(2,COLUMN())),OFFSET($AM$2,0,0,ROW()-1,33),ROW()-1,FALSE))</f>
        <v>21289.718000000001</v>
      </c>
      <c r="AB13">
        <f ca="1">IF(AND(ISNUMBER($AB$438),$B$427=1),$AB$438,HLOOKUP(INDIRECT(ADDRESS(2,COLUMN())),OFFSET($AM$2,0,0,ROW()-1,33),ROW()-1,FALSE))</f>
        <v>19090.973999999998</v>
      </c>
      <c r="AC13">
        <f ca="1">IF(AND(ISNUMBER($AC$438),$B$427=1),$AC$438,HLOOKUP(INDIRECT(ADDRESS(2,COLUMN())),OFFSET($AM$2,0,0,ROW()-1,33),ROW()-1,FALSE))</f>
        <v>19068.800999999999</v>
      </c>
      <c r="AD13" t="str">
        <f ca="1">IF(AND(ISNUMBER($AD$438),$B$427=1),$AD$438,HLOOKUP(INDIRECT(ADDRESS(2,COLUMN())),OFFSET($AM$2,0,0,ROW()-1,33),ROW()-1,FALSE))</f>
        <v/>
      </c>
      <c r="AE13" t="str">
        <f ca="1">IF(AND(ISNUMBER($AE$438),$B$427=1),$AE$438,HLOOKUP(INDIRECT(ADDRESS(2,COLUMN())),OFFSET($AM$2,0,0,ROW()-1,33),ROW()-1,FALSE))</f>
        <v/>
      </c>
      <c r="AF13" t="str">
        <f ca="1">IF(AND(ISNUMBER($AF$438),$B$427=1),$AF$438,HLOOKUP(INDIRECT(ADDRESS(2,COLUMN())),OFFSET($AM$2,0,0,ROW()-1,33),ROW()-1,FALSE))</f>
        <v/>
      </c>
      <c r="AG13" t="str">
        <f ca="1">IF(AND(ISNUMBER($AG$438),$B$427=1),$AG$438,HLOOKUP(INDIRECT(ADDRESS(2,COLUMN())),OFFSET($AM$2,0,0,ROW()-1,33),ROW()-1,FALSE))</f>
        <v/>
      </c>
      <c r="AH13" t="str">
        <f ca="1">IF(AND(ISNUMBER($AH$438),$B$427=1),$AH$438,HLOOKUP(INDIRECT(ADDRESS(2,COLUMN())),OFFSET($AM$2,0,0,ROW()-1,33),ROW()-1,FALSE))</f>
        <v/>
      </c>
      <c r="AI13" t="str">
        <f ca="1">IF(AND(ISNUMBER($AI$438),$B$427=1),$AI$438,HLOOKUP(INDIRECT(ADDRESS(2,COLUMN())),OFFSET($AM$2,0,0,ROW()-1,33),ROW()-1,FALSE))</f>
        <v/>
      </c>
      <c r="AJ13" t="str">
        <f ca="1">IF(AND(ISNUMBER($AJ$438),$B$427=1),$AJ$438,HLOOKUP(INDIRECT(ADDRESS(2,COLUMN())),OFFSET($AM$2,0,0,ROW()-1,33),ROW()-1,FALSE))</f>
        <v/>
      </c>
      <c r="AK13" t="str">
        <f ca="1">IF(AND(ISNUMBER($AK$438),$B$427=1),$AK$438,HLOOKUP(INDIRECT(ADDRESS(2,COLUMN())),OFFSET($AM$2,0,0,ROW()-1,33),ROW()-1,FALSE))</f>
        <v/>
      </c>
      <c r="AL13" t="str">
        <f ca="1">IF(AND(ISNUMBER($AL$438),$B$427=1),$AL$438,HLOOKUP(INDIRECT(ADDRESS(2,COLUMN())),OFFSET($AM$2,0,0,ROW()-1,33),ROW()-1,FALSE))</f>
        <v/>
      </c>
      <c r="AM13">
        <f>130695.679</f>
        <v>130695.679</v>
      </c>
      <c r="AN13">
        <f>122498.124</f>
        <v>122498.124</v>
      </c>
      <c r="AO13">
        <f>120772.227</f>
        <v>120772.227</v>
      </c>
      <c r="AP13">
        <f>113596.806</f>
        <v>113596.806</v>
      </c>
      <c r="AQ13">
        <f>82882.997</f>
        <v>82882.997000000003</v>
      </c>
      <c r="AR13">
        <f>76281.36</f>
        <v>76281.36</v>
      </c>
      <c r="AS13">
        <f>75703.651</f>
        <v>75703.650999999998</v>
      </c>
      <c r="AT13">
        <f>70604.365</f>
        <v>70604.365000000005</v>
      </c>
      <c r="AU13">
        <f>67460.327</f>
        <v>67460.327000000005</v>
      </c>
      <c r="AV13">
        <f>50802.823</f>
        <v>50802.822999999997</v>
      </c>
      <c r="AW13">
        <f>48062.474</f>
        <v>48062.474000000002</v>
      </c>
      <c r="AX13">
        <f>43438.392</f>
        <v>43438.392</v>
      </c>
      <c r="AY13">
        <f>41485.394</f>
        <v>41485.394</v>
      </c>
      <c r="AZ13">
        <f>40527.471</f>
        <v>40527.470999999998</v>
      </c>
      <c r="BA13">
        <f>38879.737</f>
        <v>38879.737000000001</v>
      </c>
      <c r="BB13">
        <f>37232.498</f>
        <v>37232.498</v>
      </c>
      <c r="BC13">
        <f>41460.958</f>
        <v>41460.957999999999</v>
      </c>
      <c r="BD13">
        <f>40529.497</f>
        <v>40529.497000000003</v>
      </c>
      <c r="BE13">
        <f>26425.191</f>
        <v>26425.190999999999</v>
      </c>
      <c r="BF13">
        <f>24764.848</f>
        <v>24764.848000000002</v>
      </c>
      <c r="BG13">
        <f>23772.844</f>
        <v>23772.844000000001</v>
      </c>
      <c r="BH13">
        <f>21289.718</f>
        <v>21289.718000000001</v>
      </c>
      <c r="BI13">
        <f>19090.974</f>
        <v>19090.973999999998</v>
      </c>
      <c r="BJ13">
        <f>19068.801</f>
        <v>19068.800999999999</v>
      </c>
      <c r="BK13" t="str">
        <f>""</f>
        <v/>
      </c>
      <c r="BL13" t="str">
        <f>""</f>
        <v/>
      </c>
      <c r="BM13" t="str">
        <f>""</f>
        <v/>
      </c>
      <c r="BN13" t="str">
        <f>""</f>
        <v/>
      </c>
      <c r="BO13" t="str">
        <f>""</f>
        <v/>
      </c>
      <c r="BP13" t="str">
        <f>""</f>
        <v/>
      </c>
      <c r="BQ13" t="str">
        <f>""</f>
        <v/>
      </c>
      <c r="BR13" t="str">
        <f>""</f>
        <v/>
      </c>
      <c r="BS13" t="str">
        <f>""</f>
        <v/>
      </c>
    </row>
    <row r="14" spans="1:71" x14ac:dyDescent="0.25">
      <c r="A14" t="str">
        <f>"        JPMorgan Chase &amp; Co"</f>
        <v xml:space="preserve">        JPMorgan Chase &amp; Co</v>
      </c>
      <c r="B14" t="str">
        <f>"JPM US Equity"</f>
        <v>JPM US Equity</v>
      </c>
      <c r="C14" t="str">
        <f t="shared" si="0"/>
        <v>FY421</v>
      </c>
      <c r="D14" t="str">
        <f t="shared" si="1"/>
        <v>FED_TOTAL_CONSOLIDATED_LOANS</v>
      </c>
      <c r="E14" t="str">
        <f t="shared" si="2"/>
        <v>Dynamic</v>
      </c>
      <c r="F14">
        <f ca="1">IF(AND(ISNUMBER($F$439),$B$427=1),$F$439,HLOOKUP(INDIRECT(ADDRESS(2,COLUMN())),OFFSET($AM$2,0,0,ROW()-1,33),ROW()-1,FALSE))</f>
        <v>1399917</v>
      </c>
      <c r="G14">
        <f ca="1">IF(AND(ISNUMBER($G$439),$B$427=1),$G$439,HLOOKUP(INDIRECT(ADDRESS(2,COLUMN())),OFFSET($AM$2,0,0,ROW()-1,33),ROW()-1,FALSE))</f>
        <v>1371587</v>
      </c>
      <c r="H14">
        <f ca="1">IF(AND(ISNUMBER($H$439),$B$427=1),$H$439,HLOOKUP(INDIRECT(ADDRESS(2,COLUMN())),OFFSET($AM$2,0,0,ROW()-1,33),ROW()-1,FALSE))</f>
        <v>1184928</v>
      </c>
      <c r="I14">
        <f ca="1">IF(AND(ISNUMBER($I$439),$B$427=1),$I$439,HLOOKUP(INDIRECT(ADDRESS(2,COLUMN())),OFFSET($AM$2,0,0,ROW()-1,33),ROW()-1,FALSE))</f>
        <v>1137371</v>
      </c>
      <c r="J14">
        <f ca="1">IF(AND(ISNUMBER($J$439),$B$427=1),$J$439,HLOOKUP(INDIRECT(ADDRESS(2,COLUMN())),OFFSET($AM$2,0,0,ROW()-1,33),ROW()-1,FALSE))</f>
        <v>1060578</v>
      </c>
      <c r="K14">
        <f ca="1">IF(AND(ISNUMBER($K$439),$B$427=1),$K$439,HLOOKUP(INDIRECT(ADDRESS(2,COLUMN())),OFFSET($AM$2,0,0,ROW()-1,33),ROW()-1,FALSE))</f>
        <v>993488</v>
      </c>
      <c r="L14">
        <f ca="1">IF(AND(ISNUMBER($L$439),$B$427=1),$L$439,HLOOKUP(INDIRECT(ADDRESS(2,COLUMN())),OFFSET($AM$2,0,0,ROW()-1,33),ROW()-1,FALSE))</f>
        <v>1014765</v>
      </c>
      <c r="M14">
        <f ca="1">IF(AND(ISNUMBER($M$439),$B$427=1),$M$439,HLOOKUP(INDIRECT(ADDRESS(2,COLUMN())),OFFSET($AM$2,0,0,ROW()-1,33),ROW()-1,FALSE))</f>
        <v>956829</v>
      </c>
      <c r="N14">
        <f ca="1">IF(AND(ISNUMBER($N$439),$B$427=1),$N$439,HLOOKUP(INDIRECT(ADDRESS(2,COLUMN())),OFFSET($AM$2,0,0,ROW()-1,33),ROW()-1,FALSE))</f>
        <v>912208</v>
      </c>
      <c r="O14">
        <f ca="1">IF(AND(ISNUMBER($O$439),$B$427=1),$O$439,HLOOKUP(INDIRECT(ADDRESS(2,COLUMN())),OFFSET($AM$2,0,0,ROW()-1,33),ROW()-1,FALSE))</f>
        <v>850732</v>
      </c>
      <c r="P14">
        <f ca="1">IF(AND(ISNUMBER($P$439),$B$427=1),$P$439,HLOOKUP(INDIRECT(ADDRESS(2,COLUMN())),OFFSET($AM$2,0,0,ROW()-1,33),ROW()-1,FALSE))</f>
        <v>786287</v>
      </c>
      <c r="Q14">
        <f ca="1">IF(AND(ISNUMBER($Q$439),$B$427=1),$Q$439,HLOOKUP(INDIRECT(ADDRESS(2,COLUMN())),OFFSET($AM$2,0,0,ROW()-1,33),ROW()-1,FALSE))</f>
        <v>765104</v>
      </c>
      <c r="R14">
        <f ca="1">IF(AND(ISNUMBER($R$439),$B$427=1),$R$439,HLOOKUP(INDIRECT(ADDRESS(2,COLUMN())),OFFSET($AM$2,0,0,ROW()-1,33),ROW()-1,FALSE))</f>
        <v>758676</v>
      </c>
      <c r="S14">
        <f ca="1">IF(AND(ISNUMBER($S$439),$B$427=1),$S$439,HLOOKUP(INDIRECT(ADDRESS(2,COLUMN())),OFFSET($AM$2,0,0,ROW()-1,33),ROW()-1,FALSE))</f>
        <v>742373</v>
      </c>
      <c r="T14">
        <f ca="1">IF(AND(ISNUMBER($T$439),$B$427=1),$T$439,HLOOKUP(INDIRECT(ADDRESS(2,COLUMN())),OFFSET($AM$2,0,0,ROW()-1,33),ROW()-1,FALSE))</f>
        <v>726922</v>
      </c>
      <c r="U14">
        <f ca="1">IF(AND(ISNUMBER($U$439),$B$427=1),$U$439,HLOOKUP(INDIRECT(ADDRESS(2,COLUMN())),OFFSET($AM$2,0,0,ROW()-1,33),ROW()-1,FALSE))</f>
        <v>650815</v>
      </c>
      <c r="V14">
        <f ca="1">IF(AND(ISNUMBER($V$439),$B$427=1),$V$439,HLOOKUP(INDIRECT(ADDRESS(2,COLUMN())),OFFSET($AM$2,0,0,ROW()-1,33),ROW()-1,FALSE))</f>
        <v>761186</v>
      </c>
      <c r="W14">
        <f ca="1">IF(AND(ISNUMBER($W$439),$B$427=1),$W$439,HLOOKUP(INDIRECT(ADDRESS(2,COLUMN())),OFFSET($AM$2,0,0,ROW()-1,33),ROW()-1,FALSE))</f>
        <v>555524</v>
      </c>
      <c r="X14">
        <f ca="1">IF(AND(ISNUMBER($X$439),$B$427=1),$X$439,HLOOKUP(INDIRECT(ADDRESS(2,COLUMN())),OFFSET($AM$2,0,0,ROW()-1,33),ROW()-1,FALSE))</f>
        <v>483127</v>
      </c>
      <c r="Y14">
        <f ca="1">IF(AND(ISNUMBER($Y$439),$B$427=1),$Y$439,HLOOKUP(INDIRECT(ADDRESS(2,COLUMN())),OFFSET($AM$2,0,0,ROW()-1,33),ROW()-1,FALSE))</f>
        <v>448888</v>
      </c>
      <c r="Z14">
        <f ca="1">IF(AND(ISNUMBER($Z$439),$B$427=1),$Z$439,HLOOKUP(INDIRECT(ADDRESS(2,COLUMN())),OFFSET($AM$2,0,0,ROW()-1,33),ROW()-1,FALSE))</f>
        <v>433836</v>
      </c>
      <c r="AA14">
        <f ca="1">IF(AND(ISNUMBER($AA$439),$B$427=1),$AA$439,HLOOKUP(INDIRECT(ADDRESS(2,COLUMN())),OFFSET($AM$2,0,0,ROW()-1,33),ROW()-1,FALSE))</f>
        <v>219518</v>
      </c>
      <c r="AB14">
        <f ca="1">IF(AND(ISNUMBER($AB$439),$B$427=1),$AB$439,HLOOKUP(INDIRECT(ADDRESS(2,COLUMN())),OFFSET($AM$2,0,0,ROW()-1,33),ROW()-1,FALSE))</f>
        <v>216253</v>
      </c>
      <c r="AC14">
        <f ca="1">IF(AND(ISNUMBER($AC$439),$B$427=1),$AC$439,HLOOKUP(INDIRECT(ADDRESS(2,COLUMN())),OFFSET($AM$2,0,0,ROW()-1,33),ROW()-1,FALSE))</f>
        <v>217397</v>
      </c>
      <c r="AD14" t="str">
        <f ca="1">IF(AND(ISNUMBER($AD$439),$B$427=1),$AD$439,HLOOKUP(INDIRECT(ADDRESS(2,COLUMN())),OFFSET($AM$2,0,0,ROW()-1,33),ROW()-1,FALSE))</f>
        <v/>
      </c>
      <c r="AE14" t="str">
        <f ca="1">IF(AND(ISNUMBER($AE$439),$B$427=1),$AE$439,HLOOKUP(INDIRECT(ADDRESS(2,COLUMN())),OFFSET($AM$2,0,0,ROW()-1,33),ROW()-1,FALSE))</f>
        <v/>
      </c>
      <c r="AF14" t="str">
        <f ca="1">IF(AND(ISNUMBER($AF$439),$B$427=1),$AF$439,HLOOKUP(INDIRECT(ADDRESS(2,COLUMN())),OFFSET($AM$2,0,0,ROW()-1,33),ROW()-1,FALSE))</f>
        <v/>
      </c>
      <c r="AG14" t="str">
        <f ca="1">IF(AND(ISNUMBER($AG$439),$B$427=1),$AG$439,HLOOKUP(INDIRECT(ADDRESS(2,COLUMN())),OFFSET($AM$2,0,0,ROW()-1,33),ROW()-1,FALSE))</f>
        <v/>
      </c>
      <c r="AH14" t="str">
        <f ca="1">IF(AND(ISNUMBER($AH$439),$B$427=1),$AH$439,HLOOKUP(INDIRECT(ADDRESS(2,COLUMN())),OFFSET($AM$2,0,0,ROW()-1,33),ROW()-1,FALSE))</f>
        <v/>
      </c>
      <c r="AI14" t="str">
        <f ca="1">IF(AND(ISNUMBER($AI$439),$B$427=1),$AI$439,HLOOKUP(INDIRECT(ADDRESS(2,COLUMN())),OFFSET($AM$2,0,0,ROW()-1,33),ROW()-1,FALSE))</f>
        <v/>
      </c>
      <c r="AJ14" t="str">
        <f ca="1">IF(AND(ISNUMBER($AJ$439),$B$427=1),$AJ$439,HLOOKUP(INDIRECT(ADDRESS(2,COLUMN())),OFFSET($AM$2,0,0,ROW()-1,33),ROW()-1,FALSE))</f>
        <v/>
      </c>
      <c r="AK14" t="str">
        <f ca="1">IF(AND(ISNUMBER($AK$439),$B$427=1),$AK$439,HLOOKUP(INDIRECT(ADDRESS(2,COLUMN())),OFFSET($AM$2,0,0,ROW()-1,33),ROW()-1,FALSE))</f>
        <v/>
      </c>
      <c r="AL14" t="str">
        <f ca="1">IF(AND(ISNUMBER($AL$439),$B$427=1),$AL$439,HLOOKUP(INDIRECT(ADDRESS(2,COLUMN())),OFFSET($AM$2,0,0,ROW()-1,33),ROW()-1,FALSE))</f>
        <v/>
      </c>
      <c r="AM14">
        <f>1399917</f>
        <v>1399917</v>
      </c>
      <c r="AN14">
        <f>1371587</f>
        <v>1371587</v>
      </c>
      <c r="AO14">
        <f>1184928</f>
        <v>1184928</v>
      </c>
      <c r="AP14">
        <f>1137371</f>
        <v>1137371</v>
      </c>
      <c r="AQ14">
        <f>1060578</f>
        <v>1060578</v>
      </c>
      <c r="AR14">
        <f>993488</f>
        <v>993488</v>
      </c>
      <c r="AS14">
        <f>1014765</f>
        <v>1014765</v>
      </c>
      <c r="AT14">
        <f>956829</f>
        <v>956829</v>
      </c>
      <c r="AU14">
        <f>912208</f>
        <v>912208</v>
      </c>
      <c r="AV14">
        <f>850732</f>
        <v>850732</v>
      </c>
      <c r="AW14">
        <f>786287</f>
        <v>786287</v>
      </c>
      <c r="AX14">
        <f>765104</f>
        <v>765104</v>
      </c>
      <c r="AY14">
        <f>758676</f>
        <v>758676</v>
      </c>
      <c r="AZ14">
        <f>742373</f>
        <v>742373</v>
      </c>
      <c r="BA14">
        <f>726922</f>
        <v>726922</v>
      </c>
      <c r="BB14">
        <f>650815</f>
        <v>650815</v>
      </c>
      <c r="BC14">
        <f>761186</f>
        <v>761186</v>
      </c>
      <c r="BD14">
        <f>555524</f>
        <v>555524</v>
      </c>
      <c r="BE14">
        <f>483127</f>
        <v>483127</v>
      </c>
      <c r="BF14">
        <f>448888</f>
        <v>448888</v>
      </c>
      <c r="BG14">
        <f>433836</f>
        <v>433836</v>
      </c>
      <c r="BH14">
        <f>219518</f>
        <v>219518</v>
      </c>
      <c r="BI14">
        <f>216253</f>
        <v>216253</v>
      </c>
      <c r="BJ14">
        <f>217397</f>
        <v>217397</v>
      </c>
      <c r="BK14" t="str">
        <f>""</f>
        <v/>
      </c>
      <c r="BL14" t="str">
        <f>""</f>
        <v/>
      </c>
      <c r="BM14" t="str">
        <f>""</f>
        <v/>
      </c>
      <c r="BN14" t="str">
        <f>""</f>
        <v/>
      </c>
      <c r="BO14" t="str">
        <f>""</f>
        <v/>
      </c>
      <c r="BP14" t="str">
        <f>""</f>
        <v/>
      </c>
      <c r="BQ14" t="str">
        <f>""</f>
        <v/>
      </c>
      <c r="BR14" t="str">
        <f>""</f>
        <v/>
      </c>
      <c r="BS14" t="str">
        <f>""</f>
        <v/>
      </c>
    </row>
    <row r="15" spans="1:71" x14ac:dyDescent="0.25">
      <c r="A15" t="str">
        <f>"        KeyCorp"</f>
        <v xml:space="preserve">        KeyCorp</v>
      </c>
      <c r="B15" t="str">
        <f>"KEY US Equity"</f>
        <v>KEY US Equity</v>
      </c>
      <c r="C15" t="str">
        <f t="shared" si="0"/>
        <v>FY421</v>
      </c>
      <c r="D15" t="str">
        <f t="shared" si="1"/>
        <v>FED_TOTAL_CONSOLIDATED_LOANS</v>
      </c>
      <c r="E15" t="str">
        <f t="shared" si="2"/>
        <v>Dynamic</v>
      </c>
      <c r="F15">
        <f ca="1">IF(AND(ISNUMBER($F$440),$B$427=1),$F$440,HLOOKUP(INDIRECT(ADDRESS(2,COLUMN())),OFFSET($AM$2,0,0,ROW()-1,33),ROW()-1,FALSE))</f>
        <v>105314.223</v>
      </c>
      <c r="G15">
        <f ca="1">IF(AND(ISNUMBER($G$440),$B$427=1),$G$440,HLOOKUP(INDIRECT(ADDRESS(2,COLUMN())),OFFSET($AM$2,0,0,ROW()-1,33),ROW()-1,FALSE))</f>
        <v>113427.44899999999</v>
      </c>
      <c r="H15">
        <f ca="1">IF(AND(ISNUMBER($H$440),$B$427=1),$H$440,HLOOKUP(INDIRECT(ADDRESS(2,COLUMN())),OFFSET($AM$2,0,0,ROW()-1,33),ROW()-1,FALSE))</f>
        <v>120791.406</v>
      </c>
      <c r="I15">
        <f ca="1">IF(AND(ISNUMBER($I$440),$B$427=1),$I$440,HLOOKUP(INDIRECT(ADDRESS(2,COLUMN())),OFFSET($AM$2,0,0,ROW()-1,33),ROW()-1,FALSE))</f>
        <v>105151.035</v>
      </c>
      <c r="J15">
        <f ca="1">IF(AND(ISNUMBER($J$440),$B$427=1),$J$440,HLOOKUP(INDIRECT(ADDRESS(2,COLUMN())),OFFSET($AM$2,0,0,ROW()-1,33),ROW()-1,FALSE))</f>
        <v>103478.476</v>
      </c>
      <c r="K15">
        <f ca="1">IF(AND(ISNUMBER($K$440),$B$427=1),$K$440,HLOOKUP(INDIRECT(ADDRESS(2,COLUMN())),OFFSET($AM$2,0,0,ROW()-1,33),ROW()-1,FALSE))</f>
        <v>96845.281000000003</v>
      </c>
      <c r="L15">
        <f ca="1">IF(AND(ISNUMBER($L$440),$B$427=1),$L$440,HLOOKUP(INDIRECT(ADDRESS(2,COLUMN())),OFFSET($AM$2,0,0,ROW()-1,33),ROW()-1,FALSE))</f>
        <v>91852.993000000002</v>
      </c>
      <c r="M15">
        <f ca="1">IF(AND(ISNUMBER($M$440),$B$427=1),$M$440,HLOOKUP(INDIRECT(ADDRESS(2,COLUMN())),OFFSET($AM$2,0,0,ROW()-1,33),ROW()-1,FALSE))</f>
        <v>88909.918000000005</v>
      </c>
      <c r="N15">
        <f ca="1">IF(AND(ISNUMBER($N$440),$B$427=1),$N$440,HLOOKUP(INDIRECT(ADDRESS(2,COLUMN())),OFFSET($AM$2,0,0,ROW()-1,33),ROW()-1,FALSE))</f>
        <v>88762.259000000005</v>
      </c>
      <c r="O15">
        <f ca="1">IF(AND(ISNUMBER($O$440),$B$427=1),$O$440,HLOOKUP(INDIRECT(ADDRESS(2,COLUMN())),OFFSET($AM$2,0,0,ROW()-1,33),ROW()-1,FALSE))</f>
        <v>62367.034</v>
      </c>
      <c r="P15">
        <f ca="1">IF(AND(ISNUMBER($P$440),$B$427=1),$P$440,HLOOKUP(INDIRECT(ADDRESS(2,COLUMN())),OFFSET($AM$2,0,0,ROW()-1,33),ROW()-1,FALSE))</f>
        <v>60410.483</v>
      </c>
      <c r="Q15">
        <f ca="1">IF(AND(ISNUMBER($Q$440),$B$427=1),$Q$440,HLOOKUP(INDIRECT(ADDRESS(2,COLUMN())),OFFSET($AM$2,0,0,ROW()-1,33),ROW()-1,FALSE))</f>
        <v>59565.082000000002</v>
      </c>
      <c r="R15">
        <f ca="1">IF(AND(ISNUMBER($R$440),$B$427=1),$R$440,HLOOKUP(INDIRECT(ADDRESS(2,COLUMN())),OFFSET($AM$2,0,0,ROW()-1,33),ROW()-1,FALSE))</f>
        <v>58622.578999999998</v>
      </c>
      <c r="S15">
        <f ca="1">IF(AND(ISNUMBER($S$440),$B$427=1),$S$440,HLOOKUP(INDIRECT(ADDRESS(2,COLUMN())),OFFSET($AM$2,0,0,ROW()-1,33),ROW()-1,FALSE))</f>
        <v>56115.175999999999</v>
      </c>
      <c r="T15">
        <f ca="1">IF(AND(ISNUMBER($T$440),$B$427=1),$T$440,HLOOKUP(INDIRECT(ADDRESS(2,COLUMN())),OFFSET($AM$2,0,0,ROW()-1,33),ROW()-1,FALSE))</f>
        <v>57039.33</v>
      </c>
      <c r="U15">
        <f ca="1">IF(AND(ISNUMBER($U$440),$B$427=1),$U$440,HLOOKUP(INDIRECT(ADDRESS(2,COLUMN())),OFFSET($AM$2,0,0,ROW()-1,33),ROW()-1,FALSE))</f>
        <v>63170.298999999999</v>
      </c>
      <c r="V15">
        <f ca="1">IF(AND(ISNUMBER($V$440),$B$427=1),$V$440,HLOOKUP(INDIRECT(ADDRESS(2,COLUMN())),OFFSET($AM$2,0,0,ROW()-1,33),ROW()-1,FALSE))</f>
        <v>77531.497000000003</v>
      </c>
      <c r="W15">
        <f ca="1">IF(AND(ISNUMBER($W$440),$B$427=1),$W$440,HLOOKUP(INDIRECT(ADDRESS(2,COLUMN())),OFFSET($AM$2,0,0,ROW()-1,33),ROW()-1,FALSE))</f>
        <v>75559.216</v>
      </c>
      <c r="X15">
        <f ca="1">IF(AND(ISNUMBER($X$440),$B$427=1),$X$440,HLOOKUP(INDIRECT(ADDRESS(2,COLUMN())),OFFSET($AM$2,0,0,ROW()-1,33),ROW()-1,FALSE))</f>
        <v>69463.396999999997</v>
      </c>
      <c r="Y15">
        <f ca="1">IF(AND(ISNUMBER($Y$440),$B$427=1),$Y$440,HLOOKUP(INDIRECT(ADDRESS(2,COLUMN())),OFFSET($AM$2,0,0,ROW()-1,33),ROW()-1,FALSE))</f>
        <v>69858.258000000002</v>
      </c>
      <c r="Z15">
        <f ca="1">IF(AND(ISNUMBER($Z$440),$B$427=1),$Z$440,HLOOKUP(INDIRECT(ADDRESS(2,COLUMN())),OFFSET($AM$2,0,0,ROW()-1,33),ROW()-1,FALSE))</f>
        <v>68464.218999999997</v>
      </c>
      <c r="AA15">
        <f ca="1">IF(AND(ISNUMBER($AA$440),$B$427=1),$AA$440,HLOOKUP(INDIRECT(ADDRESS(2,COLUMN())),OFFSET($AM$2,0,0,ROW()-1,33),ROW()-1,FALSE))</f>
        <v>62700.355000000003</v>
      </c>
      <c r="AB15">
        <f ca="1">IF(AND(ISNUMBER($AB$440),$B$427=1),$AB$440,HLOOKUP(INDIRECT(ADDRESS(2,COLUMN())),OFFSET($AM$2,0,0,ROW()-1,33),ROW()-1,FALSE))</f>
        <v>62457.423999999999</v>
      </c>
      <c r="AC15">
        <f ca="1">IF(AND(ISNUMBER($AC$440),$B$427=1),$AC$440,HLOOKUP(INDIRECT(ADDRESS(2,COLUMN())),OFFSET($AM$2,0,0,ROW()-1,33),ROW()-1,FALSE))</f>
        <v>63308.542999999998</v>
      </c>
      <c r="AD15" t="str">
        <f ca="1">IF(AND(ISNUMBER($AD$440),$B$427=1),$AD$440,HLOOKUP(INDIRECT(ADDRESS(2,COLUMN())),OFFSET($AM$2,0,0,ROW()-1,33),ROW()-1,FALSE))</f>
        <v/>
      </c>
      <c r="AE15" t="str">
        <f ca="1">IF(AND(ISNUMBER($AE$440),$B$427=1),$AE$440,HLOOKUP(INDIRECT(ADDRESS(2,COLUMN())),OFFSET($AM$2,0,0,ROW()-1,33),ROW()-1,FALSE))</f>
        <v/>
      </c>
      <c r="AF15" t="str">
        <f ca="1">IF(AND(ISNUMBER($AF$440),$B$427=1),$AF$440,HLOOKUP(INDIRECT(ADDRESS(2,COLUMN())),OFFSET($AM$2,0,0,ROW()-1,33),ROW()-1,FALSE))</f>
        <v/>
      </c>
      <c r="AG15" t="str">
        <f ca="1">IF(AND(ISNUMBER($AG$440),$B$427=1),$AG$440,HLOOKUP(INDIRECT(ADDRESS(2,COLUMN())),OFFSET($AM$2,0,0,ROW()-1,33),ROW()-1,FALSE))</f>
        <v/>
      </c>
      <c r="AH15" t="str">
        <f ca="1">IF(AND(ISNUMBER($AH$440),$B$427=1),$AH$440,HLOOKUP(INDIRECT(ADDRESS(2,COLUMN())),OFFSET($AM$2,0,0,ROW()-1,33),ROW()-1,FALSE))</f>
        <v/>
      </c>
      <c r="AI15" t="str">
        <f ca="1">IF(AND(ISNUMBER($AI$440),$B$427=1),$AI$440,HLOOKUP(INDIRECT(ADDRESS(2,COLUMN())),OFFSET($AM$2,0,0,ROW()-1,33),ROW()-1,FALSE))</f>
        <v/>
      </c>
      <c r="AJ15" t="str">
        <f ca="1">IF(AND(ISNUMBER($AJ$440),$B$427=1),$AJ$440,HLOOKUP(INDIRECT(ADDRESS(2,COLUMN())),OFFSET($AM$2,0,0,ROW()-1,33),ROW()-1,FALSE))</f>
        <v/>
      </c>
      <c r="AK15" t="str">
        <f ca="1">IF(AND(ISNUMBER($AK$440),$B$427=1),$AK$440,HLOOKUP(INDIRECT(ADDRESS(2,COLUMN())),OFFSET($AM$2,0,0,ROW()-1,33),ROW()-1,FALSE))</f>
        <v/>
      </c>
      <c r="AL15" t="str">
        <f ca="1">IF(AND(ISNUMBER($AL$440),$B$427=1),$AL$440,HLOOKUP(INDIRECT(ADDRESS(2,COLUMN())),OFFSET($AM$2,0,0,ROW()-1,33),ROW()-1,FALSE))</f>
        <v/>
      </c>
      <c r="AM15">
        <f>105314.223</f>
        <v>105314.223</v>
      </c>
      <c r="AN15">
        <f>113427.449</f>
        <v>113427.44899999999</v>
      </c>
      <c r="AO15">
        <f>120791.406</f>
        <v>120791.406</v>
      </c>
      <c r="AP15">
        <f>105151.035</f>
        <v>105151.035</v>
      </c>
      <c r="AQ15">
        <f>103478.476</f>
        <v>103478.476</v>
      </c>
      <c r="AR15">
        <f>96845.281</f>
        <v>96845.281000000003</v>
      </c>
      <c r="AS15">
        <f>91852.993</f>
        <v>91852.993000000002</v>
      </c>
      <c r="AT15">
        <f>88909.918</f>
        <v>88909.918000000005</v>
      </c>
      <c r="AU15">
        <f>88762.259</f>
        <v>88762.259000000005</v>
      </c>
      <c r="AV15">
        <f>62367.034</f>
        <v>62367.034</v>
      </c>
      <c r="AW15">
        <f>60410.483</f>
        <v>60410.483</v>
      </c>
      <c r="AX15">
        <f>59565.082</f>
        <v>59565.082000000002</v>
      </c>
      <c r="AY15">
        <f>58622.579</f>
        <v>58622.578999999998</v>
      </c>
      <c r="AZ15">
        <f>56115.176</f>
        <v>56115.175999999999</v>
      </c>
      <c r="BA15">
        <f>57039.33</f>
        <v>57039.33</v>
      </c>
      <c r="BB15">
        <f>63170.299</f>
        <v>63170.298999999999</v>
      </c>
      <c r="BC15">
        <f>77531.497</f>
        <v>77531.497000000003</v>
      </c>
      <c r="BD15">
        <f>75559.216</f>
        <v>75559.216</v>
      </c>
      <c r="BE15">
        <f>69463.397</f>
        <v>69463.396999999997</v>
      </c>
      <c r="BF15">
        <f>69858.258</f>
        <v>69858.258000000002</v>
      </c>
      <c r="BG15">
        <f>68464.219</f>
        <v>68464.218999999997</v>
      </c>
      <c r="BH15">
        <f>62700.355</f>
        <v>62700.355000000003</v>
      </c>
      <c r="BI15">
        <f>62457.424</f>
        <v>62457.423999999999</v>
      </c>
      <c r="BJ15">
        <f>63308.543</f>
        <v>63308.542999999998</v>
      </c>
      <c r="BK15" t="str">
        <f>""</f>
        <v/>
      </c>
      <c r="BL15" t="str">
        <f>""</f>
        <v/>
      </c>
      <c r="BM15" t="str">
        <f>""</f>
        <v/>
      </c>
      <c r="BN15" t="str">
        <f>""</f>
        <v/>
      </c>
      <c r="BO15" t="str">
        <f>""</f>
        <v/>
      </c>
      <c r="BP15" t="str">
        <f>""</f>
        <v/>
      </c>
      <c r="BQ15" t="str">
        <f>""</f>
        <v/>
      </c>
      <c r="BR15" t="str">
        <f>""</f>
        <v/>
      </c>
      <c r="BS15" t="str">
        <f>""</f>
        <v/>
      </c>
    </row>
    <row r="16" spans="1:71" x14ac:dyDescent="0.25">
      <c r="A16" t="str">
        <f>"        M&amp;T Bank Corp"</f>
        <v xml:space="preserve">        M&amp;T Bank Corp</v>
      </c>
      <c r="B16" t="str">
        <f>"MTB US Equity"</f>
        <v>MTB US Equity</v>
      </c>
      <c r="C16" t="str">
        <f t="shared" si="0"/>
        <v>FY421</v>
      </c>
      <c r="D16" t="str">
        <f t="shared" si="1"/>
        <v>FED_TOTAL_CONSOLIDATED_LOANS</v>
      </c>
      <c r="E16" t="str">
        <f t="shared" si="2"/>
        <v>Dynamic</v>
      </c>
      <c r="F16">
        <f ca="1">IF(AND(ISNUMBER($F$441),$B$427=1),$F$441,HLOOKUP(INDIRECT(ADDRESS(2,COLUMN())),OFFSET($AM$2,0,0,ROW()-1,33),ROW()-1,FALSE))</f>
        <v>135670.929</v>
      </c>
      <c r="G16">
        <f ca="1">IF(AND(ISNUMBER($G$441),$B$427=1),$G$441,HLOOKUP(INDIRECT(ADDRESS(2,COLUMN())),OFFSET($AM$2,0,0,ROW()-1,33),ROW()-1,FALSE))</f>
        <v>134180.28599999999</v>
      </c>
      <c r="H16">
        <f ca="1">IF(AND(ISNUMBER($H$441),$B$427=1),$H$441,HLOOKUP(INDIRECT(ADDRESS(2,COLUMN())),OFFSET($AM$2,0,0,ROW()-1,33),ROW()-1,FALSE))</f>
        <v>131641.014</v>
      </c>
      <c r="I16">
        <f ca="1">IF(AND(ISNUMBER($I$441),$B$427=1),$I$441,HLOOKUP(INDIRECT(ADDRESS(2,COLUMN())),OFFSET($AM$2,0,0,ROW()-1,33),ROW()-1,FALSE))</f>
        <v>92912.452000000005</v>
      </c>
      <c r="J16">
        <f ca="1">IF(AND(ISNUMBER($J$441),$B$427=1),$J$441,HLOOKUP(INDIRECT(ADDRESS(2,COLUMN())),OFFSET($AM$2,0,0,ROW()-1,33),ROW()-1,FALSE))</f>
        <v>98535.866999999998</v>
      </c>
      <c r="K16">
        <f ca="1">IF(AND(ISNUMBER($K$441),$B$427=1),$K$441,HLOOKUP(INDIRECT(ADDRESS(2,COLUMN())),OFFSET($AM$2,0,0,ROW()-1,33),ROW()-1,FALSE))</f>
        <v>90922.869000000006</v>
      </c>
      <c r="L16">
        <f ca="1">IF(AND(ISNUMBER($L$441),$B$427=1),$L$441,HLOOKUP(INDIRECT(ADDRESS(2,COLUMN())),OFFSET($AM$2,0,0,ROW()-1,33),ROW()-1,FALSE))</f>
        <v>88466.476999999999</v>
      </c>
      <c r="M16">
        <f ca="1">IF(AND(ISNUMBER($M$441),$B$427=1),$M$441,HLOOKUP(INDIRECT(ADDRESS(2,COLUMN())),OFFSET($AM$2,0,0,ROW()-1,33),ROW()-1,FALSE))</f>
        <v>87988.982999999993</v>
      </c>
      <c r="N16">
        <f ca="1">IF(AND(ISNUMBER($N$441),$B$427=1),$N$441,HLOOKUP(INDIRECT(ADDRESS(2,COLUMN())),OFFSET($AM$2,0,0,ROW()-1,33),ROW()-1,FALSE))</f>
        <v>90853.415999999997</v>
      </c>
      <c r="O16">
        <f ca="1">IF(AND(ISNUMBER($O$441),$B$427=1),$O$441,HLOOKUP(INDIRECT(ADDRESS(2,COLUMN())),OFFSET($AM$2,0,0,ROW()-1,33),ROW()-1,FALSE))</f>
        <v>87489.498999999996</v>
      </c>
      <c r="P16">
        <f ca="1">IF(AND(ISNUMBER($P$441),$B$427=1),$P$441,HLOOKUP(INDIRECT(ADDRESS(2,COLUMN())),OFFSET($AM$2,0,0,ROW()-1,33),ROW()-1,FALSE))</f>
        <v>66670.645000000004</v>
      </c>
      <c r="Q16">
        <f ca="1">IF(AND(ISNUMBER($Q$441),$B$427=1),$Q$441,HLOOKUP(INDIRECT(ADDRESS(2,COLUMN())),OFFSET($AM$2,0,0,ROW()-1,33),ROW()-1,FALSE))</f>
        <v>64073.159</v>
      </c>
      <c r="R16">
        <f ca="1">IF(AND(ISNUMBER($R$441),$B$427=1),$R$441,HLOOKUP(INDIRECT(ADDRESS(2,COLUMN())),OFFSET($AM$2,0,0,ROW()-1,33),ROW()-1,FALSE))</f>
        <v>66570.956999999995</v>
      </c>
      <c r="S16">
        <f ca="1">IF(AND(ISNUMBER($S$441),$B$427=1),$S$441,HLOOKUP(INDIRECT(ADDRESS(2,COLUMN())),OFFSET($AM$2,0,0,ROW()-1,33),ROW()-1,FALSE))</f>
        <v>60096.004999999997</v>
      </c>
      <c r="T16">
        <f ca="1">IF(AND(ISNUMBER($T$441),$B$427=1),$T$441,HLOOKUP(INDIRECT(ADDRESS(2,COLUMN())),OFFSET($AM$2,0,0,ROW()-1,33),ROW()-1,FALSE))</f>
        <v>51990.381999999998</v>
      </c>
      <c r="U16">
        <f ca="1">IF(AND(ISNUMBER($U$441),$B$427=1),$U$441,HLOOKUP(INDIRECT(ADDRESS(2,COLUMN())),OFFSET($AM$2,0,0,ROW()-1,33),ROW()-1,FALSE))</f>
        <v>51936.686000000002</v>
      </c>
      <c r="V16">
        <f ca="1">IF(AND(ISNUMBER($V$441),$B$427=1),$V$441,HLOOKUP(INDIRECT(ADDRESS(2,COLUMN())),OFFSET($AM$2,0,0,ROW()-1,33),ROW()-1,FALSE))</f>
        <v>49000.463000000003</v>
      </c>
      <c r="W16">
        <f ca="1">IF(AND(ISNUMBER($W$441),$B$427=1),$W$441,HLOOKUP(INDIRECT(ADDRESS(2,COLUMN())),OFFSET($AM$2,0,0,ROW()-1,33),ROW()-1,FALSE))</f>
        <v>48021.561999999998</v>
      </c>
      <c r="X16">
        <f ca="1">IF(AND(ISNUMBER($X$441),$B$427=1),$X$441,HLOOKUP(INDIRECT(ADDRESS(2,COLUMN())),OFFSET($AM$2,0,0,ROW()-1,33),ROW()-1,FALSE))</f>
        <v>42947.296999999999</v>
      </c>
      <c r="Y16">
        <f ca="1">IF(AND(ISNUMBER($Y$441),$B$427=1),$Y$441,HLOOKUP(INDIRECT(ADDRESS(2,COLUMN())),OFFSET($AM$2,0,0,ROW()-1,33),ROW()-1,FALSE))</f>
        <v>40330.644999999997</v>
      </c>
      <c r="Z16">
        <f ca="1">IF(AND(ISNUMBER($Z$441),$B$427=1),$Z$441,HLOOKUP(INDIRECT(ADDRESS(2,COLUMN())),OFFSET($AM$2,0,0,ROW()-1,33),ROW()-1,FALSE))</f>
        <v>38398.476999999999</v>
      </c>
      <c r="AA16">
        <f ca="1">IF(AND(ISNUMBER($AA$441),$B$427=1),$AA$441,HLOOKUP(INDIRECT(ADDRESS(2,COLUMN())),OFFSET($AM$2,0,0,ROW()-1,33),ROW()-1,FALSE))</f>
        <v>35769.99</v>
      </c>
      <c r="AB16">
        <f ca="1">IF(AND(ISNUMBER($AB$441),$B$427=1),$AB$441,HLOOKUP(INDIRECT(ADDRESS(2,COLUMN())),OFFSET($AM$2,0,0,ROW()-1,33),ROW()-1,FALSE))</f>
        <v>25727.784</v>
      </c>
      <c r="AC16">
        <f ca="1">IF(AND(ISNUMBER($AC$441),$B$427=1),$AC$441,HLOOKUP(INDIRECT(ADDRESS(2,COLUMN())),OFFSET($AM$2,0,0,ROW()-1,33),ROW()-1,FALSE))</f>
        <v>25187.759999999998</v>
      </c>
      <c r="AD16" t="str">
        <f ca="1">IF(AND(ISNUMBER($AD$441),$B$427=1),$AD$441,HLOOKUP(INDIRECT(ADDRESS(2,COLUMN())),OFFSET($AM$2,0,0,ROW()-1,33),ROW()-1,FALSE))</f>
        <v/>
      </c>
      <c r="AE16" t="str">
        <f ca="1">IF(AND(ISNUMBER($AE$441),$B$427=1),$AE$441,HLOOKUP(INDIRECT(ADDRESS(2,COLUMN())),OFFSET($AM$2,0,0,ROW()-1,33),ROW()-1,FALSE))</f>
        <v/>
      </c>
      <c r="AF16" t="str">
        <f ca="1">IF(AND(ISNUMBER($AF$441),$B$427=1),$AF$441,HLOOKUP(INDIRECT(ADDRESS(2,COLUMN())),OFFSET($AM$2,0,0,ROW()-1,33),ROW()-1,FALSE))</f>
        <v/>
      </c>
      <c r="AG16" t="str">
        <f ca="1">IF(AND(ISNUMBER($AG$441),$B$427=1),$AG$441,HLOOKUP(INDIRECT(ADDRESS(2,COLUMN())),OFFSET($AM$2,0,0,ROW()-1,33),ROW()-1,FALSE))</f>
        <v/>
      </c>
      <c r="AH16" t="str">
        <f ca="1">IF(AND(ISNUMBER($AH$441),$B$427=1),$AH$441,HLOOKUP(INDIRECT(ADDRESS(2,COLUMN())),OFFSET($AM$2,0,0,ROW()-1,33),ROW()-1,FALSE))</f>
        <v/>
      </c>
      <c r="AI16" t="str">
        <f ca="1">IF(AND(ISNUMBER($AI$441),$B$427=1),$AI$441,HLOOKUP(INDIRECT(ADDRESS(2,COLUMN())),OFFSET($AM$2,0,0,ROW()-1,33),ROW()-1,FALSE))</f>
        <v/>
      </c>
      <c r="AJ16" t="str">
        <f ca="1">IF(AND(ISNUMBER($AJ$441),$B$427=1),$AJ$441,HLOOKUP(INDIRECT(ADDRESS(2,COLUMN())),OFFSET($AM$2,0,0,ROW()-1,33),ROW()-1,FALSE))</f>
        <v/>
      </c>
      <c r="AK16" t="str">
        <f ca="1">IF(AND(ISNUMBER($AK$441),$B$427=1),$AK$441,HLOOKUP(INDIRECT(ADDRESS(2,COLUMN())),OFFSET($AM$2,0,0,ROW()-1,33),ROW()-1,FALSE))</f>
        <v/>
      </c>
      <c r="AL16" t="str">
        <f ca="1">IF(AND(ISNUMBER($AL$441),$B$427=1),$AL$441,HLOOKUP(INDIRECT(ADDRESS(2,COLUMN())),OFFSET($AM$2,0,0,ROW()-1,33),ROW()-1,FALSE))</f>
        <v/>
      </c>
      <c r="AM16">
        <f>135670.929</f>
        <v>135670.929</v>
      </c>
      <c r="AN16">
        <f>134180.286</f>
        <v>134180.28599999999</v>
      </c>
      <c r="AO16">
        <f>131641.014</f>
        <v>131641.014</v>
      </c>
      <c r="AP16">
        <f>92912.452</f>
        <v>92912.452000000005</v>
      </c>
      <c r="AQ16">
        <f>98535.867</f>
        <v>98535.866999999998</v>
      </c>
      <c r="AR16">
        <f>90922.869</f>
        <v>90922.869000000006</v>
      </c>
      <c r="AS16">
        <f>88466.477</f>
        <v>88466.476999999999</v>
      </c>
      <c r="AT16">
        <f>87988.983</f>
        <v>87988.982999999993</v>
      </c>
      <c r="AU16">
        <f>90853.416</f>
        <v>90853.415999999997</v>
      </c>
      <c r="AV16">
        <f>87489.499</f>
        <v>87489.498999999996</v>
      </c>
      <c r="AW16">
        <f>66670.645</f>
        <v>66670.645000000004</v>
      </c>
      <c r="AX16">
        <f>64073.159</f>
        <v>64073.159</v>
      </c>
      <c r="AY16">
        <f>66570.957</f>
        <v>66570.956999999995</v>
      </c>
      <c r="AZ16">
        <f>60096.005</f>
        <v>60096.004999999997</v>
      </c>
      <c r="BA16">
        <f>51990.382</f>
        <v>51990.381999999998</v>
      </c>
      <c r="BB16">
        <f>51936.686</f>
        <v>51936.686000000002</v>
      </c>
      <c r="BC16">
        <f>49000.463</f>
        <v>49000.463000000003</v>
      </c>
      <c r="BD16">
        <f>48021.562</f>
        <v>48021.561999999998</v>
      </c>
      <c r="BE16">
        <f>42947.297</f>
        <v>42947.296999999999</v>
      </c>
      <c r="BF16">
        <f>40330.645</f>
        <v>40330.644999999997</v>
      </c>
      <c r="BG16">
        <f>38398.477</f>
        <v>38398.476999999999</v>
      </c>
      <c r="BH16">
        <f>35769.99</f>
        <v>35769.99</v>
      </c>
      <c r="BI16">
        <f>25727.784</f>
        <v>25727.784</v>
      </c>
      <c r="BJ16">
        <f>25187.76</f>
        <v>25187.759999999998</v>
      </c>
      <c r="BK16" t="str">
        <f>""</f>
        <v/>
      </c>
      <c r="BL16" t="str">
        <f>""</f>
        <v/>
      </c>
      <c r="BM16" t="str">
        <f>""</f>
        <v/>
      </c>
      <c r="BN16" t="str">
        <f>""</f>
        <v/>
      </c>
      <c r="BO16" t="str">
        <f>""</f>
        <v/>
      </c>
      <c r="BP16" t="str">
        <f>""</f>
        <v/>
      </c>
      <c r="BQ16" t="str">
        <f>""</f>
        <v/>
      </c>
      <c r="BR16" t="str">
        <f>""</f>
        <v/>
      </c>
      <c r="BS16" t="str">
        <f>""</f>
        <v/>
      </c>
    </row>
    <row r="17" spans="1:71" x14ac:dyDescent="0.25">
      <c r="A17" t="str">
        <f>"        PNC Financial Services Group I"</f>
        <v xml:space="preserve">        PNC Financial Services Group I</v>
      </c>
      <c r="B17" t="str">
        <f>"PNC US Equity"</f>
        <v>PNC US Equity</v>
      </c>
      <c r="C17" t="str">
        <f t="shared" si="0"/>
        <v>FY421</v>
      </c>
      <c r="D17" t="str">
        <f t="shared" si="1"/>
        <v>FED_TOTAL_CONSOLIDATED_LOANS</v>
      </c>
      <c r="E17" t="str">
        <f t="shared" si="2"/>
        <v>Dynamic</v>
      </c>
      <c r="F17" t="str">
        <f ca="1">IF(AND(ISNUMBER($F$442),$B$427=1),$F$442,HLOOKUP(INDIRECT(ADDRESS(2,COLUMN())),OFFSET($AM$2,0,0,ROW()-1,33),ROW()-1,FALSE))</f>
        <v/>
      </c>
      <c r="G17">
        <f ca="1">IF(AND(ISNUMBER($G$442),$B$427=1),$G$442,HLOOKUP(INDIRECT(ADDRESS(2,COLUMN())),OFFSET($AM$2,0,0,ROW()-1,33),ROW()-1,FALSE))</f>
        <v>322261.788</v>
      </c>
      <c r="H17">
        <f ca="1">IF(AND(ISNUMBER($H$442),$B$427=1),$H$442,HLOOKUP(INDIRECT(ADDRESS(2,COLUMN())),OFFSET($AM$2,0,0,ROW()-1,33),ROW()-1,FALSE))</f>
        <v>327053.75099999999</v>
      </c>
      <c r="I17">
        <f ca="1">IF(AND(ISNUMBER($I$442),$B$427=1),$I$442,HLOOKUP(INDIRECT(ADDRESS(2,COLUMN())),OFFSET($AM$2,0,0,ROW()-1,33),ROW()-1,FALSE))</f>
        <v>290631.40999999997</v>
      </c>
      <c r="J17">
        <f ca="1">IF(AND(ISNUMBER($J$442),$B$427=1),$J$442,HLOOKUP(INDIRECT(ADDRESS(2,COLUMN())),OFFSET($AM$2,0,0,ROW()-1,33),ROW()-1,FALSE))</f>
        <v>243539.557</v>
      </c>
      <c r="K17">
        <f ca="1">IF(AND(ISNUMBER($K$442),$B$427=1),$K$442,HLOOKUP(INDIRECT(ADDRESS(2,COLUMN())),OFFSET($AM$2,0,0,ROW()-1,33),ROW()-1,FALSE))</f>
        <v>240934.98499999999</v>
      </c>
      <c r="L17">
        <f ca="1">IF(AND(ISNUMBER($L$442),$B$427=1),$L$442,HLOOKUP(INDIRECT(ADDRESS(2,COLUMN())),OFFSET($AM$2,0,0,ROW()-1,33),ROW()-1,FALSE))</f>
        <v>227171.36600000001</v>
      </c>
      <c r="M17">
        <f ca="1">IF(AND(ISNUMBER($M$442),$B$427=1),$M$442,HLOOKUP(INDIRECT(ADDRESS(2,COLUMN())),OFFSET($AM$2,0,0,ROW()-1,33),ROW()-1,FALSE))</f>
        <v>223031.674</v>
      </c>
      <c r="N17">
        <f ca="1">IF(AND(ISNUMBER($N$442),$B$427=1),$N$442,HLOOKUP(INDIRECT(ADDRESS(2,COLUMN())),OFFSET($AM$2,0,0,ROW()-1,33),ROW()-1,FALSE))</f>
        <v>213283.99900000001</v>
      </c>
      <c r="O17">
        <f ca="1">IF(AND(ISNUMBER($O$442),$B$427=1),$O$442,HLOOKUP(INDIRECT(ADDRESS(2,COLUMN())),OFFSET($AM$2,0,0,ROW()-1,33),ROW()-1,FALSE))</f>
        <v>208224.43</v>
      </c>
      <c r="P17">
        <f ca="1">IF(AND(ISNUMBER($P$442),$B$427=1),$P$442,HLOOKUP(INDIRECT(ADDRESS(2,COLUMN())),OFFSET($AM$2,0,0,ROW()-1,33),ROW()-1,FALSE))</f>
        <v>207210.01699999999</v>
      </c>
      <c r="Q17">
        <f ca="1">IF(AND(ISNUMBER($Q$442),$B$427=1),$Q$442,HLOOKUP(INDIRECT(ADDRESS(2,COLUMN())),OFFSET($AM$2,0,0,ROW()-1,33),ROW()-1,FALSE))</f>
        <v>198139.875</v>
      </c>
      <c r="R17">
        <f ca="1">IF(AND(ISNUMBER($R$442),$B$427=1),$R$442,HLOOKUP(INDIRECT(ADDRESS(2,COLUMN())),OFFSET($AM$2,0,0,ROW()-1,33),ROW()-1,FALSE))</f>
        <v>189707.74799999999</v>
      </c>
      <c r="S17">
        <f ca="1">IF(AND(ISNUMBER($S$442),$B$427=1),$S$442,HLOOKUP(INDIRECT(ADDRESS(2,COLUMN())),OFFSET($AM$2,0,0,ROW()-1,33),ROW()-1,FALSE))</f>
        <v>162161.084</v>
      </c>
      <c r="T17">
        <f ca="1">IF(AND(ISNUMBER($T$442),$B$427=1),$T$442,HLOOKUP(INDIRECT(ADDRESS(2,COLUMN())),OFFSET($AM$2,0,0,ROW()-1,33),ROW()-1,FALSE))</f>
        <v>154199.71900000001</v>
      </c>
      <c r="U17">
        <f ca="1">IF(AND(ISNUMBER($U$442),$B$427=1),$U$442,HLOOKUP(INDIRECT(ADDRESS(2,COLUMN())),OFFSET($AM$2,0,0,ROW()-1,33),ROW()-1,FALSE))</f>
        <v>160139.21400000001</v>
      </c>
      <c r="V17">
        <f ca="1">IF(AND(ISNUMBER($V$442),$B$427=1),$V$442,HLOOKUP(INDIRECT(ADDRESS(2,COLUMN())),OFFSET($AM$2,0,0,ROW()-1,33),ROW()-1,FALSE))</f>
        <v>179903.595</v>
      </c>
      <c r="W17">
        <f ca="1">IF(AND(ISNUMBER($W$442),$B$427=1),$W$442,HLOOKUP(INDIRECT(ADDRESS(2,COLUMN())),OFFSET($AM$2,0,0,ROW()-1,33),ROW()-1,FALSE))</f>
        <v>72300.256999999998</v>
      </c>
      <c r="X17">
        <f ca="1">IF(AND(ISNUMBER($X$442),$B$427=1),$X$442,HLOOKUP(INDIRECT(ADDRESS(2,COLUMN())),OFFSET($AM$2,0,0,ROW()-1,33),ROW()-1,FALSE))</f>
        <v>52512.7</v>
      </c>
      <c r="Y17">
        <f ca="1">IF(AND(ISNUMBER($Y$442),$B$427=1),$Y$442,HLOOKUP(INDIRECT(ADDRESS(2,COLUMN())),OFFSET($AM$2,0,0,ROW()-1,33),ROW()-1,FALSE))</f>
        <v>51566.093000000001</v>
      </c>
      <c r="Z17">
        <f ca="1">IF(AND(ISNUMBER($Z$442),$B$427=1),$Z$442,HLOOKUP(INDIRECT(ADDRESS(2,COLUMN())),OFFSET($AM$2,0,0,ROW()-1,33),ROW()-1,FALSE))</f>
        <v>45185.71</v>
      </c>
      <c r="AA17">
        <f ca="1">IF(AND(ISNUMBER($AA$442),$B$427=1),$AA$442,HLOOKUP(INDIRECT(ADDRESS(2,COLUMN())),OFFSET($AM$2,0,0,ROW()-1,33),ROW()-1,FALSE))</f>
        <v>35507.603999999999</v>
      </c>
      <c r="AB17">
        <f ca="1">IF(AND(ISNUMBER($AB$442),$B$427=1),$AB$442,HLOOKUP(INDIRECT(ADDRESS(2,COLUMN())),OFFSET($AM$2,0,0,ROW()-1,33),ROW()-1,FALSE))</f>
        <v>37089.307999999997</v>
      </c>
      <c r="AC17">
        <f ca="1">IF(AND(ISNUMBER($AC$442),$B$427=1),$AC$442,HLOOKUP(INDIRECT(ADDRESS(2,COLUMN())),OFFSET($AM$2,0,0,ROW()-1,33),ROW()-1,FALSE))</f>
        <v>42152.595000000001</v>
      </c>
      <c r="AD17" t="str">
        <f ca="1">IF(AND(ISNUMBER($AD$442),$B$427=1),$AD$442,HLOOKUP(INDIRECT(ADDRESS(2,COLUMN())),OFFSET($AM$2,0,0,ROW()-1,33),ROW()-1,FALSE))</f>
        <v/>
      </c>
      <c r="AE17" t="str">
        <f ca="1">IF(AND(ISNUMBER($AE$442),$B$427=1),$AE$442,HLOOKUP(INDIRECT(ADDRESS(2,COLUMN())),OFFSET($AM$2,0,0,ROW()-1,33),ROW()-1,FALSE))</f>
        <v/>
      </c>
      <c r="AF17" t="str">
        <f ca="1">IF(AND(ISNUMBER($AF$442),$B$427=1),$AF$442,HLOOKUP(INDIRECT(ADDRESS(2,COLUMN())),OFFSET($AM$2,0,0,ROW()-1,33),ROW()-1,FALSE))</f>
        <v/>
      </c>
      <c r="AG17" t="str">
        <f ca="1">IF(AND(ISNUMBER($AG$442),$B$427=1),$AG$442,HLOOKUP(INDIRECT(ADDRESS(2,COLUMN())),OFFSET($AM$2,0,0,ROW()-1,33),ROW()-1,FALSE))</f>
        <v/>
      </c>
      <c r="AH17" t="str">
        <f ca="1">IF(AND(ISNUMBER($AH$442),$B$427=1),$AH$442,HLOOKUP(INDIRECT(ADDRESS(2,COLUMN())),OFFSET($AM$2,0,0,ROW()-1,33),ROW()-1,FALSE))</f>
        <v/>
      </c>
      <c r="AI17" t="str">
        <f ca="1">IF(AND(ISNUMBER($AI$442),$B$427=1),$AI$442,HLOOKUP(INDIRECT(ADDRESS(2,COLUMN())),OFFSET($AM$2,0,0,ROW()-1,33),ROW()-1,FALSE))</f>
        <v/>
      </c>
      <c r="AJ17" t="str">
        <f ca="1">IF(AND(ISNUMBER($AJ$442),$B$427=1),$AJ$442,HLOOKUP(INDIRECT(ADDRESS(2,COLUMN())),OFFSET($AM$2,0,0,ROW()-1,33),ROW()-1,FALSE))</f>
        <v/>
      </c>
      <c r="AK17" t="str">
        <f ca="1">IF(AND(ISNUMBER($AK$442),$B$427=1),$AK$442,HLOOKUP(INDIRECT(ADDRESS(2,COLUMN())),OFFSET($AM$2,0,0,ROW()-1,33),ROW()-1,FALSE))</f>
        <v/>
      </c>
      <c r="AL17" t="str">
        <f ca="1">IF(AND(ISNUMBER($AL$442),$B$427=1),$AL$442,HLOOKUP(INDIRECT(ADDRESS(2,COLUMN())),OFFSET($AM$2,0,0,ROW()-1,33),ROW()-1,FALSE))</f>
        <v/>
      </c>
      <c r="AM17" t="str">
        <f>""</f>
        <v/>
      </c>
      <c r="AN17">
        <f>322261.788</f>
        <v>322261.788</v>
      </c>
      <c r="AO17">
        <f>327053.751</f>
        <v>327053.75099999999</v>
      </c>
      <c r="AP17">
        <f>290631.41</f>
        <v>290631.40999999997</v>
      </c>
      <c r="AQ17">
        <f>243539.557</f>
        <v>243539.557</v>
      </c>
      <c r="AR17">
        <f>240934.985</f>
        <v>240934.98499999999</v>
      </c>
      <c r="AS17">
        <f>227171.366</f>
        <v>227171.36600000001</v>
      </c>
      <c r="AT17">
        <f>223031.674</f>
        <v>223031.674</v>
      </c>
      <c r="AU17">
        <f>213283.999</f>
        <v>213283.99900000001</v>
      </c>
      <c r="AV17">
        <f>208224.43</f>
        <v>208224.43</v>
      </c>
      <c r="AW17">
        <f>207210.017</f>
        <v>207210.01699999999</v>
      </c>
      <c r="AX17">
        <f>198139.875</f>
        <v>198139.875</v>
      </c>
      <c r="AY17">
        <f>189707.748</f>
        <v>189707.74799999999</v>
      </c>
      <c r="AZ17">
        <f>162161.084</f>
        <v>162161.084</v>
      </c>
      <c r="BA17">
        <f>154199.719</f>
        <v>154199.71900000001</v>
      </c>
      <c r="BB17">
        <f>160139.214</f>
        <v>160139.21400000001</v>
      </c>
      <c r="BC17">
        <f>179903.595</f>
        <v>179903.595</v>
      </c>
      <c r="BD17">
        <f>72300.257</f>
        <v>72300.256999999998</v>
      </c>
      <c r="BE17">
        <f>52512.7</f>
        <v>52512.7</v>
      </c>
      <c r="BF17">
        <f>51566.093</f>
        <v>51566.093000000001</v>
      </c>
      <c r="BG17">
        <f>45185.71</f>
        <v>45185.71</v>
      </c>
      <c r="BH17">
        <f>35507.604</f>
        <v>35507.603999999999</v>
      </c>
      <c r="BI17">
        <f>37089.308</f>
        <v>37089.307999999997</v>
      </c>
      <c r="BJ17">
        <f>42152.595</f>
        <v>42152.595000000001</v>
      </c>
      <c r="BK17" t="str">
        <f>""</f>
        <v/>
      </c>
      <c r="BL17" t="str">
        <f>""</f>
        <v/>
      </c>
      <c r="BM17" t="str">
        <f>""</f>
        <v/>
      </c>
      <c r="BN17" t="str">
        <f>""</f>
        <v/>
      </c>
      <c r="BO17" t="str">
        <f>""</f>
        <v/>
      </c>
      <c r="BP17" t="str">
        <f>""</f>
        <v/>
      </c>
      <c r="BQ17" t="str">
        <f>""</f>
        <v/>
      </c>
      <c r="BR17" t="str">
        <f>""</f>
        <v/>
      </c>
      <c r="BS17" t="str">
        <f>""</f>
        <v/>
      </c>
    </row>
    <row r="18" spans="1:71" x14ac:dyDescent="0.25">
      <c r="A18" t="str">
        <f>"        Regions Financial Corp"</f>
        <v xml:space="preserve">        Regions Financial Corp</v>
      </c>
      <c r="B18" t="str">
        <f>"RF US Equity"</f>
        <v>RF US Equity</v>
      </c>
      <c r="C18" t="str">
        <f t="shared" si="0"/>
        <v>FY421</v>
      </c>
      <c r="D18" t="str">
        <f t="shared" si="1"/>
        <v>FED_TOTAL_CONSOLIDATED_LOANS</v>
      </c>
      <c r="E18" t="str">
        <f t="shared" si="2"/>
        <v>Dynamic</v>
      </c>
      <c r="F18" t="str">
        <f ca="1">IF(AND(ISNUMBER($F$443),$B$427=1),$F$443,HLOOKUP(INDIRECT(ADDRESS(2,COLUMN())),OFFSET($AM$2,0,0,ROW()-1,33),ROW()-1,FALSE))</f>
        <v/>
      </c>
      <c r="G18">
        <f ca="1">IF(AND(ISNUMBER($G$443),$B$427=1),$G$443,HLOOKUP(INDIRECT(ADDRESS(2,COLUMN())),OFFSET($AM$2,0,0,ROW()-1,33),ROW()-1,FALSE))</f>
        <v>98762</v>
      </c>
      <c r="H18">
        <f ca="1">IF(AND(ISNUMBER($H$443),$B$427=1),$H$443,HLOOKUP(INDIRECT(ADDRESS(2,COLUMN())),OFFSET($AM$2,0,0,ROW()-1,33),ROW()-1,FALSE))</f>
        <v>97347</v>
      </c>
      <c r="I18">
        <f ca="1">IF(AND(ISNUMBER($I$443),$B$427=1),$I$443,HLOOKUP(INDIRECT(ADDRESS(2,COLUMN())),OFFSET($AM$2,0,0,ROW()-1,33),ROW()-1,FALSE))</f>
        <v>88774</v>
      </c>
      <c r="J18">
        <f ca="1">IF(AND(ISNUMBER($J$443),$B$427=1),$J$443,HLOOKUP(INDIRECT(ADDRESS(2,COLUMN())),OFFSET($AM$2,0,0,ROW()-1,33),ROW()-1,FALSE))</f>
        <v>87164</v>
      </c>
      <c r="K18">
        <f ca="1">IF(AND(ISNUMBER($K$443),$B$427=1),$K$443,HLOOKUP(INDIRECT(ADDRESS(2,COLUMN())),OFFSET($AM$2,0,0,ROW()-1,33),ROW()-1,FALSE))</f>
        <v>83600</v>
      </c>
      <c r="L18">
        <f ca="1">IF(AND(ISNUMBER($L$443),$B$427=1),$L$443,HLOOKUP(INDIRECT(ADDRESS(2,COLUMN())),OFFSET($AM$2,0,0,ROW()-1,33),ROW()-1,FALSE))</f>
        <v>83456.275999999998</v>
      </c>
      <c r="M18">
        <f ca="1">IF(AND(ISNUMBER($M$443),$B$427=1),$M$443,HLOOKUP(INDIRECT(ADDRESS(2,COLUMN())),OFFSET($AM$2,0,0,ROW()-1,33),ROW()-1,FALSE))</f>
        <v>80295.770999999993</v>
      </c>
      <c r="N18">
        <f ca="1">IF(AND(ISNUMBER($N$443),$B$427=1),$N$443,HLOOKUP(INDIRECT(ADDRESS(2,COLUMN())),OFFSET($AM$2,0,0,ROW()-1,33),ROW()-1,FALSE))</f>
        <v>80812.543000000005</v>
      </c>
      <c r="O18">
        <f ca="1">IF(AND(ISNUMBER($O$443),$B$427=1),$O$443,HLOOKUP(INDIRECT(ADDRESS(2,COLUMN())),OFFSET($AM$2,0,0,ROW()-1,33),ROW()-1,FALSE))</f>
        <v>81610.187000000005</v>
      </c>
      <c r="P18">
        <f ca="1">IF(AND(ISNUMBER($P$443),$B$427=1),$P$443,HLOOKUP(INDIRECT(ADDRESS(2,COLUMN())),OFFSET($AM$2,0,0,ROW()-1,33),ROW()-1,FALSE))</f>
        <v>77848.493000000002</v>
      </c>
      <c r="Q18">
        <f ca="1">IF(AND(ISNUMBER($Q$443),$B$427=1),$Q$443,HLOOKUP(INDIRECT(ADDRESS(2,COLUMN())),OFFSET($AM$2,0,0,ROW()-1,33),ROW()-1,FALSE))</f>
        <v>75672.493000000002</v>
      </c>
      <c r="R18">
        <f ca="1">IF(AND(ISNUMBER($R$443),$B$427=1),$R$443,HLOOKUP(INDIRECT(ADDRESS(2,COLUMN())),OFFSET($AM$2,0,0,ROW()-1,33),ROW()-1,FALSE))</f>
        <v>75377.826000000001</v>
      </c>
      <c r="S18">
        <f ca="1">IF(AND(ISNUMBER($S$443),$B$427=1),$S$443,HLOOKUP(INDIRECT(ADDRESS(2,COLUMN())),OFFSET($AM$2,0,0,ROW()-1,33),ROW()-1,FALSE))</f>
        <v>78882.84</v>
      </c>
      <c r="T18">
        <f ca="1">IF(AND(ISNUMBER($T$443),$B$427=1),$T$443,HLOOKUP(INDIRECT(ADDRESS(2,COLUMN())),OFFSET($AM$2,0,0,ROW()-1,33),ROW()-1,FALSE))</f>
        <v>84415.005999999994</v>
      </c>
      <c r="U18">
        <f ca="1">IF(AND(ISNUMBER($U$443),$B$427=1),$U$443,HLOOKUP(INDIRECT(ADDRESS(2,COLUMN())),OFFSET($AM$2,0,0,ROW()-1,33),ROW()-1,FALSE))</f>
        <v>92243.486000000004</v>
      </c>
      <c r="V18">
        <f ca="1">IF(AND(ISNUMBER($V$443),$B$427=1),$V$443,HLOOKUP(INDIRECT(ADDRESS(2,COLUMN())),OFFSET($AM$2,0,0,ROW()-1,33),ROW()-1,FALSE))</f>
        <v>98859.824999999997</v>
      </c>
      <c r="W18">
        <f ca="1">IF(AND(ISNUMBER($W$443),$B$427=1),$W$443,HLOOKUP(INDIRECT(ADDRESS(2,COLUMN())),OFFSET($AM$2,0,0,ROW()-1,33),ROW()-1,FALSE))</f>
        <v>96236.679000000004</v>
      </c>
      <c r="X18">
        <f ca="1">IF(AND(ISNUMBER($X$443),$B$427=1),$X$443,HLOOKUP(INDIRECT(ADDRESS(2,COLUMN())),OFFSET($AM$2,0,0,ROW()-1,33),ROW()-1,FALSE))</f>
        <v>99784.236999999994</v>
      </c>
      <c r="Y18">
        <f ca="1">IF(AND(ISNUMBER($Y$443),$B$427=1),$Y$443,HLOOKUP(INDIRECT(ADDRESS(2,COLUMN())),OFFSET($AM$2,0,0,ROW()-1,33),ROW()-1,FALSE))</f>
        <v>60247.902999999998</v>
      </c>
      <c r="Z18">
        <f ca="1">IF(AND(ISNUMBER($Z$443),$B$427=1),$Z$443,HLOOKUP(INDIRECT(ADDRESS(2,COLUMN())),OFFSET($AM$2,0,0,ROW()-1,33),ROW()-1,FALSE))</f>
        <v>59661.050999999999</v>
      </c>
      <c r="AA18" t="str">
        <f ca="1">IF(AND(ISNUMBER($AA$443),$B$427=1),$AA$443,HLOOKUP(INDIRECT(ADDRESS(2,COLUMN())),OFFSET($AM$2,0,0,ROW()-1,33),ROW()-1,FALSE))</f>
        <v/>
      </c>
      <c r="AB18" t="str">
        <f ca="1">IF(AND(ISNUMBER($AB$443),$B$427=1),$AB$443,HLOOKUP(INDIRECT(ADDRESS(2,COLUMN())),OFFSET($AM$2,0,0,ROW()-1,33),ROW()-1,FALSE))</f>
        <v/>
      </c>
      <c r="AC18" t="str">
        <f ca="1">IF(AND(ISNUMBER($AC$443),$B$427=1),$AC$443,HLOOKUP(INDIRECT(ADDRESS(2,COLUMN())),OFFSET($AM$2,0,0,ROW()-1,33),ROW()-1,FALSE))</f>
        <v/>
      </c>
      <c r="AD18" t="str">
        <f ca="1">IF(AND(ISNUMBER($AD$443),$B$427=1),$AD$443,HLOOKUP(INDIRECT(ADDRESS(2,COLUMN())),OFFSET($AM$2,0,0,ROW()-1,33),ROW()-1,FALSE))</f>
        <v/>
      </c>
      <c r="AE18" t="str">
        <f ca="1">IF(AND(ISNUMBER($AE$443),$B$427=1),$AE$443,HLOOKUP(INDIRECT(ADDRESS(2,COLUMN())),OFFSET($AM$2,0,0,ROW()-1,33),ROW()-1,FALSE))</f>
        <v/>
      </c>
      <c r="AF18" t="str">
        <f ca="1">IF(AND(ISNUMBER($AF$443),$B$427=1),$AF$443,HLOOKUP(INDIRECT(ADDRESS(2,COLUMN())),OFFSET($AM$2,0,0,ROW()-1,33),ROW()-1,FALSE))</f>
        <v/>
      </c>
      <c r="AG18" t="str">
        <f ca="1">IF(AND(ISNUMBER($AG$443),$B$427=1),$AG$443,HLOOKUP(INDIRECT(ADDRESS(2,COLUMN())),OFFSET($AM$2,0,0,ROW()-1,33),ROW()-1,FALSE))</f>
        <v/>
      </c>
      <c r="AH18" t="str">
        <f ca="1">IF(AND(ISNUMBER($AH$443),$B$427=1),$AH$443,HLOOKUP(INDIRECT(ADDRESS(2,COLUMN())),OFFSET($AM$2,0,0,ROW()-1,33),ROW()-1,FALSE))</f>
        <v/>
      </c>
      <c r="AI18" t="str">
        <f ca="1">IF(AND(ISNUMBER($AI$443),$B$427=1),$AI$443,HLOOKUP(INDIRECT(ADDRESS(2,COLUMN())),OFFSET($AM$2,0,0,ROW()-1,33),ROW()-1,FALSE))</f>
        <v/>
      </c>
      <c r="AJ18" t="str">
        <f ca="1">IF(AND(ISNUMBER($AJ$443),$B$427=1),$AJ$443,HLOOKUP(INDIRECT(ADDRESS(2,COLUMN())),OFFSET($AM$2,0,0,ROW()-1,33),ROW()-1,FALSE))</f>
        <v/>
      </c>
      <c r="AK18" t="str">
        <f ca="1">IF(AND(ISNUMBER($AK$443),$B$427=1),$AK$443,HLOOKUP(INDIRECT(ADDRESS(2,COLUMN())),OFFSET($AM$2,0,0,ROW()-1,33),ROW()-1,FALSE))</f>
        <v/>
      </c>
      <c r="AL18" t="str">
        <f ca="1">IF(AND(ISNUMBER($AL$443),$B$427=1),$AL$443,HLOOKUP(INDIRECT(ADDRESS(2,COLUMN())),OFFSET($AM$2,0,0,ROW()-1,33),ROW()-1,FALSE))</f>
        <v/>
      </c>
      <c r="AM18" t="str">
        <f>""</f>
        <v/>
      </c>
      <c r="AN18">
        <f>98762</f>
        <v>98762</v>
      </c>
      <c r="AO18">
        <f>97347</f>
        <v>97347</v>
      </c>
      <c r="AP18">
        <f>88774</f>
        <v>88774</v>
      </c>
      <c r="AQ18">
        <f>87164</f>
        <v>87164</v>
      </c>
      <c r="AR18">
        <f>83600</f>
        <v>83600</v>
      </c>
      <c r="AS18">
        <f>83456.276</f>
        <v>83456.275999999998</v>
      </c>
      <c r="AT18">
        <f>80295.771</f>
        <v>80295.770999999993</v>
      </c>
      <c r="AU18">
        <f>80812.543</f>
        <v>80812.543000000005</v>
      </c>
      <c r="AV18">
        <f>81610.187</f>
        <v>81610.187000000005</v>
      </c>
      <c r="AW18">
        <f>77848.493</f>
        <v>77848.493000000002</v>
      </c>
      <c r="AX18">
        <f>75672.493</f>
        <v>75672.493000000002</v>
      </c>
      <c r="AY18">
        <f>75377.826</f>
        <v>75377.826000000001</v>
      </c>
      <c r="AZ18">
        <f>78882.84</f>
        <v>78882.84</v>
      </c>
      <c r="BA18">
        <f>84415.006</f>
        <v>84415.005999999994</v>
      </c>
      <c r="BB18">
        <f>92243.486</f>
        <v>92243.486000000004</v>
      </c>
      <c r="BC18">
        <f>98859.825</f>
        <v>98859.824999999997</v>
      </c>
      <c r="BD18">
        <f>96236.679</f>
        <v>96236.679000000004</v>
      </c>
      <c r="BE18">
        <f>99784.237</f>
        <v>99784.236999999994</v>
      </c>
      <c r="BF18">
        <f>60247.903</f>
        <v>60247.902999999998</v>
      </c>
      <c r="BG18">
        <f>59661.051</f>
        <v>59661.050999999999</v>
      </c>
      <c r="BH18" t="str">
        <f>""</f>
        <v/>
      </c>
      <c r="BI18" t="str">
        <f>""</f>
        <v/>
      </c>
      <c r="BJ18" t="str">
        <f>""</f>
        <v/>
      </c>
      <c r="BK18" t="str">
        <f>""</f>
        <v/>
      </c>
      <c r="BL18" t="str">
        <f>""</f>
        <v/>
      </c>
      <c r="BM18" t="str">
        <f>""</f>
        <v/>
      </c>
      <c r="BN18" t="str">
        <f>""</f>
        <v/>
      </c>
      <c r="BO18" t="str">
        <f>""</f>
        <v/>
      </c>
      <c r="BP18" t="str">
        <f>""</f>
        <v/>
      </c>
      <c r="BQ18" t="str">
        <f>""</f>
        <v/>
      </c>
      <c r="BR18" t="str">
        <f>""</f>
        <v/>
      </c>
      <c r="BS18" t="str">
        <f>""</f>
        <v/>
      </c>
    </row>
    <row r="19" spans="1:71" x14ac:dyDescent="0.25">
      <c r="A19" t="str">
        <f>"        Truist Financial Corp"</f>
        <v xml:space="preserve">        Truist Financial Corp</v>
      </c>
      <c r="B19" t="str">
        <f>"TFC US Equity"</f>
        <v>TFC US Equity</v>
      </c>
      <c r="C19" t="str">
        <f t="shared" si="0"/>
        <v>FY421</v>
      </c>
      <c r="D19" t="str">
        <f t="shared" si="1"/>
        <v>FED_TOTAL_CONSOLIDATED_LOANS</v>
      </c>
      <c r="E19" t="str">
        <f t="shared" si="2"/>
        <v>Dynamic</v>
      </c>
      <c r="F19">
        <f ca="1">IF(AND(ISNUMBER($F$444),$B$427=1),$F$444,HLOOKUP(INDIRECT(ADDRESS(2,COLUMN())),OFFSET($AM$2,0,0,ROW()-1,33),ROW()-1,FALSE))</f>
        <v>307771</v>
      </c>
      <c r="G19">
        <f ca="1">IF(AND(ISNUMBER($G$444),$B$427=1),$G$444,HLOOKUP(INDIRECT(ADDRESS(2,COLUMN())),OFFSET($AM$2,0,0,ROW()-1,33),ROW()-1,FALSE))</f>
        <v>313341</v>
      </c>
      <c r="H19">
        <f ca="1">IF(AND(ISNUMBER($H$444),$B$427=1),$H$444,HLOOKUP(INDIRECT(ADDRESS(2,COLUMN())),OFFSET($AM$2,0,0,ROW()-1,33),ROW()-1,FALSE))</f>
        <v>327435</v>
      </c>
      <c r="I19">
        <f ca="1">IF(AND(ISNUMBER($I$444),$B$427=1),$I$444,HLOOKUP(INDIRECT(ADDRESS(2,COLUMN())),OFFSET($AM$2,0,0,ROW()-1,33),ROW()-1,FALSE))</f>
        <v>294325</v>
      </c>
      <c r="J19">
        <f ca="1">IF(AND(ISNUMBER($J$444),$B$427=1),$J$444,HLOOKUP(INDIRECT(ADDRESS(2,COLUMN())),OFFSET($AM$2,0,0,ROW()-1,33),ROW()-1,FALSE))</f>
        <v>305793</v>
      </c>
      <c r="K19">
        <f ca="1">IF(AND(ISNUMBER($K$444),$B$427=1),$K$444,HLOOKUP(INDIRECT(ADDRESS(2,COLUMN())),OFFSET($AM$2,0,0,ROW()-1,33),ROW()-1,FALSE))</f>
        <v>308215</v>
      </c>
      <c r="L19">
        <f ca="1">IF(AND(ISNUMBER($L$444),$B$427=1),$L$444,HLOOKUP(INDIRECT(ADDRESS(2,COLUMN())),OFFSET($AM$2,0,0,ROW()-1,33),ROW()-1,FALSE))</f>
        <v>150001</v>
      </c>
      <c r="M19">
        <f ca="1">IF(AND(ISNUMBER($M$444),$B$427=1),$M$444,HLOOKUP(INDIRECT(ADDRESS(2,COLUMN())),OFFSET($AM$2,0,0,ROW()-1,33),ROW()-1,FALSE))</f>
        <v>144800</v>
      </c>
      <c r="N19">
        <f ca="1">IF(AND(ISNUMBER($N$444),$B$427=1),$N$444,HLOOKUP(INDIRECT(ADDRESS(2,COLUMN())),OFFSET($AM$2,0,0,ROW()-1,33),ROW()-1,FALSE))</f>
        <v>145037.682</v>
      </c>
      <c r="O19">
        <f ca="1">IF(AND(ISNUMBER($O$444),$B$427=1),$O$444,HLOOKUP(INDIRECT(ADDRESS(2,COLUMN())),OFFSET($AM$2,0,0,ROW()-1,33),ROW()-1,FALSE))</f>
        <v>136985.883</v>
      </c>
      <c r="P19">
        <f ca="1">IF(AND(ISNUMBER($P$444),$B$427=1),$P$444,HLOOKUP(INDIRECT(ADDRESS(2,COLUMN())),OFFSET($AM$2,0,0,ROW()-1,33),ROW()-1,FALSE))</f>
        <v>121307.121</v>
      </c>
      <c r="Q19">
        <f ca="1">IF(AND(ISNUMBER($Q$444),$B$427=1),$Q$444,HLOOKUP(INDIRECT(ADDRESS(2,COLUMN())),OFFSET($AM$2,0,0,ROW()-1,33),ROW()-1,FALSE))</f>
        <v>117139.558</v>
      </c>
      <c r="R19">
        <f ca="1">IF(AND(ISNUMBER($R$444),$B$427=1),$R$444,HLOOKUP(INDIRECT(ADDRESS(2,COLUMN())),OFFSET($AM$2,0,0,ROW()-1,33),ROW()-1,FALSE))</f>
        <v>118364.41499999999</v>
      </c>
      <c r="S19">
        <f ca="1">IF(AND(ISNUMBER($S$444),$B$427=1),$S$444,HLOOKUP(INDIRECT(ADDRESS(2,COLUMN())),OFFSET($AM$2,0,0,ROW()-1,33),ROW()-1,FALSE))</f>
        <v>111204.569</v>
      </c>
      <c r="T19">
        <f ca="1">IF(AND(ISNUMBER($T$444),$B$427=1),$T$444,HLOOKUP(INDIRECT(ADDRESS(2,COLUMN())),OFFSET($AM$2,0,0,ROW()-1,33),ROW()-1,FALSE))</f>
        <v>107263.60400000001</v>
      </c>
      <c r="U19">
        <f ca="1">IF(AND(ISNUMBER($U$444),$B$427=1),$U$444,HLOOKUP(INDIRECT(ADDRESS(2,COLUMN())),OFFSET($AM$2,0,0,ROW()-1,33),ROW()-1,FALSE))</f>
        <v>106207.386</v>
      </c>
      <c r="V19">
        <f ca="1">IF(AND(ISNUMBER($V$444),$B$427=1),$V$444,HLOOKUP(INDIRECT(ADDRESS(2,COLUMN())),OFFSET($AM$2,0,0,ROW()-1,33),ROW()-1,FALSE))</f>
        <v>98668.626000000004</v>
      </c>
      <c r="W19">
        <f ca="1">IF(AND(ISNUMBER($W$444),$B$427=1),$W$444,HLOOKUP(INDIRECT(ADDRESS(2,COLUMN())),OFFSET($AM$2,0,0,ROW()-1,33),ROW()-1,FALSE))</f>
        <v>91685.698999999993</v>
      </c>
      <c r="X19">
        <f ca="1">IF(AND(ISNUMBER($X$444),$B$427=1),$X$444,HLOOKUP(INDIRECT(ADDRESS(2,COLUMN())),OFFSET($AM$2,0,0,ROW()-1,33),ROW()-1,FALSE))</f>
        <v>83590.937999999995</v>
      </c>
      <c r="Y19">
        <f ca="1">IF(AND(ISNUMBER($Y$444),$B$427=1),$Y$444,HLOOKUP(INDIRECT(ADDRESS(2,COLUMN())),OFFSET($AM$2,0,0,ROW()-1,33),ROW()-1,FALSE))</f>
        <v>75023.487999999998</v>
      </c>
      <c r="Z19">
        <f ca="1">IF(AND(ISNUMBER($Z$444),$B$427=1),$Z$444,HLOOKUP(INDIRECT(ADDRESS(2,COLUMN())),OFFSET($AM$2,0,0,ROW()-1,33),ROW()-1,FALSE))</f>
        <v>68162.600999999995</v>
      </c>
      <c r="AA19">
        <f ca="1">IF(AND(ISNUMBER($AA$444),$B$427=1),$AA$444,HLOOKUP(INDIRECT(ADDRESS(2,COLUMN())),OFFSET($AM$2,0,0,ROW()-1,33),ROW()-1,FALSE))</f>
        <v>62305.385999999999</v>
      </c>
      <c r="AB19">
        <f ca="1">IF(AND(ISNUMBER($AB$444),$B$427=1),$AB$444,HLOOKUP(INDIRECT(ADDRESS(2,COLUMN())),OFFSET($AM$2,0,0,ROW()-1,33),ROW()-1,FALSE))</f>
        <v>53518.012999999999</v>
      </c>
      <c r="AC19">
        <f ca="1">IF(AND(ISNUMBER($AC$444),$B$427=1),$AC$444,HLOOKUP(INDIRECT(ADDRESS(2,COLUMN())),OFFSET($AM$2,0,0,ROW()-1,33),ROW()-1,FALSE))</f>
        <v>47443.173000000003</v>
      </c>
      <c r="AD19" t="str">
        <f ca="1">IF(AND(ISNUMBER($AD$444),$B$427=1),$AD$444,HLOOKUP(INDIRECT(ADDRESS(2,COLUMN())),OFFSET($AM$2,0,0,ROW()-1,33),ROW()-1,FALSE))</f>
        <v/>
      </c>
      <c r="AE19" t="str">
        <f ca="1">IF(AND(ISNUMBER($AE$444),$B$427=1),$AE$444,HLOOKUP(INDIRECT(ADDRESS(2,COLUMN())),OFFSET($AM$2,0,0,ROW()-1,33),ROW()-1,FALSE))</f>
        <v/>
      </c>
      <c r="AF19" t="str">
        <f ca="1">IF(AND(ISNUMBER($AF$444),$B$427=1),$AF$444,HLOOKUP(INDIRECT(ADDRESS(2,COLUMN())),OFFSET($AM$2,0,0,ROW()-1,33),ROW()-1,FALSE))</f>
        <v/>
      </c>
      <c r="AG19" t="str">
        <f ca="1">IF(AND(ISNUMBER($AG$444),$B$427=1),$AG$444,HLOOKUP(INDIRECT(ADDRESS(2,COLUMN())),OFFSET($AM$2,0,0,ROW()-1,33),ROW()-1,FALSE))</f>
        <v/>
      </c>
      <c r="AH19" t="str">
        <f ca="1">IF(AND(ISNUMBER($AH$444),$B$427=1),$AH$444,HLOOKUP(INDIRECT(ADDRESS(2,COLUMN())),OFFSET($AM$2,0,0,ROW()-1,33),ROW()-1,FALSE))</f>
        <v/>
      </c>
      <c r="AI19" t="str">
        <f ca="1">IF(AND(ISNUMBER($AI$444),$B$427=1),$AI$444,HLOOKUP(INDIRECT(ADDRESS(2,COLUMN())),OFFSET($AM$2,0,0,ROW()-1,33),ROW()-1,FALSE))</f>
        <v/>
      </c>
      <c r="AJ19" t="str">
        <f ca="1">IF(AND(ISNUMBER($AJ$444),$B$427=1),$AJ$444,HLOOKUP(INDIRECT(ADDRESS(2,COLUMN())),OFFSET($AM$2,0,0,ROW()-1,33),ROW()-1,FALSE))</f>
        <v/>
      </c>
      <c r="AK19" t="str">
        <f ca="1">IF(AND(ISNUMBER($AK$444),$B$427=1),$AK$444,HLOOKUP(INDIRECT(ADDRESS(2,COLUMN())),OFFSET($AM$2,0,0,ROW()-1,33),ROW()-1,FALSE))</f>
        <v/>
      </c>
      <c r="AL19" t="str">
        <f ca="1">IF(AND(ISNUMBER($AL$444),$B$427=1),$AL$444,HLOOKUP(INDIRECT(ADDRESS(2,COLUMN())),OFFSET($AM$2,0,0,ROW()-1,33),ROW()-1,FALSE))</f>
        <v/>
      </c>
      <c r="AM19">
        <f>307771</f>
        <v>307771</v>
      </c>
      <c r="AN19">
        <f>313341</f>
        <v>313341</v>
      </c>
      <c r="AO19">
        <f>327435</f>
        <v>327435</v>
      </c>
      <c r="AP19">
        <f>294325</f>
        <v>294325</v>
      </c>
      <c r="AQ19">
        <f>305793</f>
        <v>305793</v>
      </c>
      <c r="AR19">
        <f>308215</f>
        <v>308215</v>
      </c>
      <c r="AS19">
        <f>150001</f>
        <v>150001</v>
      </c>
      <c r="AT19">
        <f>144800</f>
        <v>144800</v>
      </c>
      <c r="AU19">
        <f>145037.682</f>
        <v>145037.682</v>
      </c>
      <c r="AV19">
        <f>136985.883</f>
        <v>136985.883</v>
      </c>
      <c r="AW19">
        <f>121307.121</f>
        <v>121307.121</v>
      </c>
      <c r="AX19">
        <f>117139.558</f>
        <v>117139.558</v>
      </c>
      <c r="AY19">
        <f>118364.415</f>
        <v>118364.41499999999</v>
      </c>
      <c r="AZ19">
        <f>111204.569</f>
        <v>111204.569</v>
      </c>
      <c r="BA19">
        <f>107263.604</f>
        <v>107263.60400000001</v>
      </c>
      <c r="BB19">
        <f>106207.386</f>
        <v>106207.386</v>
      </c>
      <c r="BC19">
        <f>98668.626</f>
        <v>98668.626000000004</v>
      </c>
      <c r="BD19">
        <f>91685.699</f>
        <v>91685.698999999993</v>
      </c>
      <c r="BE19">
        <f>83590.938</f>
        <v>83590.937999999995</v>
      </c>
      <c r="BF19">
        <f>75023.488</f>
        <v>75023.487999999998</v>
      </c>
      <c r="BG19">
        <f>68162.601</f>
        <v>68162.600999999995</v>
      </c>
      <c r="BH19">
        <f>62305.386</f>
        <v>62305.385999999999</v>
      </c>
      <c r="BI19">
        <f>53518.013</f>
        <v>53518.012999999999</v>
      </c>
      <c r="BJ19">
        <f>47443.173</f>
        <v>47443.173000000003</v>
      </c>
      <c r="BK19" t="str">
        <f>""</f>
        <v/>
      </c>
      <c r="BL19" t="str">
        <f>""</f>
        <v/>
      </c>
      <c r="BM19" t="str">
        <f>""</f>
        <v/>
      </c>
      <c r="BN19" t="str">
        <f>""</f>
        <v/>
      </c>
      <c r="BO19" t="str">
        <f>""</f>
        <v/>
      </c>
      <c r="BP19" t="str">
        <f>""</f>
        <v/>
      </c>
      <c r="BQ19" t="str">
        <f>""</f>
        <v/>
      </c>
      <c r="BR19" t="str">
        <f>""</f>
        <v/>
      </c>
      <c r="BS19" t="str">
        <f>""</f>
        <v/>
      </c>
    </row>
    <row r="20" spans="1:71" x14ac:dyDescent="0.25">
      <c r="A20" t="str">
        <f>"        US Bancorp"</f>
        <v xml:space="preserve">        US Bancorp</v>
      </c>
      <c r="B20" t="str">
        <f>"USB US Equity"</f>
        <v>USB US Equity</v>
      </c>
      <c r="C20" t="str">
        <f t="shared" si="0"/>
        <v>FY421</v>
      </c>
      <c r="D20" t="str">
        <f t="shared" si="1"/>
        <v>FED_TOTAL_CONSOLIDATED_LOANS</v>
      </c>
      <c r="E20" t="str">
        <f t="shared" si="2"/>
        <v>Dynamic</v>
      </c>
      <c r="F20">
        <f ca="1">IF(AND(ISNUMBER($F$445),$B$427=1),$F$445,HLOOKUP(INDIRECT(ADDRESS(2,COLUMN())),OFFSET($AM$2,0,0,ROW()-1,33),ROW()-1,FALSE))</f>
        <v>382405</v>
      </c>
      <c r="G20">
        <f ca="1">IF(AND(ISNUMBER($G$445),$B$427=1),$G$445,HLOOKUP(INDIRECT(ADDRESS(2,COLUMN())),OFFSET($AM$2,0,0,ROW()-1,33),ROW()-1,FALSE))</f>
        <v>376036</v>
      </c>
      <c r="H20">
        <f ca="1">IF(AND(ISNUMBER($H$445),$B$427=1),$H$445,HLOOKUP(INDIRECT(ADDRESS(2,COLUMN())),OFFSET($AM$2,0,0,ROW()-1,33),ROW()-1,FALSE))</f>
        <v>390413</v>
      </c>
      <c r="I20">
        <f ca="1">IF(AND(ISNUMBER($I$445),$B$427=1),$I$445,HLOOKUP(INDIRECT(ADDRESS(2,COLUMN())),OFFSET($AM$2,0,0,ROW()-1,33),ROW()-1,FALSE))</f>
        <v>319803</v>
      </c>
      <c r="J20">
        <f ca="1">IF(AND(ISNUMBER($J$445),$B$427=1),$J$445,HLOOKUP(INDIRECT(ADDRESS(2,COLUMN())),OFFSET($AM$2,0,0,ROW()-1,33),ROW()-1,FALSE))</f>
        <v>306468</v>
      </c>
      <c r="K20">
        <f ca="1">IF(AND(ISNUMBER($K$445),$B$427=1),$K$445,HLOOKUP(INDIRECT(ADDRESS(2,COLUMN())),OFFSET($AM$2,0,0,ROW()-1,33),ROW()-1,FALSE))</f>
        <v>301680</v>
      </c>
      <c r="L20">
        <f ca="1">IF(AND(ISNUMBER($L$445),$B$427=1),$L$445,HLOOKUP(INDIRECT(ADDRESS(2,COLUMN())),OFFSET($AM$2,0,0,ROW()-1,33),ROW()-1,FALSE))</f>
        <v>288774</v>
      </c>
      <c r="M20">
        <f ca="1">IF(AND(ISNUMBER($M$445),$B$427=1),$M$445,HLOOKUP(INDIRECT(ADDRESS(2,COLUMN())),OFFSET($AM$2,0,0,ROW()-1,33),ROW()-1,FALSE))</f>
        <v>283428</v>
      </c>
      <c r="N20">
        <f ca="1">IF(AND(ISNUMBER($N$445),$B$427=1),$N$445,HLOOKUP(INDIRECT(ADDRESS(2,COLUMN())),OFFSET($AM$2,0,0,ROW()-1,33),ROW()-1,FALSE))</f>
        <v>277229</v>
      </c>
      <c r="O20">
        <f ca="1">IF(AND(ISNUMBER($O$445),$B$427=1),$O$445,HLOOKUP(INDIRECT(ADDRESS(2,COLUMN())),OFFSET($AM$2,0,0,ROW()-1,33),ROW()-1,FALSE))</f>
        <v>263001</v>
      </c>
      <c r="P20">
        <f ca="1">IF(AND(ISNUMBER($P$445),$B$427=1),$P$445,HLOOKUP(INDIRECT(ADDRESS(2,COLUMN())),OFFSET($AM$2,0,0,ROW()-1,33),ROW()-1,FALSE))</f>
        <v>251468</v>
      </c>
      <c r="Q20">
        <f ca="1">IF(AND(ISNUMBER($Q$445),$B$427=1),$Q$445,HLOOKUP(INDIRECT(ADDRESS(2,COLUMN())),OFFSET($AM$2,0,0,ROW()-1,33),ROW()-1,FALSE))</f>
        <v>236903</v>
      </c>
      <c r="R20">
        <f ca="1">IF(AND(ISNUMBER($R$445),$B$427=1),$R$445,HLOOKUP(INDIRECT(ADDRESS(2,COLUMN())),OFFSET($AM$2,0,0,ROW()-1,33),ROW()-1,FALSE))</f>
        <v>230025</v>
      </c>
      <c r="S20">
        <f ca="1">IF(AND(ISNUMBER($S$445),$B$427=1),$S$445,HLOOKUP(INDIRECT(ADDRESS(2,COLUMN())),OFFSET($AM$2,0,0,ROW()-1,33),ROW()-1,FALSE))</f>
        <v>214465</v>
      </c>
      <c r="T20">
        <f ca="1">IF(AND(ISNUMBER($T$445),$B$427=1),$T$445,HLOOKUP(INDIRECT(ADDRESS(2,COLUMN())),OFFSET($AM$2,0,0,ROW()-1,33),ROW()-1,FALSE))</f>
        <v>202295</v>
      </c>
      <c r="U20">
        <f ca="1">IF(AND(ISNUMBER($U$445),$B$427=1),$U$445,HLOOKUP(INDIRECT(ADDRESS(2,COLUMN())),OFFSET($AM$2,0,0,ROW()-1,33),ROW()-1,FALSE))</f>
        <v>199527</v>
      </c>
      <c r="V20">
        <f ca="1">IF(AND(ISNUMBER($V$445),$B$427=1),$V$445,HLOOKUP(INDIRECT(ADDRESS(2,COLUMN())),OFFSET($AM$2,0,0,ROW()-1,33),ROW()-1,FALSE))</f>
        <v>188165</v>
      </c>
      <c r="W20">
        <f ca="1">IF(AND(ISNUMBER($W$445),$B$427=1),$W$445,HLOOKUP(INDIRECT(ADDRESS(2,COLUMN())),OFFSET($AM$2,0,0,ROW()-1,33),ROW()-1,FALSE))</f>
        <v>158646</v>
      </c>
      <c r="X20">
        <f ca="1">IF(AND(ISNUMBER($X$445),$B$427=1),$X$445,HLOOKUP(INDIRECT(ADDRESS(2,COLUMN())),OFFSET($AM$2,0,0,ROW()-1,33),ROW()-1,FALSE))</f>
        <v>146853</v>
      </c>
      <c r="Y20">
        <f ca="1">IF(AND(ISNUMBER($Y$445),$B$427=1),$Y$445,HLOOKUP(INDIRECT(ADDRESS(2,COLUMN())),OFFSET($AM$2,0,0,ROW()-1,33),ROW()-1,FALSE))</f>
        <v>139492</v>
      </c>
      <c r="Z20">
        <f ca="1">IF(AND(ISNUMBER($Z$445),$B$427=1),$Z$445,HLOOKUP(INDIRECT(ADDRESS(2,COLUMN())),OFFSET($AM$2,0,0,ROW()-1,33),ROW()-1,FALSE))</f>
        <v>127754</v>
      </c>
      <c r="AA20">
        <f ca="1">IF(AND(ISNUMBER($AA$445),$B$427=1),$AA$445,HLOOKUP(INDIRECT(ADDRESS(2,COLUMN())),OFFSET($AM$2,0,0,ROW()-1,33),ROW()-1,FALSE))</f>
        <v>119668</v>
      </c>
      <c r="AB20">
        <f ca="1">IF(AND(ISNUMBER($AB$445),$B$427=1),$AB$445,HLOOKUP(INDIRECT(ADDRESS(2,COLUMN())),OFFSET($AM$2,0,0,ROW()-1,33),ROW()-1,FALSE))</f>
        <v>120410</v>
      </c>
      <c r="AC20">
        <f ca="1">IF(AND(ISNUMBER($AC$445),$B$427=1),$AC$445,HLOOKUP(INDIRECT(ADDRESS(2,COLUMN())),OFFSET($AM$2,0,0,ROW()-1,33),ROW()-1,FALSE))</f>
        <v>117225</v>
      </c>
      <c r="AD20" t="str">
        <f ca="1">IF(AND(ISNUMBER($AD$445),$B$427=1),$AD$445,HLOOKUP(INDIRECT(ADDRESS(2,COLUMN())),OFFSET($AM$2,0,0,ROW()-1,33),ROW()-1,FALSE))</f>
        <v/>
      </c>
      <c r="AE20" t="str">
        <f ca="1">IF(AND(ISNUMBER($AE$445),$B$427=1),$AE$445,HLOOKUP(INDIRECT(ADDRESS(2,COLUMN())),OFFSET($AM$2,0,0,ROW()-1,33),ROW()-1,FALSE))</f>
        <v/>
      </c>
      <c r="AF20" t="str">
        <f ca="1">IF(AND(ISNUMBER($AF$445),$B$427=1),$AF$445,HLOOKUP(INDIRECT(ADDRESS(2,COLUMN())),OFFSET($AM$2,0,0,ROW()-1,33),ROW()-1,FALSE))</f>
        <v/>
      </c>
      <c r="AG20" t="str">
        <f ca="1">IF(AND(ISNUMBER($AG$445),$B$427=1),$AG$445,HLOOKUP(INDIRECT(ADDRESS(2,COLUMN())),OFFSET($AM$2,0,0,ROW()-1,33),ROW()-1,FALSE))</f>
        <v/>
      </c>
      <c r="AH20" t="str">
        <f ca="1">IF(AND(ISNUMBER($AH$445),$B$427=1),$AH$445,HLOOKUP(INDIRECT(ADDRESS(2,COLUMN())),OFFSET($AM$2,0,0,ROW()-1,33),ROW()-1,FALSE))</f>
        <v/>
      </c>
      <c r="AI20" t="str">
        <f ca="1">IF(AND(ISNUMBER($AI$445),$B$427=1),$AI$445,HLOOKUP(INDIRECT(ADDRESS(2,COLUMN())),OFFSET($AM$2,0,0,ROW()-1,33),ROW()-1,FALSE))</f>
        <v/>
      </c>
      <c r="AJ20" t="str">
        <f ca="1">IF(AND(ISNUMBER($AJ$445),$B$427=1),$AJ$445,HLOOKUP(INDIRECT(ADDRESS(2,COLUMN())),OFFSET($AM$2,0,0,ROW()-1,33),ROW()-1,FALSE))</f>
        <v/>
      </c>
      <c r="AK20" t="str">
        <f ca="1">IF(AND(ISNUMBER($AK$445),$B$427=1),$AK$445,HLOOKUP(INDIRECT(ADDRESS(2,COLUMN())),OFFSET($AM$2,0,0,ROW()-1,33),ROW()-1,FALSE))</f>
        <v/>
      </c>
      <c r="AL20" t="str">
        <f ca="1">IF(AND(ISNUMBER($AL$445),$B$427=1),$AL$445,HLOOKUP(INDIRECT(ADDRESS(2,COLUMN())),OFFSET($AM$2,0,0,ROW()-1,33),ROW()-1,FALSE))</f>
        <v/>
      </c>
      <c r="AM20">
        <f>382405</f>
        <v>382405</v>
      </c>
      <c r="AN20">
        <f>376036</f>
        <v>376036</v>
      </c>
      <c r="AO20">
        <f>390413</f>
        <v>390413</v>
      </c>
      <c r="AP20">
        <f>319803</f>
        <v>319803</v>
      </c>
      <c r="AQ20">
        <f>306468</f>
        <v>306468</v>
      </c>
      <c r="AR20">
        <f>301680</f>
        <v>301680</v>
      </c>
      <c r="AS20">
        <f>288774</f>
        <v>288774</v>
      </c>
      <c r="AT20">
        <f>283428</f>
        <v>283428</v>
      </c>
      <c r="AU20">
        <f>277229</f>
        <v>277229</v>
      </c>
      <c r="AV20">
        <f>263001</f>
        <v>263001</v>
      </c>
      <c r="AW20">
        <f>251468</f>
        <v>251468</v>
      </c>
      <c r="AX20">
        <f>236903</f>
        <v>236903</v>
      </c>
      <c r="AY20">
        <f>230025</f>
        <v>230025</v>
      </c>
      <c r="AZ20">
        <f>214465</f>
        <v>214465</v>
      </c>
      <c r="BA20">
        <f>202295</f>
        <v>202295</v>
      </c>
      <c r="BB20">
        <f>199527</f>
        <v>199527</v>
      </c>
      <c r="BC20">
        <f>188165</f>
        <v>188165</v>
      </c>
      <c r="BD20">
        <f>158646</f>
        <v>158646</v>
      </c>
      <c r="BE20">
        <f>146853</f>
        <v>146853</v>
      </c>
      <c r="BF20">
        <f>139492</f>
        <v>139492</v>
      </c>
      <c r="BG20">
        <f>127754</f>
        <v>127754</v>
      </c>
      <c r="BH20">
        <f>119668</f>
        <v>119668</v>
      </c>
      <c r="BI20">
        <f>120410</f>
        <v>120410</v>
      </c>
      <c r="BJ20">
        <f>117225</f>
        <v>117225</v>
      </c>
      <c r="BK20" t="str">
        <f>""</f>
        <v/>
      </c>
      <c r="BL20" t="str">
        <f>""</f>
        <v/>
      </c>
      <c r="BM20" t="str">
        <f>""</f>
        <v/>
      </c>
      <c r="BN20" t="str">
        <f>""</f>
        <v/>
      </c>
      <c r="BO20" t="str">
        <f>""</f>
        <v/>
      </c>
      <c r="BP20" t="str">
        <f>""</f>
        <v/>
      </c>
      <c r="BQ20" t="str">
        <f>""</f>
        <v/>
      </c>
      <c r="BR20" t="str">
        <f>""</f>
        <v/>
      </c>
      <c r="BS20" t="str">
        <f>""</f>
        <v/>
      </c>
    </row>
    <row r="21" spans="1:71" x14ac:dyDescent="0.25">
      <c r="A21" t="str">
        <f>"        Wells Fargo &amp; Co"</f>
        <v xml:space="preserve">        Wells Fargo &amp; Co</v>
      </c>
      <c r="B21" t="str">
        <f>"WFC US Equity"</f>
        <v>WFC US Equity</v>
      </c>
      <c r="C21" t="str">
        <f t="shared" si="0"/>
        <v>FY421</v>
      </c>
      <c r="D21" t="str">
        <f t="shared" si="1"/>
        <v>FED_TOTAL_CONSOLIDATED_LOANS</v>
      </c>
      <c r="E21" t="str">
        <f t="shared" si="2"/>
        <v>Dynamic</v>
      </c>
      <c r="F21">
        <f ca="1">IF(AND(ISNUMBER($F$446),$B$427=1),$F$446,HLOOKUP(INDIRECT(ADDRESS(2,COLUMN())),OFFSET($AM$2,0,0,ROW()-1,33),ROW()-1,FALSE))</f>
        <v>915418</v>
      </c>
      <c r="G21">
        <f ca="1">IF(AND(ISNUMBER($G$446),$B$427=1),$G$446,HLOOKUP(INDIRECT(ADDRESS(2,COLUMN())),OFFSET($AM$2,0,0,ROW()-1,33),ROW()-1,FALSE))</f>
        <v>939825</v>
      </c>
      <c r="H21">
        <f ca="1">IF(AND(ISNUMBER($H$446),$B$427=1),$H$446,HLOOKUP(INDIRECT(ADDRESS(2,COLUMN())),OFFSET($AM$2,0,0,ROW()-1,33),ROW()-1,FALSE))</f>
        <v>961509</v>
      </c>
      <c r="I21">
        <f ca="1">IF(AND(ISNUMBER($I$446),$B$427=1),$I$446,HLOOKUP(INDIRECT(ADDRESS(2,COLUMN())),OFFSET($AM$2,0,0,ROW()-1,33),ROW()-1,FALSE))</f>
        <v>915502</v>
      </c>
      <c r="J21">
        <f ca="1">IF(AND(ISNUMBER($J$446),$B$427=1),$J$446,HLOOKUP(INDIRECT(ADDRESS(2,COLUMN())),OFFSET($AM$2,0,0,ROW()-1,33),ROW()-1,FALSE))</f>
        <v>925396</v>
      </c>
      <c r="K21">
        <f ca="1">IF(AND(ISNUMBER($K$446),$B$427=1),$K$446,HLOOKUP(INDIRECT(ADDRESS(2,COLUMN())),OFFSET($AM$2,0,0,ROW()-1,33),ROW()-1,FALSE))</f>
        <v>982778</v>
      </c>
      <c r="L21">
        <f ca="1">IF(AND(ISNUMBER($L$446),$B$427=1),$L$446,HLOOKUP(INDIRECT(ADDRESS(2,COLUMN())),OFFSET($AM$2,0,0,ROW()-1,33),ROW()-1,FALSE))</f>
        <v>964844</v>
      </c>
      <c r="M21">
        <f ca="1">IF(AND(ISNUMBER($M$446),$B$427=1),$M$446,HLOOKUP(INDIRECT(ADDRESS(2,COLUMN())),OFFSET($AM$2,0,0,ROW()-1,33),ROW()-1,FALSE))</f>
        <v>972838</v>
      </c>
      <c r="N21">
        <f ca="1">IF(AND(ISNUMBER($N$446),$B$427=1),$N$446,HLOOKUP(INDIRECT(ADDRESS(2,COLUMN())),OFFSET($AM$2,0,0,ROW()-1,33),ROW()-1,FALSE))</f>
        <v>988774</v>
      </c>
      <c r="O21">
        <f ca="1">IF(AND(ISNUMBER($O$446),$B$427=1),$O$446,HLOOKUP(INDIRECT(ADDRESS(2,COLUMN())),OFFSET($AM$2,0,0,ROW()-1,33),ROW()-1,FALSE))</f>
        <v>931918</v>
      </c>
      <c r="P21">
        <f ca="1">IF(AND(ISNUMBER($P$446),$B$427=1),$P$446,HLOOKUP(INDIRECT(ADDRESS(2,COLUMN())),OFFSET($AM$2,0,0,ROW()-1,33),ROW()-1,FALSE))</f>
        <v>877996</v>
      </c>
      <c r="Q21">
        <f ca="1">IF(AND(ISNUMBER($Q$446),$B$427=1),$Q$446,HLOOKUP(INDIRECT(ADDRESS(2,COLUMN())),OFFSET($AM$2,0,0,ROW()-1,33),ROW()-1,FALSE))</f>
        <v>839988</v>
      </c>
      <c r="R21">
        <f ca="1">IF(AND(ISNUMBER($R$446),$B$427=1),$R$446,HLOOKUP(INDIRECT(ADDRESS(2,COLUMN())),OFFSET($AM$2,0,0,ROW()-1,33),ROW()-1,FALSE))</f>
        <v>841894</v>
      </c>
      <c r="S21">
        <f ca="1">IF(AND(ISNUMBER($S$446),$B$427=1),$S$446,HLOOKUP(INDIRECT(ADDRESS(2,COLUMN())),OFFSET($AM$2,0,0,ROW()-1,33),ROW()-1,FALSE))</f>
        <v>819326</v>
      </c>
      <c r="T21">
        <f ca="1">IF(AND(ISNUMBER($T$446),$B$427=1),$T$446,HLOOKUP(INDIRECT(ADDRESS(2,COLUMN())),OFFSET($AM$2,0,0,ROW()-1,33),ROW()-1,FALSE))</f>
        <v>811320</v>
      </c>
      <c r="U21">
        <f ca="1">IF(AND(ISNUMBER($U$446),$B$427=1),$U$446,HLOOKUP(INDIRECT(ADDRESS(2,COLUMN())),OFFSET($AM$2,0,0,ROW()-1,33),ROW()-1,FALSE))</f>
        <v>827597</v>
      </c>
      <c r="V21">
        <f ca="1">IF(AND(ISNUMBER($V$446),$B$427=1),$V$446,HLOOKUP(INDIRECT(ADDRESS(2,COLUMN())),OFFSET($AM$2,0,0,ROW()-1,33),ROW()-1,FALSE))</f>
        <v>891156</v>
      </c>
      <c r="W21">
        <f ca="1">IF(AND(ISNUMBER($W$446),$B$427=1),$W$446,HLOOKUP(INDIRECT(ADDRESS(2,COLUMN())),OFFSET($AM$2,0,0,ROW()-1,33),ROW()-1,FALSE))</f>
        <v>409958</v>
      </c>
      <c r="X21">
        <f ca="1">IF(AND(ISNUMBER($X$446),$B$427=1),$X$446,HLOOKUP(INDIRECT(ADDRESS(2,COLUMN())),OFFSET($AM$2,0,0,ROW()-1,33),ROW()-1,FALSE))</f>
        <v>354934</v>
      </c>
      <c r="Y21">
        <f ca="1">IF(AND(ISNUMBER($Y$446),$B$427=1),$Y$446,HLOOKUP(INDIRECT(ADDRESS(2,COLUMN())),OFFSET($AM$2,0,0,ROW()-1,33),ROW()-1,FALSE))</f>
        <v>351983</v>
      </c>
      <c r="Z21">
        <f ca="1">IF(AND(ISNUMBER($Z$446),$B$427=1),$Z$446,HLOOKUP(INDIRECT(ADDRESS(2,COLUMN())),OFFSET($AM$2,0,0,ROW()-1,33),ROW()-1,FALSE))</f>
        <v>326048</v>
      </c>
      <c r="AA21">
        <f ca="1">IF(AND(ISNUMBER($AA$446),$B$427=1),$AA$446,HLOOKUP(INDIRECT(ADDRESS(2,COLUMN())),OFFSET($AM$2,0,0,ROW()-1,33),ROW()-1,FALSE))</f>
        <v>289597</v>
      </c>
      <c r="AB21">
        <f ca="1">IF(AND(ISNUMBER($AB$446),$B$427=1),$AB$446,HLOOKUP(INDIRECT(ADDRESS(2,COLUMN())),OFFSET($AM$2,0,0,ROW()-1,33),ROW()-1,FALSE))</f>
        <v>254453</v>
      </c>
      <c r="AC21">
        <f ca="1">IF(AND(ISNUMBER($AC$446),$B$427=1),$AC$446,HLOOKUP(INDIRECT(ADDRESS(2,COLUMN())),OFFSET($AM$2,0,0,ROW()-1,33),ROW()-1,FALSE))</f>
        <v>207649</v>
      </c>
      <c r="AD21" t="str">
        <f ca="1">IF(AND(ISNUMBER($AD$446),$B$427=1),$AD$446,HLOOKUP(INDIRECT(ADDRESS(2,COLUMN())),OFFSET($AM$2,0,0,ROW()-1,33),ROW()-1,FALSE))</f>
        <v/>
      </c>
      <c r="AE21" t="str">
        <f ca="1">IF(AND(ISNUMBER($AE$446),$B$427=1),$AE$446,HLOOKUP(INDIRECT(ADDRESS(2,COLUMN())),OFFSET($AM$2,0,0,ROW()-1,33),ROW()-1,FALSE))</f>
        <v/>
      </c>
      <c r="AF21" t="str">
        <f ca="1">IF(AND(ISNUMBER($AF$446),$B$427=1),$AF$446,HLOOKUP(INDIRECT(ADDRESS(2,COLUMN())),OFFSET($AM$2,0,0,ROW()-1,33),ROW()-1,FALSE))</f>
        <v/>
      </c>
      <c r="AG21" t="str">
        <f ca="1">IF(AND(ISNUMBER($AG$446),$B$427=1),$AG$446,HLOOKUP(INDIRECT(ADDRESS(2,COLUMN())),OFFSET($AM$2,0,0,ROW()-1,33),ROW()-1,FALSE))</f>
        <v/>
      </c>
      <c r="AH21" t="str">
        <f ca="1">IF(AND(ISNUMBER($AH$446),$B$427=1),$AH$446,HLOOKUP(INDIRECT(ADDRESS(2,COLUMN())),OFFSET($AM$2,0,0,ROW()-1,33),ROW()-1,FALSE))</f>
        <v/>
      </c>
      <c r="AI21" t="str">
        <f ca="1">IF(AND(ISNUMBER($AI$446),$B$427=1),$AI$446,HLOOKUP(INDIRECT(ADDRESS(2,COLUMN())),OFFSET($AM$2,0,0,ROW()-1,33),ROW()-1,FALSE))</f>
        <v/>
      </c>
      <c r="AJ21" t="str">
        <f ca="1">IF(AND(ISNUMBER($AJ$446),$B$427=1),$AJ$446,HLOOKUP(INDIRECT(ADDRESS(2,COLUMN())),OFFSET($AM$2,0,0,ROW()-1,33),ROW()-1,FALSE))</f>
        <v/>
      </c>
      <c r="AK21" t="str">
        <f ca="1">IF(AND(ISNUMBER($AK$446),$B$427=1),$AK$446,HLOOKUP(INDIRECT(ADDRESS(2,COLUMN())),OFFSET($AM$2,0,0,ROW()-1,33),ROW()-1,FALSE))</f>
        <v/>
      </c>
      <c r="AL21" t="str">
        <f ca="1">IF(AND(ISNUMBER($AL$446),$B$427=1),$AL$446,HLOOKUP(INDIRECT(ADDRESS(2,COLUMN())),OFFSET($AM$2,0,0,ROW()-1,33),ROW()-1,FALSE))</f>
        <v/>
      </c>
      <c r="AM21">
        <f>915418</f>
        <v>915418</v>
      </c>
      <c r="AN21">
        <f>939825</f>
        <v>939825</v>
      </c>
      <c r="AO21">
        <f>961509</f>
        <v>961509</v>
      </c>
      <c r="AP21">
        <f>915502</f>
        <v>915502</v>
      </c>
      <c r="AQ21">
        <f>925396</f>
        <v>925396</v>
      </c>
      <c r="AR21">
        <f>982778</f>
        <v>982778</v>
      </c>
      <c r="AS21">
        <f>964844</f>
        <v>964844</v>
      </c>
      <c r="AT21">
        <f>972838</f>
        <v>972838</v>
      </c>
      <c r="AU21">
        <f>988774</f>
        <v>988774</v>
      </c>
      <c r="AV21">
        <f>931918</f>
        <v>931918</v>
      </c>
      <c r="AW21">
        <f>877996</f>
        <v>877996</v>
      </c>
      <c r="AX21">
        <f>839988</f>
        <v>839988</v>
      </c>
      <c r="AY21">
        <f>841894</f>
        <v>841894</v>
      </c>
      <c r="AZ21">
        <f>819326</f>
        <v>819326</v>
      </c>
      <c r="BA21">
        <f>811320</f>
        <v>811320</v>
      </c>
      <c r="BB21">
        <f>827597</f>
        <v>827597</v>
      </c>
      <c r="BC21">
        <f>891156</f>
        <v>891156</v>
      </c>
      <c r="BD21">
        <f>409958</f>
        <v>409958</v>
      </c>
      <c r="BE21">
        <f>354934</f>
        <v>354934</v>
      </c>
      <c r="BF21">
        <f>351983</f>
        <v>351983</v>
      </c>
      <c r="BG21">
        <f>326048</f>
        <v>326048</v>
      </c>
      <c r="BH21">
        <f>289597</f>
        <v>289597</v>
      </c>
      <c r="BI21">
        <f>254453</f>
        <v>254453</v>
      </c>
      <c r="BJ21">
        <f>207649</f>
        <v>207649</v>
      </c>
      <c r="BK21" t="str">
        <f>""</f>
        <v/>
      </c>
      <c r="BL21" t="str">
        <f>""</f>
        <v/>
      </c>
      <c r="BM21" t="str">
        <f>""</f>
        <v/>
      </c>
      <c r="BN21" t="str">
        <f>""</f>
        <v/>
      </c>
      <c r="BO21" t="str">
        <f>""</f>
        <v/>
      </c>
      <c r="BP21" t="str">
        <f>""</f>
        <v/>
      </c>
      <c r="BQ21" t="str">
        <f>""</f>
        <v/>
      </c>
      <c r="BR21" t="str">
        <f>""</f>
        <v/>
      </c>
      <c r="BS21" t="str">
        <f>""</f>
        <v/>
      </c>
    </row>
    <row r="22" spans="1:71" x14ac:dyDescent="0.25">
      <c r="A22" t="str">
        <f>"        Western Alliance Bancorp"</f>
        <v xml:space="preserve">        Western Alliance Bancorp</v>
      </c>
      <c r="B22" t="str">
        <f>"WAL US Equity"</f>
        <v>WAL US Equity</v>
      </c>
      <c r="C22" t="str">
        <f t="shared" si="0"/>
        <v>FY421</v>
      </c>
      <c r="D22" t="str">
        <f t="shared" si="1"/>
        <v>FED_TOTAL_CONSOLIDATED_LOANS</v>
      </c>
      <c r="E22" t="str">
        <f t="shared" si="2"/>
        <v>Dynamic</v>
      </c>
      <c r="F22" t="str">
        <f ca="1">IF(AND(ISNUMBER($F$447),$B$427=1),$F$447,HLOOKUP(INDIRECT(ADDRESS(2,COLUMN())),OFFSET($AM$2,0,0,ROW()-1,33),ROW()-1,FALSE))</f>
        <v/>
      </c>
      <c r="G22">
        <f ca="1">IF(AND(ISNUMBER($G$447),$B$427=1),$G$447,HLOOKUP(INDIRECT(ADDRESS(2,COLUMN())),OFFSET($AM$2,0,0,ROW()-1,33),ROW()-1,FALSE))</f>
        <v>51901.440999999999</v>
      </c>
      <c r="H22">
        <f ca="1">IF(AND(ISNUMBER($H$447),$B$427=1),$H$447,HLOOKUP(INDIRECT(ADDRESS(2,COLUMN())),OFFSET($AM$2,0,0,ROW()-1,33),ROW()-1,FALSE))</f>
        <v>53570.339</v>
      </c>
      <c r="I22">
        <f ca="1">IF(AND(ISNUMBER($I$447),$B$427=1),$I$447,HLOOKUP(INDIRECT(ADDRESS(2,COLUMN())),OFFSET($AM$2,0,0,ROW()-1,33),ROW()-1,FALSE))</f>
        <v>44716.853999999999</v>
      </c>
      <c r="J22">
        <f ca="1">IF(AND(ISNUMBER($J$447),$B$427=1),$J$447,HLOOKUP(INDIRECT(ADDRESS(2,COLUMN())),OFFSET($AM$2,0,0,ROW()-1,33),ROW()-1,FALSE))</f>
        <v>27053.018</v>
      </c>
      <c r="K22">
        <f ca="1">IF(AND(ISNUMBER($K$447),$B$427=1),$K$447,HLOOKUP(INDIRECT(ADDRESS(2,COLUMN())),OFFSET($AM$2,0,0,ROW()-1,33),ROW()-1,FALSE))</f>
        <v>21123.295999999998</v>
      </c>
      <c r="L22">
        <f ca="1">IF(AND(ISNUMBER($L$447),$B$427=1),$L$447,HLOOKUP(INDIRECT(ADDRESS(2,COLUMN())),OFFSET($AM$2,0,0,ROW()-1,33),ROW()-1,FALSE))</f>
        <v>17710.629000000001</v>
      </c>
      <c r="M22">
        <f ca="1">IF(AND(ISNUMBER($M$447),$B$427=1),$M$447,HLOOKUP(INDIRECT(ADDRESS(2,COLUMN())),OFFSET($AM$2,0,0,ROW()-1,33),ROW()-1,FALSE))</f>
        <v>15093.934999999999</v>
      </c>
      <c r="N22">
        <f ca="1">IF(AND(ISNUMBER($N$447),$B$427=1),$N$447,HLOOKUP(INDIRECT(ADDRESS(2,COLUMN())),OFFSET($AM$2,0,0,ROW()-1,33),ROW()-1,FALSE))</f>
        <v>13208.436</v>
      </c>
      <c r="O22">
        <f ca="1">IF(AND(ISNUMBER($O$447),$B$427=1),$O$447,HLOOKUP(INDIRECT(ADDRESS(2,COLUMN())),OFFSET($AM$2,0,0,ROW()-1,33),ROW()-1,FALSE))</f>
        <v>11136.663</v>
      </c>
      <c r="P22">
        <f ca="1">IF(AND(ISNUMBER($P$447),$B$427=1),$P$447,HLOOKUP(INDIRECT(ADDRESS(2,COLUMN())),OFFSET($AM$2,0,0,ROW()-1,33),ROW()-1,FALSE))</f>
        <v>8398.2649999999994</v>
      </c>
      <c r="Q22">
        <f ca="1">IF(AND(ISNUMBER($Q$447),$B$427=1),$Q$447,HLOOKUP(INDIRECT(ADDRESS(2,COLUMN())),OFFSET($AM$2,0,0,ROW()-1,33),ROW()-1,FALSE))</f>
        <v>6801.415</v>
      </c>
      <c r="R22">
        <f ca="1">IF(AND(ISNUMBER($R$447),$B$427=1),$R$447,HLOOKUP(INDIRECT(ADDRESS(2,COLUMN())),OFFSET($AM$2,0,0,ROW()-1,33),ROW()-1,FALSE))</f>
        <v>5709.3180000000002</v>
      </c>
      <c r="S22">
        <f ca="1">IF(AND(ISNUMBER($S$447),$B$427=1),$S$447,HLOOKUP(INDIRECT(ADDRESS(2,COLUMN())),OFFSET($AM$2,0,0,ROW()-1,33),ROW()-1,FALSE))</f>
        <v>4780.0690000000004</v>
      </c>
      <c r="T22">
        <f ca="1">IF(AND(ISNUMBER($T$447),$B$427=1),$T$447,HLOOKUP(INDIRECT(ADDRESS(2,COLUMN())),OFFSET($AM$2,0,0,ROW()-1,33),ROW()-1,FALSE))</f>
        <v>4240.5420000000004</v>
      </c>
      <c r="U22">
        <f ca="1">IF(AND(ISNUMBER($U$447),$B$427=1),$U$447,HLOOKUP(INDIRECT(ADDRESS(2,COLUMN())),OFFSET($AM$2,0,0,ROW()-1,33),ROW()-1,FALSE))</f>
        <v>4079.6379999999999</v>
      </c>
      <c r="V22">
        <f ca="1">IF(AND(ISNUMBER($V$447),$B$427=1),$V$447,HLOOKUP(INDIRECT(ADDRESS(2,COLUMN())),OFFSET($AM$2,0,0,ROW()-1,33),ROW()-1,FALSE))</f>
        <v>4095.915</v>
      </c>
      <c r="W22">
        <f ca="1">IF(AND(ISNUMBER($W$447),$B$427=1),$W$447,HLOOKUP(INDIRECT(ADDRESS(2,COLUMN())),OFFSET($AM$2,0,0,ROW()-1,33),ROW()-1,FALSE))</f>
        <v>3633.009</v>
      </c>
      <c r="X22">
        <f ca="1">IF(AND(ISNUMBER($X$447),$B$427=1),$X$447,HLOOKUP(INDIRECT(ADDRESS(2,COLUMN())),OFFSET($AM$2,0,0,ROW()-1,33),ROW()-1,FALSE))</f>
        <v>3003.2220000000002</v>
      </c>
      <c r="Y22">
        <f ca="1">IF(AND(ISNUMBER($Y$447),$B$427=1),$Y$447,HLOOKUP(INDIRECT(ADDRESS(2,COLUMN())),OFFSET($AM$2,0,0,ROW()-1,33),ROW()-1,FALSE))</f>
        <v>1793.337</v>
      </c>
      <c r="Z22">
        <f ca="1">IF(AND(ISNUMBER($Z$447),$B$427=1),$Z$447,HLOOKUP(INDIRECT(ADDRESS(2,COLUMN())),OFFSET($AM$2,0,0,ROW()-1,33),ROW()-1,FALSE))</f>
        <v>1188.5350000000001</v>
      </c>
      <c r="AA22">
        <f ca="1">IF(AND(ISNUMBER($AA$447),$B$427=1),$AA$447,HLOOKUP(INDIRECT(ADDRESS(2,COLUMN())),OFFSET($AM$2,0,0,ROW()-1,33),ROW()-1,FALSE))</f>
        <v>733.077</v>
      </c>
      <c r="AB22">
        <f ca="1">IF(AND(ISNUMBER($AB$447),$B$427=1),$AB$447,HLOOKUP(INDIRECT(ADDRESS(2,COLUMN())),OFFSET($AM$2,0,0,ROW()-1,33),ROW()-1,FALSE))</f>
        <v>464.35500000000002</v>
      </c>
      <c r="AC22">
        <f ca="1">IF(AND(ISNUMBER($AC$447),$B$427=1),$AC$447,HLOOKUP(INDIRECT(ADDRESS(2,COLUMN())),OFFSET($AM$2,0,0,ROW()-1,33),ROW()-1,FALSE))</f>
        <v>407.19200000000001</v>
      </c>
      <c r="AD22" t="str">
        <f ca="1">IF(AND(ISNUMBER($AD$447),$B$427=1),$AD$447,HLOOKUP(INDIRECT(ADDRESS(2,COLUMN())),OFFSET($AM$2,0,0,ROW()-1,33),ROW()-1,FALSE))</f>
        <v/>
      </c>
      <c r="AE22" t="str">
        <f ca="1">IF(AND(ISNUMBER($AE$447),$B$427=1),$AE$447,HLOOKUP(INDIRECT(ADDRESS(2,COLUMN())),OFFSET($AM$2,0,0,ROW()-1,33),ROW()-1,FALSE))</f>
        <v/>
      </c>
      <c r="AF22" t="str">
        <f ca="1">IF(AND(ISNUMBER($AF$447),$B$427=1),$AF$447,HLOOKUP(INDIRECT(ADDRESS(2,COLUMN())),OFFSET($AM$2,0,0,ROW()-1,33),ROW()-1,FALSE))</f>
        <v/>
      </c>
      <c r="AG22" t="str">
        <f ca="1">IF(AND(ISNUMBER($AG$447),$B$427=1),$AG$447,HLOOKUP(INDIRECT(ADDRESS(2,COLUMN())),OFFSET($AM$2,0,0,ROW()-1,33),ROW()-1,FALSE))</f>
        <v/>
      </c>
      <c r="AH22" t="str">
        <f ca="1">IF(AND(ISNUMBER($AH$447),$B$427=1),$AH$447,HLOOKUP(INDIRECT(ADDRESS(2,COLUMN())),OFFSET($AM$2,0,0,ROW()-1,33),ROW()-1,FALSE))</f>
        <v/>
      </c>
      <c r="AI22" t="str">
        <f ca="1">IF(AND(ISNUMBER($AI$447),$B$427=1),$AI$447,HLOOKUP(INDIRECT(ADDRESS(2,COLUMN())),OFFSET($AM$2,0,0,ROW()-1,33),ROW()-1,FALSE))</f>
        <v/>
      </c>
      <c r="AJ22" t="str">
        <f ca="1">IF(AND(ISNUMBER($AJ$447),$B$427=1),$AJ$447,HLOOKUP(INDIRECT(ADDRESS(2,COLUMN())),OFFSET($AM$2,0,0,ROW()-1,33),ROW()-1,FALSE))</f>
        <v/>
      </c>
      <c r="AK22" t="str">
        <f ca="1">IF(AND(ISNUMBER($AK$447),$B$427=1),$AK$447,HLOOKUP(INDIRECT(ADDRESS(2,COLUMN())),OFFSET($AM$2,0,0,ROW()-1,33),ROW()-1,FALSE))</f>
        <v/>
      </c>
      <c r="AL22" t="str">
        <f ca="1">IF(AND(ISNUMBER($AL$447),$B$427=1),$AL$447,HLOOKUP(INDIRECT(ADDRESS(2,COLUMN())),OFFSET($AM$2,0,0,ROW()-1,33),ROW()-1,FALSE))</f>
        <v/>
      </c>
      <c r="AM22" t="str">
        <f>""</f>
        <v/>
      </c>
      <c r="AN22">
        <f>51901.441</f>
        <v>51901.440999999999</v>
      </c>
      <c r="AO22">
        <f>53570.339</f>
        <v>53570.339</v>
      </c>
      <c r="AP22">
        <f>44716.854</f>
        <v>44716.853999999999</v>
      </c>
      <c r="AQ22">
        <f>27053.018</f>
        <v>27053.018</v>
      </c>
      <c r="AR22">
        <f>21123.296</f>
        <v>21123.295999999998</v>
      </c>
      <c r="AS22">
        <f>17710.629</f>
        <v>17710.629000000001</v>
      </c>
      <c r="AT22">
        <f>15093.935</f>
        <v>15093.934999999999</v>
      </c>
      <c r="AU22">
        <f>13208.436</f>
        <v>13208.436</v>
      </c>
      <c r="AV22">
        <f>11136.663</f>
        <v>11136.663</v>
      </c>
      <c r="AW22">
        <f>8398.265</f>
        <v>8398.2649999999994</v>
      </c>
      <c r="AX22">
        <f>6801.415</f>
        <v>6801.415</v>
      </c>
      <c r="AY22">
        <f>5709.318</f>
        <v>5709.3180000000002</v>
      </c>
      <c r="AZ22">
        <f>4780.069</f>
        <v>4780.0690000000004</v>
      </c>
      <c r="BA22">
        <f>4240.542</f>
        <v>4240.5420000000004</v>
      </c>
      <c r="BB22">
        <f>4079.638</f>
        <v>4079.6379999999999</v>
      </c>
      <c r="BC22">
        <f>4095.915</f>
        <v>4095.915</v>
      </c>
      <c r="BD22">
        <f>3633.009</f>
        <v>3633.009</v>
      </c>
      <c r="BE22">
        <f>3003.222</f>
        <v>3003.2220000000002</v>
      </c>
      <c r="BF22">
        <f>1793.337</f>
        <v>1793.337</v>
      </c>
      <c r="BG22">
        <f>1188.535</f>
        <v>1188.5350000000001</v>
      </c>
      <c r="BH22">
        <f>733.077</f>
        <v>733.077</v>
      </c>
      <c r="BI22">
        <f>464.355</f>
        <v>464.35500000000002</v>
      </c>
      <c r="BJ22">
        <f>407.192</f>
        <v>407.19200000000001</v>
      </c>
      <c r="BK22" t="str">
        <f>""</f>
        <v/>
      </c>
      <c r="BL22" t="str">
        <f>""</f>
        <v/>
      </c>
      <c r="BM22" t="str">
        <f>""</f>
        <v/>
      </c>
      <c r="BN22" t="str">
        <f>""</f>
        <v/>
      </c>
      <c r="BO22" t="str">
        <f>""</f>
        <v/>
      </c>
      <c r="BP22" t="str">
        <f>""</f>
        <v/>
      </c>
      <c r="BQ22" t="str">
        <f>""</f>
        <v/>
      </c>
      <c r="BR22" t="str">
        <f>""</f>
        <v/>
      </c>
      <c r="BS22" t="str">
        <f>""</f>
        <v/>
      </c>
    </row>
    <row r="23" spans="1:71" x14ac:dyDescent="0.25">
      <c r="A23" t="str">
        <f>"        Zions Bancorp NA"</f>
        <v xml:space="preserve">        Zions Bancorp NA</v>
      </c>
      <c r="B23" t="str">
        <f>"ZION US Equity"</f>
        <v>ZION US Equity</v>
      </c>
      <c r="C23" t="str">
        <f t="shared" si="0"/>
        <v>FY421</v>
      </c>
      <c r="D23" t="str">
        <f t="shared" si="1"/>
        <v>FED_TOTAL_CONSOLIDATED_LOANS</v>
      </c>
      <c r="E23" t="str">
        <f t="shared" si="2"/>
        <v>Dynamic</v>
      </c>
      <c r="F23" t="str">
        <f ca="1">IF(AND(ISNUMBER($F$448),$B$427=1),$F$448,HLOOKUP(INDIRECT(ADDRESS(2,COLUMN())),OFFSET($AM$2,0,0,ROW()-1,33),ROW()-1,FALSE))</f>
        <v/>
      </c>
      <c r="G23" t="str">
        <f ca="1">IF(AND(ISNUMBER($G$448),$B$427=1),$G$448,HLOOKUP(INDIRECT(ADDRESS(2,COLUMN())),OFFSET($AM$2,0,0,ROW()-1,33),ROW()-1,FALSE))</f>
        <v/>
      </c>
      <c r="H23" t="str">
        <f ca="1">IF(AND(ISNUMBER($H$448),$B$427=1),$H$448,HLOOKUP(INDIRECT(ADDRESS(2,COLUMN())),OFFSET($AM$2,0,0,ROW()-1,33),ROW()-1,FALSE))</f>
        <v/>
      </c>
      <c r="I23" t="str">
        <f ca="1">IF(AND(ISNUMBER($I$448),$B$427=1),$I$448,HLOOKUP(INDIRECT(ADDRESS(2,COLUMN())),OFFSET($AM$2,0,0,ROW()-1,33),ROW()-1,FALSE))</f>
        <v/>
      </c>
      <c r="J23" t="str">
        <f ca="1">IF(AND(ISNUMBER($J$448),$B$427=1),$J$448,HLOOKUP(INDIRECT(ADDRESS(2,COLUMN())),OFFSET($AM$2,0,0,ROW()-1,33),ROW()-1,FALSE))</f>
        <v/>
      </c>
      <c r="K23" t="str">
        <f ca="1">IF(AND(ISNUMBER($K$448),$B$427=1),$K$448,HLOOKUP(INDIRECT(ADDRESS(2,COLUMN())),OFFSET($AM$2,0,0,ROW()-1,33),ROW()-1,FALSE))</f>
        <v/>
      </c>
      <c r="L23" t="str">
        <f ca="1">IF(AND(ISNUMBER($L$448),$B$427=1),$L$448,HLOOKUP(INDIRECT(ADDRESS(2,COLUMN())),OFFSET($AM$2,0,0,ROW()-1,33),ROW()-1,FALSE))</f>
        <v/>
      </c>
      <c r="M23" t="str">
        <f ca="1">IF(AND(ISNUMBER($M$448),$B$427=1),$M$448,HLOOKUP(INDIRECT(ADDRESS(2,COLUMN())),OFFSET($AM$2,0,0,ROW()-1,33),ROW()-1,FALSE))</f>
        <v/>
      </c>
      <c r="N23" t="str">
        <f ca="1">IF(AND(ISNUMBER($N$448),$B$427=1),$N$448,HLOOKUP(INDIRECT(ADDRESS(2,COLUMN())),OFFSET($AM$2,0,0,ROW()-1,33),ROW()-1,FALSE))</f>
        <v/>
      </c>
      <c r="O23" t="str">
        <f ca="1">IF(AND(ISNUMBER($O$448),$B$427=1),$O$448,HLOOKUP(INDIRECT(ADDRESS(2,COLUMN())),OFFSET($AM$2,0,0,ROW()-1,33),ROW()-1,FALSE))</f>
        <v/>
      </c>
      <c r="P23" t="str">
        <f ca="1">IF(AND(ISNUMBER($P$448),$B$427=1),$P$448,HLOOKUP(INDIRECT(ADDRESS(2,COLUMN())),OFFSET($AM$2,0,0,ROW()-1,33),ROW()-1,FALSE))</f>
        <v/>
      </c>
      <c r="Q23" t="str">
        <f ca="1">IF(AND(ISNUMBER($Q$448),$B$427=1),$Q$448,HLOOKUP(INDIRECT(ADDRESS(2,COLUMN())),OFFSET($AM$2,0,0,ROW()-1,33),ROW()-1,FALSE))</f>
        <v/>
      </c>
      <c r="R23" t="str">
        <f ca="1">IF(AND(ISNUMBER($R$448),$B$427=1),$R$448,HLOOKUP(INDIRECT(ADDRESS(2,COLUMN())),OFFSET($AM$2,0,0,ROW()-1,33),ROW()-1,FALSE))</f>
        <v/>
      </c>
      <c r="S23" t="str">
        <f ca="1">IF(AND(ISNUMBER($S$448),$B$427=1),$S$448,HLOOKUP(INDIRECT(ADDRESS(2,COLUMN())),OFFSET($AM$2,0,0,ROW()-1,33),ROW()-1,FALSE))</f>
        <v/>
      </c>
      <c r="T23" t="str">
        <f ca="1">IF(AND(ISNUMBER($T$448),$B$427=1),$T$448,HLOOKUP(INDIRECT(ADDRESS(2,COLUMN())),OFFSET($AM$2,0,0,ROW()-1,33),ROW()-1,FALSE))</f>
        <v/>
      </c>
      <c r="U23" t="str">
        <f ca="1">IF(AND(ISNUMBER($U$448),$B$427=1),$U$448,HLOOKUP(INDIRECT(ADDRESS(2,COLUMN())),OFFSET($AM$2,0,0,ROW()-1,33),ROW()-1,FALSE))</f>
        <v/>
      </c>
      <c r="V23" t="str">
        <f ca="1">IF(AND(ISNUMBER($V$448),$B$427=1),$V$448,HLOOKUP(INDIRECT(ADDRESS(2,COLUMN())),OFFSET($AM$2,0,0,ROW()-1,33),ROW()-1,FALSE))</f>
        <v/>
      </c>
      <c r="W23" t="str">
        <f ca="1">IF(AND(ISNUMBER($W$448),$B$427=1),$W$448,HLOOKUP(INDIRECT(ADDRESS(2,COLUMN())),OFFSET($AM$2,0,0,ROW()-1,33),ROW()-1,FALSE))</f>
        <v/>
      </c>
      <c r="X23" t="str">
        <f ca="1">IF(AND(ISNUMBER($X$448),$B$427=1),$X$448,HLOOKUP(INDIRECT(ADDRESS(2,COLUMN())),OFFSET($AM$2,0,0,ROW()-1,33),ROW()-1,FALSE))</f>
        <v/>
      </c>
      <c r="Y23" t="str">
        <f ca="1">IF(AND(ISNUMBER($Y$448),$B$427=1),$Y$448,HLOOKUP(INDIRECT(ADDRESS(2,COLUMN())),OFFSET($AM$2,0,0,ROW()-1,33),ROW()-1,FALSE))</f>
        <v/>
      </c>
      <c r="Z23" t="str">
        <f ca="1">IF(AND(ISNUMBER($Z$448),$B$427=1),$Z$448,HLOOKUP(INDIRECT(ADDRESS(2,COLUMN())),OFFSET($AM$2,0,0,ROW()-1,33),ROW()-1,FALSE))</f>
        <v/>
      </c>
      <c r="AA23" t="str">
        <f ca="1">IF(AND(ISNUMBER($AA$448),$B$427=1),$AA$448,HLOOKUP(INDIRECT(ADDRESS(2,COLUMN())),OFFSET($AM$2,0,0,ROW()-1,33),ROW()-1,FALSE))</f>
        <v/>
      </c>
      <c r="AB23" t="str">
        <f ca="1">IF(AND(ISNUMBER($AB$448),$B$427=1),$AB$448,HLOOKUP(INDIRECT(ADDRESS(2,COLUMN())),OFFSET($AM$2,0,0,ROW()-1,33),ROW()-1,FALSE))</f>
        <v/>
      </c>
      <c r="AC23" t="str">
        <f ca="1">IF(AND(ISNUMBER($AC$448),$B$427=1),$AC$448,HLOOKUP(INDIRECT(ADDRESS(2,COLUMN())),OFFSET($AM$2,0,0,ROW()-1,33),ROW()-1,FALSE))</f>
        <v/>
      </c>
      <c r="AD23" t="str">
        <f ca="1">IF(AND(ISNUMBER($AD$448),$B$427=1),$AD$448,HLOOKUP(INDIRECT(ADDRESS(2,COLUMN())),OFFSET($AM$2,0,0,ROW()-1,33),ROW()-1,FALSE))</f>
        <v/>
      </c>
      <c r="AE23" t="str">
        <f ca="1">IF(AND(ISNUMBER($AE$448),$B$427=1),$AE$448,HLOOKUP(INDIRECT(ADDRESS(2,COLUMN())),OFFSET($AM$2,0,0,ROW()-1,33),ROW()-1,FALSE))</f>
        <v/>
      </c>
      <c r="AF23" t="str">
        <f ca="1">IF(AND(ISNUMBER($AF$448),$B$427=1),$AF$448,HLOOKUP(INDIRECT(ADDRESS(2,COLUMN())),OFFSET($AM$2,0,0,ROW()-1,33),ROW()-1,FALSE))</f>
        <v/>
      </c>
      <c r="AG23" t="str">
        <f ca="1">IF(AND(ISNUMBER($AG$448),$B$427=1),$AG$448,HLOOKUP(INDIRECT(ADDRESS(2,COLUMN())),OFFSET($AM$2,0,0,ROW()-1,33),ROW()-1,FALSE))</f>
        <v/>
      </c>
      <c r="AH23" t="str">
        <f ca="1">IF(AND(ISNUMBER($AH$448),$B$427=1),$AH$448,HLOOKUP(INDIRECT(ADDRESS(2,COLUMN())),OFFSET($AM$2,0,0,ROW()-1,33),ROW()-1,FALSE))</f>
        <v/>
      </c>
      <c r="AI23" t="str">
        <f ca="1">IF(AND(ISNUMBER($AI$448),$B$427=1),$AI$448,HLOOKUP(INDIRECT(ADDRESS(2,COLUMN())),OFFSET($AM$2,0,0,ROW()-1,33),ROW()-1,FALSE))</f>
        <v/>
      </c>
      <c r="AJ23" t="str">
        <f ca="1">IF(AND(ISNUMBER($AJ$448),$B$427=1),$AJ$448,HLOOKUP(INDIRECT(ADDRESS(2,COLUMN())),OFFSET($AM$2,0,0,ROW()-1,33),ROW()-1,FALSE))</f>
        <v/>
      </c>
      <c r="AK23" t="str">
        <f ca="1">IF(AND(ISNUMBER($AK$448),$B$427=1),$AK$448,HLOOKUP(INDIRECT(ADDRESS(2,COLUMN())),OFFSET($AM$2,0,0,ROW()-1,33),ROW()-1,FALSE))</f>
        <v/>
      </c>
      <c r="AL23" t="str">
        <f ca="1">IF(AND(ISNUMBER($AL$448),$B$427=1),$AL$448,HLOOKUP(INDIRECT(ADDRESS(2,COLUMN())),OFFSET($AM$2,0,0,ROW()-1,33),ROW()-1,FALSE))</f>
        <v/>
      </c>
      <c r="AM23" t="str">
        <f>""</f>
        <v/>
      </c>
      <c r="AN23" t="str">
        <f>""</f>
        <v/>
      </c>
      <c r="AO23" t="str">
        <f>""</f>
        <v/>
      </c>
      <c r="AP23" t="str">
        <f>""</f>
        <v/>
      </c>
      <c r="AQ23" t="str">
        <f>""</f>
        <v/>
      </c>
      <c r="AR23" t="str">
        <f>""</f>
        <v/>
      </c>
      <c r="AS23" t="str">
        <f>""</f>
        <v/>
      </c>
      <c r="AT23" t="str">
        <f>""</f>
        <v/>
      </c>
      <c r="AU23" t="str">
        <f>""</f>
        <v/>
      </c>
      <c r="AV23" t="str">
        <f>""</f>
        <v/>
      </c>
      <c r="AW23" t="str">
        <f>""</f>
        <v/>
      </c>
      <c r="AX23" t="str">
        <f>""</f>
        <v/>
      </c>
      <c r="AY23" t="str">
        <f>""</f>
        <v/>
      </c>
      <c r="AZ23" t="str">
        <f>""</f>
        <v/>
      </c>
      <c r="BA23" t="str">
        <f>""</f>
        <v/>
      </c>
      <c r="BB23" t="str">
        <f>""</f>
        <v/>
      </c>
      <c r="BC23" t="str">
        <f>""</f>
        <v/>
      </c>
      <c r="BD23" t="str">
        <f>""</f>
        <v/>
      </c>
      <c r="BE23" t="str">
        <f>""</f>
        <v/>
      </c>
      <c r="BF23" t="str">
        <f>""</f>
        <v/>
      </c>
      <c r="BG23" t="str">
        <f>""</f>
        <v/>
      </c>
      <c r="BH23" t="str">
        <f>""</f>
        <v/>
      </c>
      <c r="BI23" t="str">
        <f>""</f>
        <v/>
      </c>
      <c r="BJ23" t="str">
        <f>""</f>
        <v/>
      </c>
      <c r="BK23" t="str">
        <f>""</f>
        <v/>
      </c>
      <c r="BL23" t="str">
        <f>""</f>
        <v/>
      </c>
      <c r="BM23" t="str">
        <f>""</f>
        <v/>
      </c>
      <c r="BN23" t="str">
        <f>""</f>
        <v/>
      </c>
      <c r="BO23" t="str">
        <f>""</f>
        <v/>
      </c>
      <c r="BP23" t="str">
        <f>""</f>
        <v/>
      </c>
      <c r="BQ23" t="str">
        <f>""</f>
        <v/>
      </c>
      <c r="BR23" t="str">
        <f>""</f>
        <v/>
      </c>
      <c r="BS23" t="str">
        <f>""</f>
        <v/>
      </c>
    </row>
    <row r="24" spans="1:71" x14ac:dyDescent="0.25">
      <c r="A24" t="str">
        <f>"US Real Estate Loans"</f>
        <v>US Real Estate Loans</v>
      </c>
      <c r="B24" t="str">
        <f>""</f>
        <v/>
      </c>
      <c r="E24" t="str">
        <f>"Expression"</f>
        <v>Expression</v>
      </c>
      <c r="F24">
        <f ca="1">IF(AND($B$427=1,LEN($F$69)&gt;0),$F$69,HLOOKUP(INDIRECT(ADDRESS(2,COLUMN())),OFFSET($AM$2,0,0,ROW()-1,33),ROW()-1,FALSE))</f>
        <v>2100171.9139999999</v>
      </c>
      <c r="G24">
        <f ca="1">IF(AND($B$427=1,LEN($G$69)&gt;0),$G$69,HLOOKUP(INDIRECT(ADDRESS(2,COLUMN())),OFFSET($AM$2,0,0,ROW()-1,33),ROW()-1,FALSE))</f>
        <v>2379961.4010000001</v>
      </c>
      <c r="H24">
        <f ca="1">IF(AND($B$427=1,LEN($H$69)&gt;0),$H$69,HLOOKUP(INDIRECT(ADDRESS(2,COLUMN())),OFFSET($AM$2,0,0,ROW()-1,33),ROW()-1,FALSE))</f>
        <v>2242313.642</v>
      </c>
      <c r="I24">
        <f ca="1">IF(AND($B$427=1,LEN($I$69)&gt;0),$I$69,HLOOKUP(INDIRECT(ADDRESS(2,COLUMN())),OFFSET($AM$2,0,0,ROW()-1,33),ROW()-1,FALSE))</f>
        <v>2056044.4750000001</v>
      </c>
      <c r="J24">
        <f ca="1">IF(AND($B$427=1,LEN($J$69)&gt;0),$J$69,HLOOKUP(INDIRECT(ADDRESS(2,COLUMN())),OFFSET($AM$2,0,0,ROW()-1,33),ROW()-1,FALSE))</f>
        <v>2023865.5349999999</v>
      </c>
      <c r="K24">
        <f ca="1">IF(AND($B$427=1,LEN($K$69)&gt;0),$K$69,HLOOKUP(INDIRECT(ADDRESS(2,COLUMN())),OFFSET($AM$2,0,0,ROW()-1,33),ROW()-1,FALSE))</f>
        <v>2052977.2290000001</v>
      </c>
      <c r="L24">
        <f ca="1">IF(AND($B$427=1,LEN($L$69)&gt;0),$L$69,HLOOKUP(INDIRECT(ADDRESS(2,COLUMN())),OFFSET($AM$2,0,0,ROW()-1,33),ROW()-1,FALSE))</f>
        <v>1969914.825</v>
      </c>
      <c r="M24">
        <f ca="1">IF(AND($B$427=1,LEN($M$69)&gt;0),$M$69,HLOOKUP(INDIRECT(ADDRESS(2,COLUMN())),OFFSET($AM$2,0,0,ROW()-1,33),ROW()-1,FALSE))</f>
        <v>1998009.0160000001</v>
      </c>
      <c r="N24">
        <f ca="1">IF(AND($B$427=1,LEN($N$69)&gt;0),$N$69,HLOOKUP(INDIRECT(ADDRESS(2,COLUMN())),OFFSET($AM$2,0,0,ROW()-1,33),ROW()-1,FALSE))</f>
        <v>2002414.98</v>
      </c>
      <c r="O24">
        <f ca="1">IF(AND($B$427=1,LEN($O$69)&gt;0),$O$69,HLOOKUP(INDIRECT(ADDRESS(2,COLUMN())),OFFSET($AM$2,0,0,ROW()-1,33),ROW()-1,FALSE))</f>
        <v>1934986.96</v>
      </c>
      <c r="P24">
        <f ca="1">IF(AND($B$427=1,LEN($P$69)&gt;0),$P$69,HLOOKUP(INDIRECT(ADDRESS(2,COLUMN())),OFFSET($AM$2,0,0,ROW()-1,33),ROW()-1,FALSE))</f>
        <v>1868855.9639999999</v>
      </c>
      <c r="Q24">
        <f ca="1">IF(AND($B$427=1,LEN($Q$69)&gt;0),$Q$69,HLOOKUP(INDIRECT(ADDRESS(2,COLUMN())),OFFSET($AM$2,0,0,ROW()-1,33),ROW()-1,FALSE))</f>
        <v>1905827.2790000001</v>
      </c>
      <c r="R24">
        <f ca="1">IF(AND($B$427=1,LEN($R$69)&gt;0),$R$69,HLOOKUP(INDIRECT(ADDRESS(2,COLUMN())),OFFSET($AM$2,0,0,ROW()-1,33),ROW()-1,FALSE))</f>
        <v>1998711.2660000001</v>
      </c>
      <c r="S24">
        <f ca="1">IF(AND($B$427=1,LEN($S$69)&gt;0),$S$69,HLOOKUP(INDIRECT(ADDRESS(2,COLUMN())),OFFSET($AM$2,0,0,ROW()-1,33),ROW()-1,FALSE))</f>
        <v>2005844.8019999999</v>
      </c>
      <c r="T24">
        <f ca="1">IF(AND($B$427=1,LEN($T$69)&gt;0),$T$69,HLOOKUP(INDIRECT(ADDRESS(2,COLUMN())),OFFSET($AM$2,0,0,ROW()-1,33),ROW()-1,FALSE))</f>
        <v>2089854.0249999999</v>
      </c>
      <c r="U24">
        <f ca="1">IF(AND($B$427=1,LEN($U$69)&gt;0),$U$69,HLOOKUP(INDIRECT(ADDRESS(2,COLUMN())),OFFSET($AM$2,0,0,ROW()-1,33),ROW()-1,FALSE))</f>
        <v>2208194.7069999999</v>
      </c>
      <c r="V24">
        <f ca="1">IF(AND($B$427=1,LEN($V$69)&gt;0),$V$69,HLOOKUP(INDIRECT(ADDRESS(2,COLUMN())),OFFSET($AM$2,0,0,ROW()-1,33),ROW()-1,FALSE))</f>
        <v>2267005.1030000001</v>
      </c>
      <c r="W24">
        <f ca="1">IF(AND($B$427=1,LEN($W$69)&gt;0),$W$69,HLOOKUP(INDIRECT(ADDRESS(2,COLUMN())),OFFSET($AM$2,0,0,ROW()-1,33),ROW()-1,FALSE))</f>
        <v>1715894.3840000001</v>
      </c>
      <c r="X24">
        <f ca="1">IF(AND($B$427=1,LEN($X$69)&gt;0),$X$69,HLOOKUP(INDIRECT(ADDRESS(2,COLUMN())),OFFSET($AM$2,0,0,ROW()-1,33),ROW()-1,FALSE))</f>
        <v>1166896.858</v>
      </c>
      <c r="Y24">
        <f ca="1">IF(AND($B$427=1,LEN($Y$69)&gt;0),$Y$69,HLOOKUP(INDIRECT(ADDRESS(2,COLUMN())),OFFSET($AM$2,0,0,ROW()-1,33),ROW()-1,FALSE))</f>
        <v>1026981.3</v>
      </c>
      <c r="Z24">
        <f ca="1">IF(AND($B$427=1,LEN($Z$69)&gt;0),$Z$69,HLOOKUP(INDIRECT(ADDRESS(2,COLUMN())),OFFSET($AM$2,0,0,ROW()-1,33),ROW()-1,FALSE))</f>
        <v>928103.69</v>
      </c>
      <c r="AA24">
        <f ca="1">IF(AND($B$427=1,LEN($AA$69)&gt;0),$AA$69,HLOOKUP(INDIRECT(ADDRESS(2,COLUMN())),OFFSET($AM$2,0,0,ROW()-1,33),ROW()-1,FALSE))</f>
        <v>683495.26599999995</v>
      </c>
      <c r="AB24">
        <f ca="1">IF(AND($B$427=1,LEN($AB$69)&gt;0),$AB$69,HLOOKUP(INDIRECT(ADDRESS(2,COLUMN())),OFFSET($AM$2,0,0,ROW()-1,33),ROW()-1,FALSE))</f>
        <v>593547.11499999999</v>
      </c>
      <c r="AC24">
        <f ca="1">IF(AND($B$427=1,LEN($AC$69)&gt;0),$AC$69,HLOOKUP(INDIRECT(ADDRESS(2,COLUMN())),OFFSET($AM$2,0,0,ROW()-1,33),ROW()-1,FALSE))</f>
        <v>451187.17700000003</v>
      </c>
      <c r="AD24">
        <f ca="1">IF(AND($B$427=1,LEN($AD$69)&gt;0),$AD$69,HLOOKUP(INDIRECT(ADDRESS(2,COLUMN())),OFFSET($AM$2,0,0,ROW()-1,33),ROW()-1,FALSE))</f>
        <v>205988.87100000001</v>
      </c>
      <c r="AE24">
        <f ca="1">IF(AND($B$427=1,LEN($AE$69)&gt;0),$AE$69,HLOOKUP(INDIRECT(ADDRESS(2,COLUMN())),OFFSET($AM$2,0,0,ROW()-1,33),ROW()-1,FALSE))</f>
        <v>176337.60200000001</v>
      </c>
      <c r="AF24">
        <f ca="1">IF(AND($B$427=1,LEN($AF$69)&gt;0),$AF$69,HLOOKUP(INDIRECT(ADDRESS(2,COLUMN())),OFFSET($AM$2,0,0,ROW()-1,33),ROW()-1,FALSE))</f>
        <v>172658.008</v>
      </c>
      <c r="AG24">
        <f ca="1">IF(AND($B$427=1,LEN($AG$69)&gt;0),$AG$69,HLOOKUP(INDIRECT(ADDRESS(2,COLUMN())),OFFSET($AM$2,0,0,ROW()-1,33),ROW()-1,FALSE))</f>
        <v>125620.73299999999</v>
      </c>
      <c r="AH24">
        <f ca="1">IF(AND($B$427=1,LEN($AH$69)&gt;0),$AH$69,HLOOKUP(INDIRECT(ADDRESS(2,COLUMN())),OFFSET($AM$2,0,0,ROW()-1,33),ROW()-1,FALSE))</f>
        <v>70376.448000000004</v>
      </c>
      <c r="AI24">
        <f ca="1">IF(AND($B$427=1,LEN($AI$69)&gt;0),$AI$69,HLOOKUP(INDIRECT(ADDRESS(2,COLUMN())),OFFSET($AM$2,0,0,ROW()-1,33),ROW()-1,FALSE))</f>
        <v>69439.539999999994</v>
      </c>
      <c r="AJ24">
        <f ca="1">IF(AND($B$427=1,LEN($AJ$69)&gt;0),$AJ$69,HLOOKUP(INDIRECT(ADDRESS(2,COLUMN())),OFFSET($AM$2,0,0,ROW()-1,33),ROW()-1,FALSE))</f>
        <v>45117.603000000003</v>
      </c>
      <c r="AK24">
        <f ca="1">IF(AND($B$427=1,LEN($AK$69)&gt;0),$AK$69,HLOOKUP(INDIRECT(ADDRESS(2,COLUMN())),OFFSET($AM$2,0,0,ROW()-1,33),ROW()-1,FALSE))</f>
        <v>33147.786999999997</v>
      </c>
      <c r="AL24">
        <f ca="1">IF(AND($B$427=1,LEN($AL$69)&gt;0),$AL$69,HLOOKUP(INDIRECT(ADDRESS(2,COLUMN())),OFFSET($AM$2,0,0,ROW()-1,33),ROW()-1,FALSE))</f>
        <v>22651.197</v>
      </c>
      <c r="AM24">
        <f>2100171.914</f>
        <v>2100171.9139999999</v>
      </c>
      <c r="AN24">
        <f>2379961.401</f>
        <v>2379961.4010000001</v>
      </c>
      <c r="AO24">
        <f>2242313.642</f>
        <v>2242313.642</v>
      </c>
      <c r="AP24">
        <f>2056044.475</f>
        <v>2056044.4750000001</v>
      </c>
      <c r="AQ24">
        <f>2023865.535</f>
        <v>2023865.5349999999</v>
      </c>
      <c r="AR24">
        <f>2052977.229</f>
        <v>2052977.2290000001</v>
      </c>
      <c r="AS24">
        <f>1969914.825</f>
        <v>1969914.825</v>
      </c>
      <c r="AT24">
        <f>1998009.016</f>
        <v>1998009.0160000001</v>
      </c>
      <c r="AU24">
        <f>2002414.98</f>
        <v>2002414.98</v>
      </c>
      <c r="AV24">
        <f>1934986.96</f>
        <v>1934986.96</v>
      </c>
      <c r="AW24">
        <f>1868855.964</f>
        <v>1868855.9639999999</v>
      </c>
      <c r="AX24">
        <f>1905827.279</f>
        <v>1905827.2790000001</v>
      </c>
      <c r="AY24">
        <f>1998711.266</f>
        <v>1998711.2660000001</v>
      </c>
      <c r="AZ24">
        <f>2005844.802</f>
        <v>2005844.8019999999</v>
      </c>
      <c r="BA24">
        <f>2089854.025</f>
        <v>2089854.0249999999</v>
      </c>
      <c r="BB24">
        <f>2208194.707</f>
        <v>2208194.7069999999</v>
      </c>
      <c r="BC24">
        <f>2267005.103</f>
        <v>2267005.1030000001</v>
      </c>
      <c r="BD24">
        <f>1715894.384</f>
        <v>1715894.3840000001</v>
      </c>
      <c r="BE24">
        <f>1166896.858</f>
        <v>1166896.858</v>
      </c>
      <c r="BF24">
        <f>1026981.3</f>
        <v>1026981.3</v>
      </c>
      <c r="BG24">
        <f>928103.69</f>
        <v>928103.69</v>
      </c>
      <c r="BH24">
        <f>683495.266</f>
        <v>683495.26599999995</v>
      </c>
      <c r="BI24">
        <f>593547.115</f>
        <v>593547.11499999999</v>
      </c>
      <c r="BJ24">
        <f>451187.177</f>
        <v>451187.17700000003</v>
      </c>
      <c r="BK24">
        <f>205988.871</f>
        <v>205988.87100000001</v>
      </c>
      <c r="BL24">
        <f>176337.602</f>
        <v>176337.60200000001</v>
      </c>
      <c r="BM24">
        <f>172658.008</f>
        <v>172658.008</v>
      </c>
      <c r="BN24">
        <f>125620.733</f>
        <v>125620.73299999999</v>
      </c>
      <c r="BO24">
        <f>70376.448</f>
        <v>70376.448000000004</v>
      </c>
      <c r="BP24">
        <f>69439.54</f>
        <v>69439.539999999994</v>
      </c>
      <c r="BQ24">
        <f>45117.603</f>
        <v>45117.603000000003</v>
      </c>
      <c r="BR24">
        <f>33147.787</f>
        <v>33147.786999999997</v>
      </c>
      <c r="BS24">
        <f>22651.197</f>
        <v>22651.197</v>
      </c>
    </row>
    <row r="25" spans="1:71" x14ac:dyDescent="0.25">
      <c r="A25" t="str">
        <f>"    Residential Real Estate"</f>
        <v xml:space="preserve">    Residential Real Estate</v>
      </c>
      <c r="B25" t="str">
        <f>""</f>
        <v/>
      </c>
      <c r="E25" t="str">
        <f>"Expression"</f>
        <v>Expression</v>
      </c>
      <c r="F25">
        <f ca="1">IF(AND($B$427=1,LEN($F$26)&gt;0),$F$26,HLOOKUP(INDIRECT(ADDRESS(2,COLUMN())),OFFSET($AM$2,0,0,ROW()-1,33),ROW()-1,FALSE))</f>
        <v>1359752.7790000001</v>
      </c>
      <c r="G25">
        <f ca="1">IF(AND($B$427=1,LEN($G$26)&gt;0),$G$26,HLOOKUP(INDIRECT(ADDRESS(2,COLUMN())),OFFSET($AM$2,0,0,ROW()-1,33),ROW()-1,FALSE))</f>
        <v>1501437.5079999999</v>
      </c>
      <c r="H25">
        <f ca="1">IF(AND($B$427=1,LEN($H$26)&gt;0),$H$26,HLOOKUP(INDIRECT(ADDRESS(2,COLUMN())),OFFSET($AM$2,0,0,ROW()-1,33),ROW()-1,FALSE))</f>
        <v>1400938.827</v>
      </c>
      <c r="I25">
        <f ca="1">IF(AND($B$427=1,LEN($I$26)&gt;0),$I$26,HLOOKUP(INDIRECT(ADDRESS(2,COLUMN())),OFFSET($AM$2,0,0,ROW()-1,33),ROW()-1,FALSE))</f>
        <v>1301431.267</v>
      </c>
      <c r="J25">
        <f ca="1">IF(AND($B$427=1,LEN($J$26)&gt;0),$J$26,HLOOKUP(INDIRECT(ADDRESS(2,COLUMN())),OFFSET($AM$2,0,0,ROW()-1,33),ROW()-1,FALSE))</f>
        <v>1299628.4069999999</v>
      </c>
      <c r="K25">
        <f ca="1">IF(AND($B$427=1,LEN($K$26)&gt;0),$K$26,HLOOKUP(INDIRECT(ADDRESS(2,COLUMN())),OFFSET($AM$2,0,0,ROW()-1,33),ROW()-1,FALSE))</f>
        <v>1338941.8640000001</v>
      </c>
      <c r="L25">
        <f ca="1">IF(AND($B$427=1,LEN($L$26)&gt;0),$L$26,HLOOKUP(INDIRECT(ADDRESS(2,COLUMN())),OFFSET($AM$2,0,0,ROW()-1,33),ROW()-1,FALSE))</f>
        <v>1296076.4890000001</v>
      </c>
      <c r="M25">
        <f ca="1">IF(AND($B$427=1,LEN($M$26)&gt;0),$M$26,HLOOKUP(INDIRECT(ADDRESS(2,COLUMN())),OFFSET($AM$2,0,0,ROW()-1,33),ROW()-1,FALSE))</f>
        <v>1327077.3419999999</v>
      </c>
      <c r="N25">
        <f ca="1">IF(AND($B$427=1,LEN($N$26)&gt;0),$N$26,HLOOKUP(INDIRECT(ADDRESS(2,COLUMN())),OFFSET($AM$2,0,0,ROW()-1,33),ROW()-1,FALSE))</f>
        <v>1333859.0530000001</v>
      </c>
      <c r="O25">
        <f ca="1">IF(AND($B$427=1,LEN($O$26)&gt;0),$O$26,HLOOKUP(INDIRECT(ADDRESS(2,COLUMN())),OFFSET($AM$2,0,0,ROW()-1,33),ROW()-1,FALSE))</f>
        <v>1321966.1610000001</v>
      </c>
      <c r="P25">
        <f ca="1">IF(AND($B$427=1,LEN($P$26)&gt;0),$P$26,HLOOKUP(INDIRECT(ADDRESS(2,COLUMN())),OFFSET($AM$2,0,0,ROW()-1,33),ROW()-1,FALSE))</f>
        <v>1315366.156</v>
      </c>
      <c r="Q25">
        <f ca="1">IF(AND($B$427=1,LEN($Q$26)&gt;0),$Q$26,HLOOKUP(INDIRECT(ADDRESS(2,COLUMN())),OFFSET($AM$2,0,0,ROW()-1,33),ROW()-1,FALSE))</f>
        <v>1368024.4820000001</v>
      </c>
      <c r="R25">
        <f ca="1">IF(AND($B$427=1,LEN($R$26)&gt;0),$R$26,HLOOKUP(INDIRECT(ADDRESS(2,COLUMN())),OFFSET($AM$2,0,0,ROW()-1,33),ROW()-1,FALSE))</f>
        <v>1474080.193</v>
      </c>
      <c r="S25">
        <f ca="1">IF(AND($B$427=1,LEN($S$26)&gt;0),$S$26,HLOOKUP(INDIRECT(ADDRESS(2,COLUMN())),OFFSET($AM$2,0,0,ROW()-1,33),ROW()-1,FALSE))</f>
        <v>1480835.446</v>
      </c>
      <c r="T25">
        <f ca="1">IF(AND($B$427=1,LEN($T$26)&gt;0),$T$26,HLOOKUP(INDIRECT(ADDRESS(2,COLUMN())),OFFSET($AM$2,0,0,ROW()-1,33),ROW()-1,FALSE))</f>
        <v>1536270.81</v>
      </c>
      <c r="U25">
        <f ca="1">IF(AND($B$427=1,LEN($U$26)&gt;0),$U$26,HLOOKUP(INDIRECT(ADDRESS(2,COLUMN())),OFFSET($AM$2,0,0,ROW()-1,33),ROW()-1,FALSE))</f>
        <v>1583952.155</v>
      </c>
      <c r="V25">
        <f ca="1">IF(AND($B$427=1,LEN($V$26)&gt;0),$V$26,HLOOKUP(INDIRECT(ADDRESS(2,COLUMN())),OFFSET($AM$2,0,0,ROW()-1,33),ROW()-1,FALSE))</f>
        <v>1632733.618</v>
      </c>
      <c r="W25">
        <f ca="1">IF(AND($B$427=1,LEN($W$26)&gt;0),$W$26,HLOOKUP(INDIRECT(ADDRESS(2,COLUMN())),OFFSET($AM$2,0,0,ROW()-1,33),ROW()-1,FALSE))</f>
        <v>1248489.263</v>
      </c>
      <c r="X25">
        <f ca="1">IF(AND($B$427=1,LEN($X$26)&gt;0),$X$26,HLOOKUP(INDIRECT(ADDRESS(2,COLUMN())),OFFSET($AM$2,0,0,ROW()-1,33),ROW()-1,FALSE))</f>
        <v>1110118.4069999999</v>
      </c>
      <c r="Y25">
        <f ca="1">IF(AND($B$427=1,LEN($Y$26)&gt;0),$Y$26,HLOOKUP(INDIRECT(ADDRESS(2,COLUMN())),OFFSET($AM$2,0,0,ROW()-1,33),ROW()-1,FALSE))</f>
        <v>979846.88</v>
      </c>
      <c r="Z25">
        <f ca="1">IF(AND($B$427=1,LEN($Z$26)&gt;0),$Z$26,HLOOKUP(INDIRECT(ADDRESS(2,COLUMN())),OFFSET($AM$2,0,0,ROW()-1,33),ROW()-1,FALSE))</f>
        <v>885831.44</v>
      </c>
      <c r="AA25">
        <f ca="1">IF(AND($B$427=1,LEN($AA$26)&gt;0),$AA$26,HLOOKUP(INDIRECT(ADDRESS(2,COLUMN())),OFFSET($AM$2,0,0,ROW()-1,33),ROW()-1,FALSE))</f>
        <v>650467.49600000004</v>
      </c>
      <c r="AB25">
        <f ca="1">IF(AND($B$427=1,LEN($AB$26)&gt;0),$AB$26,HLOOKUP(INDIRECT(ADDRESS(2,COLUMN())),OFFSET($AM$2,0,0,ROW()-1,33),ROW()-1,FALSE))</f>
        <v>563946.321</v>
      </c>
      <c r="AC25">
        <f ca="1">IF(AND($B$427=1,LEN($AC$26)&gt;0),$AC$26,HLOOKUP(INDIRECT(ADDRESS(2,COLUMN())),OFFSET($AM$2,0,0,ROW()-1,33),ROW()-1,FALSE))</f>
        <v>428282.90600000002</v>
      </c>
      <c r="AD25">
        <f ca="1">IF(AND($B$427=1,LEN($AD$26)&gt;0),$AD$26,HLOOKUP(INDIRECT(ADDRESS(2,COLUMN())),OFFSET($AM$2,0,0,ROW()-1,33),ROW()-1,FALSE))</f>
        <v>219473.25099999999</v>
      </c>
      <c r="AE25">
        <f ca="1">IF(AND($B$427=1,LEN($AE$26)&gt;0),$AE$26,HLOOKUP(INDIRECT(ADDRESS(2,COLUMN())),OFFSET($AM$2,0,0,ROW()-1,33),ROW()-1,FALSE))</f>
        <v>183366.72099999999</v>
      </c>
      <c r="AF25">
        <f ca="1">IF(AND($B$427=1,LEN($AF$26)&gt;0),$AF$26,HLOOKUP(INDIRECT(ADDRESS(2,COLUMN())),OFFSET($AM$2,0,0,ROW()-1,33),ROW()-1,FALSE))</f>
        <v>175434.785</v>
      </c>
      <c r="AG25">
        <f ca="1">IF(AND($B$427=1,LEN($AG$26)&gt;0),$AG$26,HLOOKUP(INDIRECT(ADDRESS(2,COLUMN())),OFFSET($AM$2,0,0,ROW()-1,33),ROW()-1,FALSE))</f>
        <v>119092.9</v>
      </c>
      <c r="AH25">
        <f ca="1">IF(AND($B$427=1,LEN($AH$26)&gt;0),$AH$26,HLOOKUP(INDIRECT(ADDRESS(2,COLUMN())),OFFSET($AM$2,0,0,ROW()-1,33),ROW()-1,FALSE))</f>
        <v>104166.985</v>
      </c>
      <c r="AI25">
        <f ca="1">IF(AND($B$427=1,LEN($AI$26)&gt;0),$AI$26,HLOOKUP(INDIRECT(ADDRESS(2,COLUMN())),OFFSET($AM$2,0,0,ROW()-1,33),ROW()-1,FALSE))</f>
        <v>86148.793000000005</v>
      </c>
      <c r="AJ25">
        <f ca="1">IF(AND($B$427=1,LEN($AJ$26)&gt;0),$AJ$26,HLOOKUP(INDIRECT(ADDRESS(2,COLUMN())),OFFSET($AM$2,0,0,ROW()-1,33),ROW()-1,FALSE))</f>
        <v>69262.251999999993</v>
      </c>
      <c r="AK25">
        <f ca="1">IF(AND($B$427=1,LEN($AK$26)&gt;0),$AK$26,HLOOKUP(INDIRECT(ADDRESS(2,COLUMN())),OFFSET($AM$2,0,0,ROW()-1,33),ROW()-1,FALSE))</f>
        <v>59307.785000000003</v>
      </c>
      <c r="AL25">
        <f ca="1">IF(AND($B$427=1,LEN($AL$26)&gt;0),$AL$26,HLOOKUP(INDIRECT(ADDRESS(2,COLUMN())),OFFSET($AM$2,0,0,ROW()-1,33),ROW()-1,FALSE))</f>
        <v>44826.048000000003</v>
      </c>
      <c r="AM25">
        <f>1359752.779</f>
        <v>1359752.7790000001</v>
      </c>
      <c r="AN25">
        <f>1501437.508</f>
        <v>1501437.5079999999</v>
      </c>
      <c r="AO25">
        <f>1400938.827</f>
        <v>1400938.827</v>
      </c>
      <c r="AP25">
        <f>1301431.267</f>
        <v>1301431.267</v>
      </c>
      <c r="AQ25">
        <f>1299628.407</f>
        <v>1299628.4069999999</v>
      </c>
      <c r="AR25">
        <f>1338941.864</f>
        <v>1338941.8640000001</v>
      </c>
      <c r="AS25">
        <f>1296076.489</f>
        <v>1296076.4890000001</v>
      </c>
      <c r="AT25">
        <f>1327077.342</f>
        <v>1327077.3419999999</v>
      </c>
      <c r="AU25">
        <f>1333859.053</f>
        <v>1333859.0530000001</v>
      </c>
      <c r="AV25">
        <f>1321966.161</f>
        <v>1321966.1610000001</v>
      </c>
      <c r="AW25">
        <f>1315366.156</f>
        <v>1315366.156</v>
      </c>
      <c r="AX25">
        <f>1368024.482</f>
        <v>1368024.4820000001</v>
      </c>
      <c r="AY25">
        <f>1474080.193</f>
        <v>1474080.193</v>
      </c>
      <c r="AZ25">
        <f>1480835.446</f>
        <v>1480835.446</v>
      </c>
      <c r="BA25">
        <f>1536270.81</f>
        <v>1536270.81</v>
      </c>
      <c r="BB25">
        <f>1583952.155</f>
        <v>1583952.155</v>
      </c>
      <c r="BC25">
        <f>1632733.618</f>
        <v>1632733.618</v>
      </c>
      <c r="BD25">
        <f>1248489.263</f>
        <v>1248489.263</v>
      </c>
      <c r="BE25">
        <f>1110118.407</f>
        <v>1110118.4069999999</v>
      </c>
      <c r="BF25">
        <f>979846.88</f>
        <v>979846.88</v>
      </c>
      <c r="BG25">
        <f>885831.44</f>
        <v>885831.44</v>
      </c>
      <c r="BH25">
        <f>650467.496</f>
        <v>650467.49600000004</v>
      </c>
      <c r="BI25">
        <f>563946.321</f>
        <v>563946.321</v>
      </c>
      <c r="BJ25">
        <f>428282.906</f>
        <v>428282.90600000002</v>
      </c>
      <c r="BK25">
        <f>219473.251</f>
        <v>219473.25099999999</v>
      </c>
      <c r="BL25">
        <f>183366.721</f>
        <v>183366.72099999999</v>
      </c>
      <c r="BM25">
        <f>175434.785</f>
        <v>175434.785</v>
      </c>
      <c r="BN25">
        <f>119092.9</f>
        <v>119092.9</v>
      </c>
      <c r="BO25">
        <f>104166.985</f>
        <v>104166.985</v>
      </c>
      <c r="BP25">
        <f>86148.793</f>
        <v>86148.793000000005</v>
      </c>
      <c r="BQ25">
        <f>69262.252</f>
        <v>69262.251999999993</v>
      </c>
      <c r="BR25">
        <f>59307.785</f>
        <v>59307.785000000003</v>
      </c>
      <c r="BS25">
        <f>44826.048</f>
        <v>44826.048000000003</v>
      </c>
    </row>
    <row r="26" spans="1:71" x14ac:dyDescent="0.25">
      <c r="A26" t="str">
        <f>"        Residential Real Estate by Company"</f>
        <v xml:space="preserve">        Residential Real Estate by Company</v>
      </c>
      <c r="B26" t="str">
        <f>""</f>
        <v/>
      </c>
      <c r="E26" t="str">
        <f>"Sum"</f>
        <v>Sum</v>
      </c>
      <c r="F26">
        <f ca="1">IF(ISERROR(IF(SUM($F$27:$F$46) = 0, "", SUM($F$27:$F$46))), "", (IF(SUM($F$27:$F$46) = 0, "", SUM($F$27:$F$46))))</f>
        <v>1359752.7790000001</v>
      </c>
      <c r="G26">
        <f ca="1">IF(ISERROR(IF(SUM($G$27:$G$46) = 0, "", SUM($G$27:$G$46))), "", (IF(SUM($G$27:$G$46) = 0, "", SUM($G$27:$G$46))))</f>
        <v>1501437.5079999999</v>
      </c>
      <c r="H26">
        <f ca="1">IF(ISERROR(IF(SUM($H$27:$H$46) = 0, "", SUM($H$27:$H$46))), "", (IF(SUM($H$27:$H$46) = 0, "", SUM($H$27:$H$46))))</f>
        <v>1400938.827</v>
      </c>
      <c r="I26">
        <f ca="1">IF(ISERROR(IF(SUM($I$27:$I$46) = 0, "", SUM($I$27:$I$46))), "", (IF(SUM($I$27:$I$46) = 0, "", SUM($I$27:$I$46))))</f>
        <v>1301431.267</v>
      </c>
      <c r="J26">
        <f ca="1">IF(ISERROR(IF(SUM($J$27:$J$46) = 0, "", SUM($J$27:$J$46))), "", (IF(SUM($J$27:$J$46) = 0, "", SUM($J$27:$J$46))))</f>
        <v>1299628.4069999997</v>
      </c>
      <c r="K26">
        <f ca="1">IF(ISERROR(IF(SUM($K$27:$K$46) = 0, "", SUM($K$27:$K$46))), "", (IF(SUM($K$27:$K$46) = 0, "", SUM($K$27:$K$46))))</f>
        <v>1338941.8640000003</v>
      </c>
      <c r="L26">
        <f ca="1">IF(ISERROR(IF(SUM($L$27:$L$46) = 0, "", SUM($L$27:$L$46))), "", (IF(SUM($L$27:$L$46) = 0, "", SUM($L$27:$L$46))))</f>
        <v>1296076.4890000001</v>
      </c>
      <c r="M26">
        <f ca="1">IF(ISERROR(IF(SUM($M$27:$M$46) = 0, "", SUM($M$27:$M$46))), "", (IF(SUM($M$27:$M$46) = 0, "", SUM($M$27:$M$46))))</f>
        <v>1327077.3419999997</v>
      </c>
      <c r="N26">
        <f ca="1">IF(ISERROR(IF(SUM($N$27:$N$46) = 0, "", SUM($N$27:$N$46))), "", (IF(SUM($N$27:$N$46) = 0, "", SUM($N$27:$N$46))))</f>
        <v>1333859.0530000001</v>
      </c>
      <c r="O26">
        <f ca="1">IF(ISERROR(IF(SUM($O$27:$O$46) = 0, "", SUM($O$27:$O$46))), "", (IF(SUM($O$27:$O$46) = 0, "", SUM($O$27:$O$46))))</f>
        <v>1321966.1609999998</v>
      </c>
      <c r="P26">
        <f ca="1">IF(ISERROR(IF(SUM($P$27:$P$46) = 0, "", SUM($P$27:$P$46))), "", (IF(SUM($P$27:$P$46) = 0, "", SUM($P$27:$P$46))))</f>
        <v>1315366.1559999997</v>
      </c>
      <c r="Q26">
        <f ca="1">IF(ISERROR(IF(SUM($Q$27:$Q$46) = 0, "", SUM($Q$27:$Q$46))), "", (IF(SUM($Q$27:$Q$46) = 0, "", SUM($Q$27:$Q$46))))</f>
        <v>1368024.4820000003</v>
      </c>
      <c r="R26">
        <f ca="1">IF(ISERROR(IF(SUM($R$27:$R$46) = 0, "", SUM($R$27:$R$46))), "", (IF(SUM($R$27:$R$46) = 0, "", SUM($R$27:$R$46))))</f>
        <v>1474080.1930000002</v>
      </c>
      <c r="S26">
        <f ca="1">IF(ISERROR(IF(SUM($S$27:$S$46) = 0, "", SUM($S$27:$S$46))), "", (IF(SUM($S$27:$S$46) = 0, "", SUM($S$27:$S$46))))</f>
        <v>1480835.4460000002</v>
      </c>
      <c r="T26">
        <f ca="1">IF(ISERROR(IF(SUM($T$27:$T$46) = 0, "", SUM($T$27:$T$46))), "", (IF(SUM($T$27:$T$46) = 0, "", SUM($T$27:$T$46))))</f>
        <v>1536270.81</v>
      </c>
      <c r="U26">
        <f ca="1">IF(ISERROR(IF(SUM($U$27:$U$46) = 0, "", SUM($U$27:$U$46))), "", (IF(SUM($U$27:$U$46) = 0, "", SUM($U$27:$U$46))))</f>
        <v>1583952.155</v>
      </c>
      <c r="V26">
        <f ca="1">IF(ISERROR(IF(SUM($V$27:$V$46) = 0, "", SUM($V$27:$V$46))), "", (IF(SUM($V$27:$V$46) = 0, "", SUM($V$27:$V$46))))</f>
        <v>1632733.6179999998</v>
      </c>
      <c r="W26">
        <f ca="1">IF(ISERROR(IF(SUM($W$27:$W$46) = 0, "", SUM($W$27:$W$46))), "", (IF(SUM($W$27:$W$46) = 0, "", SUM($W$27:$W$46))))</f>
        <v>1248489.263</v>
      </c>
      <c r="X26">
        <f ca="1">IF(ISERROR(IF(SUM($X$27:$X$46) = 0, "", SUM($X$27:$X$46))), "", (IF(SUM($X$27:$X$46) = 0, "", SUM($X$27:$X$46))))</f>
        <v>1110118.4070000004</v>
      </c>
      <c r="Y26">
        <f ca="1">IF(ISERROR(IF(SUM($Y$27:$Y$46) = 0, "", SUM($Y$27:$Y$46))), "", (IF(SUM($Y$27:$Y$46) = 0, "", SUM($Y$27:$Y$46))))</f>
        <v>979846.88</v>
      </c>
      <c r="Z26">
        <f ca="1">IF(ISERROR(IF(SUM($Z$27:$Z$46) = 0, "", SUM($Z$27:$Z$46))), "", (IF(SUM($Z$27:$Z$46) = 0, "", SUM($Z$27:$Z$46))))</f>
        <v>885831.44000000006</v>
      </c>
      <c r="AA26">
        <f ca="1">IF(ISERROR(IF(SUM($AA$27:$AA$46) = 0, "", SUM($AA$27:$AA$46))), "", (IF(SUM($AA$27:$AA$46) = 0, "", SUM($AA$27:$AA$46))))</f>
        <v>650467.49600000004</v>
      </c>
      <c r="AB26">
        <f ca="1">IF(ISERROR(IF(SUM($AB$27:$AB$46) = 0, "", SUM($AB$27:$AB$46))), "", (IF(SUM($AB$27:$AB$46) = 0, "", SUM($AB$27:$AB$46))))</f>
        <v>563946.321</v>
      </c>
      <c r="AC26">
        <f ca="1">IF(ISERROR(IF(SUM($AC$27:$AC$46) = 0, "", SUM($AC$27:$AC$46))), "", (IF(SUM($AC$27:$AC$46) = 0, "", SUM($AC$27:$AC$46))))</f>
        <v>428282.90599999996</v>
      </c>
      <c r="AD26">
        <f ca="1">IF(ISERROR(IF(SUM($AD$27:$AD$46) = 0, "", SUM($AD$27:$AD$46))), "", (IF(SUM($AD$27:$AD$46) = 0, "", SUM($AD$27:$AD$46))))</f>
        <v>219473.25099999999</v>
      </c>
      <c r="AE26">
        <f ca="1">IF(ISERROR(IF(SUM($AE$27:$AE$46) = 0, "", SUM($AE$27:$AE$46))), "", (IF(SUM($AE$27:$AE$46) = 0, "", SUM($AE$27:$AE$46))))</f>
        <v>183366.72099999999</v>
      </c>
      <c r="AF26">
        <f ca="1">IF(ISERROR(IF(SUM($AF$27:$AF$46) = 0, "", SUM($AF$27:$AF$46))), "", (IF(SUM($AF$27:$AF$46) = 0, "", SUM($AF$27:$AF$46))))</f>
        <v>175434.78499999997</v>
      </c>
      <c r="AG26">
        <f ca="1">IF(ISERROR(IF(SUM($AG$27:$AG$46) = 0, "", SUM($AG$27:$AG$46))), "", (IF(SUM($AG$27:$AG$46) = 0, "", SUM($AG$27:$AG$46))))</f>
        <v>119092.90000000002</v>
      </c>
      <c r="AH26">
        <f ca="1">IF(ISERROR(IF(SUM($AH$27:$AH$46) = 0, "", SUM($AH$27:$AH$46))), "", (IF(SUM($AH$27:$AH$46) = 0, "", SUM($AH$27:$AH$46))))</f>
        <v>104166.985</v>
      </c>
      <c r="AI26">
        <f ca="1">IF(ISERROR(IF(SUM($AI$27:$AI$46) = 0, "", SUM($AI$27:$AI$46))), "", (IF(SUM($AI$27:$AI$46) = 0, "", SUM($AI$27:$AI$46))))</f>
        <v>86148.793000000005</v>
      </c>
      <c r="AJ26">
        <f ca="1">IF(ISERROR(IF(SUM($AJ$27:$AJ$46) = 0, "", SUM($AJ$27:$AJ$46))), "", (IF(SUM($AJ$27:$AJ$46) = 0, "", SUM($AJ$27:$AJ$46))))</f>
        <v>69262.252000000008</v>
      </c>
      <c r="AK26">
        <f ca="1">IF(ISERROR(IF(SUM($AK$27:$AK$46) = 0, "", SUM($AK$27:$AK$46))), "", (IF(SUM($AK$27:$AK$46) = 0, "", SUM($AK$27:$AK$46))))</f>
        <v>59307.784999999989</v>
      </c>
      <c r="AL26">
        <f ca="1">IF(ISERROR(IF(SUM($AL$27:$AL$46) = 0, "", SUM($AL$27:$AL$46))), "", (IF(SUM($AL$27:$AL$46) = 0, "", SUM($AL$27:$AL$46))))</f>
        <v>44826.048000000003</v>
      </c>
      <c r="AM26">
        <f>1359752.779</f>
        <v>1359752.7790000001</v>
      </c>
      <c r="AN26">
        <f>1501437.508</f>
        <v>1501437.5079999999</v>
      </c>
      <c r="AO26">
        <f>1400938.827</f>
        <v>1400938.827</v>
      </c>
      <c r="AP26">
        <f>1301431.267</f>
        <v>1301431.267</v>
      </c>
      <c r="AQ26">
        <f>1299628.407</f>
        <v>1299628.4069999999</v>
      </c>
      <c r="AR26">
        <f>1338941.864</f>
        <v>1338941.8640000001</v>
      </c>
      <c r="AS26">
        <f>1296076.489</f>
        <v>1296076.4890000001</v>
      </c>
      <c r="AT26">
        <f>1327077.342</f>
        <v>1327077.3419999999</v>
      </c>
      <c r="AU26">
        <f>1333859.053</f>
        <v>1333859.0530000001</v>
      </c>
      <c r="AV26">
        <f>1321966.161</f>
        <v>1321966.1610000001</v>
      </c>
      <c r="AW26">
        <f>1315366.156</f>
        <v>1315366.156</v>
      </c>
      <c r="AX26">
        <f>1368024.482</f>
        <v>1368024.4820000001</v>
      </c>
      <c r="AY26">
        <f>1474080.193</f>
        <v>1474080.193</v>
      </c>
      <c r="AZ26">
        <f>1480835.446</f>
        <v>1480835.446</v>
      </c>
      <c r="BA26">
        <f>1536270.81</f>
        <v>1536270.81</v>
      </c>
      <c r="BB26">
        <f>1583952.155</f>
        <v>1583952.155</v>
      </c>
      <c r="BC26">
        <f>1632733.618</f>
        <v>1632733.618</v>
      </c>
      <c r="BD26">
        <f>1248489.263</f>
        <v>1248489.263</v>
      </c>
      <c r="BE26">
        <f>1110118.407</f>
        <v>1110118.4069999999</v>
      </c>
      <c r="BF26">
        <f>979846.88</f>
        <v>979846.88</v>
      </c>
      <c r="BG26">
        <f>885831.44</f>
        <v>885831.44</v>
      </c>
      <c r="BH26">
        <f>650467.496</f>
        <v>650467.49600000004</v>
      </c>
      <c r="BI26">
        <f>563946.321</f>
        <v>563946.321</v>
      </c>
      <c r="BJ26">
        <f>428282.906</f>
        <v>428282.90600000002</v>
      </c>
      <c r="BK26">
        <f>219473.251</f>
        <v>219473.25099999999</v>
      </c>
      <c r="BL26">
        <f>183366.721</f>
        <v>183366.72099999999</v>
      </c>
      <c r="BM26">
        <f>175434.785</f>
        <v>175434.785</v>
      </c>
      <c r="BN26">
        <f>119092.9</f>
        <v>119092.9</v>
      </c>
      <c r="BO26">
        <f>104166.985</f>
        <v>104166.985</v>
      </c>
      <c r="BP26">
        <f>86148.793</f>
        <v>86148.793000000005</v>
      </c>
      <c r="BQ26">
        <f>69262.252</f>
        <v>69262.251999999993</v>
      </c>
      <c r="BR26">
        <f>59307.785</f>
        <v>59307.785000000003</v>
      </c>
      <c r="BS26">
        <f>44826.048</f>
        <v>44826.048000000003</v>
      </c>
    </row>
    <row r="27" spans="1:71" x14ac:dyDescent="0.25">
      <c r="A27" t="str">
        <f>"            Bank of America Corp"</f>
        <v xml:space="preserve">            Bank of America Corp</v>
      </c>
      <c r="B27" t="str">
        <f>"BAC US Equity"</f>
        <v>BAC US Equity</v>
      </c>
      <c r="C27" t="str">
        <f t="shared" ref="C27:C46" si="3">"FC004"</f>
        <v>FC004</v>
      </c>
      <c r="D27" t="str">
        <f t="shared" ref="D27:D46" si="4">"FDIC_FAM_RESIDENT_LOANS"</f>
        <v>FDIC_FAM_RESIDENT_LOANS</v>
      </c>
      <c r="E27" t="str">
        <f t="shared" ref="E27:E46" si="5">"Dynamic"</f>
        <v>Dynamic</v>
      </c>
      <c r="F27">
        <f ca="1">IF(AND(ISNUMBER($F$449),$B$427=1),$F$449,HLOOKUP(INDIRECT(ADDRESS(2,COLUMN())),OFFSET($AM$2,0,0,ROW()-1,33),ROW()-1,FALSE))</f>
        <v>254697</v>
      </c>
      <c r="G27">
        <f ca="1">IF(AND(ISNUMBER($G$449),$B$427=1),$G$449,HLOOKUP(INDIRECT(ADDRESS(2,COLUMN())),OFFSET($AM$2,0,0,ROW()-1,33),ROW()-1,FALSE))</f>
        <v>255302</v>
      </c>
      <c r="H27">
        <f ca="1">IF(AND(ISNUMBER($H$449),$B$427=1),$H$449,HLOOKUP(INDIRECT(ADDRESS(2,COLUMN())),OFFSET($AM$2,0,0,ROW()-1,33),ROW()-1,FALSE))</f>
        <v>256813</v>
      </c>
      <c r="I27">
        <f ca="1">IF(AND(ISNUMBER($I$449),$B$427=1),$I$449,HLOOKUP(INDIRECT(ADDRESS(2,COLUMN())),OFFSET($AM$2,0,0,ROW()-1,33),ROW()-1,FALSE))</f>
        <v>252380</v>
      </c>
      <c r="J27">
        <f ca="1">IF(AND(ISNUMBER($J$449),$B$427=1),$J$449,HLOOKUP(INDIRECT(ADDRESS(2,COLUMN())),OFFSET($AM$2,0,0,ROW()-1,33),ROW()-1,FALSE))</f>
        <v>258879</v>
      </c>
      <c r="K27">
        <f ca="1">IF(AND(ISNUMBER($K$449),$B$427=1),$K$449,HLOOKUP(INDIRECT(ADDRESS(2,COLUMN())),OFFSET($AM$2,0,0,ROW()-1,33),ROW()-1,FALSE))</f>
        <v>278413</v>
      </c>
      <c r="L27">
        <f ca="1">IF(AND(ISNUMBER($L$449),$B$427=1),$L$449,HLOOKUP(INDIRECT(ADDRESS(2,COLUMN())),OFFSET($AM$2,0,0,ROW()-1,33),ROW()-1,FALSE))</f>
        <v>258145</v>
      </c>
      <c r="M27">
        <f ca="1">IF(AND(ISNUMBER($M$449),$B$427=1),$M$449,HLOOKUP(INDIRECT(ADDRESS(2,COLUMN())),OFFSET($AM$2,0,0,ROW()-1,33),ROW()-1,FALSE))</f>
        <v>262960</v>
      </c>
      <c r="N27">
        <f ca="1">IF(AND(ISNUMBER($N$449),$B$427=1),$N$449,HLOOKUP(INDIRECT(ADDRESS(2,COLUMN())),OFFSET($AM$2,0,0,ROW()-1,33),ROW()-1,FALSE))</f>
        <v>261525</v>
      </c>
      <c r="O27">
        <f ca="1">IF(AND(ISNUMBER($O$449),$B$427=1),$O$449,HLOOKUP(INDIRECT(ADDRESS(2,COLUMN())),OFFSET($AM$2,0,0,ROW()-1,33),ROW()-1,FALSE))</f>
        <v>267581</v>
      </c>
      <c r="P27">
        <f ca="1">IF(AND(ISNUMBER($P$449),$B$427=1),$P$449,HLOOKUP(INDIRECT(ADDRESS(2,COLUMN())),OFFSET($AM$2,0,0,ROW()-1,33),ROW()-1,FALSE))</f>
        <v>306330</v>
      </c>
      <c r="Q27">
        <f ca="1">IF(AND(ISNUMBER($Q$449),$B$427=1),$Q$449,HLOOKUP(INDIRECT(ADDRESS(2,COLUMN())),OFFSET($AM$2,0,0,ROW()-1,33),ROW()-1,FALSE))</f>
        <v>349108</v>
      </c>
      <c r="R27">
        <f ca="1">IF(AND(ISNUMBER($R$449),$B$427=1),$R$449,HLOOKUP(INDIRECT(ADDRESS(2,COLUMN())),OFFSET($AM$2,0,0,ROW()-1,33),ROW()-1,FALSE))</f>
        <v>380565.255</v>
      </c>
      <c r="S27">
        <f ca="1">IF(AND(ISNUMBER($S$449),$B$427=1),$S$449,HLOOKUP(INDIRECT(ADDRESS(2,COLUMN())),OFFSET($AM$2,0,0,ROW()-1,33),ROW()-1,FALSE))</f>
        <v>415799.516</v>
      </c>
      <c r="T27">
        <f ca="1">IF(AND(ISNUMBER($T$449),$B$427=1),$T$449,HLOOKUP(INDIRECT(ADDRESS(2,COLUMN())),OFFSET($AM$2,0,0,ROW()-1,33),ROW()-1,FALSE))</f>
        <v>433240.53200000001</v>
      </c>
      <c r="U27">
        <f ca="1">IF(AND(ISNUMBER($U$449),$B$427=1),$U$449,HLOOKUP(INDIRECT(ADDRESS(2,COLUMN())),OFFSET($AM$2,0,0,ROW()-1,33),ROW()-1,FALSE))</f>
        <v>443224.63099999999</v>
      </c>
      <c r="V27">
        <f ca="1">IF(AND(ISNUMBER($V$449),$B$427=1),$V$449,HLOOKUP(INDIRECT(ADDRESS(2,COLUMN())),OFFSET($AM$2,0,0,ROW()-1,33),ROW()-1,FALSE))</f>
        <v>428782.25900000002</v>
      </c>
      <c r="W27">
        <f ca="1">IF(AND(ISNUMBER($W$449),$B$427=1),$W$449,HLOOKUP(INDIRECT(ADDRESS(2,COLUMN())),OFFSET($AM$2,0,0,ROW()-1,33),ROW()-1,FALSE))</f>
        <v>394835.24699999997</v>
      </c>
      <c r="X27">
        <f ca="1">IF(AND(ISNUMBER($X$449),$B$427=1),$X$449,HLOOKUP(INDIRECT(ADDRESS(2,COLUMN())),OFFSET($AM$2,0,0,ROW()-1,33),ROW()-1,FALSE))</f>
        <v>316728.42499999999</v>
      </c>
      <c r="Y27">
        <f ca="1">IF(AND(ISNUMBER($Y$449),$B$427=1),$Y$449,HLOOKUP(INDIRECT(ADDRESS(2,COLUMN())),OFFSET($AM$2,0,0,ROW()-1,33),ROW()-1,FALSE))</f>
        <v>250411.147</v>
      </c>
      <c r="Z27">
        <f ca="1">IF(AND(ISNUMBER($Z$449),$B$427=1),$Z$449,HLOOKUP(INDIRECT(ADDRESS(2,COLUMN())),OFFSET($AM$2,0,0,ROW()-1,33),ROW()-1,FALSE))</f>
        <v>235816.04800000001</v>
      </c>
      <c r="AA27">
        <f ca="1">IF(AND(ISNUMBER($AA$449),$B$427=1),$AA$449,HLOOKUP(INDIRECT(ADDRESS(2,COLUMN())),OFFSET($AM$2,0,0,ROW()-1,33),ROW()-1,FALSE))</f>
        <v>170819.649</v>
      </c>
      <c r="AB27">
        <f ca="1">IF(AND(ISNUMBER($AB$449),$B$427=1),$AB$449,HLOOKUP(INDIRECT(ADDRESS(2,COLUMN())),OFFSET($AM$2,0,0,ROW()-1,33),ROW()-1,FALSE))</f>
        <v>144039</v>
      </c>
      <c r="AC27">
        <f ca="1">IF(AND(ISNUMBER($AC$449),$B$427=1),$AC$449,HLOOKUP(INDIRECT(ADDRESS(2,COLUMN())),OFFSET($AM$2,0,0,ROW()-1,33),ROW()-1,FALSE))</f>
        <v>101953</v>
      </c>
      <c r="AD27" t="str">
        <f ca="1">IF(AND(ISNUMBER($AD$449),$B$427=1),$AD$449,HLOOKUP(INDIRECT(ADDRESS(2,COLUMN())),OFFSET($AM$2,0,0,ROW()-1,33),ROW()-1,FALSE))</f>
        <v/>
      </c>
      <c r="AE27" t="str">
        <f ca="1">IF(AND(ISNUMBER($AE$449),$B$427=1),$AE$449,HLOOKUP(INDIRECT(ADDRESS(2,COLUMN())),OFFSET($AM$2,0,0,ROW()-1,33),ROW()-1,FALSE))</f>
        <v/>
      </c>
      <c r="AF27" t="str">
        <f ca="1">IF(AND(ISNUMBER($AF$449),$B$427=1),$AF$449,HLOOKUP(INDIRECT(ADDRESS(2,COLUMN())),OFFSET($AM$2,0,0,ROW()-1,33),ROW()-1,FALSE))</f>
        <v/>
      </c>
      <c r="AG27" t="str">
        <f ca="1">IF(AND(ISNUMBER($AG$449),$B$427=1),$AG$449,HLOOKUP(INDIRECT(ADDRESS(2,COLUMN())),OFFSET($AM$2,0,0,ROW()-1,33),ROW()-1,FALSE))</f>
        <v/>
      </c>
      <c r="AH27" t="str">
        <f ca="1">IF(AND(ISNUMBER($AH$449),$B$427=1),$AH$449,HLOOKUP(INDIRECT(ADDRESS(2,COLUMN())),OFFSET($AM$2,0,0,ROW()-1,33),ROW()-1,FALSE))</f>
        <v/>
      </c>
      <c r="AI27" t="str">
        <f ca="1">IF(AND(ISNUMBER($AI$449),$B$427=1),$AI$449,HLOOKUP(INDIRECT(ADDRESS(2,COLUMN())),OFFSET($AM$2,0,0,ROW()-1,33),ROW()-1,FALSE))</f>
        <v/>
      </c>
      <c r="AJ27" t="str">
        <f ca="1">IF(AND(ISNUMBER($AJ$449),$B$427=1),$AJ$449,HLOOKUP(INDIRECT(ADDRESS(2,COLUMN())),OFFSET($AM$2,0,0,ROW()-1,33),ROW()-1,FALSE))</f>
        <v/>
      </c>
      <c r="AK27" t="str">
        <f ca="1">IF(AND(ISNUMBER($AK$449),$B$427=1),$AK$449,HLOOKUP(INDIRECT(ADDRESS(2,COLUMN())),OFFSET($AM$2,0,0,ROW()-1,33),ROW()-1,FALSE))</f>
        <v/>
      </c>
      <c r="AL27" t="str">
        <f ca="1">IF(AND(ISNUMBER($AL$449),$B$427=1),$AL$449,HLOOKUP(INDIRECT(ADDRESS(2,COLUMN())),OFFSET($AM$2,0,0,ROW()-1,33),ROW()-1,FALSE))</f>
        <v/>
      </c>
      <c r="AM27">
        <f>254697</f>
        <v>254697</v>
      </c>
      <c r="AN27">
        <f>255302</f>
        <v>255302</v>
      </c>
      <c r="AO27">
        <f>256813</f>
        <v>256813</v>
      </c>
      <c r="AP27">
        <f>252380</f>
        <v>252380</v>
      </c>
      <c r="AQ27">
        <f>258879</f>
        <v>258879</v>
      </c>
      <c r="AR27">
        <f>278413</f>
        <v>278413</v>
      </c>
      <c r="AS27">
        <f>258145</f>
        <v>258145</v>
      </c>
      <c r="AT27">
        <f>262960</f>
        <v>262960</v>
      </c>
      <c r="AU27">
        <f>261525</f>
        <v>261525</v>
      </c>
      <c r="AV27">
        <f>267581</f>
        <v>267581</v>
      </c>
      <c r="AW27">
        <f>306330</f>
        <v>306330</v>
      </c>
      <c r="AX27">
        <f>349108</f>
        <v>349108</v>
      </c>
      <c r="AY27">
        <f>380565.255</f>
        <v>380565.255</v>
      </c>
      <c r="AZ27">
        <f>415799.516</f>
        <v>415799.516</v>
      </c>
      <c r="BA27">
        <f>433240.532</f>
        <v>433240.53200000001</v>
      </c>
      <c r="BB27">
        <f>443224.631</f>
        <v>443224.63099999999</v>
      </c>
      <c r="BC27">
        <f>428782.259</f>
        <v>428782.25900000002</v>
      </c>
      <c r="BD27">
        <f>394835.247</f>
        <v>394835.24699999997</v>
      </c>
      <c r="BE27">
        <f>316728.425</f>
        <v>316728.42499999999</v>
      </c>
      <c r="BF27">
        <f>250411.147</f>
        <v>250411.147</v>
      </c>
      <c r="BG27">
        <f>235816.048</f>
        <v>235816.04800000001</v>
      </c>
      <c r="BH27">
        <f>170819.649</f>
        <v>170819.649</v>
      </c>
      <c r="BI27">
        <f>144039</f>
        <v>144039</v>
      </c>
      <c r="BJ27">
        <f>101953</f>
        <v>101953</v>
      </c>
      <c r="BK27" t="str">
        <f>""</f>
        <v/>
      </c>
      <c r="BL27" t="str">
        <f>""</f>
        <v/>
      </c>
      <c r="BM27" t="str">
        <f>""</f>
        <v/>
      </c>
      <c r="BN27" t="str">
        <f>""</f>
        <v/>
      </c>
      <c r="BO27" t="str">
        <f>""</f>
        <v/>
      </c>
      <c r="BP27" t="str">
        <f>""</f>
        <v/>
      </c>
      <c r="BQ27" t="str">
        <f>""</f>
        <v/>
      </c>
      <c r="BR27" t="str">
        <f>""</f>
        <v/>
      </c>
      <c r="BS27" t="str">
        <f>""</f>
        <v/>
      </c>
    </row>
    <row r="28" spans="1:71" x14ac:dyDescent="0.25">
      <c r="A28" t="str">
        <f>"            Citigroup Inc"</f>
        <v xml:space="preserve">            Citigroup Inc</v>
      </c>
      <c r="B28" t="str">
        <f>"C US Equity"</f>
        <v>C US Equity</v>
      </c>
      <c r="C28" t="str">
        <f t="shared" si="3"/>
        <v>FC004</v>
      </c>
      <c r="D28" t="str">
        <f t="shared" si="4"/>
        <v>FDIC_FAM_RESIDENT_LOANS</v>
      </c>
      <c r="E28" t="str">
        <f t="shared" si="5"/>
        <v>Dynamic</v>
      </c>
      <c r="F28">
        <f ca="1">IF(AND(ISNUMBER($F$450),$B$427=1),$F$450,HLOOKUP(INDIRECT(ADDRESS(2,COLUMN())),OFFSET($AM$2,0,0,ROW()-1,33),ROW()-1,FALSE))</f>
        <v>118468</v>
      </c>
      <c r="G28">
        <f ca="1">IF(AND(ISNUMBER($G$450),$B$427=1),$G$450,HLOOKUP(INDIRECT(ADDRESS(2,COLUMN())),OFFSET($AM$2,0,0,ROW()-1,33),ROW()-1,FALSE))</f>
        <v>112986</v>
      </c>
      <c r="H28">
        <f ca="1">IF(AND(ISNUMBER($H$450),$B$427=1),$H$450,HLOOKUP(INDIRECT(ADDRESS(2,COLUMN())),OFFSET($AM$2,0,0,ROW()-1,33),ROW()-1,FALSE))</f>
        <v>101591</v>
      </c>
      <c r="I28">
        <f ca="1">IF(AND(ISNUMBER($I$450),$B$427=1),$I$450,HLOOKUP(INDIRECT(ADDRESS(2,COLUMN())),OFFSET($AM$2,0,0,ROW()-1,33),ROW()-1,FALSE))</f>
        <v>92493</v>
      </c>
      <c r="J28">
        <f ca="1">IF(AND(ISNUMBER($J$450),$B$427=1),$J$450,HLOOKUP(INDIRECT(ADDRESS(2,COLUMN())),OFFSET($AM$2,0,0,ROW()-1,33),ROW()-1,FALSE))</f>
        <v>93950</v>
      </c>
      <c r="K28">
        <f ca="1">IF(AND(ISNUMBER($K$450),$B$427=1),$K$450,HLOOKUP(INDIRECT(ADDRESS(2,COLUMN())),OFFSET($AM$2,0,0,ROW()-1,33),ROW()-1,FALSE))</f>
        <v>90884</v>
      </c>
      <c r="L28">
        <f ca="1">IF(AND(ISNUMBER($L$450),$B$427=1),$L$450,HLOOKUP(INDIRECT(ADDRESS(2,COLUMN())),OFFSET($AM$2,0,0,ROW()-1,33),ROW()-1,FALSE))</f>
        <v>88632</v>
      </c>
      <c r="M28">
        <f ca="1">IF(AND(ISNUMBER($M$450),$B$427=1),$M$450,HLOOKUP(INDIRECT(ADDRESS(2,COLUMN())),OFFSET($AM$2,0,0,ROW()-1,33),ROW()-1,FALSE))</f>
        <v>92045</v>
      </c>
      <c r="N28">
        <f ca="1">IF(AND(ISNUMBER($N$450),$B$427=1),$N$450,HLOOKUP(INDIRECT(ADDRESS(2,COLUMN())),OFFSET($AM$2,0,0,ROW()-1,33),ROW()-1,FALSE))</f>
        <v>99813</v>
      </c>
      <c r="O28">
        <f ca="1">IF(AND(ISNUMBER($O$450),$B$427=1),$O$450,HLOOKUP(INDIRECT(ADDRESS(2,COLUMN())),OFFSET($AM$2,0,0,ROW()-1,33),ROW()-1,FALSE))</f>
        <v>108860</v>
      </c>
      <c r="P28">
        <f ca="1">IF(AND(ISNUMBER($P$450),$B$427=1),$P$450,HLOOKUP(INDIRECT(ADDRESS(2,COLUMN())),OFFSET($AM$2,0,0,ROW()-1,33),ROW()-1,FALSE))</f>
        <v>118221</v>
      </c>
      <c r="Q28">
        <f ca="1">IF(AND(ISNUMBER($Q$450),$B$427=1),$Q$450,HLOOKUP(INDIRECT(ADDRESS(2,COLUMN())),OFFSET($AM$2,0,0,ROW()-1,33),ROW()-1,FALSE))</f>
        <v>127575</v>
      </c>
      <c r="R28">
        <f ca="1">IF(AND(ISNUMBER($R$450),$B$427=1),$R$450,HLOOKUP(INDIRECT(ADDRESS(2,COLUMN())),OFFSET($AM$2,0,0,ROW()-1,33),ROW()-1,FALSE))</f>
        <v>148171</v>
      </c>
      <c r="S28">
        <f ca="1">IF(AND(ISNUMBER($S$450),$B$427=1),$S$450,HLOOKUP(INDIRECT(ADDRESS(2,COLUMN())),OFFSET($AM$2,0,0,ROW()-1,33),ROW()-1,FALSE))</f>
        <v>158689</v>
      </c>
      <c r="T28">
        <f ca="1">IF(AND(ISNUMBER($T$450),$B$427=1),$T$450,HLOOKUP(INDIRECT(ADDRESS(2,COLUMN())),OFFSET($AM$2,0,0,ROW()-1,33),ROW()-1,FALSE))</f>
        <v>168282</v>
      </c>
      <c r="U28">
        <f ca="1">IF(AND(ISNUMBER($U$450),$B$427=1),$U$450,HLOOKUP(INDIRECT(ADDRESS(2,COLUMN())),OFFSET($AM$2,0,0,ROW()-1,33),ROW()-1,FALSE))</f>
        <v>190434</v>
      </c>
      <c r="V28">
        <f ca="1">IF(AND(ISNUMBER($V$450),$B$427=1),$V$450,HLOOKUP(INDIRECT(ADDRESS(2,COLUMN())),OFFSET($AM$2,0,0,ROW()-1,33),ROW()-1,FALSE))</f>
        <v>219875</v>
      </c>
      <c r="W28">
        <f ca="1">IF(AND(ISNUMBER($W$450),$B$427=1),$W$450,HLOOKUP(INDIRECT(ADDRESS(2,COLUMN())),OFFSET($AM$2,0,0,ROW()-1,33),ROW()-1,FALSE))</f>
        <v>242468</v>
      </c>
      <c r="X28">
        <f ca="1">IF(AND(ISNUMBER($X$450),$B$427=1),$X$450,HLOOKUP(INDIRECT(ADDRESS(2,COLUMN())),OFFSET($AM$2,0,0,ROW()-1,33),ROW()-1,FALSE))</f>
        <v>217882</v>
      </c>
      <c r="Y28">
        <f ca="1">IF(AND(ISNUMBER($Y$450),$B$427=1),$Y$450,HLOOKUP(INDIRECT(ADDRESS(2,COLUMN())),OFFSET($AM$2,0,0,ROW()-1,33),ROW()-1,FALSE))</f>
        <v>182699</v>
      </c>
      <c r="Z28">
        <f ca="1">IF(AND(ISNUMBER($Z$450),$B$427=1),$Z$450,HLOOKUP(INDIRECT(ADDRESS(2,COLUMN())),OFFSET($AM$2,0,0,ROW()-1,33),ROW()-1,FALSE))</f>
        <v>155805</v>
      </c>
      <c r="AA28">
        <f ca="1">IF(AND(ISNUMBER($AA$450),$B$427=1),$AA$450,HLOOKUP(INDIRECT(ADDRESS(2,COLUMN())),OFFSET($AM$2,0,0,ROW()-1,33),ROW()-1,FALSE))</f>
        <v>124745</v>
      </c>
      <c r="AB28">
        <f ca="1">IF(AND(ISNUMBER($AB$450),$B$427=1),$AB$450,HLOOKUP(INDIRECT(ADDRESS(2,COLUMN())),OFFSET($AM$2,0,0,ROW()-1,33),ROW()-1,FALSE))</f>
        <v>117363</v>
      </c>
      <c r="AC28">
        <f ca="1">IF(AND(ISNUMBER($AC$450),$B$427=1),$AC$450,HLOOKUP(INDIRECT(ADDRESS(2,COLUMN())),OFFSET($AM$2,0,0,ROW()-1,33),ROW()-1,FALSE))</f>
        <v>81032</v>
      </c>
      <c r="AD28">
        <f ca="1">IF(AND(ISNUMBER($AD$450),$B$427=1),$AD$450,HLOOKUP(INDIRECT(ADDRESS(2,COLUMN())),OFFSET($AM$2,0,0,ROW()-1,33),ROW()-1,FALSE))</f>
        <v>38289.023999999998</v>
      </c>
      <c r="AE28">
        <f ca="1">IF(AND(ISNUMBER($AE$450),$B$427=1),$AE$450,HLOOKUP(INDIRECT(ADDRESS(2,COLUMN())),OFFSET($AM$2,0,0,ROW()-1,33),ROW()-1,FALSE))</f>
        <v>28717.59</v>
      </c>
      <c r="AF28">
        <f ca="1">IF(AND(ISNUMBER($AF$450),$B$427=1),$AF$450,HLOOKUP(INDIRECT(ADDRESS(2,COLUMN())),OFFSET($AM$2,0,0,ROW()-1,33),ROW()-1,FALSE))</f>
        <v>23425.052</v>
      </c>
      <c r="AG28" t="str">
        <f ca="1">IF(AND(ISNUMBER($AG$450),$B$427=1),$AG$450,HLOOKUP(INDIRECT(ADDRESS(2,COLUMN())),OFFSET($AM$2,0,0,ROW()-1,33),ROW()-1,FALSE))</f>
        <v/>
      </c>
      <c r="AH28" t="str">
        <f ca="1">IF(AND(ISNUMBER($AH$450),$B$427=1),$AH$450,HLOOKUP(INDIRECT(ADDRESS(2,COLUMN())),OFFSET($AM$2,0,0,ROW()-1,33),ROW()-1,FALSE))</f>
        <v/>
      </c>
      <c r="AI28" t="str">
        <f ca="1">IF(AND(ISNUMBER($AI$450),$B$427=1),$AI$450,HLOOKUP(INDIRECT(ADDRESS(2,COLUMN())),OFFSET($AM$2,0,0,ROW()-1,33),ROW()-1,FALSE))</f>
        <v/>
      </c>
      <c r="AJ28" t="str">
        <f ca="1">IF(AND(ISNUMBER($AJ$450),$B$427=1),$AJ$450,HLOOKUP(INDIRECT(ADDRESS(2,COLUMN())),OFFSET($AM$2,0,0,ROW()-1,33),ROW()-1,FALSE))</f>
        <v/>
      </c>
      <c r="AK28" t="str">
        <f ca="1">IF(AND(ISNUMBER($AK$450),$B$427=1),$AK$450,HLOOKUP(INDIRECT(ADDRESS(2,COLUMN())),OFFSET($AM$2,0,0,ROW()-1,33),ROW()-1,FALSE))</f>
        <v/>
      </c>
      <c r="AL28" t="str">
        <f ca="1">IF(AND(ISNUMBER($AL$450),$B$427=1),$AL$450,HLOOKUP(INDIRECT(ADDRESS(2,COLUMN())),OFFSET($AM$2,0,0,ROW()-1,33),ROW()-1,FALSE))</f>
        <v/>
      </c>
      <c r="AM28">
        <f>118468</f>
        <v>118468</v>
      </c>
      <c r="AN28">
        <f>112986</f>
        <v>112986</v>
      </c>
      <c r="AO28">
        <f>101591</f>
        <v>101591</v>
      </c>
      <c r="AP28">
        <f>92493</f>
        <v>92493</v>
      </c>
      <c r="AQ28">
        <f>93950</f>
        <v>93950</v>
      </c>
      <c r="AR28">
        <f>90884</f>
        <v>90884</v>
      </c>
      <c r="AS28">
        <f>88632</f>
        <v>88632</v>
      </c>
      <c r="AT28">
        <f>92045</f>
        <v>92045</v>
      </c>
      <c r="AU28">
        <f>99813</f>
        <v>99813</v>
      </c>
      <c r="AV28">
        <f>108860</f>
        <v>108860</v>
      </c>
      <c r="AW28">
        <f>118221</f>
        <v>118221</v>
      </c>
      <c r="AX28">
        <f>127575</f>
        <v>127575</v>
      </c>
      <c r="AY28">
        <f>148171</f>
        <v>148171</v>
      </c>
      <c r="AZ28">
        <f>158689</f>
        <v>158689</v>
      </c>
      <c r="BA28">
        <f>168282</f>
        <v>168282</v>
      </c>
      <c r="BB28">
        <f>190434</f>
        <v>190434</v>
      </c>
      <c r="BC28">
        <f>219875</f>
        <v>219875</v>
      </c>
      <c r="BD28">
        <f>242468</f>
        <v>242468</v>
      </c>
      <c r="BE28">
        <f>217882</f>
        <v>217882</v>
      </c>
      <c r="BF28">
        <f>182699</f>
        <v>182699</v>
      </c>
      <c r="BG28">
        <f>155805</f>
        <v>155805</v>
      </c>
      <c r="BH28">
        <f>124745</f>
        <v>124745</v>
      </c>
      <c r="BI28">
        <f>117363</f>
        <v>117363</v>
      </c>
      <c r="BJ28">
        <f>81032</f>
        <v>81032</v>
      </c>
      <c r="BK28">
        <f>38289.024</f>
        <v>38289.023999999998</v>
      </c>
      <c r="BL28">
        <f>28717.59</f>
        <v>28717.59</v>
      </c>
      <c r="BM28">
        <f>23425.052</f>
        <v>23425.052</v>
      </c>
      <c r="BN28" t="str">
        <f>""</f>
        <v/>
      </c>
      <c r="BO28" t="str">
        <f>""</f>
        <v/>
      </c>
      <c r="BP28" t="str">
        <f>""</f>
        <v/>
      </c>
      <c r="BQ28" t="str">
        <f>""</f>
        <v/>
      </c>
      <c r="BR28" t="str">
        <f>""</f>
        <v/>
      </c>
      <c r="BS28" t="str">
        <f>""</f>
        <v/>
      </c>
    </row>
    <row r="29" spans="1:71" x14ac:dyDescent="0.25">
      <c r="A29" t="str">
        <f>"            Citizens Financial Group Inc"</f>
        <v xml:space="preserve">            Citizens Financial Group Inc</v>
      </c>
      <c r="B29" t="str">
        <f>"CFG US Equity"</f>
        <v>CFG US Equity</v>
      </c>
      <c r="C29" t="str">
        <f t="shared" si="3"/>
        <v>FC004</v>
      </c>
      <c r="D29" t="str">
        <f t="shared" si="4"/>
        <v>FDIC_FAM_RESIDENT_LOANS</v>
      </c>
      <c r="E29" t="str">
        <f t="shared" si="5"/>
        <v>Dynamic</v>
      </c>
      <c r="F29">
        <f ca="1">IF(AND(ISNUMBER($F$451),$B$427=1),$F$451,HLOOKUP(INDIRECT(ADDRESS(2,COLUMN())),OFFSET($AM$2,0,0,ROW()-1,33),ROW()-1,FALSE))</f>
        <v>49818.45</v>
      </c>
      <c r="G29">
        <f ca="1">IF(AND(ISNUMBER($G$451),$B$427=1),$G$451,HLOOKUP(INDIRECT(ADDRESS(2,COLUMN())),OFFSET($AM$2,0,0,ROW()-1,33),ROW()-1,FALSE))</f>
        <v>46633.01</v>
      </c>
      <c r="H29">
        <f ca="1">IF(AND(ISNUMBER($H$451),$B$427=1),$H$451,HLOOKUP(INDIRECT(ADDRESS(2,COLUMN())),OFFSET($AM$2,0,0,ROW()-1,33),ROW()-1,FALSE))</f>
        <v>43935.243999999999</v>
      </c>
      <c r="I29">
        <f ca="1">IF(AND(ISNUMBER($I$451),$B$427=1),$I$451,HLOOKUP(INDIRECT(ADDRESS(2,COLUMN())),OFFSET($AM$2,0,0,ROW()-1,33),ROW()-1,FALSE))</f>
        <v>36850.557000000001</v>
      </c>
      <c r="J29">
        <f ca="1">IF(AND(ISNUMBER($J$451),$B$427=1),$J$451,HLOOKUP(INDIRECT(ADDRESS(2,COLUMN())),OFFSET($AM$2,0,0,ROW()-1,33),ROW()-1,FALSE))</f>
        <v>35775.152999999998</v>
      </c>
      <c r="K29">
        <f ca="1">IF(AND(ISNUMBER($K$451),$B$427=1),$K$451,HLOOKUP(INDIRECT(ADDRESS(2,COLUMN())),OFFSET($AM$2,0,0,ROW()-1,33),ROW()-1,FALSE))</f>
        <v>34745.133999999998</v>
      </c>
      <c r="L29">
        <f ca="1">IF(AND(ISNUMBER($L$451),$B$427=1),$L$451,HLOOKUP(INDIRECT(ADDRESS(2,COLUMN())),OFFSET($AM$2,0,0,ROW()-1,33),ROW()-1,FALSE))</f>
        <v>33790.315000000002</v>
      </c>
      <c r="M29">
        <f ca="1">IF(AND(ISNUMBER($M$451),$B$427=1),$M$451,HLOOKUP(INDIRECT(ADDRESS(2,COLUMN())),OFFSET($AM$2,0,0,ROW()-1,33),ROW()-1,FALSE))</f>
        <v>32394.419000000002</v>
      </c>
      <c r="N29">
        <f ca="1">IF(AND(ISNUMBER($N$451),$B$427=1),$N$451,HLOOKUP(INDIRECT(ADDRESS(2,COLUMN())),OFFSET($AM$2,0,0,ROW()-1,33),ROW()-1,FALSE))</f>
        <v>31966.937999999998</v>
      </c>
      <c r="O29">
        <f ca="1">IF(AND(ISNUMBER($O$451),$B$427=1),$O$451,HLOOKUP(INDIRECT(ADDRESS(2,COLUMN())),OFFSET($AM$2,0,0,ROW()-1,33),ROW()-1,FALSE))</f>
        <v>31762.332999999999</v>
      </c>
      <c r="P29">
        <f ca="1">IF(AND(ISNUMBER($P$451),$B$427=1),$P$451,HLOOKUP(INDIRECT(ADDRESS(2,COLUMN())),OFFSET($AM$2,0,0,ROW()-1,33),ROW()-1,FALSE))</f>
        <v>32509.040000000001</v>
      </c>
      <c r="Q29">
        <f ca="1">IF(AND(ISNUMBER($Q$451),$B$427=1),$Q$451,HLOOKUP(INDIRECT(ADDRESS(2,COLUMN())),OFFSET($AM$2,0,0,ROW()-1,33),ROW()-1,FALSE))</f>
        <v>32414.482</v>
      </c>
      <c r="R29">
        <f ca="1">IF(AND(ISNUMBER($R$451),$B$427=1),$R$451,HLOOKUP(INDIRECT(ADDRESS(2,COLUMN())),OFFSET($AM$2,0,0,ROW()-1,33),ROW()-1,FALSE))</f>
        <v>34671.885000000002</v>
      </c>
      <c r="S29">
        <f ca="1">IF(AND(ISNUMBER($S$451),$B$427=1),$S$451,HLOOKUP(INDIRECT(ADDRESS(2,COLUMN())),OFFSET($AM$2,0,0,ROW()-1,33),ROW()-1,FALSE))</f>
        <v>37386.466999999997</v>
      </c>
      <c r="T29">
        <f ca="1">IF(AND(ISNUMBER($T$451),$B$427=1),$T$451,HLOOKUP(INDIRECT(ADDRESS(2,COLUMN())),OFFSET($AM$2,0,0,ROW()-1,33),ROW()-1,FALSE))</f>
        <v>38961.057999999997</v>
      </c>
      <c r="U29">
        <f ca="1">IF(AND(ISNUMBER($U$451),$B$427=1),$U$451,HLOOKUP(INDIRECT(ADDRESS(2,COLUMN())),OFFSET($AM$2,0,0,ROW()-1,33),ROW()-1,FALSE))</f>
        <v>43076.387999999999</v>
      </c>
      <c r="V29">
        <f ca="1">IF(AND(ISNUMBER($V$451),$B$427=1),$V$451,HLOOKUP(INDIRECT(ADDRESS(2,COLUMN())),OFFSET($AM$2,0,0,ROW()-1,33),ROW()-1,FALSE))</f>
        <v>50365.379000000001</v>
      </c>
      <c r="W29">
        <f ca="1">IF(AND(ISNUMBER($W$451),$B$427=1),$W$451,HLOOKUP(INDIRECT(ADDRESS(2,COLUMN())),OFFSET($AM$2,0,0,ROW()-1,33),ROW()-1,FALSE))</f>
        <v>54319.930999999997</v>
      </c>
      <c r="X29">
        <f ca="1">IF(AND(ISNUMBER($X$451),$B$427=1),$X$451,HLOOKUP(INDIRECT(ADDRESS(2,COLUMN())),OFFSET($AM$2,0,0,ROW()-1,33),ROW()-1,FALSE))</f>
        <v>53172.578999999998</v>
      </c>
      <c r="Y29">
        <f ca="1">IF(AND(ISNUMBER($Y$451),$B$427=1),$Y$451,HLOOKUP(INDIRECT(ADDRESS(2,COLUMN())),OFFSET($AM$2,0,0,ROW()-1,33),ROW()-1,FALSE))</f>
        <v>50143.733999999997</v>
      </c>
      <c r="Z29">
        <f ca="1">IF(AND(ISNUMBER($Z$451),$B$427=1),$Z$451,HLOOKUP(INDIRECT(ADDRESS(2,COLUMN())),OFFSET($AM$2,0,0,ROW()-1,33),ROW()-1,FALSE))</f>
        <v>40752.696000000004</v>
      </c>
      <c r="AA29">
        <f ca="1">IF(AND(ISNUMBER($AA$451),$B$427=1),$AA$451,HLOOKUP(INDIRECT(ADDRESS(2,COLUMN())),OFFSET($AM$2,0,0,ROW()-1,33),ROW()-1,FALSE))</f>
        <v>17393.501</v>
      </c>
      <c r="AB29">
        <f ca="1">IF(AND(ISNUMBER($AB$451),$B$427=1),$AB$451,HLOOKUP(INDIRECT(ADDRESS(2,COLUMN())),OFFSET($AM$2,0,0,ROW()-1,33),ROW()-1,FALSE))</f>
        <v>9193.4629999999997</v>
      </c>
      <c r="AC29">
        <f ca="1">IF(AND(ISNUMBER($AC$451),$B$427=1),$AC$451,HLOOKUP(INDIRECT(ADDRESS(2,COLUMN())),OFFSET($AM$2,0,0,ROW()-1,33),ROW()-1,FALSE))</f>
        <v>5800.777</v>
      </c>
      <c r="AD29" t="str">
        <f ca="1">IF(AND(ISNUMBER($AD$451),$B$427=1),$AD$451,HLOOKUP(INDIRECT(ADDRESS(2,COLUMN())),OFFSET($AM$2,0,0,ROW()-1,33),ROW()-1,FALSE))</f>
        <v/>
      </c>
      <c r="AE29" t="str">
        <f ca="1">IF(AND(ISNUMBER($AE$451),$B$427=1),$AE$451,HLOOKUP(INDIRECT(ADDRESS(2,COLUMN())),OFFSET($AM$2,0,0,ROW()-1,33),ROW()-1,FALSE))</f>
        <v/>
      </c>
      <c r="AF29" t="str">
        <f ca="1">IF(AND(ISNUMBER($AF$451),$B$427=1),$AF$451,HLOOKUP(INDIRECT(ADDRESS(2,COLUMN())),OFFSET($AM$2,0,0,ROW()-1,33),ROW()-1,FALSE))</f>
        <v/>
      </c>
      <c r="AG29" t="str">
        <f ca="1">IF(AND(ISNUMBER($AG$451),$B$427=1),$AG$451,HLOOKUP(INDIRECT(ADDRESS(2,COLUMN())),OFFSET($AM$2,0,0,ROW()-1,33),ROW()-1,FALSE))</f>
        <v/>
      </c>
      <c r="AH29" t="str">
        <f ca="1">IF(AND(ISNUMBER($AH$451),$B$427=1),$AH$451,HLOOKUP(INDIRECT(ADDRESS(2,COLUMN())),OFFSET($AM$2,0,0,ROW()-1,33),ROW()-1,FALSE))</f>
        <v/>
      </c>
      <c r="AI29" t="str">
        <f ca="1">IF(AND(ISNUMBER($AI$451),$B$427=1),$AI$451,HLOOKUP(INDIRECT(ADDRESS(2,COLUMN())),OFFSET($AM$2,0,0,ROW()-1,33),ROW()-1,FALSE))</f>
        <v/>
      </c>
      <c r="AJ29" t="str">
        <f ca="1">IF(AND(ISNUMBER($AJ$451),$B$427=1),$AJ$451,HLOOKUP(INDIRECT(ADDRESS(2,COLUMN())),OFFSET($AM$2,0,0,ROW()-1,33),ROW()-1,FALSE))</f>
        <v/>
      </c>
      <c r="AK29" t="str">
        <f ca="1">IF(AND(ISNUMBER($AK$451),$B$427=1),$AK$451,HLOOKUP(INDIRECT(ADDRESS(2,COLUMN())),OFFSET($AM$2,0,0,ROW()-1,33),ROW()-1,FALSE))</f>
        <v/>
      </c>
      <c r="AL29" t="str">
        <f ca="1">IF(AND(ISNUMBER($AL$451),$B$427=1),$AL$451,HLOOKUP(INDIRECT(ADDRESS(2,COLUMN())),OFFSET($AM$2,0,0,ROW()-1,33),ROW()-1,FALSE))</f>
        <v/>
      </c>
      <c r="AM29">
        <f>49818.45</f>
        <v>49818.45</v>
      </c>
      <c r="AN29">
        <f>46633.01</f>
        <v>46633.01</v>
      </c>
      <c r="AO29">
        <f>43935.244</f>
        <v>43935.243999999999</v>
      </c>
      <c r="AP29">
        <f>36850.557</f>
        <v>36850.557000000001</v>
      </c>
      <c r="AQ29">
        <f>35775.153</f>
        <v>35775.152999999998</v>
      </c>
      <c r="AR29">
        <f>34745.134</f>
        <v>34745.133999999998</v>
      </c>
      <c r="AS29">
        <f>33790.315</f>
        <v>33790.315000000002</v>
      </c>
      <c r="AT29">
        <f>32394.419</f>
        <v>32394.419000000002</v>
      </c>
      <c r="AU29">
        <f>31966.938</f>
        <v>31966.937999999998</v>
      </c>
      <c r="AV29">
        <f>31762.333</f>
        <v>31762.332999999999</v>
      </c>
      <c r="AW29">
        <f>32509.04</f>
        <v>32509.040000000001</v>
      </c>
      <c r="AX29">
        <f>32414.482</f>
        <v>32414.482</v>
      </c>
      <c r="AY29">
        <f>34671.885</f>
        <v>34671.885000000002</v>
      </c>
      <c r="AZ29">
        <f>37386.467</f>
        <v>37386.466999999997</v>
      </c>
      <c r="BA29">
        <f>38961.058</f>
        <v>38961.057999999997</v>
      </c>
      <c r="BB29">
        <f>43076.388</f>
        <v>43076.387999999999</v>
      </c>
      <c r="BC29">
        <f>50365.379</f>
        <v>50365.379000000001</v>
      </c>
      <c r="BD29">
        <f>54319.931</f>
        <v>54319.930999999997</v>
      </c>
      <c r="BE29">
        <f>53172.579</f>
        <v>53172.578999999998</v>
      </c>
      <c r="BF29">
        <f>50143.734</f>
        <v>50143.733999999997</v>
      </c>
      <c r="BG29">
        <f>40752.696</f>
        <v>40752.696000000004</v>
      </c>
      <c r="BH29">
        <f>17393.501</f>
        <v>17393.501</v>
      </c>
      <c r="BI29">
        <f>9193.463</f>
        <v>9193.4629999999997</v>
      </c>
      <c r="BJ29">
        <f>5800.777</f>
        <v>5800.777</v>
      </c>
      <c r="BK29" t="str">
        <f>""</f>
        <v/>
      </c>
      <c r="BL29" t="str">
        <f>""</f>
        <v/>
      </c>
      <c r="BM29" t="str">
        <f>""</f>
        <v/>
      </c>
      <c r="BN29" t="str">
        <f>""</f>
        <v/>
      </c>
      <c r="BO29" t="str">
        <f>""</f>
        <v/>
      </c>
      <c r="BP29" t="str">
        <f>""</f>
        <v/>
      </c>
      <c r="BQ29" t="str">
        <f>""</f>
        <v/>
      </c>
      <c r="BR29" t="str">
        <f>""</f>
        <v/>
      </c>
      <c r="BS29" t="str">
        <f>""</f>
        <v/>
      </c>
    </row>
    <row r="30" spans="1:71" x14ac:dyDescent="0.25">
      <c r="A30" t="str">
        <f>"            Capital One Financial Corp"</f>
        <v xml:space="preserve">            Capital One Financial Corp</v>
      </c>
      <c r="B30" t="str">
        <f>"COF US Equity"</f>
        <v>COF US Equity</v>
      </c>
      <c r="C30" t="str">
        <f t="shared" si="3"/>
        <v>FC004</v>
      </c>
      <c r="D30" t="str">
        <f t="shared" si="4"/>
        <v>FDIC_FAM_RESIDENT_LOANS</v>
      </c>
      <c r="E30" t="str">
        <f t="shared" si="5"/>
        <v>Dynamic</v>
      </c>
      <c r="F30">
        <f ca="1">IF(AND(ISNUMBER($F$452),$B$427=1),$F$452,HLOOKUP(INDIRECT(ADDRESS(2,COLUMN())),OFFSET($AM$2,0,0,ROW()-1,33),ROW()-1,FALSE))</f>
        <v>296.32</v>
      </c>
      <c r="G30">
        <f ca="1">IF(AND(ISNUMBER($G$452),$B$427=1),$G$452,HLOOKUP(INDIRECT(ADDRESS(2,COLUMN())),OFFSET($AM$2,0,0,ROW()-1,33),ROW()-1,FALSE))</f>
        <v>129.55500000000001</v>
      </c>
      <c r="H30">
        <f ca="1">IF(AND(ISNUMBER($H$452),$B$427=1),$H$452,HLOOKUP(INDIRECT(ADDRESS(2,COLUMN())),OFFSET($AM$2,0,0,ROW()-1,33),ROW()-1,FALSE))</f>
        <v>125.142</v>
      </c>
      <c r="I30">
        <f ca="1">IF(AND(ISNUMBER($I$452),$B$427=1),$I$452,HLOOKUP(INDIRECT(ADDRESS(2,COLUMN())),OFFSET($AM$2,0,0,ROW()-1,33),ROW()-1,FALSE))</f>
        <v>155.18899999999999</v>
      </c>
      <c r="J30">
        <f ca="1">IF(AND(ISNUMBER($J$452),$B$427=1),$J$452,HLOOKUP(INDIRECT(ADDRESS(2,COLUMN())),OFFSET($AM$2,0,0,ROW()-1,33),ROW()-1,FALSE))</f>
        <v>183.75</v>
      </c>
      <c r="K30">
        <f ca="1">IF(AND(ISNUMBER($K$452),$B$427=1),$K$452,HLOOKUP(INDIRECT(ADDRESS(2,COLUMN())),OFFSET($AM$2,0,0,ROW()-1,33),ROW()-1,FALSE))</f>
        <v>233.946</v>
      </c>
      <c r="L30">
        <f ca="1">IF(AND(ISNUMBER($L$452),$B$427=1),$L$452,HLOOKUP(INDIRECT(ADDRESS(2,COLUMN())),OFFSET($AM$2,0,0,ROW()-1,33),ROW()-1,FALSE))</f>
        <v>243.91800000000001</v>
      </c>
      <c r="M30">
        <f ca="1">IF(AND(ISNUMBER($M$452),$B$427=1),$M$452,HLOOKUP(INDIRECT(ADDRESS(2,COLUMN())),OFFSET($AM$2,0,0,ROW()-1,33),ROW()-1,FALSE))</f>
        <v>18628.940999999999</v>
      </c>
      <c r="N30">
        <f ca="1">IF(AND(ISNUMBER($N$452),$B$427=1),$N$452,HLOOKUP(INDIRECT(ADDRESS(2,COLUMN())),OFFSET($AM$2,0,0,ROW()-1,33),ROW()-1,FALSE))</f>
        <v>22535.603999999999</v>
      </c>
      <c r="O30">
        <f ca="1">IF(AND(ISNUMBER($O$452),$B$427=1),$O$452,HLOOKUP(INDIRECT(ADDRESS(2,COLUMN())),OFFSET($AM$2,0,0,ROW()-1,33),ROW()-1,FALSE))</f>
        <v>26131.725999999999</v>
      </c>
      <c r="P30">
        <f ca="1">IF(AND(ISNUMBER($P$452),$B$427=1),$P$452,HLOOKUP(INDIRECT(ADDRESS(2,COLUMN())),OFFSET($AM$2,0,0,ROW()-1,33),ROW()-1,FALSE))</f>
        <v>30858.545999999998</v>
      </c>
      <c r="Q30">
        <f ca="1">IF(AND(ISNUMBER($Q$452),$B$427=1),$Q$452,HLOOKUP(INDIRECT(ADDRESS(2,COLUMN())),OFFSET($AM$2,0,0,ROW()-1,33),ROW()-1,FALSE))</f>
        <v>36746.642</v>
      </c>
      <c r="R30">
        <f ca="1">IF(AND(ISNUMBER($R$452),$B$427=1),$R$452,HLOOKUP(INDIRECT(ADDRESS(2,COLUMN())),OFFSET($AM$2,0,0,ROW()-1,33),ROW()-1,FALSE))</f>
        <v>45660.364999999998</v>
      </c>
      <c r="S30">
        <f ca="1">IF(AND(ISNUMBER($S$452),$B$427=1),$S$452,HLOOKUP(INDIRECT(ADDRESS(2,COLUMN())),OFFSET($AM$2,0,0,ROW()-1,33),ROW()-1,FALSE))</f>
        <v>12073.655000000001</v>
      </c>
      <c r="T30">
        <f ca="1">IF(AND(ISNUMBER($T$452),$B$427=1),$T$452,HLOOKUP(INDIRECT(ADDRESS(2,COLUMN())),OFFSET($AM$2,0,0,ROW()-1,33),ROW()-1,FALSE))</f>
        <v>13758.463</v>
      </c>
      <c r="U30">
        <f ca="1">IF(AND(ISNUMBER($U$452),$B$427=1),$U$452,HLOOKUP(INDIRECT(ADDRESS(2,COLUMN())),OFFSET($AM$2,0,0,ROW()-1,33),ROW()-1,FALSE))</f>
        <v>16398.483</v>
      </c>
      <c r="V30">
        <f ca="1">IF(AND(ISNUMBER($V$452),$B$427=1),$V$452,HLOOKUP(INDIRECT(ADDRESS(2,COLUMN())),OFFSET($AM$2,0,0,ROW()-1,33),ROW()-1,FALSE))</f>
        <v>12009.944</v>
      </c>
      <c r="W30">
        <f ca="1">IF(AND(ISNUMBER($W$452),$B$427=1),$W$452,HLOOKUP(INDIRECT(ADDRESS(2,COLUMN())),OFFSET($AM$2,0,0,ROW()-1,33),ROW()-1,FALSE))</f>
        <v>13727.955</v>
      </c>
      <c r="X30">
        <f ca="1">IF(AND(ISNUMBER($X$452),$B$427=1),$X$452,HLOOKUP(INDIRECT(ADDRESS(2,COLUMN())),OFFSET($AM$2,0,0,ROW()-1,33),ROW()-1,FALSE))</f>
        <v>23588.012999999999</v>
      </c>
      <c r="Y30">
        <f ca="1">IF(AND(ISNUMBER($Y$452),$B$427=1),$Y$452,HLOOKUP(INDIRECT(ADDRESS(2,COLUMN())),OFFSET($AM$2,0,0,ROW()-1,33),ROW()-1,FALSE))</f>
        <v>5951.78</v>
      </c>
      <c r="Z30">
        <f ca="1">IF(AND(ISNUMBER($Z$452),$B$427=1),$Z$452,HLOOKUP(INDIRECT(ADDRESS(2,COLUMN())),OFFSET($AM$2,0,0,ROW()-1,33),ROW()-1,FALSE))</f>
        <v>40.158000000000001</v>
      </c>
      <c r="AA30" t="str">
        <f ca="1">IF(AND(ISNUMBER($AA$452),$B$427=1),$AA$452,HLOOKUP(INDIRECT(ADDRESS(2,COLUMN())),OFFSET($AM$2,0,0,ROW()-1,33),ROW()-1,FALSE))</f>
        <v/>
      </c>
      <c r="AB30" t="str">
        <f ca="1">IF(AND(ISNUMBER($AB$452),$B$427=1),$AB$452,HLOOKUP(INDIRECT(ADDRESS(2,COLUMN())),OFFSET($AM$2,0,0,ROW()-1,33),ROW()-1,FALSE))</f>
        <v/>
      </c>
      <c r="AC30" t="str">
        <f ca="1">IF(AND(ISNUMBER($AC$452),$B$427=1),$AC$452,HLOOKUP(INDIRECT(ADDRESS(2,COLUMN())),OFFSET($AM$2,0,0,ROW()-1,33),ROW()-1,FALSE))</f>
        <v/>
      </c>
      <c r="AD30" t="str">
        <f ca="1">IF(AND(ISNUMBER($AD$452),$B$427=1),$AD$452,HLOOKUP(INDIRECT(ADDRESS(2,COLUMN())),OFFSET($AM$2,0,0,ROW()-1,33),ROW()-1,FALSE))</f>
        <v/>
      </c>
      <c r="AE30" t="str">
        <f ca="1">IF(AND(ISNUMBER($AE$452),$B$427=1),$AE$452,HLOOKUP(INDIRECT(ADDRESS(2,COLUMN())),OFFSET($AM$2,0,0,ROW()-1,33),ROW()-1,FALSE))</f>
        <v/>
      </c>
      <c r="AF30" t="str">
        <f ca="1">IF(AND(ISNUMBER($AF$452),$B$427=1),$AF$452,HLOOKUP(INDIRECT(ADDRESS(2,COLUMN())),OFFSET($AM$2,0,0,ROW()-1,33),ROW()-1,FALSE))</f>
        <v/>
      </c>
      <c r="AG30" t="str">
        <f ca="1">IF(AND(ISNUMBER($AG$452),$B$427=1),$AG$452,HLOOKUP(INDIRECT(ADDRESS(2,COLUMN())),OFFSET($AM$2,0,0,ROW()-1,33),ROW()-1,FALSE))</f>
        <v/>
      </c>
      <c r="AH30" t="str">
        <f ca="1">IF(AND(ISNUMBER($AH$452),$B$427=1),$AH$452,HLOOKUP(INDIRECT(ADDRESS(2,COLUMN())),OFFSET($AM$2,0,0,ROW()-1,33),ROW()-1,FALSE))</f>
        <v/>
      </c>
      <c r="AI30" t="str">
        <f ca="1">IF(AND(ISNUMBER($AI$452),$B$427=1),$AI$452,HLOOKUP(INDIRECT(ADDRESS(2,COLUMN())),OFFSET($AM$2,0,0,ROW()-1,33),ROW()-1,FALSE))</f>
        <v/>
      </c>
      <c r="AJ30" t="str">
        <f ca="1">IF(AND(ISNUMBER($AJ$452),$B$427=1),$AJ$452,HLOOKUP(INDIRECT(ADDRESS(2,COLUMN())),OFFSET($AM$2,0,0,ROW()-1,33),ROW()-1,FALSE))</f>
        <v/>
      </c>
      <c r="AK30" t="str">
        <f ca="1">IF(AND(ISNUMBER($AK$452),$B$427=1),$AK$452,HLOOKUP(INDIRECT(ADDRESS(2,COLUMN())),OFFSET($AM$2,0,0,ROW()-1,33),ROW()-1,FALSE))</f>
        <v/>
      </c>
      <c r="AL30" t="str">
        <f ca="1">IF(AND(ISNUMBER($AL$452),$B$427=1),$AL$452,HLOOKUP(INDIRECT(ADDRESS(2,COLUMN())),OFFSET($AM$2,0,0,ROW()-1,33),ROW()-1,FALSE))</f>
        <v/>
      </c>
      <c r="AM30">
        <f>296.32</f>
        <v>296.32</v>
      </c>
      <c r="AN30">
        <f>129.555</f>
        <v>129.55500000000001</v>
      </c>
      <c r="AO30">
        <f>125.142</f>
        <v>125.142</v>
      </c>
      <c r="AP30">
        <f>155.189</f>
        <v>155.18899999999999</v>
      </c>
      <c r="AQ30">
        <f>183.75</f>
        <v>183.75</v>
      </c>
      <c r="AR30">
        <f>233.946</f>
        <v>233.946</v>
      </c>
      <c r="AS30">
        <f>243.918</f>
        <v>243.91800000000001</v>
      </c>
      <c r="AT30">
        <f>18628.941</f>
        <v>18628.940999999999</v>
      </c>
      <c r="AU30">
        <f>22535.604</f>
        <v>22535.603999999999</v>
      </c>
      <c r="AV30">
        <f>26131.726</f>
        <v>26131.725999999999</v>
      </c>
      <c r="AW30">
        <f>30858.546</f>
        <v>30858.545999999998</v>
      </c>
      <c r="AX30">
        <f>36746.642</f>
        <v>36746.642</v>
      </c>
      <c r="AY30">
        <f>45660.365</f>
        <v>45660.364999999998</v>
      </c>
      <c r="AZ30">
        <f>12073.655</f>
        <v>12073.655000000001</v>
      </c>
      <c r="BA30">
        <f>13758.463</f>
        <v>13758.463</v>
      </c>
      <c r="BB30">
        <f>16398.483</f>
        <v>16398.483</v>
      </c>
      <c r="BC30">
        <f>12009.944</f>
        <v>12009.944</v>
      </c>
      <c r="BD30">
        <f>13727.955</f>
        <v>13727.955</v>
      </c>
      <c r="BE30">
        <f>23588.013</f>
        <v>23588.012999999999</v>
      </c>
      <c r="BF30">
        <f>5951.78</f>
        <v>5951.78</v>
      </c>
      <c r="BG30">
        <f>40.158</f>
        <v>40.158000000000001</v>
      </c>
      <c r="BH30" t="str">
        <f>""</f>
        <v/>
      </c>
      <c r="BI30" t="str">
        <f>""</f>
        <v/>
      </c>
      <c r="BJ30" t="str">
        <f>""</f>
        <v/>
      </c>
      <c r="BK30" t="str">
        <f>""</f>
        <v/>
      </c>
      <c r="BL30" t="str">
        <f>""</f>
        <v/>
      </c>
      <c r="BM30" t="str">
        <f>""</f>
        <v/>
      </c>
      <c r="BN30" t="str">
        <f>""</f>
        <v/>
      </c>
      <c r="BO30" t="str">
        <f>""</f>
        <v/>
      </c>
      <c r="BP30" t="str">
        <f>""</f>
        <v/>
      </c>
      <c r="BQ30" t="str">
        <f>""</f>
        <v/>
      </c>
      <c r="BR30" t="str">
        <f>""</f>
        <v/>
      </c>
      <c r="BS30" t="str">
        <f>""</f>
        <v/>
      </c>
    </row>
    <row r="31" spans="1:71" x14ac:dyDescent="0.25">
      <c r="A31" t="str">
        <f>"            Comerica Inc"</f>
        <v xml:space="preserve">            Comerica Inc</v>
      </c>
      <c r="B31" t="str">
        <f>"CMA US Equity"</f>
        <v>CMA US Equity</v>
      </c>
      <c r="C31" t="str">
        <f t="shared" si="3"/>
        <v>FC004</v>
      </c>
      <c r="D31" t="str">
        <f t="shared" si="4"/>
        <v>FDIC_FAM_RESIDENT_LOANS</v>
      </c>
      <c r="E31" t="str">
        <f t="shared" si="5"/>
        <v>Dynamic</v>
      </c>
      <c r="F31" t="str">
        <f ca="1">IF(AND(ISNUMBER($F$453),$B$427=1),$F$453,HLOOKUP(INDIRECT(ADDRESS(2,COLUMN())),OFFSET($AM$2,0,0,ROW()-1,33),ROW()-1,FALSE))</f>
        <v/>
      </c>
      <c r="G31">
        <f ca="1">IF(AND(ISNUMBER($G$453),$B$427=1),$G$453,HLOOKUP(INDIRECT(ADDRESS(2,COLUMN())),OFFSET($AM$2,0,0,ROW()-1,33),ROW()-1,FALSE))</f>
        <v>3850</v>
      </c>
      <c r="H31">
        <f ca="1">IF(AND(ISNUMBER($H$453),$B$427=1),$H$453,HLOOKUP(INDIRECT(ADDRESS(2,COLUMN())),OFFSET($AM$2,0,0,ROW()-1,33),ROW()-1,FALSE))</f>
        <v>3784</v>
      </c>
      <c r="I31">
        <f ca="1">IF(AND(ISNUMBER($I$453),$B$427=1),$I$453,HLOOKUP(INDIRECT(ADDRESS(2,COLUMN())),OFFSET($AM$2,0,0,ROW()-1,33),ROW()-1,FALSE))</f>
        <v>3528</v>
      </c>
      <c r="J31">
        <f ca="1">IF(AND(ISNUMBER($J$453),$B$427=1),$J$453,HLOOKUP(INDIRECT(ADDRESS(2,COLUMN())),OFFSET($AM$2,0,0,ROW()-1,33),ROW()-1,FALSE))</f>
        <v>3675</v>
      </c>
      <c r="K31">
        <f ca="1">IF(AND(ISNUMBER($K$453),$B$427=1),$K$453,HLOOKUP(INDIRECT(ADDRESS(2,COLUMN())),OFFSET($AM$2,0,0,ROW()-1,33),ROW()-1,FALSE))</f>
        <v>3781</v>
      </c>
      <c r="L31">
        <f ca="1">IF(AND(ISNUMBER($L$453),$B$427=1),$L$453,HLOOKUP(INDIRECT(ADDRESS(2,COLUMN())),OFFSET($AM$2,0,0,ROW()-1,33),ROW()-1,FALSE))</f>
        <v>3988.0859999999998</v>
      </c>
      <c r="M31">
        <f ca="1">IF(AND(ISNUMBER($M$453),$B$427=1),$M$453,HLOOKUP(INDIRECT(ADDRESS(2,COLUMN())),OFFSET($AM$2,0,0,ROW()-1,33),ROW()-1,FALSE))</f>
        <v>4033.2170000000001</v>
      </c>
      <c r="N31">
        <f ca="1">IF(AND(ISNUMBER($N$453),$B$427=1),$N$453,HLOOKUP(INDIRECT(ADDRESS(2,COLUMN())),OFFSET($AM$2,0,0,ROW()-1,33),ROW()-1,FALSE))</f>
        <v>3916.7449999999999</v>
      </c>
      <c r="O31">
        <f ca="1">IF(AND(ISNUMBER($O$453),$B$427=1),$O$453,HLOOKUP(INDIRECT(ADDRESS(2,COLUMN())),OFFSET($AM$2,0,0,ROW()-1,33),ROW()-1,FALSE))</f>
        <v>3740.2939999999999</v>
      </c>
      <c r="P31">
        <f ca="1">IF(AND(ISNUMBER($P$453),$B$427=1),$P$453,HLOOKUP(INDIRECT(ADDRESS(2,COLUMN())),OFFSET($AM$2,0,0,ROW()-1,33),ROW()-1,FALSE))</f>
        <v>3633.5720000000001</v>
      </c>
      <c r="Q31">
        <f ca="1">IF(AND(ISNUMBER($Q$453),$B$427=1),$Q$453,HLOOKUP(INDIRECT(ADDRESS(2,COLUMN())),OFFSET($AM$2,0,0,ROW()-1,33),ROW()-1,FALSE))</f>
        <v>3392.0070000000001</v>
      </c>
      <c r="R31">
        <f ca="1">IF(AND(ISNUMBER($R$453),$B$427=1),$R$453,HLOOKUP(INDIRECT(ADDRESS(2,COLUMN())),OFFSET($AM$2,0,0,ROW()-1,33),ROW()-1,FALSE))</f>
        <v>3360.348</v>
      </c>
      <c r="S31">
        <f ca="1">IF(AND(ISNUMBER($S$453),$B$427=1),$S$453,HLOOKUP(INDIRECT(ADDRESS(2,COLUMN())),OFFSET($AM$2,0,0,ROW()-1,33),ROW()-1,FALSE))</f>
        <v>3590.7460000000001</v>
      </c>
      <c r="T31">
        <f ca="1">IF(AND(ISNUMBER($T$453),$B$427=1),$T$453,HLOOKUP(INDIRECT(ADDRESS(2,COLUMN())),OFFSET($AM$2,0,0,ROW()-1,33),ROW()-1,FALSE))</f>
        <v>3667.951</v>
      </c>
      <c r="U31">
        <f ca="1">IF(AND(ISNUMBER($U$453),$B$427=1),$U$453,HLOOKUP(INDIRECT(ADDRESS(2,COLUMN())),OFFSET($AM$2,0,0,ROW()-1,33),ROW()-1,FALSE))</f>
        <v>3850.9259999999999</v>
      </c>
      <c r="V31">
        <f ca="1">IF(AND(ISNUMBER($V$453),$B$427=1),$V$453,HLOOKUP(INDIRECT(ADDRESS(2,COLUMN())),OFFSET($AM$2,0,0,ROW()-1,33),ROW()-1,FALSE))</f>
        <v>4116.0290000000005</v>
      </c>
      <c r="W31">
        <f ca="1">IF(AND(ISNUMBER($W$453),$B$427=1),$W$453,HLOOKUP(INDIRECT(ADDRESS(2,COLUMN())),OFFSET($AM$2,0,0,ROW()-1,33),ROW()-1,FALSE))</f>
        <v>4026.9059999999999</v>
      </c>
      <c r="X31">
        <f ca="1">IF(AND(ISNUMBER($X$453),$B$427=1),$X$453,HLOOKUP(INDIRECT(ADDRESS(2,COLUMN())),OFFSET($AM$2,0,0,ROW()-1,33),ROW()-1,FALSE))</f>
        <v>3448.9029999999998</v>
      </c>
      <c r="Y31">
        <f ca="1">IF(AND(ISNUMBER($Y$453),$B$427=1),$Y$453,HLOOKUP(INDIRECT(ADDRESS(2,COLUMN())),OFFSET($AM$2,0,0,ROW()-1,33),ROW()-1,FALSE))</f>
        <v>3433.902</v>
      </c>
      <c r="Z31">
        <f ca="1">IF(AND(ISNUMBER($Z$453),$B$427=1),$Z$453,HLOOKUP(INDIRECT(ADDRESS(2,COLUMN())),OFFSET($AM$2,0,0,ROW()-1,33),ROW()-1,FALSE))</f>
        <v>3192.933</v>
      </c>
      <c r="AA31">
        <f ca="1">IF(AND(ISNUMBER($AA$453),$B$427=1),$AA$453,HLOOKUP(INDIRECT(ADDRESS(2,COLUMN())),OFFSET($AM$2,0,0,ROW()-1,33),ROW()-1,FALSE))</f>
        <v>2962.4070000000002</v>
      </c>
      <c r="AB31">
        <f ca="1">IF(AND(ISNUMBER($AB$453),$B$427=1),$AB$453,HLOOKUP(INDIRECT(ADDRESS(2,COLUMN())),OFFSET($AM$2,0,0,ROW()-1,33),ROW()-1,FALSE))</f>
        <v>2778.549</v>
      </c>
      <c r="AC31">
        <f ca="1">IF(AND(ISNUMBER($AC$453),$B$427=1),$AC$453,HLOOKUP(INDIRECT(ADDRESS(2,COLUMN())),OFFSET($AM$2,0,0,ROW()-1,33),ROW()-1,FALSE))</f>
        <v>2501.1280000000002</v>
      </c>
      <c r="AD31">
        <f ca="1">IF(AND(ISNUMBER($AD$453),$B$427=1),$AD$453,HLOOKUP(INDIRECT(ADDRESS(2,COLUMN())),OFFSET($AM$2,0,0,ROW()-1,33),ROW()-1,FALSE))</f>
        <v>2412.1309999999999</v>
      </c>
      <c r="AE31">
        <f ca="1">IF(AND(ISNUMBER($AE$453),$B$427=1),$AE$453,HLOOKUP(INDIRECT(ADDRESS(2,COLUMN())),OFFSET($AM$2,0,0,ROW()-1,33),ROW()-1,FALSE))</f>
        <v>2350.0079999999998</v>
      </c>
      <c r="AF31">
        <f ca="1">IF(AND(ISNUMBER($AF$453),$B$427=1),$AF$453,HLOOKUP(INDIRECT(ADDRESS(2,COLUMN())),OFFSET($AM$2,0,0,ROW()-1,33),ROW()-1,FALSE))</f>
        <v>2424.86</v>
      </c>
      <c r="AG31">
        <f ca="1">IF(AND(ISNUMBER($AG$453),$B$427=1),$AG$453,HLOOKUP(INDIRECT(ADDRESS(2,COLUMN())),OFFSET($AM$2,0,0,ROW()-1,33),ROW()-1,FALSE))</f>
        <v>2806.855</v>
      </c>
      <c r="AH31">
        <f ca="1">IF(AND(ISNUMBER($AH$453),$B$427=1),$AH$453,HLOOKUP(INDIRECT(ADDRESS(2,COLUMN())),OFFSET($AM$2,0,0,ROW()-1,33),ROW()-1,FALSE))</f>
        <v>2953.3960000000002</v>
      </c>
      <c r="AI31">
        <f ca="1">IF(AND(ISNUMBER($AI$453),$B$427=1),$AI$453,HLOOKUP(INDIRECT(ADDRESS(2,COLUMN())),OFFSET($AM$2,0,0,ROW()-1,33),ROW()-1,FALSE))</f>
        <v>3542.5880000000002</v>
      </c>
      <c r="AJ31">
        <f ca="1">IF(AND(ISNUMBER($AJ$453),$B$427=1),$AJ$453,HLOOKUP(INDIRECT(ADDRESS(2,COLUMN())),OFFSET($AM$2,0,0,ROW()-1,33),ROW()-1,FALSE))</f>
        <v>3506.221</v>
      </c>
      <c r="AK31">
        <f ca="1">IF(AND(ISNUMBER($AK$453),$B$427=1),$AK$453,HLOOKUP(INDIRECT(ADDRESS(2,COLUMN())),OFFSET($AM$2,0,0,ROW()-1,33),ROW()-1,FALSE))</f>
        <v>3117.973</v>
      </c>
      <c r="AL31">
        <f ca="1">IF(AND(ISNUMBER($AL$453),$B$427=1),$AL$453,HLOOKUP(INDIRECT(ADDRESS(2,COLUMN())),OFFSET($AM$2,0,0,ROW()-1,33),ROW()-1,FALSE))</f>
        <v>3150.471</v>
      </c>
      <c r="AM31" t="str">
        <f>""</f>
        <v/>
      </c>
      <c r="AN31">
        <f>3850</f>
        <v>3850</v>
      </c>
      <c r="AO31">
        <f>3784</f>
        <v>3784</v>
      </c>
      <c r="AP31">
        <f>3528</f>
        <v>3528</v>
      </c>
      <c r="AQ31">
        <f>3675</f>
        <v>3675</v>
      </c>
      <c r="AR31">
        <f>3781</f>
        <v>3781</v>
      </c>
      <c r="AS31">
        <f>3988.086</f>
        <v>3988.0859999999998</v>
      </c>
      <c r="AT31">
        <f>4033.217</f>
        <v>4033.2170000000001</v>
      </c>
      <c r="AU31">
        <f>3916.745</f>
        <v>3916.7449999999999</v>
      </c>
      <c r="AV31">
        <f>3740.294</f>
        <v>3740.2939999999999</v>
      </c>
      <c r="AW31">
        <f>3633.572</f>
        <v>3633.5720000000001</v>
      </c>
      <c r="AX31">
        <f>3392.007</f>
        <v>3392.0070000000001</v>
      </c>
      <c r="AY31">
        <f>3360.348</f>
        <v>3360.348</v>
      </c>
      <c r="AZ31">
        <f>3590.746</f>
        <v>3590.7460000000001</v>
      </c>
      <c r="BA31">
        <f>3667.951</f>
        <v>3667.951</v>
      </c>
      <c r="BB31">
        <f>3850.926</f>
        <v>3850.9259999999999</v>
      </c>
      <c r="BC31">
        <f>4116.029</f>
        <v>4116.0290000000005</v>
      </c>
      <c r="BD31">
        <f>4026.906</f>
        <v>4026.9059999999999</v>
      </c>
      <c r="BE31">
        <f>3448.903</f>
        <v>3448.9029999999998</v>
      </c>
      <c r="BF31">
        <f>3433.902</f>
        <v>3433.902</v>
      </c>
      <c r="BG31">
        <f>3192.933</f>
        <v>3192.933</v>
      </c>
      <c r="BH31">
        <f>2962.407</f>
        <v>2962.4070000000002</v>
      </c>
      <c r="BI31">
        <f>2778.549</f>
        <v>2778.549</v>
      </c>
      <c r="BJ31">
        <f>2501.128</f>
        <v>2501.1280000000002</v>
      </c>
      <c r="BK31">
        <f>2412.131</f>
        <v>2412.1309999999999</v>
      </c>
      <c r="BL31">
        <f>2350.008</f>
        <v>2350.0079999999998</v>
      </c>
      <c r="BM31">
        <f>2424.86</f>
        <v>2424.86</v>
      </c>
      <c r="BN31">
        <f>2806.855</f>
        <v>2806.855</v>
      </c>
      <c r="BO31">
        <f>2953.396</f>
        <v>2953.3960000000002</v>
      </c>
      <c r="BP31">
        <f>3542.588</f>
        <v>3542.5880000000002</v>
      </c>
      <c r="BQ31">
        <f>3506.221</f>
        <v>3506.221</v>
      </c>
      <c r="BR31">
        <f>3117.973</f>
        <v>3117.973</v>
      </c>
      <c r="BS31">
        <f>3150.471</f>
        <v>3150.471</v>
      </c>
    </row>
    <row r="32" spans="1:71" x14ac:dyDescent="0.25">
      <c r="A32" t="str">
        <f>"            East West Bancorp Inc"</f>
        <v xml:space="preserve">            East West Bancorp Inc</v>
      </c>
      <c r="B32" t="str">
        <f>"EWBC US Equity"</f>
        <v>EWBC US Equity</v>
      </c>
      <c r="C32" t="str">
        <f t="shared" si="3"/>
        <v>FC004</v>
      </c>
      <c r="D32" t="str">
        <f t="shared" si="4"/>
        <v>FDIC_FAM_RESIDENT_LOANS</v>
      </c>
      <c r="E32" t="str">
        <f t="shared" si="5"/>
        <v>Dynamic</v>
      </c>
      <c r="F32" t="str">
        <f ca="1">IF(AND(ISNUMBER($F$454),$B$427=1),$F$454,HLOOKUP(INDIRECT(ADDRESS(2,COLUMN())),OFFSET($AM$2,0,0,ROW()-1,33),ROW()-1,FALSE))</f>
        <v/>
      </c>
      <c r="G32">
        <f ca="1">IF(AND(ISNUMBER($G$454),$B$427=1),$G$454,HLOOKUP(INDIRECT(ADDRESS(2,COLUMN())),OFFSET($AM$2,0,0,ROW()-1,33),ROW()-1,FALSE))</f>
        <v>15765.011</v>
      </c>
      <c r="H32">
        <f ca="1">IF(AND(ISNUMBER($H$454),$B$427=1),$H$454,HLOOKUP(INDIRECT(ADDRESS(2,COLUMN())),OFFSET($AM$2,0,0,ROW()-1,33),ROW()-1,FALSE))</f>
        <v>14001.596</v>
      </c>
      <c r="I32">
        <f ca="1">IF(AND(ISNUMBER($I$454),$B$427=1),$I$454,HLOOKUP(INDIRECT(ADDRESS(2,COLUMN())),OFFSET($AM$2,0,0,ROW()-1,33),ROW()-1,FALSE))</f>
        <v>11816.014999999999</v>
      </c>
      <c r="J32">
        <f ca="1">IF(AND(ISNUMBER($J$454),$B$427=1),$J$454,HLOOKUP(INDIRECT(ADDRESS(2,COLUMN())),OFFSET($AM$2,0,0,ROW()-1,33),ROW()-1,FALSE))</f>
        <v>10278.281000000001</v>
      </c>
      <c r="K32">
        <f ca="1">IF(AND(ISNUMBER($K$454),$B$427=1),$K$454,HLOOKUP(INDIRECT(ADDRESS(2,COLUMN())),OFFSET($AM$2,0,0,ROW()-1,33),ROW()-1,FALSE))</f>
        <v>8982.9150000000009</v>
      </c>
      <c r="L32">
        <f ca="1">IF(AND(ISNUMBER($L$454),$B$427=1),$L$454,HLOOKUP(INDIRECT(ADDRESS(2,COLUMN())),OFFSET($AM$2,0,0,ROW()-1,33),ROW()-1,FALSE))</f>
        <v>8119.1329999999998</v>
      </c>
      <c r="M32">
        <f ca="1">IF(AND(ISNUMBER($M$454),$B$427=1),$M$454,HLOOKUP(INDIRECT(ADDRESS(2,COLUMN())),OFFSET($AM$2,0,0,ROW()-1,33),ROW()-1,FALSE))</f>
        <v>6841.8789999999999</v>
      </c>
      <c r="N32">
        <f ca="1">IF(AND(ISNUMBER($N$454),$B$427=1),$N$454,HLOOKUP(INDIRECT(ADDRESS(2,COLUMN())),OFFSET($AM$2,0,0,ROW()-1,33),ROW()-1,FALSE))</f>
        <v>5571.4560000000001</v>
      </c>
      <c r="O32">
        <f ca="1">IF(AND(ISNUMBER($O$454),$B$427=1),$O$454,HLOOKUP(INDIRECT(ADDRESS(2,COLUMN())),OFFSET($AM$2,0,0,ROW()-1,33),ROW()-1,FALSE))</f>
        <v>4943.2579999999998</v>
      </c>
      <c r="P32">
        <f ca="1">IF(AND(ISNUMBER($P$454),$B$427=1),$P$454,HLOOKUP(INDIRECT(ADDRESS(2,COLUMN())),OFFSET($AM$2,0,0,ROW()-1,33),ROW()-1,FALSE))</f>
        <v>5243.8760000000002</v>
      </c>
      <c r="Q32">
        <f ca="1">IF(AND(ISNUMBER($Q$454),$B$427=1),$Q$454,HLOOKUP(INDIRECT(ADDRESS(2,COLUMN())),OFFSET($AM$2,0,0,ROW()-1,33),ROW()-1,FALSE))</f>
        <v>4217.38</v>
      </c>
      <c r="R32">
        <f ca="1">IF(AND(ISNUMBER($R$454),$B$427=1),$R$454,HLOOKUP(INDIRECT(ADDRESS(2,COLUMN())),OFFSET($AM$2,0,0,ROW()-1,33),ROW()-1,FALSE))</f>
        <v>2858.3980000000001</v>
      </c>
      <c r="S32">
        <f ca="1">IF(AND(ISNUMBER($S$454),$B$427=1),$S$454,HLOOKUP(INDIRECT(ADDRESS(2,COLUMN())),OFFSET($AM$2,0,0,ROW()-1,33),ROW()-1,FALSE))</f>
        <v>2536.3020000000001</v>
      </c>
      <c r="T32">
        <f ca="1">IF(AND(ISNUMBER($T$454),$B$427=1),$T$454,HLOOKUP(INDIRECT(ADDRESS(2,COLUMN())),OFFSET($AM$2,0,0,ROW()-1,33),ROW()-1,FALSE))</f>
        <v>1929.3320000000001</v>
      </c>
      <c r="U32">
        <f ca="1">IF(AND(ISNUMBER($U$454),$B$427=1),$U$454,HLOOKUP(INDIRECT(ADDRESS(2,COLUMN())),OFFSET($AM$2,0,0,ROW()-1,33),ROW()-1,FALSE))</f>
        <v>1786.6780000000001</v>
      </c>
      <c r="V32">
        <f ca="1">IF(AND(ISNUMBER($V$454),$B$427=1),$V$454,HLOOKUP(INDIRECT(ADDRESS(2,COLUMN())),OFFSET($AM$2,0,0,ROW()-1,33),ROW()-1,FALSE))</f>
        <v>653.99699999999996</v>
      </c>
      <c r="W32">
        <f ca="1">IF(AND(ISNUMBER($W$454),$B$427=1),$W$454,HLOOKUP(INDIRECT(ADDRESS(2,COLUMN())),OFFSET($AM$2,0,0,ROW()-1,33),ROW()-1,FALSE))</f>
        <v>554.09199999999998</v>
      </c>
      <c r="X32">
        <f ca="1">IF(AND(ISNUMBER($X$454),$B$427=1),$X$454,HLOOKUP(INDIRECT(ADDRESS(2,COLUMN())),OFFSET($AM$2,0,0,ROW()-1,33),ROW()-1,FALSE))</f>
        <v>507.55200000000002</v>
      </c>
      <c r="Y32">
        <f ca="1">IF(AND(ISNUMBER($Y$454),$B$427=1),$Y$454,HLOOKUP(INDIRECT(ADDRESS(2,COLUMN())),OFFSET($AM$2,0,0,ROW()-1,33),ROW()-1,FALSE))</f>
        <v>691.54</v>
      </c>
      <c r="Z32">
        <f ca="1">IF(AND(ISNUMBER($Z$454),$B$427=1),$Z$454,HLOOKUP(INDIRECT(ADDRESS(2,COLUMN())),OFFSET($AM$2,0,0,ROW()-1,33),ROW()-1,FALSE))</f>
        <v>491.98899999999998</v>
      </c>
      <c r="AA32">
        <f ca="1">IF(AND(ISNUMBER($AA$454),$B$427=1),$AA$454,HLOOKUP(INDIRECT(ADDRESS(2,COLUMN())),OFFSET($AM$2,0,0,ROW()-1,33),ROW()-1,FALSE))</f>
        <v>268.85599999999999</v>
      </c>
      <c r="AB32">
        <f ca="1">IF(AND(ISNUMBER($AB$454),$B$427=1),$AB$454,HLOOKUP(INDIRECT(ADDRESS(2,COLUMN())),OFFSET($AM$2,0,0,ROW()-1,33),ROW()-1,FALSE))</f>
        <v>194.971</v>
      </c>
      <c r="AC32">
        <f ca="1">IF(AND(ISNUMBER($AC$454),$B$427=1),$AC$454,HLOOKUP(INDIRECT(ADDRESS(2,COLUMN())),OFFSET($AM$2,0,0,ROW()-1,33),ROW()-1,FALSE))</f>
        <v>367.13400000000001</v>
      </c>
      <c r="AD32">
        <f ca="1">IF(AND(ISNUMBER($AD$454),$B$427=1),$AD$454,HLOOKUP(INDIRECT(ADDRESS(2,COLUMN())),OFFSET($AM$2,0,0,ROW()-1,33),ROW()-1,FALSE))</f>
        <v>367.77800000000002</v>
      </c>
      <c r="AE32">
        <f ca="1">IF(AND(ISNUMBER($AE$454),$B$427=1),$AE$454,HLOOKUP(INDIRECT(ADDRESS(2,COLUMN())),OFFSET($AM$2,0,0,ROW()-1,33),ROW()-1,FALSE))</f>
        <v>297.79399999999998</v>
      </c>
      <c r="AF32">
        <f ca="1">IF(AND(ISNUMBER($AF$454),$B$427=1),$AF$454,HLOOKUP(INDIRECT(ADDRESS(2,COLUMN())),OFFSET($AM$2,0,0,ROW()-1,33),ROW()-1,FALSE))</f>
        <v>282.15499999999997</v>
      </c>
      <c r="AG32" t="str">
        <f ca="1">IF(AND(ISNUMBER($AG$454),$B$427=1),$AG$454,HLOOKUP(INDIRECT(ADDRESS(2,COLUMN())),OFFSET($AM$2,0,0,ROW()-1,33),ROW()-1,FALSE))</f>
        <v/>
      </c>
      <c r="AH32" t="str">
        <f ca="1">IF(AND(ISNUMBER($AH$454),$B$427=1),$AH$454,HLOOKUP(INDIRECT(ADDRESS(2,COLUMN())),OFFSET($AM$2,0,0,ROW()-1,33),ROW()-1,FALSE))</f>
        <v/>
      </c>
      <c r="AI32" t="str">
        <f ca="1">IF(AND(ISNUMBER($AI$454),$B$427=1),$AI$454,HLOOKUP(INDIRECT(ADDRESS(2,COLUMN())),OFFSET($AM$2,0,0,ROW()-1,33),ROW()-1,FALSE))</f>
        <v/>
      </c>
      <c r="AJ32" t="str">
        <f ca="1">IF(AND(ISNUMBER($AJ$454),$B$427=1),$AJ$454,HLOOKUP(INDIRECT(ADDRESS(2,COLUMN())),OFFSET($AM$2,0,0,ROW()-1,33),ROW()-1,FALSE))</f>
        <v/>
      </c>
      <c r="AK32" t="str">
        <f ca="1">IF(AND(ISNUMBER($AK$454),$B$427=1),$AK$454,HLOOKUP(INDIRECT(ADDRESS(2,COLUMN())),OFFSET($AM$2,0,0,ROW()-1,33),ROW()-1,FALSE))</f>
        <v/>
      </c>
      <c r="AL32" t="str">
        <f ca="1">IF(AND(ISNUMBER($AL$454),$B$427=1),$AL$454,HLOOKUP(INDIRECT(ADDRESS(2,COLUMN())),OFFSET($AM$2,0,0,ROW()-1,33),ROW()-1,FALSE))</f>
        <v/>
      </c>
      <c r="AM32" t="str">
        <f>""</f>
        <v/>
      </c>
      <c r="AN32">
        <f>15765.011</f>
        <v>15765.011</v>
      </c>
      <c r="AO32">
        <f>14001.596</f>
        <v>14001.596</v>
      </c>
      <c r="AP32">
        <f>11816.015</f>
        <v>11816.014999999999</v>
      </c>
      <c r="AQ32">
        <f>10278.281</f>
        <v>10278.281000000001</v>
      </c>
      <c r="AR32">
        <f>8982.915</f>
        <v>8982.9150000000009</v>
      </c>
      <c r="AS32">
        <f>8119.133</f>
        <v>8119.1329999999998</v>
      </c>
      <c r="AT32">
        <f>6841.879</f>
        <v>6841.8789999999999</v>
      </c>
      <c r="AU32">
        <f>5571.456</f>
        <v>5571.4560000000001</v>
      </c>
      <c r="AV32">
        <f>4943.258</f>
        <v>4943.2579999999998</v>
      </c>
      <c r="AW32">
        <f>5243.876</f>
        <v>5243.8760000000002</v>
      </c>
      <c r="AX32">
        <f>4217.38</f>
        <v>4217.38</v>
      </c>
      <c r="AY32">
        <f>2858.398</f>
        <v>2858.3980000000001</v>
      </c>
      <c r="AZ32">
        <f>2536.302</f>
        <v>2536.3020000000001</v>
      </c>
      <c r="BA32">
        <f>1929.332</f>
        <v>1929.3320000000001</v>
      </c>
      <c r="BB32">
        <f>1786.678</f>
        <v>1786.6780000000001</v>
      </c>
      <c r="BC32">
        <f>653.997</f>
        <v>653.99699999999996</v>
      </c>
      <c r="BD32">
        <f>554.092</f>
        <v>554.09199999999998</v>
      </c>
      <c r="BE32">
        <f>507.552</f>
        <v>507.55200000000002</v>
      </c>
      <c r="BF32">
        <f>691.54</f>
        <v>691.54</v>
      </c>
      <c r="BG32">
        <f>491.989</f>
        <v>491.98899999999998</v>
      </c>
      <c r="BH32">
        <f>268.856</f>
        <v>268.85599999999999</v>
      </c>
      <c r="BI32">
        <f>194.971</f>
        <v>194.971</v>
      </c>
      <c r="BJ32">
        <f>367.134</f>
        <v>367.13400000000001</v>
      </c>
      <c r="BK32">
        <f>367.778</f>
        <v>367.77800000000002</v>
      </c>
      <c r="BL32">
        <f>297.794</f>
        <v>297.79399999999998</v>
      </c>
      <c r="BM32">
        <f>282.155</f>
        <v>282.15499999999997</v>
      </c>
      <c r="BN32" t="str">
        <f>""</f>
        <v/>
      </c>
      <c r="BO32" t="str">
        <f>""</f>
        <v/>
      </c>
      <c r="BP32" t="str">
        <f>""</f>
        <v/>
      </c>
      <c r="BQ32" t="str">
        <f>""</f>
        <v/>
      </c>
      <c r="BR32" t="str">
        <f>""</f>
        <v/>
      </c>
      <c r="BS32" t="str">
        <f>""</f>
        <v/>
      </c>
    </row>
    <row r="33" spans="1:71" x14ac:dyDescent="0.25">
      <c r="A33" t="str">
        <f>"            Fifth Third Bancorp"</f>
        <v xml:space="preserve">            Fifth Third Bancorp</v>
      </c>
      <c r="B33" t="str">
        <f>"FITB US Equity"</f>
        <v>FITB US Equity</v>
      </c>
      <c r="C33" t="str">
        <f t="shared" si="3"/>
        <v>FC004</v>
      </c>
      <c r="D33" t="str">
        <f t="shared" si="4"/>
        <v>FDIC_FAM_RESIDENT_LOANS</v>
      </c>
      <c r="E33" t="str">
        <f t="shared" si="5"/>
        <v>Dynamic</v>
      </c>
      <c r="F33">
        <f ca="1">IF(AND(ISNUMBER($F$455),$B$427=1),$F$455,HLOOKUP(INDIRECT(ADDRESS(2,COLUMN())),OFFSET($AM$2,0,0,ROW()-1,33),ROW()-1,FALSE))</f>
        <v>21882</v>
      </c>
      <c r="G33">
        <f ca="1">IF(AND(ISNUMBER($G$455),$B$427=1),$G$455,HLOOKUP(INDIRECT(ADDRESS(2,COLUMN())),OFFSET($AM$2,0,0,ROW()-1,33),ROW()-1,FALSE))</f>
        <v>20846</v>
      </c>
      <c r="H33">
        <f ca="1">IF(AND(ISNUMBER($H$455),$B$427=1),$H$455,HLOOKUP(INDIRECT(ADDRESS(2,COLUMN())),OFFSET($AM$2,0,0,ROW()-1,33),ROW()-1,FALSE))</f>
        <v>22204.278999999999</v>
      </c>
      <c r="I33">
        <f ca="1">IF(AND(ISNUMBER($I$455),$B$427=1),$I$455,HLOOKUP(INDIRECT(ADDRESS(2,COLUMN())),OFFSET($AM$2,0,0,ROW()-1,33),ROW()-1,FALSE))</f>
        <v>24533.073</v>
      </c>
      <c r="J33">
        <f ca="1">IF(AND(ISNUMBER($J$455),$B$427=1),$J$455,HLOOKUP(INDIRECT(ADDRESS(2,COLUMN())),OFFSET($AM$2,0,0,ROW()-1,33),ROW()-1,FALSE))</f>
        <v>25186.95</v>
      </c>
      <c r="K33">
        <f ca="1">IF(AND(ISNUMBER($K$455),$B$427=1),$K$455,HLOOKUP(INDIRECT(ADDRESS(2,COLUMN())),OFFSET($AM$2,0,0,ROW()-1,33),ROW()-1,FALSE))</f>
        <v>23568.696</v>
      </c>
      <c r="L33">
        <f ca="1">IF(AND(ISNUMBER($L$455),$B$427=1),$L$455,HLOOKUP(INDIRECT(ADDRESS(2,COLUMN())),OFFSET($AM$2,0,0,ROW()-1,33),ROW()-1,FALSE))</f>
        <v>21869.364000000001</v>
      </c>
      <c r="M33">
        <f ca="1">IF(AND(ISNUMBER($M$455),$B$427=1),$M$455,HLOOKUP(INDIRECT(ADDRESS(2,COLUMN())),OFFSET($AM$2,0,0,ROW()-1,33),ROW()-1,FALSE))</f>
        <v>22465</v>
      </c>
      <c r="N33">
        <f ca="1">IF(AND(ISNUMBER($N$455),$B$427=1),$N$455,HLOOKUP(INDIRECT(ADDRESS(2,COLUMN())),OFFSET($AM$2,0,0,ROW()-1,33),ROW()-1,FALSE))</f>
        <v>22696.782999999999</v>
      </c>
      <c r="O33">
        <f ca="1">IF(AND(ISNUMBER($O$455),$B$427=1),$O$455,HLOOKUP(INDIRECT(ADDRESS(2,COLUMN())),OFFSET($AM$2,0,0,ROW()-1,33),ROW()-1,FALSE))</f>
        <v>22027.731</v>
      </c>
      <c r="P33">
        <f ca="1">IF(AND(ISNUMBER($P$455),$B$427=1),$P$455,HLOOKUP(INDIRECT(ADDRESS(2,COLUMN())),OFFSET($AM$2,0,0,ROW()-1,33),ROW()-1,FALSE))</f>
        <v>21815.423999999999</v>
      </c>
      <c r="Q33">
        <f ca="1">IF(AND(ISNUMBER($Q$455),$B$427=1),$Q$455,HLOOKUP(INDIRECT(ADDRESS(2,COLUMN())),OFFSET($AM$2,0,0,ROW()-1,33),ROW()-1,FALSE))</f>
        <v>22271.501</v>
      </c>
      <c r="R33">
        <f ca="1">IF(AND(ISNUMBER($R$455),$B$427=1),$R$455,HLOOKUP(INDIRECT(ADDRESS(2,COLUMN())),OFFSET($AM$2,0,0,ROW()-1,33),ROW()-1,FALSE))</f>
        <v>24457.736000000001</v>
      </c>
      <c r="S33">
        <f ca="1">IF(AND(ISNUMBER($S$455),$B$427=1),$S$455,HLOOKUP(INDIRECT(ADDRESS(2,COLUMN())),OFFSET($AM$2,0,0,ROW()-1,33),ROW()-1,FALSE))</f>
        <v>23864.955000000002</v>
      </c>
      <c r="T33">
        <f ca="1">IF(AND(ISNUMBER($T$455),$B$427=1),$T$455,HLOOKUP(INDIRECT(ADDRESS(2,COLUMN())),OFFSET($AM$2,0,0,ROW()-1,33),ROW()-1,FALSE))</f>
        <v>22085.291000000001</v>
      </c>
      <c r="U33">
        <f ca="1">IF(AND(ISNUMBER($U$455),$B$427=1),$U$455,HLOOKUP(INDIRECT(ADDRESS(2,COLUMN())),OFFSET($AM$2,0,0,ROW()-1,33),ROW()-1,FALSE))</f>
        <v>21821.242999999999</v>
      </c>
      <c r="V33">
        <f ca="1">IF(AND(ISNUMBER($V$455),$B$427=1),$V$455,HLOOKUP(INDIRECT(ADDRESS(2,COLUMN())),OFFSET($AM$2,0,0,ROW()-1,33),ROW()-1,FALSE))</f>
        <v>22477.023000000001</v>
      </c>
      <c r="W33">
        <f ca="1">IF(AND(ISNUMBER($W$455),$B$427=1),$W$455,HLOOKUP(INDIRECT(ADDRESS(2,COLUMN())),OFFSET($AM$2,0,0,ROW()-1,33),ROW()-1,FALSE))</f>
        <v>22456.776999999998</v>
      </c>
      <c r="X33">
        <f ca="1">IF(AND(ISNUMBER($X$455),$B$427=1),$X$455,HLOOKUP(INDIRECT(ADDRESS(2,COLUMN())),OFFSET($AM$2,0,0,ROW()-1,33),ROW()-1,FALSE))</f>
        <v>21382.897000000001</v>
      </c>
      <c r="Y33">
        <f ca="1">IF(AND(ISNUMBER($Y$455),$B$427=1),$Y$455,HLOOKUP(INDIRECT(ADDRESS(2,COLUMN())),OFFSET($AM$2,0,0,ROW()-1,33),ROW()-1,FALSE))</f>
        <v>20205.214</v>
      </c>
      <c r="Z33">
        <f ca="1">IF(AND(ISNUMBER($Z$455),$B$427=1),$Z$455,HLOOKUP(INDIRECT(ADDRESS(2,COLUMN())),OFFSET($AM$2,0,0,ROW()-1,33),ROW()-1,FALSE))</f>
        <v>18173.718000000001</v>
      </c>
      <c r="AA33">
        <f ca="1">IF(AND(ISNUMBER($AA$455),$B$427=1),$AA$455,HLOOKUP(INDIRECT(ADDRESS(2,COLUMN())),OFFSET($AM$2,0,0,ROW()-1,33),ROW()-1,FALSE))</f>
        <v>14598.907999999999</v>
      </c>
      <c r="AB33">
        <f ca="1">IF(AND(ISNUMBER($AB$455),$B$427=1),$AB$455,HLOOKUP(INDIRECT(ADDRESS(2,COLUMN())),OFFSET($AM$2,0,0,ROW()-1,33),ROW()-1,FALSE))</f>
        <v>15319.308999999999</v>
      </c>
      <c r="AC33">
        <f ca="1">IF(AND(ISNUMBER($AC$455),$B$427=1),$AC$455,HLOOKUP(INDIRECT(ADDRESS(2,COLUMN())),OFFSET($AM$2,0,0,ROW()-1,33),ROW()-1,FALSE))</f>
        <v>14313.187</v>
      </c>
      <c r="AD33">
        <f ca="1">IF(AND(ISNUMBER($AD$455),$B$427=1),$AD$455,HLOOKUP(INDIRECT(ADDRESS(2,COLUMN())),OFFSET($AM$2,0,0,ROW()-1,33),ROW()-1,FALSE))</f>
        <v>7871.94</v>
      </c>
      <c r="AE33">
        <f ca="1">IF(AND(ISNUMBER($AE$455),$B$427=1),$AE$455,HLOOKUP(INDIRECT(ADDRESS(2,COLUMN())),OFFSET($AM$2,0,0,ROW()-1,33),ROW()-1,FALSE))</f>
        <v>7472.0559999999996</v>
      </c>
      <c r="AF33">
        <f ca="1">IF(AND(ISNUMBER($AF$455),$B$427=1),$AF$455,HLOOKUP(INDIRECT(ADDRESS(2,COLUMN())),OFFSET($AM$2,0,0,ROW()-1,33),ROW()-1,FALSE))</f>
        <v>6177.6509999999998</v>
      </c>
      <c r="AG33">
        <f ca="1">IF(AND(ISNUMBER($AG$455),$B$427=1),$AG$455,HLOOKUP(INDIRECT(ADDRESS(2,COLUMN())),OFFSET($AM$2,0,0,ROW()-1,33),ROW()-1,FALSE))</f>
        <v>3254.53</v>
      </c>
      <c r="AH33">
        <f ca="1">IF(AND(ISNUMBER($AH$455),$B$427=1),$AH$455,HLOOKUP(INDIRECT(ADDRESS(2,COLUMN())),OFFSET($AM$2,0,0,ROW()-1,33),ROW()-1,FALSE))</f>
        <v>2947.4760000000001</v>
      </c>
      <c r="AI33">
        <f ca="1">IF(AND(ISNUMBER($AI$455),$B$427=1),$AI$455,HLOOKUP(INDIRECT(ADDRESS(2,COLUMN())),OFFSET($AM$2,0,0,ROW()-1,33),ROW()-1,FALSE))</f>
        <v>2575.9110000000001</v>
      </c>
      <c r="AJ33">
        <f ca="1">IF(AND(ISNUMBER($AJ$455),$B$427=1),$AJ$455,HLOOKUP(INDIRECT(ADDRESS(2,COLUMN())),OFFSET($AM$2,0,0,ROW()-1,33),ROW()-1,FALSE))</f>
        <v>2761.7170000000001</v>
      </c>
      <c r="AK33">
        <f ca="1">IF(AND(ISNUMBER($AK$455),$B$427=1),$AK$455,HLOOKUP(INDIRECT(ADDRESS(2,COLUMN())),OFFSET($AM$2,0,0,ROW()-1,33),ROW()-1,FALSE))</f>
        <v>2387.5830000000001</v>
      </c>
      <c r="AL33">
        <f ca="1">IF(AND(ISNUMBER($AL$455),$B$427=1),$AL$455,HLOOKUP(INDIRECT(ADDRESS(2,COLUMN())),OFFSET($AM$2,0,0,ROW()-1,33),ROW()-1,FALSE))</f>
        <v>2169.096</v>
      </c>
      <c r="AM33">
        <f>21882</f>
        <v>21882</v>
      </c>
      <c r="AN33">
        <f>20846</f>
        <v>20846</v>
      </c>
      <c r="AO33">
        <f>22204.279</f>
        <v>22204.278999999999</v>
      </c>
      <c r="AP33">
        <f>24533.073</f>
        <v>24533.073</v>
      </c>
      <c r="AQ33">
        <f>25186.95</f>
        <v>25186.95</v>
      </c>
      <c r="AR33">
        <f>23568.696</f>
        <v>23568.696</v>
      </c>
      <c r="AS33">
        <f>21869.364</f>
        <v>21869.364000000001</v>
      </c>
      <c r="AT33">
        <f>22465</f>
        <v>22465</v>
      </c>
      <c r="AU33">
        <f>22696.783</f>
        <v>22696.782999999999</v>
      </c>
      <c r="AV33">
        <f>22027.731</f>
        <v>22027.731</v>
      </c>
      <c r="AW33">
        <f>21815.424</f>
        <v>21815.423999999999</v>
      </c>
      <c r="AX33">
        <f>22271.501</f>
        <v>22271.501</v>
      </c>
      <c r="AY33">
        <f>24457.736</f>
        <v>24457.736000000001</v>
      </c>
      <c r="AZ33">
        <f>23864.955</f>
        <v>23864.955000000002</v>
      </c>
      <c r="BA33">
        <f>22085.291</f>
        <v>22085.291000000001</v>
      </c>
      <c r="BB33">
        <f>21821.243</f>
        <v>21821.242999999999</v>
      </c>
      <c r="BC33">
        <f>22477.023</f>
        <v>22477.023000000001</v>
      </c>
      <c r="BD33">
        <f>22456.777</f>
        <v>22456.776999999998</v>
      </c>
      <c r="BE33">
        <f>21382.897</f>
        <v>21382.897000000001</v>
      </c>
      <c r="BF33">
        <f>20205.214</f>
        <v>20205.214</v>
      </c>
      <c r="BG33">
        <f>18173.718</f>
        <v>18173.718000000001</v>
      </c>
      <c r="BH33">
        <f>14598.908</f>
        <v>14598.907999999999</v>
      </c>
      <c r="BI33">
        <f>15319.309</f>
        <v>15319.308999999999</v>
      </c>
      <c r="BJ33">
        <f>14313.187</f>
        <v>14313.187</v>
      </c>
      <c r="BK33">
        <f>7871.94</f>
        <v>7871.94</v>
      </c>
      <c r="BL33">
        <f>7472.056</f>
        <v>7472.0559999999996</v>
      </c>
      <c r="BM33">
        <f>6177.651</f>
        <v>6177.6509999999998</v>
      </c>
      <c r="BN33">
        <f>3254.53</f>
        <v>3254.53</v>
      </c>
      <c r="BO33">
        <f>2947.476</f>
        <v>2947.4760000000001</v>
      </c>
      <c r="BP33">
        <f>2575.911</f>
        <v>2575.9110000000001</v>
      </c>
      <c r="BQ33">
        <f>2761.717</f>
        <v>2761.7170000000001</v>
      </c>
      <c r="BR33">
        <f>2387.583</f>
        <v>2387.5830000000001</v>
      </c>
      <c r="BS33">
        <f>2169.096</f>
        <v>2169.096</v>
      </c>
    </row>
    <row r="34" spans="1:71" x14ac:dyDescent="0.25">
      <c r="A34" t="str">
        <f>"            First Citizens BancShares Inc/"</f>
        <v xml:space="preserve">            First Citizens BancShares Inc/</v>
      </c>
      <c r="B34" t="str">
        <f>"FCNCA US Equity"</f>
        <v>FCNCA US Equity</v>
      </c>
      <c r="C34" t="str">
        <f t="shared" si="3"/>
        <v>FC004</v>
      </c>
      <c r="D34" t="str">
        <f t="shared" si="4"/>
        <v>FDIC_FAM_RESIDENT_LOANS</v>
      </c>
      <c r="E34" t="str">
        <f t="shared" si="5"/>
        <v>Dynamic</v>
      </c>
      <c r="F34">
        <f ca="1">IF(AND(ISNUMBER($F$456),$B$427=1),$F$456,HLOOKUP(INDIRECT(ADDRESS(2,COLUMN())),OFFSET($AM$2,0,0,ROW()-1,33),ROW()-1,FALSE))</f>
        <v>25390</v>
      </c>
      <c r="G34">
        <f ca="1">IF(AND(ISNUMBER($G$456),$B$427=1),$G$456,HLOOKUP(INDIRECT(ADDRESS(2,COLUMN())),OFFSET($AM$2,0,0,ROW()-1,33),ROW()-1,FALSE))</f>
        <v>24530.958999999999</v>
      </c>
      <c r="H34">
        <f ca="1">IF(AND(ISNUMBER($H$456),$B$427=1),$H$456,HLOOKUP(INDIRECT(ADDRESS(2,COLUMN())),OFFSET($AM$2,0,0,ROW()-1,33),ROW()-1,FALSE))</f>
        <v>14855.508</v>
      </c>
      <c r="I34">
        <f ca="1">IF(AND(ISNUMBER($I$456),$B$427=1),$I$456,HLOOKUP(INDIRECT(ADDRESS(2,COLUMN())),OFFSET($AM$2,0,0,ROW()-1,33),ROW()-1,FALSE))</f>
        <v>7725.3940000000002</v>
      </c>
      <c r="J34">
        <f ca="1">IF(AND(ISNUMBER($J$456),$B$427=1),$J$456,HLOOKUP(INDIRECT(ADDRESS(2,COLUMN())),OFFSET($AM$2,0,0,ROW()-1,33),ROW()-1,FALSE))</f>
        <v>7955.8329999999996</v>
      </c>
      <c r="K34">
        <f ca="1">IF(AND(ISNUMBER($K$456),$B$427=1),$K$456,HLOOKUP(INDIRECT(ADDRESS(2,COLUMN())),OFFSET($AM$2,0,0,ROW()-1,33),ROW()-1,FALSE))</f>
        <v>7970.076</v>
      </c>
      <c r="L34">
        <f ca="1">IF(AND(ISNUMBER($L$456),$B$427=1),$L$456,HLOOKUP(INDIRECT(ADDRESS(2,COLUMN())),OFFSET($AM$2,0,0,ROW()-1,33),ROW()-1,FALSE))</f>
        <v>7160.2579999999998</v>
      </c>
      <c r="M34">
        <f ca="1">IF(AND(ISNUMBER($M$456),$B$427=1),$M$456,HLOOKUP(INDIRECT(ADDRESS(2,COLUMN())),OFFSET($AM$2,0,0,ROW()-1,33),ROW()-1,FALSE))</f>
        <v>6639.7160000000003</v>
      </c>
      <c r="N34">
        <f ca="1">IF(AND(ISNUMBER($N$456),$B$427=1),$N$456,HLOOKUP(INDIRECT(ADDRESS(2,COLUMN())),OFFSET($AM$2,0,0,ROW()-1,33),ROW()-1,FALSE))</f>
        <v>5872.2960000000003</v>
      </c>
      <c r="O34">
        <f ca="1">IF(AND(ISNUMBER($O$456),$B$427=1),$O$456,HLOOKUP(INDIRECT(ADDRESS(2,COLUMN())),OFFSET($AM$2,0,0,ROW()-1,33),ROW()-1,FALSE))</f>
        <v>5633.4859999999999</v>
      </c>
      <c r="P34">
        <f ca="1">IF(AND(ISNUMBER($P$456),$B$427=1),$P$456,HLOOKUP(INDIRECT(ADDRESS(2,COLUMN())),OFFSET($AM$2,0,0,ROW()-1,33),ROW()-1,FALSE))</f>
        <v>5602.4840000000004</v>
      </c>
      <c r="Q34">
        <f ca="1">IF(AND(ISNUMBER($Q$456),$B$427=1),$Q$456,HLOOKUP(INDIRECT(ADDRESS(2,COLUMN())),OFFSET($AM$2,0,0,ROW()-1,33),ROW()-1,FALSE))</f>
        <v>3387.6619999999998</v>
      </c>
      <c r="R34">
        <f ca="1">IF(AND(ISNUMBER($R$456),$B$427=1),$R$456,HLOOKUP(INDIRECT(ADDRESS(2,COLUMN())),OFFSET($AM$2,0,0,ROW()-1,33),ROW()-1,FALSE))</f>
        <v>3461.9850000000001</v>
      </c>
      <c r="S34">
        <f ca="1">IF(AND(ISNUMBER($S$456),$B$427=1),$S$456,HLOOKUP(INDIRECT(ADDRESS(2,COLUMN())),OFFSET($AM$2,0,0,ROW()-1,33),ROW()-1,FALSE))</f>
        <v>3552.0819999999999</v>
      </c>
      <c r="T34">
        <f ca="1">IF(AND(ISNUMBER($T$456),$B$427=1),$T$456,HLOOKUP(INDIRECT(ADDRESS(2,COLUMN())),OFFSET($AM$2,0,0,ROW()-1,33),ROW()-1,FALSE))</f>
        <v>3293.9380000000001</v>
      </c>
      <c r="U34">
        <f ca="1">IF(AND(ISNUMBER($U$456),$B$427=1),$U$456,HLOOKUP(INDIRECT(ADDRESS(2,COLUMN())),OFFSET($AM$2,0,0,ROW()-1,33),ROW()-1,FALSE))</f>
        <v>3231.62</v>
      </c>
      <c r="V34">
        <f ca="1">IF(AND(ISNUMBER($V$456),$B$427=1),$V$456,HLOOKUP(INDIRECT(ADDRESS(2,COLUMN())),OFFSET($AM$2,0,0,ROW()-1,33),ROW()-1,FALSE))</f>
        <v>2876.0189999999998</v>
      </c>
      <c r="W34">
        <f ca="1">IF(AND(ISNUMBER($W$456),$B$427=1),$W$456,HLOOKUP(INDIRECT(ADDRESS(2,COLUMN())),OFFSET($AM$2,0,0,ROW()-1,33),ROW()-1,FALSE))</f>
        <v>2523.4609999999998</v>
      </c>
      <c r="X34">
        <f ca="1">IF(AND(ISNUMBER($X$456),$B$427=1),$X$456,HLOOKUP(INDIRECT(ADDRESS(2,COLUMN())),OFFSET($AM$2,0,0,ROW()-1,33),ROW()-1,FALSE))</f>
        <v>2351.6379999999999</v>
      </c>
      <c r="Y34">
        <f ca="1">IF(AND(ISNUMBER($Y$456),$B$427=1),$Y$456,HLOOKUP(INDIRECT(ADDRESS(2,COLUMN())),OFFSET($AM$2,0,0,ROW()-1,33),ROW()-1,FALSE))</f>
        <v>2385.4270000000001</v>
      </c>
      <c r="Z34">
        <f ca="1">IF(AND(ISNUMBER($Z$456),$B$427=1),$Z$456,HLOOKUP(INDIRECT(ADDRESS(2,COLUMN())),OFFSET($AM$2,0,0,ROW()-1,33),ROW()-1,FALSE))</f>
        <v>2693.7</v>
      </c>
      <c r="AA34">
        <f ca="1">IF(AND(ISNUMBER($AA$456),$B$427=1),$AA$456,HLOOKUP(INDIRECT(ADDRESS(2,COLUMN())),OFFSET($AM$2,0,0,ROW()-1,33),ROW()-1,FALSE))</f>
        <v>2568.1039999999998</v>
      </c>
      <c r="AB34">
        <f ca="1">IF(AND(ISNUMBER($AB$456),$B$427=1),$AB$456,HLOOKUP(INDIRECT(ADDRESS(2,COLUMN())),OFFSET($AM$2,0,0,ROW()-1,33),ROW()-1,FALSE))</f>
        <v>2474.9070000000002</v>
      </c>
      <c r="AC34">
        <f ca="1">IF(AND(ISNUMBER($AC$456),$B$427=1),$AC$456,HLOOKUP(INDIRECT(ADDRESS(2,COLUMN())),OFFSET($AM$2,0,0,ROW()-1,33),ROW()-1,FALSE))</f>
        <v>2346.9899999999998</v>
      </c>
      <c r="AD34">
        <f ca="1">IF(AND(ISNUMBER($AD$456),$B$427=1),$AD$456,HLOOKUP(INDIRECT(ADDRESS(2,COLUMN())),OFFSET($AM$2,0,0,ROW()-1,33),ROW()-1,FALSE))</f>
        <v>2377.596</v>
      </c>
      <c r="AE34">
        <f ca="1">IF(AND(ISNUMBER($AE$456),$B$427=1),$AE$456,HLOOKUP(INDIRECT(ADDRESS(2,COLUMN())),OFFSET($AM$2,0,0,ROW()-1,33),ROW()-1,FALSE))</f>
        <v>2084.4140000000002</v>
      </c>
      <c r="AF34">
        <f ca="1">IF(AND(ISNUMBER($AF$456),$B$427=1),$AF$456,HLOOKUP(INDIRECT(ADDRESS(2,COLUMN())),OFFSET($AM$2,0,0,ROW()-1,33),ROW()-1,FALSE))</f>
        <v>1915.25</v>
      </c>
      <c r="AG34">
        <f ca="1">IF(AND(ISNUMBER($AG$456),$B$427=1),$AG$456,HLOOKUP(INDIRECT(ADDRESS(2,COLUMN())),OFFSET($AM$2,0,0,ROW()-1,33),ROW()-1,FALSE))</f>
        <v>2004.259</v>
      </c>
      <c r="AH34">
        <f ca="1">IF(AND(ISNUMBER($AH$456),$B$427=1),$AH$456,HLOOKUP(INDIRECT(ADDRESS(2,COLUMN())),OFFSET($AM$2,0,0,ROW()-1,33),ROW()-1,FALSE))</f>
        <v>1950.972</v>
      </c>
      <c r="AI34">
        <f ca="1">IF(AND(ISNUMBER($AI$456),$B$427=1),$AI$456,HLOOKUP(INDIRECT(ADDRESS(2,COLUMN())),OFFSET($AM$2,0,0,ROW()-1,33),ROW()-1,FALSE))</f>
        <v>1835.7809999999999</v>
      </c>
      <c r="AJ34">
        <f ca="1">IF(AND(ISNUMBER($AJ$456),$B$427=1),$AJ$456,HLOOKUP(INDIRECT(ADDRESS(2,COLUMN())),OFFSET($AM$2,0,0,ROW()-1,33),ROW()-1,FALSE))</f>
        <v>1643.25</v>
      </c>
      <c r="AK34">
        <f ca="1">IF(AND(ISNUMBER($AK$456),$B$427=1),$AK$456,HLOOKUP(INDIRECT(ADDRESS(2,COLUMN())),OFFSET($AM$2,0,0,ROW()-1,33),ROW()-1,FALSE))</f>
        <v>1431.453</v>
      </c>
      <c r="AL34">
        <f ca="1">IF(AND(ISNUMBER($AL$456),$B$427=1),$AL$456,HLOOKUP(INDIRECT(ADDRESS(2,COLUMN())),OFFSET($AM$2,0,0,ROW()-1,33),ROW()-1,FALSE))</f>
        <v>1316.634</v>
      </c>
      <c r="AM34">
        <f>25390</f>
        <v>25390</v>
      </c>
      <c r="AN34">
        <f>24530.959</f>
        <v>24530.958999999999</v>
      </c>
      <c r="AO34">
        <f>14855.508</f>
        <v>14855.508</v>
      </c>
      <c r="AP34">
        <f>7725.394</f>
        <v>7725.3940000000002</v>
      </c>
      <c r="AQ34">
        <f>7955.833</f>
        <v>7955.8329999999996</v>
      </c>
      <c r="AR34">
        <f>7970.076</f>
        <v>7970.076</v>
      </c>
      <c r="AS34">
        <f>7160.258</f>
        <v>7160.2579999999998</v>
      </c>
      <c r="AT34">
        <f>6639.716</f>
        <v>6639.7160000000003</v>
      </c>
      <c r="AU34">
        <f>5872.296</f>
        <v>5872.2960000000003</v>
      </c>
      <c r="AV34">
        <f>5633.486</f>
        <v>5633.4859999999999</v>
      </c>
      <c r="AW34">
        <f>5602.484</f>
        <v>5602.4840000000004</v>
      </c>
      <c r="AX34">
        <f>3387.662</f>
        <v>3387.6619999999998</v>
      </c>
      <c r="AY34">
        <f>3461.985</f>
        <v>3461.9850000000001</v>
      </c>
      <c r="AZ34">
        <f>3552.082</f>
        <v>3552.0819999999999</v>
      </c>
      <c r="BA34">
        <f>3293.938</f>
        <v>3293.9380000000001</v>
      </c>
      <c r="BB34">
        <f>3231.62</f>
        <v>3231.62</v>
      </c>
      <c r="BC34">
        <f>2876.019</f>
        <v>2876.0189999999998</v>
      </c>
      <c r="BD34">
        <f>2523.461</f>
        <v>2523.4609999999998</v>
      </c>
      <c r="BE34">
        <f>2351.638</f>
        <v>2351.6379999999999</v>
      </c>
      <c r="BF34">
        <f>2385.427</f>
        <v>2385.4270000000001</v>
      </c>
      <c r="BG34">
        <f>2693.7</f>
        <v>2693.7</v>
      </c>
      <c r="BH34">
        <f>2568.104</f>
        <v>2568.1039999999998</v>
      </c>
      <c r="BI34">
        <f>2474.907</f>
        <v>2474.9070000000002</v>
      </c>
      <c r="BJ34">
        <f>2346.99</f>
        <v>2346.9899999999998</v>
      </c>
      <c r="BK34">
        <f>2377.596</f>
        <v>2377.596</v>
      </c>
      <c r="BL34">
        <f>2084.414</f>
        <v>2084.4140000000002</v>
      </c>
      <c r="BM34">
        <f>1915.25</f>
        <v>1915.25</v>
      </c>
      <c r="BN34">
        <f>2004.259</f>
        <v>2004.259</v>
      </c>
      <c r="BO34">
        <f>1950.972</f>
        <v>1950.972</v>
      </c>
      <c r="BP34">
        <f>1835.781</f>
        <v>1835.7809999999999</v>
      </c>
      <c r="BQ34">
        <f>1643.25</f>
        <v>1643.25</v>
      </c>
      <c r="BR34">
        <f>1431.453</f>
        <v>1431.453</v>
      </c>
      <c r="BS34">
        <f>1316.634</f>
        <v>1316.634</v>
      </c>
    </row>
    <row r="35" spans="1:71" x14ac:dyDescent="0.25">
      <c r="A35" t="str">
        <f>"            Flagstar Financial Inc"</f>
        <v xml:space="preserve">            Flagstar Financial Inc</v>
      </c>
      <c r="B35" t="str">
        <f>"FLG US Equity"</f>
        <v>FLG US Equity</v>
      </c>
      <c r="C35" t="str">
        <f t="shared" si="3"/>
        <v>FC004</v>
      </c>
      <c r="D35" t="str">
        <f t="shared" si="4"/>
        <v>FDIC_FAM_RESIDENT_LOANS</v>
      </c>
      <c r="E35" t="str">
        <f t="shared" si="5"/>
        <v>Dynamic</v>
      </c>
      <c r="F35">
        <f ca="1">IF(AND(ISNUMBER($F$457),$B$427=1),$F$457,HLOOKUP(INDIRECT(ADDRESS(2,COLUMN())),OFFSET($AM$2,0,0,ROW()-1,33),ROW()-1,FALSE))</f>
        <v>7179.1840000000002</v>
      </c>
      <c r="G35">
        <f ca="1">IF(AND(ISNUMBER($G$457),$B$427=1),$G$457,HLOOKUP(INDIRECT(ADDRESS(2,COLUMN())),OFFSET($AM$2,0,0,ROW()-1,33),ROW()-1,FALSE))</f>
        <v>8215.5930000000008</v>
      </c>
      <c r="H35">
        <f ca="1">IF(AND(ISNUMBER($H$457),$B$427=1),$H$457,HLOOKUP(INDIRECT(ADDRESS(2,COLUMN())),OFFSET($AM$2,0,0,ROW()-1,33),ROW()-1,FALSE))</f>
        <v>7711.7250000000004</v>
      </c>
      <c r="I35">
        <f ca="1">IF(AND(ISNUMBER($I$457),$B$427=1),$I$457,HLOOKUP(INDIRECT(ADDRESS(2,COLUMN())),OFFSET($AM$2,0,0,ROW()-1,33),ROW()-1,FALSE))</f>
        <v>160.44900000000001</v>
      </c>
      <c r="J35">
        <f ca="1">IF(AND(ISNUMBER($J$457),$B$427=1),$J$457,HLOOKUP(INDIRECT(ADDRESS(2,COLUMN())),OFFSET($AM$2,0,0,ROW()-1,33),ROW()-1,FALSE))</f>
        <v>236.267</v>
      </c>
      <c r="K35">
        <f ca="1">IF(AND(ISNUMBER($K$457),$B$427=1),$K$457,HLOOKUP(INDIRECT(ADDRESS(2,COLUMN())),OFFSET($AM$2,0,0,ROW()-1,33),ROW()-1,FALSE))</f>
        <v>380.68400000000003</v>
      </c>
      <c r="L35">
        <f ca="1">IF(AND(ISNUMBER($L$457),$B$427=1),$L$457,HLOOKUP(INDIRECT(ADDRESS(2,COLUMN())),OFFSET($AM$2,0,0,ROW()-1,33),ROW()-1,FALSE))</f>
        <v>446.41300000000001</v>
      </c>
      <c r="M35">
        <f ca="1">IF(AND(ISNUMBER($M$457),$B$427=1),$M$457,HLOOKUP(INDIRECT(ADDRESS(2,COLUMN())),OFFSET($AM$2,0,0,ROW()-1,33),ROW()-1,FALSE))</f>
        <v>512.48599999999999</v>
      </c>
      <c r="N35">
        <f ca="1">IF(AND(ISNUMBER($N$457),$B$427=1),$N$457,HLOOKUP(INDIRECT(ADDRESS(2,COLUMN())),OFFSET($AM$2,0,0,ROW()-1,33),ROW()-1,FALSE))</f>
        <v>2494.94</v>
      </c>
      <c r="O35">
        <f ca="1">IF(AND(ISNUMBER($O$457),$B$427=1),$O$457,HLOOKUP(INDIRECT(ADDRESS(2,COLUMN())),OFFSET($AM$2,0,0,ROW()-1,33),ROW()-1,FALSE))</f>
        <v>2554.1329999999998</v>
      </c>
      <c r="P35">
        <f ca="1">IF(AND(ISNUMBER($P$457),$B$427=1),$P$457,HLOOKUP(INDIRECT(ADDRESS(2,COLUMN())),OFFSET($AM$2,0,0,ROW()-1,33),ROW()-1,FALSE))</f>
        <v>2782.5520000000001</v>
      </c>
      <c r="Q35">
        <f ca="1">IF(AND(ISNUMBER($Q$457),$B$427=1),$Q$457,HLOOKUP(INDIRECT(ADDRESS(2,COLUMN())),OFFSET($AM$2,0,0,ROW()-1,33),ROW()-1,FALSE))</f>
        <v>3639.3319999999999</v>
      </c>
      <c r="R35">
        <f ca="1">IF(AND(ISNUMBER($R$457),$B$427=1),$R$457,HLOOKUP(INDIRECT(ADDRESS(2,COLUMN())),OFFSET($AM$2,0,0,ROW()-1,33),ROW()-1,FALSE))</f>
        <v>4666.4319999999998</v>
      </c>
      <c r="S35">
        <f ca="1">IF(AND(ISNUMBER($S$457),$B$427=1),$S$457,HLOOKUP(INDIRECT(ADDRESS(2,COLUMN())),OFFSET($AM$2,0,0,ROW()-1,33),ROW()-1,FALSE))</f>
        <v>4863.1000000000004</v>
      </c>
      <c r="T35">
        <f ca="1">IF(AND(ISNUMBER($T$457),$B$427=1),$T$457,HLOOKUP(INDIRECT(ADDRESS(2,COLUMN())),OFFSET($AM$2,0,0,ROW()-1,33),ROW()-1,FALSE))</f>
        <v>5599.58</v>
      </c>
      <c r="U35">
        <f ca="1">IF(AND(ISNUMBER($U$457),$B$427=1),$U$457,HLOOKUP(INDIRECT(ADDRESS(2,COLUMN())),OFFSET($AM$2,0,0,ROW()-1,33),ROW()-1,FALSE))</f>
        <v>5327.0619999999999</v>
      </c>
      <c r="V35">
        <f ca="1">IF(AND(ISNUMBER($V$457),$B$427=1),$V$457,HLOOKUP(INDIRECT(ADDRESS(2,COLUMN())),OFFSET($AM$2,0,0,ROW()-1,33),ROW()-1,FALSE))</f>
        <v>397.07400000000001</v>
      </c>
      <c r="W35">
        <f ca="1">IF(AND(ISNUMBER($W$457),$B$427=1),$W$457,HLOOKUP(INDIRECT(ADDRESS(2,COLUMN())),OFFSET($AM$2,0,0,ROW()-1,33),ROW()-1,FALSE))</f>
        <v>551.13499999999999</v>
      </c>
      <c r="X35">
        <f ca="1">IF(AND(ISNUMBER($X$457),$B$427=1),$X$457,HLOOKUP(INDIRECT(ADDRESS(2,COLUMN())),OFFSET($AM$2,0,0,ROW()-1,33),ROW()-1,FALSE))</f>
        <v>246.702</v>
      </c>
      <c r="Y35">
        <f ca="1">IF(AND(ISNUMBER($Y$457),$B$427=1),$Y$457,HLOOKUP(INDIRECT(ADDRESS(2,COLUMN())),OFFSET($AM$2,0,0,ROW()-1,33),ROW()-1,FALSE))</f>
        <v>270.779</v>
      </c>
      <c r="Z35">
        <f ca="1">IF(AND(ISNUMBER($Z$457),$B$427=1),$Z$457,HLOOKUP(INDIRECT(ADDRESS(2,COLUMN())),OFFSET($AM$2,0,0,ROW()-1,33),ROW()-1,FALSE))</f>
        <v>513.96699999999998</v>
      </c>
      <c r="AA35">
        <f ca="1">IF(AND(ISNUMBER($AA$457),$B$427=1),$AA$457,HLOOKUP(INDIRECT(ADDRESS(2,COLUMN())),OFFSET($AM$2,0,0,ROW()-1,33),ROW()-1,FALSE))</f>
        <v>873.303</v>
      </c>
      <c r="AB35">
        <f ca="1">IF(AND(ISNUMBER($AB$457),$B$427=1),$AB$457,HLOOKUP(INDIRECT(ADDRESS(2,COLUMN())),OFFSET($AM$2,0,0,ROW()-1,33),ROW()-1,FALSE))</f>
        <v>268.93700000000001</v>
      </c>
      <c r="AC35">
        <f ca="1">IF(AND(ISNUMBER($AC$457),$B$427=1),$AC$457,HLOOKUP(INDIRECT(ADDRESS(2,COLUMN())),OFFSET($AM$2,0,0,ROW()-1,33),ROW()-1,FALSE))</f>
        <v>1413.107</v>
      </c>
      <c r="AD35">
        <f ca="1">IF(AND(ISNUMBER($AD$457),$B$427=1),$AD$457,HLOOKUP(INDIRECT(ADDRESS(2,COLUMN())),OFFSET($AM$2,0,0,ROW()-1,33),ROW()-1,FALSE))</f>
        <v>1805.297</v>
      </c>
      <c r="AE35">
        <f ca="1">IF(AND(ISNUMBER($AE$457),$B$427=1),$AE$457,HLOOKUP(INDIRECT(ADDRESS(2,COLUMN())),OFFSET($AM$2,0,0,ROW()-1,33),ROW()-1,FALSE))</f>
        <v>161.49600000000001</v>
      </c>
      <c r="AF35">
        <f ca="1">IF(AND(ISNUMBER($AF$457),$B$427=1),$AF$457,HLOOKUP(INDIRECT(ADDRESS(2,COLUMN())),OFFSET($AM$2,0,0,ROW()-1,33),ROW()-1,FALSE))</f>
        <v>188.95599999999999</v>
      </c>
      <c r="AG35">
        <f ca="1">IF(AND(ISNUMBER($AG$457),$B$427=1),$AG$457,HLOOKUP(INDIRECT(ADDRESS(2,COLUMN())),OFFSET($AM$2,0,0,ROW()-1,33),ROW()-1,FALSE))</f>
        <v>235.80799999999999</v>
      </c>
      <c r="AH35">
        <f ca="1">IF(AND(ISNUMBER($AH$457),$B$427=1),$AH$457,HLOOKUP(INDIRECT(ADDRESS(2,COLUMN())),OFFSET($AM$2,0,0,ROW()-1,33),ROW()-1,FALSE))</f>
        <v>269.78100000000001</v>
      </c>
      <c r="AI35">
        <f ca="1">IF(AND(ISNUMBER($AI$457),$B$427=1),$AI$457,HLOOKUP(INDIRECT(ADDRESS(2,COLUMN())),OFFSET($AM$2,0,0,ROW()-1,33),ROW()-1,FALSE))</f>
        <v>302.70499999999998</v>
      </c>
      <c r="AJ35">
        <f ca="1">IF(AND(ISNUMBER($AJ$457),$B$427=1),$AJ$457,HLOOKUP(INDIRECT(ADDRESS(2,COLUMN())),OFFSET($AM$2,0,0,ROW()-1,33),ROW()-1,FALSE))</f>
        <v>319.73500000000001</v>
      </c>
      <c r="AK35">
        <f ca="1">IF(AND(ISNUMBER($AK$457),$B$427=1),$AK$457,HLOOKUP(INDIRECT(ADDRESS(2,COLUMN())),OFFSET($AM$2,0,0,ROW()-1,33),ROW()-1,FALSE))</f>
        <v>288.89699999999999</v>
      </c>
      <c r="AL35" t="str">
        <f ca="1">IF(AND(ISNUMBER($AL$457),$B$427=1),$AL$457,HLOOKUP(INDIRECT(ADDRESS(2,COLUMN())),OFFSET($AM$2,0,0,ROW()-1,33),ROW()-1,FALSE))</f>
        <v/>
      </c>
      <c r="AM35">
        <f>7179.184</f>
        <v>7179.1840000000002</v>
      </c>
      <c r="AN35">
        <f>8215.593</f>
        <v>8215.5930000000008</v>
      </c>
      <c r="AO35">
        <f>7711.725</f>
        <v>7711.7250000000004</v>
      </c>
      <c r="AP35">
        <f>160.449</f>
        <v>160.44900000000001</v>
      </c>
      <c r="AQ35">
        <f>236.267</f>
        <v>236.267</v>
      </c>
      <c r="AR35">
        <f>380.684</f>
        <v>380.68400000000003</v>
      </c>
      <c r="AS35">
        <f>446.413</f>
        <v>446.41300000000001</v>
      </c>
      <c r="AT35">
        <f>512.486</f>
        <v>512.48599999999999</v>
      </c>
      <c r="AU35">
        <f>2494.94</f>
        <v>2494.94</v>
      </c>
      <c r="AV35">
        <f>2554.133</f>
        <v>2554.1329999999998</v>
      </c>
      <c r="AW35">
        <f>2782.552</f>
        <v>2782.5520000000001</v>
      </c>
      <c r="AX35">
        <f>3639.332</f>
        <v>3639.3319999999999</v>
      </c>
      <c r="AY35">
        <f>4666.432</f>
        <v>4666.4319999999998</v>
      </c>
      <c r="AZ35">
        <f>4863.1</f>
        <v>4863.1000000000004</v>
      </c>
      <c r="BA35">
        <f>5599.58</f>
        <v>5599.58</v>
      </c>
      <c r="BB35">
        <f>5327.062</f>
        <v>5327.0619999999999</v>
      </c>
      <c r="BC35">
        <f>397.074</f>
        <v>397.07400000000001</v>
      </c>
      <c r="BD35">
        <f>551.135</f>
        <v>551.13499999999999</v>
      </c>
      <c r="BE35">
        <f>246.702</f>
        <v>246.702</v>
      </c>
      <c r="BF35">
        <f>270.779</f>
        <v>270.779</v>
      </c>
      <c r="BG35">
        <f>513.967</f>
        <v>513.96699999999998</v>
      </c>
      <c r="BH35">
        <f>873.303</f>
        <v>873.303</v>
      </c>
      <c r="BI35">
        <f>268.937</f>
        <v>268.93700000000001</v>
      </c>
      <c r="BJ35">
        <f>1413.107</f>
        <v>1413.107</v>
      </c>
      <c r="BK35">
        <f>1805.297</f>
        <v>1805.297</v>
      </c>
      <c r="BL35">
        <f>161.496</f>
        <v>161.49600000000001</v>
      </c>
      <c r="BM35">
        <f>188.956</f>
        <v>188.95599999999999</v>
      </c>
      <c r="BN35">
        <f>235.808</f>
        <v>235.80799999999999</v>
      </c>
      <c r="BO35">
        <f>269.781</f>
        <v>269.78100000000001</v>
      </c>
      <c r="BP35">
        <f>302.705</f>
        <v>302.70499999999998</v>
      </c>
      <c r="BQ35">
        <f>319.735</f>
        <v>319.73500000000001</v>
      </c>
      <c r="BR35">
        <f>288.897</f>
        <v>288.89699999999999</v>
      </c>
      <c r="BS35" t="str">
        <f>""</f>
        <v/>
      </c>
    </row>
    <row r="36" spans="1:71" x14ac:dyDescent="0.25">
      <c r="A36" t="str">
        <f>"            Huntington Bancshares Inc/OH"</f>
        <v xml:space="preserve">            Huntington Bancshares Inc/OH</v>
      </c>
      <c r="B36" t="str">
        <f>"HBAN US Equity"</f>
        <v>HBAN US Equity</v>
      </c>
      <c r="C36" t="str">
        <f t="shared" si="3"/>
        <v>FC004</v>
      </c>
      <c r="D36" t="str">
        <f t="shared" si="4"/>
        <v>FDIC_FAM_RESIDENT_LOANS</v>
      </c>
      <c r="E36" t="str">
        <f t="shared" si="5"/>
        <v>Dynamic</v>
      </c>
      <c r="F36">
        <f ca="1">IF(AND(ISNUMBER($F$458),$B$427=1),$F$458,HLOOKUP(INDIRECT(ADDRESS(2,COLUMN())),OFFSET($AM$2,0,0,ROW()-1,33),ROW()-1,FALSE))</f>
        <v>34716.815000000002</v>
      </c>
      <c r="G36">
        <f ca="1">IF(AND(ISNUMBER($G$458),$B$427=1),$G$458,HLOOKUP(INDIRECT(ADDRESS(2,COLUMN())),OFFSET($AM$2,0,0,ROW()-1,33),ROW()-1,FALSE))</f>
        <v>34020.006999999998</v>
      </c>
      <c r="H36">
        <f ca="1">IF(AND(ISNUMBER($H$458),$B$427=1),$H$458,HLOOKUP(INDIRECT(ADDRESS(2,COLUMN())),OFFSET($AM$2,0,0,ROW()-1,33),ROW()-1,FALSE))</f>
        <v>32808.451000000001</v>
      </c>
      <c r="I36">
        <f ca="1">IF(AND(ISNUMBER($I$458),$B$427=1),$I$458,HLOOKUP(INDIRECT(ADDRESS(2,COLUMN())),OFFSET($AM$2,0,0,ROW()-1,33),ROW()-1,FALSE))</f>
        <v>30861.969000000001</v>
      </c>
      <c r="J36">
        <f ca="1">IF(AND(ISNUMBER($J$458),$B$427=1),$J$458,HLOOKUP(INDIRECT(ADDRESS(2,COLUMN())),OFFSET($AM$2,0,0,ROW()-1,33),ROW()-1,FALSE))</f>
        <v>22003.716</v>
      </c>
      <c r="K36">
        <f ca="1">IF(AND(ISNUMBER($K$458),$B$427=1),$K$458,HLOOKUP(INDIRECT(ADDRESS(2,COLUMN())),OFFSET($AM$2,0,0,ROW()-1,33),ROW()-1,FALSE))</f>
        <v>21055.613000000001</v>
      </c>
      <c r="L36">
        <f ca="1">IF(AND(ISNUMBER($L$458),$B$427=1),$L$458,HLOOKUP(INDIRECT(ADDRESS(2,COLUMN())),OFFSET($AM$2,0,0,ROW()-1,33),ROW()-1,FALSE))</f>
        <v>20906.517</v>
      </c>
      <c r="M36">
        <f ca="1">IF(AND(ISNUMBER($M$458),$B$427=1),$M$458,HLOOKUP(INDIRECT(ADDRESS(2,COLUMN())),OFFSET($AM$2,0,0,ROW()-1,33),ROW()-1,FALSE))</f>
        <v>19169.643</v>
      </c>
      <c r="N36">
        <f ca="1">IF(AND(ISNUMBER($N$458),$B$427=1),$N$458,HLOOKUP(INDIRECT(ADDRESS(2,COLUMN())),OFFSET($AM$2,0,0,ROW()-1,33),ROW()-1,FALSE))</f>
        <v>18134.503000000001</v>
      </c>
      <c r="O36">
        <f ca="1">IF(AND(ISNUMBER($O$458),$B$427=1),$O$458,HLOOKUP(INDIRECT(ADDRESS(2,COLUMN())),OFFSET($AM$2,0,0,ROW()-1,33),ROW()-1,FALSE))</f>
        <v>14841.903</v>
      </c>
      <c r="P36">
        <f ca="1">IF(AND(ISNUMBER($P$458),$B$427=1),$P$458,HLOOKUP(INDIRECT(ADDRESS(2,COLUMN())),OFFSET($AM$2,0,0,ROW()-1,33),ROW()-1,FALSE))</f>
        <v>14595.217000000001</v>
      </c>
      <c r="Q36">
        <f ca="1">IF(AND(ISNUMBER($Q$458),$B$427=1),$Q$458,HLOOKUP(INDIRECT(ADDRESS(2,COLUMN())),OFFSET($AM$2,0,0,ROW()-1,33),ROW()-1,FALSE))</f>
        <v>13991.876</v>
      </c>
      <c r="R36">
        <f ca="1">IF(AND(ISNUMBER($R$458),$B$427=1),$R$458,HLOOKUP(INDIRECT(ADDRESS(2,COLUMN())),OFFSET($AM$2,0,0,ROW()-1,33),ROW()-1,FALSE))</f>
        <v>13825.241</v>
      </c>
      <c r="S36">
        <f ca="1">IF(AND(ISNUMBER($S$458),$B$427=1),$S$458,HLOOKUP(INDIRECT(ADDRESS(2,COLUMN())),OFFSET($AM$2,0,0,ROW()-1,33),ROW()-1,FALSE))</f>
        <v>13886.472</v>
      </c>
      <c r="T36">
        <f ca="1">IF(AND(ISNUMBER($T$458),$B$427=1),$T$458,HLOOKUP(INDIRECT(ADDRESS(2,COLUMN())),OFFSET($AM$2,0,0,ROW()-1,33),ROW()-1,FALSE))</f>
        <v>13287.779</v>
      </c>
      <c r="U36">
        <f ca="1">IF(AND(ISNUMBER($U$458),$B$427=1),$U$458,HLOOKUP(INDIRECT(ADDRESS(2,COLUMN())),OFFSET($AM$2,0,0,ROW()-1,33),ROW()-1,FALSE))</f>
        <v>13018.645</v>
      </c>
      <c r="V36">
        <f ca="1">IF(AND(ISNUMBER($V$458),$B$427=1),$V$458,HLOOKUP(INDIRECT(ADDRESS(2,COLUMN())),OFFSET($AM$2,0,0,ROW()-1,33),ROW()-1,FALSE))</f>
        <v>12938.627</v>
      </c>
      <c r="W36">
        <f ca="1">IF(AND(ISNUMBER($W$458),$B$427=1),$W$458,HLOOKUP(INDIRECT(ADDRESS(2,COLUMN())),OFFSET($AM$2,0,0,ROW()-1,33),ROW()-1,FALSE))</f>
        <v>13918.166999999999</v>
      </c>
      <c r="X36">
        <f ca="1">IF(AND(ISNUMBER($X$458),$B$427=1),$X$458,HLOOKUP(INDIRECT(ADDRESS(2,COLUMN())),OFFSET($AM$2,0,0,ROW()-1,33),ROW()-1,FALSE))</f>
        <v>9916.8539999999994</v>
      </c>
      <c r="Y36">
        <f ca="1">IF(AND(ISNUMBER($Y$458),$B$427=1),$Y$458,HLOOKUP(INDIRECT(ADDRESS(2,COLUMN())),OFFSET($AM$2,0,0,ROW()-1,33),ROW()-1,FALSE))</f>
        <v>9374.19</v>
      </c>
      <c r="Z36">
        <f ca="1">IF(AND(ISNUMBER($Z$458),$B$427=1),$Z$458,HLOOKUP(INDIRECT(ADDRESS(2,COLUMN())),OFFSET($AM$2,0,0,ROW()-1,33),ROW()-1,FALSE))</f>
        <v>8949.2039999999997</v>
      </c>
      <c r="AA36">
        <f ca="1">IF(AND(ISNUMBER($AA$458),$B$427=1),$AA$458,HLOOKUP(INDIRECT(ADDRESS(2,COLUMN())),OFFSET($AM$2,0,0,ROW()-1,33),ROW()-1,FALSE))</f>
        <v>6383.1120000000001</v>
      </c>
      <c r="AB36">
        <f ca="1">IF(AND(ISNUMBER($AB$458),$B$427=1),$AB$458,HLOOKUP(INDIRECT(ADDRESS(2,COLUMN())),OFFSET($AM$2,0,0,ROW()-1,33),ROW()-1,FALSE))</f>
        <v>5510.91</v>
      </c>
      <c r="AC36">
        <f ca="1">IF(AND(ISNUMBER($AC$458),$B$427=1),$AC$458,HLOOKUP(INDIRECT(ADDRESS(2,COLUMN())),OFFSET($AM$2,0,0,ROW()-1,33),ROW()-1,FALSE))</f>
        <v>5307.0020000000004</v>
      </c>
      <c r="AD36">
        <f ca="1">IF(AND(ISNUMBER($AD$458),$B$427=1),$AD$458,HLOOKUP(INDIRECT(ADDRESS(2,COLUMN())),OFFSET($AM$2,0,0,ROW()-1,33),ROW()-1,FALSE))</f>
        <v>4424.2060000000001</v>
      </c>
      <c r="AE36">
        <f ca="1">IF(AND(ISNUMBER($AE$458),$B$427=1),$AE$458,HLOOKUP(INDIRECT(ADDRESS(2,COLUMN())),OFFSET($AM$2,0,0,ROW()-1,33),ROW()-1,FALSE))</f>
        <v>4252.5510000000004</v>
      </c>
      <c r="AF36">
        <f ca="1">IF(AND(ISNUMBER($AF$458),$B$427=1),$AF$458,HLOOKUP(INDIRECT(ADDRESS(2,COLUMN())),OFFSET($AM$2,0,0,ROW()-1,33),ROW()-1,FALSE))</f>
        <v>4258.6490000000003</v>
      </c>
      <c r="AG36">
        <f ca="1">IF(AND(ISNUMBER($AG$458),$B$427=1),$AG$458,HLOOKUP(INDIRECT(ADDRESS(2,COLUMN())),OFFSET($AM$2,0,0,ROW()-1,33),ROW()-1,FALSE))</f>
        <v>3646.5259999999998</v>
      </c>
      <c r="AH36">
        <f ca="1">IF(AND(ISNUMBER($AH$458),$B$427=1),$AH$458,HLOOKUP(INDIRECT(ADDRESS(2,COLUMN())),OFFSET($AM$2,0,0,ROW()-1,33),ROW()-1,FALSE))</f>
        <v>2743.5430000000001</v>
      </c>
      <c r="AI36">
        <f ca="1">IF(AND(ISNUMBER($AI$458),$B$427=1),$AI$458,HLOOKUP(INDIRECT(ADDRESS(2,COLUMN())),OFFSET($AM$2,0,0,ROW()-1,33),ROW()-1,FALSE))</f>
        <v>2718.6950000000002</v>
      </c>
      <c r="AJ36">
        <f ca="1">IF(AND(ISNUMBER($AJ$458),$B$427=1),$AJ$458,HLOOKUP(INDIRECT(ADDRESS(2,COLUMN())),OFFSET($AM$2,0,0,ROW()-1,33),ROW()-1,FALSE))</f>
        <v>2978.7829999999999</v>
      </c>
      <c r="AK36">
        <f ca="1">IF(AND(ISNUMBER($AK$458),$B$427=1),$AK$458,HLOOKUP(INDIRECT(ADDRESS(2,COLUMN())),OFFSET($AM$2,0,0,ROW()-1,33),ROW()-1,FALSE))</f>
        <v>3473.6320000000001</v>
      </c>
      <c r="AL36">
        <f ca="1">IF(AND(ISNUMBER($AL$458),$B$427=1),$AL$458,HLOOKUP(INDIRECT(ADDRESS(2,COLUMN())),OFFSET($AM$2,0,0,ROW()-1,33),ROW()-1,FALSE))</f>
        <v>2021.3610000000001</v>
      </c>
      <c r="AM36">
        <f>34716.815</f>
        <v>34716.815000000002</v>
      </c>
      <c r="AN36">
        <f>34020.007</f>
        <v>34020.006999999998</v>
      </c>
      <c r="AO36">
        <f>32808.451</f>
        <v>32808.451000000001</v>
      </c>
      <c r="AP36">
        <f>30861.969</f>
        <v>30861.969000000001</v>
      </c>
      <c r="AQ36">
        <f>22003.716</f>
        <v>22003.716</v>
      </c>
      <c r="AR36">
        <f>21055.613</f>
        <v>21055.613000000001</v>
      </c>
      <c r="AS36">
        <f>20906.517</f>
        <v>20906.517</v>
      </c>
      <c r="AT36">
        <f>19169.643</f>
        <v>19169.643</v>
      </c>
      <c r="AU36">
        <f>18134.503</f>
        <v>18134.503000000001</v>
      </c>
      <c r="AV36">
        <f>14841.903</f>
        <v>14841.903</v>
      </c>
      <c r="AW36">
        <f>14595.217</f>
        <v>14595.217000000001</v>
      </c>
      <c r="AX36">
        <f>13991.876</f>
        <v>13991.876</v>
      </c>
      <c r="AY36">
        <f>13825.241</f>
        <v>13825.241</v>
      </c>
      <c r="AZ36">
        <f>13886.472</f>
        <v>13886.472</v>
      </c>
      <c r="BA36">
        <f>13287.779</f>
        <v>13287.779</v>
      </c>
      <c r="BB36">
        <f>13018.645</f>
        <v>13018.645</v>
      </c>
      <c r="BC36">
        <f>12938.627</f>
        <v>12938.627</v>
      </c>
      <c r="BD36">
        <f>13918.167</f>
        <v>13918.166999999999</v>
      </c>
      <c r="BE36">
        <f>9916.854</f>
        <v>9916.8539999999994</v>
      </c>
      <c r="BF36">
        <f>9374.19</f>
        <v>9374.19</v>
      </c>
      <c r="BG36">
        <f>8949.204</f>
        <v>8949.2039999999997</v>
      </c>
      <c r="BH36">
        <f>6383.112</f>
        <v>6383.1120000000001</v>
      </c>
      <c r="BI36">
        <f>5510.91</f>
        <v>5510.91</v>
      </c>
      <c r="BJ36">
        <f>5307.002</f>
        <v>5307.0020000000004</v>
      </c>
      <c r="BK36">
        <f>4424.206</f>
        <v>4424.2060000000001</v>
      </c>
      <c r="BL36">
        <f>4252.551</f>
        <v>4252.5510000000004</v>
      </c>
      <c r="BM36">
        <f>4258.649</f>
        <v>4258.6490000000003</v>
      </c>
      <c r="BN36">
        <f>3646.526</f>
        <v>3646.5259999999998</v>
      </c>
      <c r="BO36">
        <f>2743.543</f>
        <v>2743.5430000000001</v>
      </c>
      <c r="BP36">
        <f>2718.695</f>
        <v>2718.6950000000002</v>
      </c>
      <c r="BQ36">
        <f>2978.783</f>
        <v>2978.7829999999999</v>
      </c>
      <c r="BR36">
        <f>3473.632</f>
        <v>3473.6320000000001</v>
      </c>
      <c r="BS36">
        <f>2021.361</f>
        <v>2021.3610000000001</v>
      </c>
    </row>
    <row r="37" spans="1:71" x14ac:dyDescent="0.25">
      <c r="A37" t="str">
        <f>"            JPMorgan Chase &amp; Co"</f>
        <v xml:space="preserve">            JPMorgan Chase &amp; Co</v>
      </c>
      <c r="B37" t="str">
        <f>"JPM US Equity"</f>
        <v>JPM US Equity</v>
      </c>
      <c r="C37" t="str">
        <f t="shared" si="3"/>
        <v>FC004</v>
      </c>
      <c r="D37" t="str">
        <f t="shared" si="4"/>
        <v>FDIC_FAM_RESIDENT_LOANS</v>
      </c>
      <c r="E37" t="str">
        <f t="shared" si="5"/>
        <v>Dynamic</v>
      </c>
      <c r="F37">
        <f ca="1">IF(AND(ISNUMBER($F$459),$B$427=1),$F$459,HLOOKUP(INDIRECT(ADDRESS(2,COLUMN())),OFFSET($AM$2,0,0,ROW()-1,33),ROW()-1,FALSE))</f>
        <v>322739</v>
      </c>
      <c r="G37">
        <f ca="1">IF(AND(ISNUMBER($G$459),$B$427=1),$G$459,HLOOKUP(INDIRECT(ADDRESS(2,COLUMN())),OFFSET($AM$2,0,0,ROW()-1,33),ROW()-1,FALSE))</f>
        <v>335448</v>
      </c>
      <c r="H37">
        <f ca="1">IF(AND(ISNUMBER($H$459),$B$427=1),$H$459,HLOOKUP(INDIRECT(ADDRESS(2,COLUMN())),OFFSET($AM$2,0,0,ROW()-1,33),ROW()-1,FALSE))</f>
        <v>247551</v>
      </c>
      <c r="I37">
        <f ca="1">IF(AND(ISNUMBER($I$459),$B$427=1),$I$459,HLOOKUP(INDIRECT(ADDRESS(2,COLUMN())),OFFSET($AM$2,0,0,ROW()-1,33),ROW()-1,FALSE))</f>
        <v>252018</v>
      </c>
      <c r="J37">
        <f ca="1">IF(AND(ISNUMBER($J$459),$B$427=1),$J$459,HLOOKUP(INDIRECT(ADDRESS(2,COLUMN())),OFFSET($AM$2,0,0,ROW()-1,33),ROW()-1,FALSE))</f>
        <v>241603</v>
      </c>
      <c r="K37">
        <f ca="1">IF(AND(ISNUMBER($K$459),$B$427=1),$K$459,HLOOKUP(INDIRECT(ADDRESS(2,COLUMN())),OFFSET($AM$2,0,0,ROW()-1,33),ROW()-1,FALSE))</f>
        <v>246239</v>
      </c>
      <c r="L37">
        <f ca="1">IF(AND(ISNUMBER($L$459),$B$427=1),$L$459,HLOOKUP(INDIRECT(ADDRESS(2,COLUMN())),OFFSET($AM$2,0,0,ROW()-1,33),ROW()-1,FALSE))</f>
        <v>283388</v>
      </c>
      <c r="M37">
        <f ca="1">IF(AND(ISNUMBER($M$459),$B$427=1),$M$459,HLOOKUP(INDIRECT(ADDRESS(2,COLUMN())),OFFSET($AM$2,0,0,ROW()-1,33),ROW()-1,FALSE))</f>
        <v>280479</v>
      </c>
      <c r="N37">
        <f ca="1">IF(AND(ISNUMBER($N$459),$B$427=1),$N$459,HLOOKUP(INDIRECT(ADDRESS(2,COLUMN())),OFFSET($AM$2,0,0,ROW()-1,33),ROW()-1,FALSE))</f>
        <v>267183</v>
      </c>
      <c r="O37">
        <f ca="1">IF(AND(ISNUMBER($O$459),$B$427=1),$O$459,HLOOKUP(INDIRECT(ADDRESS(2,COLUMN())),OFFSET($AM$2,0,0,ROW()-1,33),ROW()-1,FALSE))</f>
        <v>253724</v>
      </c>
      <c r="P37">
        <f ca="1">IF(AND(ISNUMBER($P$459),$B$427=1),$P$459,HLOOKUP(INDIRECT(ADDRESS(2,COLUMN())),OFFSET($AM$2,0,0,ROW()-1,33),ROW()-1,FALSE))</f>
        <v>210247</v>
      </c>
      <c r="Q37">
        <f ca="1">IF(AND(ISNUMBER($Q$459),$B$427=1),$Q$459,HLOOKUP(INDIRECT(ADDRESS(2,COLUMN())),OFFSET($AM$2,0,0,ROW()-1,33),ROW()-1,FALSE))</f>
        <v>208135</v>
      </c>
      <c r="R37">
        <f ca="1">IF(AND(ISNUMBER($R$459),$B$427=1),$R$459,HLOOKUP(INDIRECT(ADDRESS(2,COLUMN())),OFFSET($AM$2,0,0,ROW()-1,33),ROW()-1,FALSE))</f>
        <v>214294</v>
      </c>
      <c r="S37">
        <f ca="1">IF(AND(ISNUMBER($S$459),$B$427=1),$S$459,HLOOKUP(INDIRECT(ADDRESS(2,COLUMN())),OFFSET($AM$2,0,0,ROW()-1,33),ROW()-1,FALSE))</f>
        <v>231880</v>
      </c>
      <c r="T37">
        <f ca="1">IF(AND(ISNUMBER($T$459),$B$427=1),$T$459,HLOOKUP(INDIRECT(ADDRESS(2,COLUMN())),OFFSET($AM$2,0,0,ROW()-1,33),ROW()-1,FALSE))</f>
        <v>249758</v>
      </c>
      <c r="U37">
        <f ca="1">IF(AND(ISNUMBER($U$459),$B$427=1),$U$459,HLOOKUP(INDIRECT(ADDRESS(2,COLUMN())),OFFSET($AM$2,0,0,ROW()-1,33),ROW()-1,FALSE))</f>
        <v>270197</v>
      </c>
      <c r="V37">
        <f ca="1">IF(AND(ISNUMBER($V$459),$B$427=1),$V$459,HLOOKUP(INDIRECT(ADDRESS(2,COLUMN())),OFFSET($AM$2,0,0,ROW()-1,33),ROW()-1,FALSE))</f>
        <v>299508</v>
      </c>
      <c r="W37">
        <f ca="1">IF(AND(ISNUMBER($W$459),$B$427=1),$W$459,HLOOKUP(INDIRECT(ADDRESS(2,COLUMN())),OFFSET($AM$2,0,0,ROW()-1,33),ROW()-1,FALSE))</f>
        <v>172405</v>
      </c>
      <c r="X37">
        <f ca="1">IF(AND(ISNUMBER($X$459),$B$427=1),$X$459,HLOOKUP(INDIRECT(ADDRESS(2,COLUMN())),OFFSET($AM$2,0,0,ROW()-1,33),ROW()-1,FALSE))</f>
        <v>160020</v>
      </c>
      <c r="Y37">
        <f ca="1">IF(AND(ISNUMBER($Y$459),$B$427=1),$Y$459,HLOOKUP(INDIRECT(ADDRESS(2,COLUMN())),OFFSET($AM$2,0,0,ROW()-1,33),ROW()-1,FALSE))</f>
        <v>147159</v>
      </c>
      <c r="Z37">
        <f ca="1">IF(AND(ISNUMBER($Z$459),$B$427=1),$Z$459,HLOOKUP(INDIRECT(ADDRESS(2,COLUMN())),OFFSET($AM$2,0,0,ROW()-1,33),ROW()-1,FALSE))</f>
        <v>133191</v>
      </c>
      <c r="AA37">
        <f ca="1">IF(AND(ISNUMBER($AA$459),$B$427=1),$AA$459,HLOOKUP(INDIRECT(ADDRESS(2,COLUMN())),OFFSET($AM$2,0,0,ROW()-1,33),ROW()-1,FALSE))</f>
        <v>73145</v>
      </c>
      <c r="AB37">
        <f ca="1">IF(AND(ISNUMBER($AB$459),$B$427=1),$AB$459,HLOOKUP(INDIRECT(ADDRESS(2,COLUMN())),OFFSET($AM$2,0,0,ROW()-1,33),ROW()-1,FALSE))</f>
        <v>63411</v>
      </c>
      <c r="AC37">
        <f ca="1">IF(AND(ISNUMBER($AC$459),$B$427=1),$AC$459,HLOOKUP(INDIRECT(ADDRESS(2,COLUMN())),OFFSET($AM$2,0,0,ROW()-1,33),ROW()-1,FALSE))</f>
        <v>58942</v>
      </c>
      <c r="AD37">
        <f ca="1">IF(AND(ISNUMBER($AD$459),$B$427=1),$AD$459,HLOOKUP(INDIRECT(ADDRESS(2,COLUMN())),OFFSET($AM$2,0,0,ROW()-1,33),ROW()-1,FALSE))</f>
        <v>49893.603000000003</v>
      </c>
      <c r="AE37">
        <f ca="1">IF(AND(ISNUMBER($AE$459),$B$427=1),$AE$459,HLOOKUP(INDIRECT(ADDRESS(2,COLUMN())),OFFSET($AM$2,0,0,ROW()-1,33),ROW()-1,FALSE))</f>
        <v>44212.142999999996</v>
      </c>
      <c r="AF37">
        <f ca="1">IF(AND(ISNUMBER($AF$459),$B$427=1),$AF$459,HLOOKUP(INDIRECT(ADDRESS(2,COLUMN())),OFFSET($AM$2,0,0,ROW()-1,33),ROW()-1,FALSE))</f>
        <v>41782.705999999998</v>
      </c>
      <c r="AG37">
        <f ca="1">IF(AND(ISNUMBER($AG$459),$B$427=1),$AG$459,HLOOKUP(INDIRECT(ADDRESS(2,COLUMN())),OFFSET($AM$2,0,0,ROW()-1,33),ROW()-1,FALSE))</f>
        <v>38633.203000000001</v>
      </c>
      <c r="AH37">
        <f ca="1">IF(AND(ISNUMBER($AH$459),$B$427=1),$AH$459,HLOOKUP(INDIRECT(ADDRESS(2,COLUMN())),OFFSET($AM$2,0,0,ROW()-1,33),ROW()-1,FALSE))</f>
        <v>36558.754000000001</v>
      </c>
      <c r="AI37">
        <f ca="1">IF(AND(ISNUMBER($AI$459),$B$427=1),$AI$459,HLOOKUP(INDIRECT(ADDRESS(2,COLUMN())),OFFSET($AM$2,0,0,ROW()-1,33),ROW()-1,FALSE))</f>
        <v>18163.781999999999</v>
      </c>
      <c r="AJ37">
        <f ca="1">IF(AND(ISNUMBER($AJ$459),$B$427=1),$AJ$459,HLOOKUP(INDIRECT(ADDRESS(2,COLUMN())),OFFSET($AM$2,0,0,ROW()-1,33),ROW()-1,FALSE))</f>
        <v>13463.46</v>
      </c>
      <c r="AK37">
        <f ca="1">IF(AND(ISNUMBER($AK$459),$B$427=1),$AK$459,HLOOKUP(INDIRECT(ADDRESS(2,COLUMN())),OFFSET($AM$2,0,0,ROW()-1,33),ROW()-1,FALSE))</f>
        <v>12055.898999999999</v>
      </c>
      <c r="AL37">
        <f ca="1">IF(AND(ISNUMBER($AL$459),$B$427=1),$AL$459,HLOOKUP(INDIRECT(ADDRESS(2,COLUMN())),OFFSET($AM$2,0,0,ROW()-1,33),ROW()-1,FALSE))</f>
        <v>10944.135</v>
      </c>
      <c r="AM37">
        <f>322739</f>
        <v>322739</v>
      </c>
      <c r="AN37">
        <f>335448</f>
        <v>335448</v>
      </c>
      <c r="AO37">
        <f>247551</f>
        <v>247551</v>
      </c>
      <c r="AP37">
        <f>252018</f>
        <v>252018</v>
      </c>
      <c r="AQ37">
        <f>241603</f>
        <v>241603</v>
      </c>
      <c r="AR37">
        <f>246239</f>
        <v>246239</v>
      </c>
      <c r="AS37">
        <f>283388</f>
        <v>283388</v>
      </c>
      <c r="AT37">
        <f>280479</f>
        <v>280479</v>
      </c>
      <c r="AU37">
        <f>267183</f>
        <v>267183</v>
      </c>
      <c r="AV37">
        <f>253724</f>
        <v>253724</v>
      </c>
      <c r="AW37">
        <f>210247</f>
        <v>210247</v>
      </c>
      <c r="AX37">
        <f>208135</f>
        <v>208135</v>
      </c>
      <c r="AY37">
        <f>214294</f>
        <v>214294</v>
      </c>
      <c r="AZ37">
        <f>231880</f>
        <v>231880</v>
      </c>
      <c r="BA37">
        <f>249758</f>
        <v>249758</v>
      </c>
      <c r="BB37">
        <f>270197</f>
        <v>270197</v>
      </c>
      <c r="BC37">
        <f>299508</f>
        <v>299508</v>
      </c>
      <c r="BD37">
        <f>172405</f>
        <v>172405</v>
      </c>
      <c r="BE37">
        <f>160020</f>
        <v>160020</v>
      </c>
      <c r="BF37">
        <f>147159</f>
        <v>147159</v>
      </c>
      <c r="BG37">
        <f>133191</f>
        <v>133191</v>
      </c>
      <c r="BH37">
        <f>73145</f>
        <v>73145</v>
      </c>
      <c r="BI37">
        <f>63411</f>
        <v>63411</v>
      </c>
      <c r="BJ37">
        <f>58942</f>
        <v>58942</v>
      </c>
      <c r="BK37">
        <f>49893.603</f>
        <v>49893.603000000003</v>
      </c>
      <c r="BL37">
        <f>44212.143</f>
        <v>44212.142999999996</v>
      </c>
      <c r="BM37">
        <f>41782.706</f>
        <v>41782.705999999998</v>
      </c>
      <c r="BN37">
        <f>38633.203</f>
        <v>38633.203000000001</v>
      </c>
      <c r="BO37">
        <f>36558.754</f>
        <v>36558.754000000001</v>
      </c>
      <c r="BP37">
        <f>18163.782</f>
        <v>18163.781999999999</v>
      </c>
      <c r="BQ37">
        <f>13463.46</f>
        <v>13463.46</v>
      </c>
      <c r="BR37">
        <f>12055.899</f>
        <v>12055.898999999999</v>
      </c>
      <c r="BS37">
        <f>10944.135</f>
        <v>10944.135</v>
      </c>
    </row>
    <row r="38" spans="1:71" x14ac:dyDescent="0.25">
      <c r="A38" t="str">
        <f>"            KeyCorp"</f>
        <v xml:space="preserve">            KeyCorp</v>
      </c>
      <c r="B38" t="str">
        <f>"KEY US Equity"</f>
        <v>KEY US Equity</v>
      </c>
      <c r="C38" t="str">
        <f t="shared" si="3"/>
        <v>FC004</v>
      </c>
      <c r="D38" t="str">
        <f t="shared" si="4"/>
        <v>FDIC_FAM_RESIDENT_LOANS</v>
      </c>
      <c r="E38" t="str">
        <f t="shared" si="5"/>
        <v>Dynamic</v>
      </c>
      <c r="F38">
        <f ca="1">IF(AND(ISNUMBER($F$460),$B$427=1),$F$460,HLOOKUP(INDIRECT(ADDRESS(2,COLUMN())),OFFSET($AM$2,0,0,ROW()-1,33),ROW()-1,FALSE))</f>
        <v>26336.841</v>
      </c>
      <c r="G38">
        <f ca="1">IF(AND(ISNUMBER($G$460),$B$427=1),$G$460,HLOOKUP(INDIRECT(ADDRESS(2,COLUMN())),OFFSET($AM$2,0,0,ROW()-1,33),ROW()-1,FALSE))</f>
        <v>28148.434000000001</v>
      </c>
      <c r="H38">
        <f ca="1">IF(AND(ISNUMBER($H$460),$B$427=1),$H$460,HLOOKUP(INDIRECT(ADDRESS(2,COLUMN())),OFFSET($AM$2,0,0,ROW()-1,33),ROW()-1,FALSE))</f>
        <v>29375.451000000001</v>
      </c>
      <c r="I38">
        <f ca="1">IF(AND(ISNUMBER($I$460),$B$427=1),$I$460,HLOOKUP(INDIRECT(ADDRESS(2,COLUMN())),OFFSET($AM$2,0,0,ROW()-1,33),ROW()-1,FALSE))</f>
        <v>24504.156999999999</v>
      </c>
      <c r="J38">
        <f ca="1">IF(AND(ISNUMBER($J$460),$B$427=1),$J$460,HLOOKUP(INDIRECT(ADDRESS(2,COLUMN())),OFFSET($AM$2,0,0,ROW()-1,33),ROW()-1,FALSE))</f>
        <v>18921.59</v>
      </c>
      <c r="K38">
        <f ca="1">IF(AND(ISNUMBER($K$460),$B$427=1),$K$460,HLOOKUP(INDIRECT(ADDRESS(2,COLUMN())),OFFSET($AM$2,0,0,ROW()-1,33),ROW()-1,FALSE))</f>
        <v>17436.456999999999</v>
      </c>
      <c r="L38">
        <f ca="1">IF(AND(ISNUMBER($L$460),$B$427=1),$L$460,HLOOKUP(INDIRECT(ADDRESS(2,COLUMN())),OFFSET($AM$2,0,0,ROW()-1,33),ROW()-1,FALSE))</f>
        <v>16719.893</v>
      </c>
      <c r="M38">
        <f ca="1">IF(AND(ISNUMBER($M$460),$B$427=1),$M$460,HLOOKUP(INDIRECT(ADDRESS(2,COLUMN())),OFFSET($AM$2,0,0,ROW()-1,33),ROW()-1,FALSE))</f>
        <v>17582.322</v>
      </c>
      <c r="N38">
        <f ca="1">IF(AND(ISNUMBER($N$460),$B$427=1),$N$460,HLOOKUP(INDIRECT(ADDRESS(2,COLUMN())),OFFSET($AM$2,0,0,ROW()-1,33),ROW()-1,FALSE))</f>
        <v>18282.831999999999</v>
      </c>
      <c r="O38">
        <f ca="1">IF(AND(ISNUMBER($O$460),$B$427=1),$O$460,HLOOKUP(INDIRECT(ADDRESS(2,COLUMN())),OFFSET($AM$2,0,0,ROW()-1,33),ROW()-1,FALSE))</f>
        <v>12594.343000000001</v>
      </c>
      <c r="P38">
        <f ca="1">IF(AND(ISNUMBER($P$460),$B$427=1),$P$460,HLOOKUP(INDIRECT(ADDRESS(2,COLUMN())),OFFSET($AM$2,0,0,ROW()-1,33),ROW()-1,FALSE))</f>
        <v>12875.697</v>
      </c>
      <c r="Q38">
        <f ca="1">IF(AND(ISNUMBER($Q$460),$B$427=1),$Q$460,HLOOKUP(INDIRECT(ADDRESS(2,COLUMN())),OFFSET($AM$2,0,0,ROW()-1,33),ROW()-1,FALSE))</f>
        <v>12878.777</v>
      </c>
      <c r="R38">
        <f ca="1">IF(AND(ISNUMBER($R$460),$B$427=1),$R$460,HLOOKUP(INDIRECT(ADDRESS(2,COLUMN())),OFFSET($AM$2,0,0,ROW()-1,33),ROW()-1,FALSE))</f>
        <v>12497.082</v>
      </c>
      <c r="S38">
        <f ca="1">IF(AND(ISNUMBER($S$460),$B$427=1),$S$460,HLOOKUP(INDIRECT(ADDRESS(2,COLUMN())),OFFSET($AM$2,0,0,ROW()-1,33),ROW()-1,FALSE))</f>
        <v>11804.796</v>
      </c>
      <c r="T38">
        <f ca="1">IF(AND(ISNUMBER($T$460),$B$427=1),$T$460,HLOOKUP(INDIRECT(ADDRESS(2,COLUMN())),OFFSET($AM$2,0,0,ROW()-1,33),ROW()-1,FALSE))</f>
        <v>12134.297</v>
      </c>
      <c r="U38">
        <f ca="1">IF(AND(ISNUMBER($U$460),$B$427=1),$U$460,HLOOKUP(INDIRECT(ADDRESS(2,COLUMN())),OFFSET($AM$2,0,0,ROW()-1,33),ROW()-1,FALSE))</f>
        <v>12820.784</v>
      </c>
      <c r="V38">
        <f ca="1">IF(AND(ISNUMBER($V$460),$B$427=1),$V$460,HLOOKUP(INDIRECT(ADDRESS(2,COLUMN())),OFFSET($AM$2,0,0,ROW()-1,33),ROW()-1,FALSE))</f>
        <v>13160.433000000001</v>
      </c>
      <c r="W38">
        <f ca="1">IF(AND(ISNUMBER($W$460),$B$427=1),$W$460,HLOOKUP(INDIRECT(ADDRESS(2,COLUMN())),OFFSET($AM$2,0,0,ROW()-1,33),ROW()-1,FALSE))</f>
        <v>12558.2</v>
      </c>
      <c r="X38">
        <f ca="1">IF(AND(ISNUMBER($X$460),$B$427=1),$X$460,HLOOKUP(INDIRECT(ADDRESS(2,COLUMN())),OFFSET($AM$2,0,0,ROW()-1,33),ROW()-1,FALSE))</f>
        <v>12468.772000000001</v>
      </c>
      <c r="Y38">
        <f ca="1">IF(AND(ISNUMBER($Y$460),$B$427=1),$Y$460,HLOOKUP(INDIRECT(ADDRESS(2,COLUMN())),OFFSET($AM$2,0,0,ROW()-1,33),ROW()-1,FALSE))</f>
        <v>14957.022999999999</v>
      </c>
      <c r="Z38">
        <f ca="1">IF(AND(ISNUMBER($Z$460),$B$427=1),$Z$460,HLOOKUP(INDIRECT(ADDRESS(2,COLUMN())),OFFSET($AM$2,0,0,ROW()-1,33),ROW()-1,FALSE))</f>
        <v>15590.465</v>
      </c>
      <c r="AA38">
        <f ca="1">IF(AND(ISNUMBER($AA$460),$B$427=1),$AA$460,HLOOKUP(INDIRECT(ADDRESS(2,COLUMN())),OFFSET($AM$2,0,0,ROW()-1,33),ROW()-1,FALSE))</f>
        <v>16667.065999999999</v>
      </c>
      <c r="AB38">
        <f ca="1">IF(AND(ISNUMBER($AB$460),$B$427=1),$AB$460,HLOOKUP(INDIRECT(ADDRESS(2,COLUMN())),OFFSET($AM$2,0,0,ROW()-1,33),ROW()-1,FALSE))</f>
        <v>15870.323</v>
      </c>
      <c r="AC38">
        <f ca="1">IF(AND(ISNUMBER($AC$460),$B$427=1),$AC$460,HLOOKUP(INDIRECT(ADDRESS(2,COLUMN())),OFFSET($AM$2,0,0,ROW()-1,33),ROW()-1,FALSE))</f>
        <v>13616.451999999999</v>
      </c>
      <c r="AD38">
        <f ca="1">IF(AND(ISNUMBER($AD$460),$B$427=1),$AD$460,HLOOKUP(INDIRECT(ADDRESS(2,COLUMN())),OFFSET($AM$2,0,0,ROW()-1,33),ROW()-1,FALSE))</f>
        <v>14155.037</v>
      </c>
      <c r="AE38">
        <f ca="1">IF(AND(ISNUMBER($AE$460),$B$427=1),$AE$460,HLOOKUP(INDIRECT(ADDRESS(2,COLUMN())),OFFSET($AM$2,0,0,ROW()-1,33),ROW()-1,FALSE))</f>
        <v>12352.356</v>
      </c>
      <c r="AF38">
        <f ca="1">IF(AND(ISNUMBER($AF$460),$B$427=1),$AF$460,HLOOKUP(INDIRECT(ADDRESS(2,COLUMN())),OFFSET($AM$2,0,0,ROW()-1,33),ROW()-1,FALSE))</f>
        <v>12489.018</v>
      </c>
      <c r="AG38">
        <f ca="1">IF(AND(ISNUMBER($AG$460),$B$427=1),$AG$460,HLOOKUP(INDIRECT(ADDRESS(2,COLUMN())),OFFSET($AM$2,0,0,ROW()-1,33),ROW()-1,FALSE))</f>
        <v>11975.717000000001</v>
      </c>
      <c r="AH38">
        <f ca="1">IF(AND(ISNUMBER($AH$460),$B$427=1),$AH$460,HLOOKUP(INDIRECT(ADDRESS(2,COLUMN())),OFFSET($AM$2,0,0,ROW()-1,33),ROW()-1,FALSE))</f>
        <v>11071.308999999999</v>
      </c>
      <c r="AI38">
        <f ca="1">IF(AND(ISNUMBER($AI$460),$B$427=1),$AI$460,HLOOKUP(INDIRECT(ADDRESS(2,COLUMN())),OFFSET($AM$2,0,0,ROW()-1,33),ROW()-1,FALSE))</f>
        <v>12824.376</v>
      </c>
      <c r="AJ38">
        <f ca="1">IF(AND(ISNUMBER($AJ$460),$B$427=1),$AJ$460,HLOOKUP(INDIRECT(ADDRESS(2,COLUMN())),OFFSET($AM$2,0,0,ROW()-1,33),ROW()-1,FALSE))</f>
        <v>13923.14</v>
      </c>
      <c r="AK38">
        <f ca="1">IF(AND(ISNUMBER($AK$460),$B$427=1),$AK$460,HLOOKUP(INDIRECT(ADDRESS(2,COLUMN())),OFFSET($AM$2,0,0,ROW()-1,33),ROW()-1,FALSE))</f>
        <v>4895.5829999999996</v>
      </c>
      <c r="AL38">
        <f ca="1">IF(AND(ISNUMBER($AL$460),$B$427=1),$AL$460,HLOOKUP(INDIRECT(ADDRESS(2,COLUMN())),OFFSET($AM$2,0,0,ROW()-1,33),ROW()-1,FALSE))</f>
        <v>3372.306</v>
      </c>
      <c r="AM38">
        <f>26336.841</f>
        <v>26336.841</v>
      </c>
      <c r="AN38">
        <f>28148.434</f>
        <v>28148.434000000001</v>
      </c>
      <c r="AO38">
        <f>29375.451</f>
        <v>29375.451000000001</v>
      </c>
      <c r="AP38">
        <f>24504.157</f>
        <v>24504.156999999999</v>
      </c>
      <c r="AQ38">
        <f>18921.59</f>
        <v>18921.59</v>
      </c>
      <c r="AR38">
        <f>17436.457</f>
        <v>17436.456999999999</v>
      </c>
      <c r="AS38">
        <f>16719.893</f>
        <v>16719.893</v>
      </c>
      <c r="AT38">
        <f>17582.322</f>
        <v>17582.322</v>
      </c>
      <c r="AU38">
        <f>18282.832</f>
        <v>18282.831999999999</v>
      </c>
      <c r="AV38">
        <f>12594.343</f>
        <v>12594.343000000001</v>
      </c>
      <c r="AW38">
        <f>12875.697</f>
        <v>12875.697</v>
      </c>
      <c r="AX38">
        <f>12878.777</f>
        <v>12878.777</v>
      </c>
      <c r="AY38">
        <f>12497.082</f>
        <v>12497.082</v>
      </c>
      <c r="AZ38">
        <f>11804.796</f>
        <v>11804.796</v>
      </c>
      <c r="BA38">
        <f>12134.297</f>
        <v>12134.297</v>
      </c>
      <c r="BB38">
        <f>12820.784</f>
        <v>12820.784</v>
      </c>
      <c r="BC38">
        <f>13160.433</f>
        <v>13160.433000000001</v>
      </c>
      <c r="BD38">
        <f>12558.2</f>
        <v>12558.2</v>
      </c>
      <c r="BE38">
        <f>12468.772</f>
        <v>12468.772000000001</v>
      </c>
      <c r="BF38">
        <f>14957.023</f>
        <v>14957.022999999999</v>
      </c>
      <c r="BG38">
        <f>15590.465</f>
        <v>15590.465</v>
      </c>
      <c r="BH38">
        <f>16667.066</f>
        <v>16667.065999999999</v>
      </c>
      <c r="BI38">
        <f>15870.323</f>
        <v>15870.323</v>
      </c>
      <c r="BJ38">
        <f>13616.452</f>
        <v>13616.451999999999</v>
      </c>
      <c r="BK38">
        <f>14155.037</f>
        <v>14155.037</v>
      </c>
      <c r="BL38">
        <f>12352.356</f>
        <v>12352.356</v>
      </c>
      <c r="BM38">
        <f>12489.018</f>
        <v>12489.018</v>
      </c>
      <c r="BN38">
        <f>11975.717</f>
        <v>11975.717000000001</v>
      </c>
      <c r="BO38">
        <f>11071.309</f>
        <v>11071.308999999999</v>
      </c>
      <c r="BP38">
        <f>12824.376</f>
        <v>12824.376</v>
      </c>
      <c r="BQ38">
        <f>13923.14</f>
        <v>13923.14</v>
      </c>
      <c r="BR38">
        <f>4895.583</f>
        <v>4895.5829999999996</v>
      </c>
      <c r="BS38">
        <f>3372.306</f>
        <v>3372.306</v>
      </c>
    </row>
    <row r="39" spans="1:71" x14ac:dyDescent="0.25">
      <c r="A39" t="str">
        <f>"            M&amp;T Bank Corp"</f>
        <v xml:space="preserve">            M&amp;T Bank Corp</v>
      </c>
      <c r="B39" t="str">
        <f>"MTB US Equity"</f>
        <v>MTB US Equity</v>
      </c>
      <c r="C39" t="str">
        <f t="shared" si="3"/>
        <v>FC004</v>
      </c>
      <c r="D39" t="str">
        <f t="shared" si="4"/>
        <v>FDIC_FAM_RESIDENT_LOANS</v>
      </c>
      <c r="E39" t="str">
        <f t="shared" si="5"/>
        <v>Dynamic</v>
      </c>
      <c r="F39">
        <f ca="1">IF(AND(ISNUMBER($F$461),$B$427=1),$F$461,HLOOKUP(INDIRECT(ADDRESS(2,COLUMN())),OFFSET($AM$2,0,0,ROW()-1,33),ROW()-1,FALSE))</f>
        <v>27794.978999999999</v>
      </c>
      <c r="G39">
        <f ca="1">IF(AND(ISNUMBER($G$461),$B$427=1),$G$461,HLOOKUP(INDIRECT(ADDRESS(2,COLUMN())),OFFSET($AM$2,0,0,ROW()-1,33),ROW()-1,FALSE))</f>
        <v>27996.985000000001</v>
      </c>
      <c r="H39">
        <f ca="1">IF(AND(ISNUMBER($H$461),$B$427=1),$H$461,HLOOKUP(INDIRECT(ADDRESS(2,COLUMN())),OFFSET($AM$2,0,0,ROW()-1,33),ROW()-1,FALSE))</f>
        <v>28797.671999999999</v>
      </c>
      <c r="I39">
        <f ca="1">IF(AND(ISNUMBER($I$461),$B$427=1),$I$461,HLOOKUP(INDIRECT(ADDRESS(2,COLUMN())),OFFSET($AM$2,0,0,ROW()-1,33),ROW()-1,FALSE))</f>
        <v>19589.857</v>
      </c>
      <c r="J39">
        <f ca="1">IF(AND(ISNUMBER($J$461),$B$427=1),$J$461,HLOOKUP(INDIRECT(ADDRESS(2,COLUMN())),OFFSET($AM$2,0,0,ROW()-1,33),ROW()-1,FALSE))</f>
        <v>20673.366999999998</v>
      </c>
      <c r="K39">
        <f ca="1">IF(AND(ISNUMBER($K$461),$B$427=1),$K$461,HLOOKUP(INDIRECT(ADDRESS(2,COLUMN())),OFFSET($AM$2,0,0,ROW()-1,33),ROW()-1,FALSE))</f>
        <v>20561.465</v>
      </c>
      <c r="L39">
        <f ca="1">IF(AND(ISNUMBER($L$461),$B$427=1),$L$461,HLOOKUP(INDIRECT(ADDRESS(2,COLUMN())),OFFSET($AM$2,0,0,ROW()-1,33),ROW()-1,FALSE))</f>
        <v>21993.848999999998</v>
      </c>
      <c r="M39">
        <f ca="1">IF(AND(ISNUMBER($M$461),$B$427=1),$M$461,HLOOKUP(INDIRECT(ADDRESS(2,COLUMN())),OFFSET($AM$2,0,0,ROW()-1,33),ROW()-1,FALSE))</f>
        <v>24907.758999999998</v>
      </c>
      <c r="N39">
        <f ca="1">IF(AND(ISNUMBER($N$461),$B$427=1),$N$461,HLOOKUP(INDIRECT(ADDRESS(2,COLUMN())),OFFSET($AM$2,0,0,ROW()-1,33),ROW()-1,FALSE))</f>
        <v>28232.277999999998</v>
      </c>
      <c r="O39">
        <f ca="1">IF(AND(ISNUMBER($O$461),$B$427=1),$O$461,HLOOKUP(INDIRECT(ADDRESS(2,COLUMN())),OFFSET($AM$2,0,0,ROW()-1,33),ROW()-1,FALSE))</f>
        <v>32229.888999999999</v>
      </c>
      <c r="P39">
        <f ca="1">IF(AND(ISNUMBER($P$461),$B$427=1),$P$461,HLOOKUP(INDIRECT(ADDRESS(2,COLUMN())),OFFSET($AM$2,0,0,ROW()-1,33),ROW()-1,FALSE))</f>
        <v>14682.343000000001</v>
      </c>
      <c r="Q39">
        <f ca="1">IF(AND(ISNUMBER($Q$461),$B$427=1),$Q$461,HLOOKUP(INDIRECT(ADDRESS(2,COLUMN())),OFFSET($AM$2,0,0,ROW()-1,33),ROW()-1,FALSE))</f>
        <v>15035.241</v>
      </c>
      <c r="R39">
        <f ca="1">IF(AND(ISNUMBER($R$461),$B$427=1),$R$461,HLOOKUP(INDIRECT(ADDRESS(2,COLUMN())),OFFSET($AM$2,0,0,ROW()-1,33),ROW()-1,FALSE))</f>
        <v>17540.982</v>
      </c>
      <c r="S39">
        <f ca="1">IF(AND(ISNUMBER($S$461),$B$427=1),$S$461,HLOOKUP(INDIRECT(ADDRESS(2,COLUMN())),OFFSET($AM$2,0,0,ROW()-1,33),ROW()-1,FALSE))</f>
        <v>14563.947</v>
      </c>
      <c r="T39">
        <f ca="1">IF(AND(ISNUMBER($T$461),$B$427=1),$T$461,HLOOKUP(INDIRECT(ADDRESS(2,COLUMN())),OFFSET($AM$2,0,0,ROW()-1,33),ROW()-1,FALSE))</f>
        <v>12421.047</v>
      </c>
      <c r="U39">
        <f ca="1">IF(AND(ISNUMBER($U$461),$B$427=1),$U$461,HLOOKUP(INDIRECT(ADDRESS(2,COLUMN())),OFFSET($AM$2,0,0,ROW()-1,33),ROW()-1,FALSE))</f>
        <v>12365.058999999999</v>
      </c>
      <c r="V39">
        <f ca="1">IF(AND(ISNUMBER($V$461),$B$427=1),$V$461,HLOOKUP(INDIRECT(ADDRESS(2,COLUMN())),OFFSET($AM$2,0,0,ROW()-1,33),ROW()-1,FALSE))</f>
        <v>10542.545</v>
      </c>
      <c r="W39">
        <f ca="1">IF(AND(ISNUMBER($W$461),$B$427=1),$W$461,HLOOKUP(INDIRECT(ADDRESS(2,COLUMN())),OFFSET($AM$2,0,0,ROW()-1,33),ROW()-1,FALSE))</f>
        <v>11184.808999999999</v>
      </c>
      <c r="X39">
        <f ca="1">IF(AND(ISNUMBER($X$461),$B$427=1),$X$461,HLOOKUP(INDIRECT(ADDRESS(2,COLUMN())),OFFSET($AM$2,0,0,ROW()-1,33),ROW()-1,FALSE))</f>
        <v>10840.137000000001</v>
      </c>
      <c r="Y39">
        <f ca="1">IF(AND(ISNUMBER($Y$461),$B$427=1),$Y$461,HLOOKUP(INDIRECT(ADDRESS(2,COLUMN())),OFFSET($AM$2,0,0,ROW()-1,33),ROW()-1,FALSE))</f>
        <v>9318.7199999999993</v>
      </c>
      <c r="Z39">
        <f ca="1">IF(AND(ISNUMBER($Z$461),$B$427=1),$Z$461,HLOOKUP(INDIRECT(ADDRESS(2,COLUMN())),OFFSET($AM$2,0,0,ROW()-1,33),ROW()-1,FALSE))</f>
        <v>8291.7729999999992</v>
      </c>
      <c r="AA39">
        <f ca="1">IF(AND(ISNUMBER($AA$461),$B$427=1),$AA$461,HLOOKUP(INDIRECT(ADDRESS(2,COLUMN())),OFFSET($AM$2,0,0,ROW()-1,33),ROW()-1,FALSE))</f>
        <v>7731.46</v>
      </c>
      <c r="AB39">
        <f ca="1">IF(AND(ISNUMBER($AB$461),$B$427=1),$AB$461,HLOOKUP(INDIRECT(ADDRESS(2,COLUMN())),OFFSET($AM$2,0,0,ROW()-1,33),ROW()-1,FALSE))</f>
        <v>5444.0209999999997</v>
      </c>
      <c r="AC39">
        <f ca="1">IF(AND(ISNUMBER($AC$461),$B$427=1),$AC$461,HLOOKUP(INDIRECT(ADDRESS(2,COLUMN())),OFFSET($AM$2,0,0,ROW()-1,33),ROW()-1,FALSE))</f>
        <v>6394.5150000000003</v>
      </c>
      <c r="AD39">
        <f ca="1">IF(AND(ISNUMBER($AD$461),$B$427=1),$AD$461,HLOOKUP(INDIRECT(ADDRESS(2,COLUMN())),OFFSET($AM$2,0,0,ROW()-1,33),ROW()-1,FALSE))</f>
        <v>5546.5259999999998</v>
      </c>
      <c r="AE39">
        <f ca="1">IF(AND(ISNUMBER($AE$461),$B$427=1),$AE$461,HLOOKUP(INDIRECT(ADDRESS(2,COLUMN())),OFFSET($AM$2,0,0,ROW()-1,33),ROW()-1,FALSE))</f>
        <v>4892.5479999999998</v>
      </c>
      <c r="AF39">
        <f ca="1">IF(AND(ISNUMBER($AF$461),$B$427=1),$AF$461,HLOOKUP(INDIRECT(ADDRESS(2,COLUMN())),OFFSET($AM$2,0,0,ROW()-1,33),ROW()-1,FALSE))</f>
        <v>4884.7150000000001</v>
      </c>
      <c r="AG39">
        <f ca="1">IF(AND(ISNUMBER($AG$461),$B$427=1),$AG$461,HLOOKUP(INDIRECT(ADDRESS(2,COLUMN())),OFFSET($AM$2,0,0,ROW()-1,33),ROW()-1,FALSE))</f>
        <v>3028.1419999999998</v>
      </c>
      <c r="AH39">
        <f ca="1">IF(AND(ISNUMBER($AH$461),$B$427=1),$AH$461,HLOOKUP(INDIRECT(ADDRESS(2,COLUMN())),OFFSET($AM$2,0,0,ROW()-1,33),ROW()-1,FALSE))</f>
        <v>2785.0720000000001</v>
      </c>
      <c r="AI39">
        <f ca="1">IF(AND(ISNUMBER($AI$461),$B$427=1),$AI$461,HLOOKUP(INDIRECT(ADDRESS(2,COLUMN())),OFFSET($AM$2,0,0,ROW()-1,33),ROW()-1,FALSE))</f>
        <v>2583.482</v>
      </c>
      <c r="AJ39">
        <f ca="1">IF(AND(ISNUMBER($AJ$461),$B$427=1),$AJ$461,HLOOKUP(INDIRECT(ADDRESS(2,COLUMN())),OFFSET($AM$2,0,0,ROW()-1,33),ROW()-1,FALSE))</f>
        <v>2251.904</v>
      </c>
      <c r="AK39">
        <f ca="1">IF(AND(ISNUMBER($AK$461),$B$427=1),$AK$461,HLOOKUP(INDIRECT(ADDRESS(2,COLUMN())),OFFSET($AM$2,0,0,ROW()-1,33),ROW()-1,FALSE))</f>
        <v>2105.636</v>
      </c>
      <c r="AL39">
        <f ca="1">IF(AND(ISNUMBER($AL$461),$B$427=1),$AL$461,HLOOKUP(INDIRECT(ADDRESS(2,COLUMN())),OFFSET($AM$2,0,0,ROW()-1,33),ROW()-1,FALSE))</f>
        <v>2199.4609999999998</v>
      </c>
      <c r="AM39">
        <f>27794.979</f>
        <v>27794.978999999999</v>
      </c>
      <c r="AN39">
        <f>27996.985</f>
        <v>27996.985000000001</v>
      </c>
      <c r="AO39">
        <f>28797.672</f>
        <v>28797.671999999999</v>
      </c>
      <c r="AP39">
        <f>19589.857</f>
        <v>19589.857</v>
      </c>
      <c r="AQ39">
        <f>20673.367</f>
        <v>20673.366999999998</v>
      </c>
      <c r="AR39">
        <f>20561.465</f>
        <v>20561.465</v>
      </c>
      <c r="AS39">
        <f>21993.849</f>
        <v>21993.848999999998</v>
      </c>
      <c r="AT39">
        <f>24907.759</f>
        <v>24907.758999999998</v>
      </c>
      <c r="AU39">
        <f>28232.278</f>
        <v>28232.277999999998</v>
      </c>
      <c r="AV39">
        <f>32229.889</f>
        <v>32229.888999999999</v>
      </c>
      <c r="AW39">
        <f>14682.343</f>
        <v>14682.343000000001</v>
      </c>
      <c r="AX39">
        <f>15035.241</f>
        <v>15035.241</v>
      </c>
      <c r="AY39">
        <f>17540.982</f>
        <v>17540.982</v>
      </c>
      <c r="AZ39">
        <f>14563.947</f>
        <v>14563.947</v>
      </c>
      <c r="BA39">
        <f>12421.047</f>
        <v>12421.047</v>
      </c>
      <c r="BB39">
        <f>12365.059</f>
        <v>12365.058999999999</v>
      </c>
      <c r="BC39">
        <f>10542.545</f>
        <v>10542.545</v>
      </c>
      <c r="BD39">
        <f>11184.809</f>
        <v>11184.808999999999</v>
      </c>
      <c r="BE39">
        <f>10840.137</f>
        <v>10840.137000000001</v>
      </c>
      <c r="BF39">
        <f>9318.72</f>
        <v>9318.7199999999993</v>
      </c>
      <c r="BG39">
        <f>8291.773</f>
        <v>8291.7729999999992</v>
      </c>
      <c r="BH39">
        <f>7731.46</f>
        <v>7731.46</v>
      </c>
      <c r="BI39">
        <f>5444.021</f>
        <v>5444.0209999999997</v>
      </c>
      <c r="BJ39">
        <f>6394.515</f>
        <v>6394.5150000000003</v>
      </c>
      <c r="BK39">
        <f>5546.526</f>
        <v>5546.5259999999998</v>
      </c>
      <c r="BL39">
        <f>4892.548</f>
        <v>4892.5479999999998</v>
      </c>
      <c r="BM39">
        <f>4884.715</f>
        <v>4884.7150000000001</v>
      </c>
      <c r="BN39">
        <f>3028.142</f>
        <v>3028.1419999999998</v>
      </c>
      <c r="BO39">
        <f>2785.072</f>
        <v>2785.0720000000001</v>
      </c>
      <c r="BP39">
        <f>2583.482</f>
        <v>2583.482</v>
      </c>
      <c r="BQ39">
        <f>2251.904</f>
        <v>2251.904</v>
      </c>
      <c r="BR39">
        <f>2105.636</f>
        <v>2105.636</v>
      </c>
      <c r="BS39">
        <f>2199.461</f>
        <v>2199.4609999999998</v>
      </c>
    </row>
    <row r="40" spans="1:71" x14ac:dyDescent="0.25">
      <c r="A40" t="str">
        <f>"            PNC Financial Services Group I"</f>
        <v xml:space="preserve">            PNC Financial Services Group I</v>
      </c>
      <c r="B40" t="str">
        <f>"PNC US Equity"</f>
        <v>PNC US Equity</v>
      </c>
      <c r="C40" t="str">
        <f t="shared" si="3"/>
        <v>FC004</v>
      </c>
      <c r="D40" t="str">
        <f t="shared" si="4"/>
        <v>FDIC_FAM_RESIDENT_LOANS</v>
      </c>
      <c r="E40" t="str">
        <f t="shared" si="5"/>
        <v>Dynamic</v>
      </c>
      <c r="F40" t="str">
        <f ca="1">IF(AND(ISNUMBER($F$462),$B$427=1),$F$462,HLOOKUP(INDIRECT(ADDRESS(2,COLUMN())),OFFSET($AM$2,0,0,ROW()-1,33),ROW()-1,FALSE))</f>
        <v/>
      </c>
      <c r="G40">
        <f ca="1">IF(AND(ISNUMBER($G$462),$B$427=1),$G$462,HLOOKUP(INDIRECT(ADDRESS(2,COLUMN())),OFFSET($AM$2,0,0,ROW()-1,33),ROW()-1,FALSE))</f>
        <v>74079.695000000007</v>
      </c>
      <c r="H40">
        <f ca="1">IF(AND(ISNUMBER($H$462),$B$427=1),$H$462,HLOOKUP(INDIRECT(ADDRESS(2,COLUMN())),OFFSET($AM$2,0,0,ROW()-1,33),ROW()-1,FALSE))</f>
        <v>72128.629000000001</v>
      </c>
      <c r="I40">
        <f ca="1">IF(AND(ISNUMBER($I$462),$B$427=1),$I$462,HLOOKUP(INDIRECT(ADDRESS(2,COLUMN())),OFFSET($AM$2,0,0,ROW()-1,33),ROW()-1,FALSE))</f>
        <v>64421.201999999997</v>
      </c>
      <c r="J40">
        <f ca="1">IF(AND(ISNUMBER($J$462),$B$427=1),$J$462,HLOOKUP(INDIRECT(ADDRESS(2,COLUMN())),OFFSET($AM$2,0,0,ROW()-1,33),ROW()-1,FALSE))</f>
        <v>47529.904000000002</v>
      </c>
      <c r="K40">
        <f ca="1">IF(AND(ISNUMBER($K$462),$B$427=1),$K$462,HLOOKUP(INDIRECT(ADDRESS(2,COLUMN())),OFFSET($AM$2,0,0,ROW()-1,33),ROW()-1,FALSE))</f>
        <v>47720.214</v>
      </c>
      <c r="L40">
        <f ca="1">IF(AND(ISNUMBER($L$462),$B$427=1),$L$462,HLOOKUP(INDIRECT(ADDRESS(2,COLUMN())),OFFSET($AM$2,0,0,ROW()-1,33),ROW()-1,FALSE))</f>
        <v>45279.508999999998</v>
      </c>
      <c r="M40">
        <f ca="1">IF(AND(ISNUMBER($M$462),$B$427=1),$M$462,HLOOKUP(INDIRECT(ADDRESS(2,COLUMN())),OFFSET($AM$2,0,0,ROW()-1,33),ROW()-1,FALSE))</f>
        <v>46434.45</v>
      </c>
      <c r="N40">
        <f ca="1">IF(AND(ISNUMBER($N$462),$B$427=1),$N$462,HLOOKUP(INDIRECT(ADDRESS(2,COLUMN())),OFFSET($AM$2,0,0,ROW()-1,33),ROW()-1,FALSE))</f>
        <v>46604.186999999998</v>
      </c>
      <c r="O40">
        <f ca="1">IF(AND(ISNUMBER($O$462),$B$427=1),$O$462,HLOOKUP(INDIRECT(ADDRESS(2,COLUMN())),OFFSET($AM$2,0,0,ROW()-1,33),ROW()-1,FALSE))</f>
        <v>47459.144999999997</v>
      </c>
      <c r="P40">
        <f ca="1">IF(AND(ISNUMBER($P$462),$B$427=1),$P$462,HLOOKUP(INDIRECT(ADDRESS(2,COLUMN())),OFFSET($AM$2,0,0,ROW()-1,33),ROW()-1,FALSE))</f>
        <v>50303.680999999997</v>
      </c>
      <c r="Q40">
        <f ca="1">IF(AND(ISNUMBER($Q$462),$B$427=1),$Q$462,HLOOKUP(INDIRECT(ADDRESS(2,COLUMN())),OFFSET($AM$2,0,0,ROW()-1,33),ROW()-1,FALSE))</f>
        <v>52902.695</v>
      </c>
      <c r="R40">
        <f ca="1">IF(AND(ISNUMBER($R$462),$B$427=1),$R$462,HLOOKUP(INDIRECT(ADDRESS(2,COLUMN())),OFFSET($AM$2,0,0,ROW()-1,33),ROW()-1,FALSE))</f>
        <v>53462.813000000002</v>
      </c>
      <c r="S40">
        <f ca="1">IF(AND(ISNUMBER($S$462),$B$427=1),$S$462,HLOOKUP(INDIRECT(ADDRESS(2,COLUMN())),OFFSET($AM$2,0,0,ROW()-1,33),ROW()-1,FALSE))</f>
        <v>49316.612999999998</v>
      </c>
      <c r="T40">
        <f ca="1">IF(AND(ISNUMBER($T$462),$B$427=1),$T$462,HLOOKUP(INDIRECT(ADDRESS(2,COLUMN())),OFFSET($AM$2,0,0,ROW()-1,33),ROW()-1,FALSE))</f>
        <v>52319.349000000002</v>
      </c>
      <c r="U40">
        <f ca="1">IF(AND(ISNUMBER($U$462),$B$427=1),$U$462,HLOOKUP(INDIRECT(ADDRESS(2,COLUMN())),OFFSET($AM$2,0,0,ROW()-1,33),ROW()-1,FALSE))</f>
        <v>56446.368000000002</v>
      </c>
      <c r="V40">
        <f ca="1">IF(AND(ISNUMBER($V$462),$B$427=1),$V$462,HLOOKUP(INDIRECT(ADDRESS(2,COLUMN())),OFFSET($AM$2,0,0,ROW()-1,33),ROW()-1,FALSE))</f>
        <v>61208.19</v>
      </c>
      <c r="W40">
        <f ca="1">IF(AND(ISNUMBER($W$462),$B$427=1),$W$462,HLOOKUP(INDIRECT(ADDRESS(2,COLUMN())),OFFSET($AM$2,0,0,ROW()-1,33),ROW()-1,FALSE))</f>
        <v>24514.975999999999</v>
      </c>
      <c r="X40">
        <f ca="1">IF(AND(ISNUMBER($X$462),$B$427=1),$X$462,HLOOKUP(INDIRECT(ADDRESS(2,COLUMN())),OFFSET($AM$2,0,0,ROW()-1,33),ROW()-1,FALSE))</f>
        <v>20416.901000000002</v>
      </c>
      <c r="Y40">
        <f ca="1">IF(AND(ISNUMBER($Y$462),$B$427=1),$Y$462,HLOOKUP(INDIRECT(ADDRESS(2,COLUMN())),OFFSET($AM$2,0,0,ROW()-1,33),ROW()-1,FALSE))</f>
        <v>21349.635999999999</v>
      </c>
      <c r="Z40">
        <f ca="1">IF(AND(ISNUMBER($Z$462),$B$427=1),$Z$462,HLOOKUP(INDIRECT(ADDRESS(2,COLUMN())),OFFSET($AM$2,0,0,ROW()-1,33),ROW()-1,FALSE))</f>
        <v>17696.653999999999</v>
      </c>
      <c r="AA40">
        <f ca="1">IF(AND(ISNUMBER($AA$462),$B$427=1),$AA$462,HLOOKUP(INDIRECT(ADDRESS(2,COLUMN())),OFFSET($AM$2,0,0,ROW()-1,33),ROW()-1,FALSE))</f>
        <v>12819.819</v>
      </c>
      <c r="AB40">
        <f ca="1">IF(AND(ISNUMBER($AB$462),$B$427=1),$AB$462,HLOOKUP(INDIRECT(ADDRESS(2,COLUMN())),OFFSET($AM$2,0,0,ROW()-1,33),ROW()-1,FALSE))</f>
        <v>12173.571</v>
      </c>
      <c r="AC40">
        <f ca="1">IF(AND(ISNUMBER($AC$462),$B$427=1),$AC$462,HLOOKUP(INDIRECT(ADDRESS(2,COLUMN())),OFFSET($AM$2,0,0,ROW()-1,33),ROW()-1,FALSE))</f>
        <v>13579.878000000001</v>
      </c>
      <c r="AD40">
        <f ca="1">IF(AND(ISNUMBER($AD$462),$B$427=1),$AD$462,HLOOKUP(INDIRECT(ADDRESS(2,COLUMN())),OFFSET($AM$2,0,0,ROW()-1,33),ROW()-1,FALSE))</f>
        <v>19991.16</v>
      </c>
      <c r="AE40">
        <f ca="1">IF(AND(ISNUMBER($AE$462),$B$427=1),$AE$462,HLOOKUP(INDIRECT(ADDRESS(2,COLUMN())),OFFSET($AM$2,0,0,ROW()-1,33),ROW()-1,FALSE))</f>
        <v>21486.828000000001</v>
      </c>
      <c r="AF40">
        <f ca="1">IF(AND(ISNUMBER($AF$462),$B$427=1),$AF$462,HLOOKUP(INDIRECT(ADDRESS(2,COLUMN())),OFFSET($AM$2,0,0,ROW()-1,33),ROW()-1,FALSE))</f>
        <v>21039.008000000002</v>
      </c>
      <c r="AG40">
        <f ca="1">IF(AND(ISNUMBER($AG$462),$B$427=1),$AG$462,HLOOKUP(INDIRECT(ADDRESS(2,COLUMN())),OFFSET($AM$2,0,0,ROW()-1,33),ROW()-1,FALSE))</f>
        <v>20279.073</v>
      </c>
      <c r="AH40">
        <f ca="1">IF(AND(ISNUMBER($AH$462),$B$427=1),$AH$462,HLOOKUP(INDIRECT(ADDRESS(2,COLUMN())),OFFSET($AM$2,0,0,ROW()-1,33),ROW()-1,FALSE))</f>
        <v>18583.409</v>
      </c>
      <c r="AI40">
        <f ca="1">IF(AND(ISNUMBER($AI$462),$B$427=1),$AI$462,HLOOKUP(INDIRECT(ADDRESS(2,COLUMN())),OFFSET($AM$2,0,0,ROW()-1,33),ROW()-1,FALSE))</f>
        <v>17429.635999999999</v>
      </c>
      <c r="AJ40">
        <f ca="1">IF(AND(ISNUMBER($AJ$462),$B$427=1),$AJ$462,HLOOKUP(INDIRECT(ADDRESS(2,COLUMN())),OFFSET($AM$2,0,0,ROW()-1,33),ROW()-1,FALSE))</f>
        <v>12856.200999999999</v>
      </c>
      <c r="AK40">
        <f ca="1">IF(AND(ISNUMBER($AK$462),$B$427=1),$AK$462,HLOOKUP(INDIRECT(ADDRESS(2,COLUMN())),OFFSET($AM$2,0,0,ROW()-1,33),ROW()-1,FALSE))</f>
        <v>12392.589</v>
      </c>
      <c r="AL40">
        <f ca="1">IF(AND(ISNUMBER($AL$462),$B$427=1),$AL$462,HLOOKUP(INDIRECT(ADDRESS(2,COLUMN())),OFFSET($AM$2,0,0,ROW()-1,33),ROW()-1,FALSE))</f>
        <v>5791.7659999999996</v>
      </c>
      <c r="AM40" t="str">
        <f>""</f>
        <v/>
      </c>
      <c r="AN40">
        <f>74079.695</f>
        <v>74079.695000000007</v>
      </c>
      <c r="AO40">
        <f>72128.629</f>
        <v>72128.629000000001</v>
      </c>
      <c r="AP40">
        <f>64421.202</f>
        <v>64421.201999999997</v>
      </c>
      <c r="AQ40">
        <f>47529.904</f>
        <v>47529.904000000002</v>
      </c>
      <c r="AR40">
        <f>47720.214</f>
        <v>47720.214</v>
      </c>
      <c r="AS40">
        <f>45279.509</f>
        <v>45279.508999999998</v>
      </c>
      <c r="AT40">
        <f>46434.45</f>
        <v>46434.45</v>
      </c>
      <c r="AU40">
        <f>46604.187</f>
        <v>46604.186999999998</v>
      </c>
      <c r="AV40">
        <f>47459.145</f>
        <v>47459.144999999997</v>
      </c>
      <c r="AW40">
        <f>50303.681</f>
        <v>50303.680999999997</v>
      </c>
      <c r="AX40">
        <f>52902.695</f>
        <v>52902.695</v>
      </c>
      <c r="AY40">
        <f>53462.813</f>
        <v>53462.813000000002</v>
      </c>
      <c r="AZ40">
        <f>49316.613</f>
        <v>49316.612999999998</v>
      </c>
      <c r="BA40">
        <f>52319.349</f>
        <v>52319.349000000002</v>
      </c>
      <c r="BB40">
        <f>56446.368</f>
        <v>56446.368000000002</v>
      </c>
      <c r="BC40">
        <f>61208.19</f>
        <v>61208.19</v>
      </c>
      <c r="BD40">
        <f>24514.976</f>
        <v>24514.975999999999</v>
      </c>
      <c r="BE40">
        <f>20416.901</f>
        <v>20416.901000000002</v>
      </c>
      <c r="BF40">
        <f>21349.636</f>
        <v>21349.635999999999</v>
      </c>
      <c r="BG40">
        <f>17696.654</f>
        <v>17696.653999999999</v>
      </c>
      <c r="BH40">
        <f>12819.819</f>
        <v>12819.819</v>
      </c>
      <c r="BI40">
        <f>12173.571</f>
        <v>12173.571</v>
      </c>
      <c r="BJ40">
        <f>13579.878</f>
        <v>13579.878000000001</v>
      </c>
      <c r="BK40">
        <f>19991.16</f>
        <v>19991.16</v>
      </c>
      <c r="BL40">
        <f>21486.828</f>
        <v>21486.828000000001</v>
      </c>
      <c r="BM40">
        <f>21039.008</f>
        <v>21039.008000000002</v>
      </c>
      <c r="BN40">
        <f>20279.073</f>
        <v>20279.073</v>
      </c>
      <c r="BO40">
        <f>18583.409</f>
        <v>18583.409</v>
      </c>
      <c r="BP40">
        <f>17429.636</f>
        <v>17429.635999999999</v>
      </c>
      <c r="BQ40">
        <f>12856.201</f>
        <v>12856.200999999999</v>
      </c>
      <c r="BR40">
        <f>12392.589</f>
        <v>12392.589</v>
      </c>
      <c r="BS40">
        <f>5791.766</f>
        <v>5791.7659999999996</v>
      </c>
    </row>
    <row r="41" spans="1:71" x14ac:dyDescent="0.25">
      <c r="A41" t="str">
        <f>"            Regions Financial Corp"</f>
        <v xml:space="preserve">            Regions Financial Corp</v>
      </c>
      <c r="B41" t="str">
        <f>"RF US Equity"</f>
        <v>RF US Equity</v>
      </c>
      <c r="C41" t="str">
        <f t="shared" si="3"/>
        <v>FC004</v>
      </c>
      <c r="D41" t="str">
        <f t="shared" si="4"/>
        <v>FDIC_FAM_RESIDENT_LOANS</v>
      </c>
      <c r="E41" t="str">
        <f t="shared" si="5"/>
        <v>Dynamic</v>
      </c>
      <c r="F41" t="str">
        <f ca="1">IF(AND(ISNUMBER($F$463),$B$427=1),$F$463,HLOOKUP(INDIRECT(ADDRESS(2,COLUMN())),OFFSET($AM$2,0,0,ROW()-1,33),ROW()-1,FALSE))</f>
        <v/>
      </c>
      <c r="G41">
        <f ca="1">IF(AND(ISNUMBER($G$463),$B$427=1),$G$463,HLOOKUP(INDIRECT(ADDRESS(2,COLUMN())),OFFSET($AM$2,0,0,ROW()-1,33),ROW()-1,FALSE))</f>
        <v>25335</v>
      </c>
      <c r="H41">
        <f ca="1">IF(AND(ISNUMBER($H$463),$B$427=1),$H$463,HLOOKUP(INDIRECT(ADDRESS(2,COLUMN())),OFFSET($AM$2,0,0,ROW()-1,33),ROW()-1,FALSE))</f>
        <v>23992</v>
      </c>
      <c r="I41">
        <f ca="1">IF(AND(ISNUMBER($I$463),$B$427=1),$I$463,HLOOKUP(INDIRECT(ADDRESS(2,COLUMN())),OFFSET($AM$2,0,0,ROW()-1,33),ROW()-1,FALSE))</f>
        <v>23605</v>
      </c>
      <c r="J41">
        <f ca="1">IF(AND(ISNUMBER($J$463),$B$427=1),$J$463,HLOOKUP(INDIRECT(ADDRESS(2,COLUMN())),OFFSET($AM$2,0,0,ROW()-1,33),ROW()-1,FALSE))</f>
        <v>24798</v>
      </c>
      <c r="K41">
        <f ca="1">IF(AND(ISNUMBER($K$463),$B$427=1),$K$463,HLOOKUP(INDIRECT(ADDRESS(2,COLUMN())),OFFSET($AM$2,0,0,ROW()-1,33),ROW()-1,FALSE))</f>
        <v>22995</v>
      </c>
      <c r="L41">
        <f ca="1">IF(AND(ISNUMBER($L$463),$B$427=1),$L$463,HLOOKUP(INDIRECT(ADDRESS(2,COLUMN())),OFFSET($AM$2,0,0,ROW()-1,33),ROW()-1,FALSE))</f>
        <v>23452.879000000001</v>
      </c>
      <c r="M41">
        <f ca="1">IF(AND(ISNUMBER($M$463),$B$427=1),$M$463,HLOOKUP(INDIRECT(ADDRESS(2,COLUMN())),OFFSET($AM$2,0,0,ROW()-1,33),ROW()-1,FALSE))</f>
        <v>24319.57</v>
      </c>
      <c r="N41">
        <f ca="1">IF(AND(ISNUMBER($N$463),$B$427=1),$N$463,HLOOKUP(INDIRECT(ADDRESS(2,COLUMN())),OFFSET($AM$2,0,0,ROW()-1,33),ROW()-1,FALSE))</f>
        <v>24453.627</v>
      </c>
      <c r="O41">
        <f ca="1">IF(AND(ISNUMBER($O$463),$B$427=1),$O$463,HLOOKUP(INDIRECT(ADDRESS(2,COLUMN())),OFFSET($AM$2,0,0,ROW()-1,33),ROW()-1,FALSE))</f>
        <v>23990.043000000001</v>
      </c>
      <c r="P41">
        <f ca="1">IF(AND(ISNUMBER($P$463),$B$427=1),$P$463,HLOOKUP(INDIRECT(ADDRESS(2,COLUMN())),OFFSET($AM$2,0,0,ROW()-1,33),ROW()-1,FALSE))</f>
        <v>23554.953000000001</v>
      </c>
      <c r="Q41">
        <f ca="1">IF(AND(ISNUMBER($Q$463),$B$427=1),$Q$463,HLOOKUP(INDIRECT(ADDRESS(2,COLUMN())),OFFSET($AM$2,0,0,ROW()-1,33),ROW()-1,FALSE))</f>
        <v>24384.402999999998</v>
      </c>
      <c r="R41">
        <f ca="1">IF(AND(ISNUMBER($R$463),$B$427=1),$R$463,HLOOKUP(INDIRECT(ADDRESS(2,COLUMN())),OFFSET($AM$2,0,0,ROW()-1,33),ROW()-1,FALSE))</f>
        <v>26120.224999999999</v>
      </c>
      <c r="S41">
        <f ca="1">IF(AND(ISNUMBER($S$463),$B$427=1),$S$463,HLOOKUP(INDIRECT(ADDRESS(2,COLUMN())),OFFSET($AM$2,0,0,ROW()-1,33),ROW()-1,FALSE))</f>
        <v>27881.257000000001</v>
      </c>
      <c r="T41">
        <f ca="1">IF(AND(ISNUMBER($T$463),$B$427=1),$T$463,HLOOKUP(INDIRECT(ADDRESS(2,COLUMN())),OFFSET($AM$2,0,0,ROW()-1,33),ROW()-1,FALSE))</f>
        <v>30568.21</v>
      </c>
      <c r="U41">
        <f ca="1">IF(AND(ISNUMBER($U$463),$B$427=1),$U$463,HLOOKUP(INDIRECT(ADDRESS(2,COLUMN())),OFFSET($AM$2,0,0,ROW()-1,33),ROW()-1,FALSE))</f>
        <v>27723.528999999999</v>
      </c>
      <c r="V41">
        <f ca="1">IF(AND(ISNUMBER($V$463),$B$427=1),$V$463,HLOOKUP(INDIRECT(ADDRESS(2,COLUMN())),OFFSET($AM$2,0,0,ROW()-1,33),ROW()-1,FALSE))</f>
        <v>29478.955999999998</v>
      </c>
      <c r="W41">
        <f ca="1">IF(AND(ISNUMBER($W$463),$B$427=1),$W$463,HLOOKUP(INDIRECT(ADDRESS(2,COLUMN())),OFFSET($AM$2,0,0,ROW()-1,33),ROW()-1,FALSE))</f>
        <v>30906.43</v>
      </c>
      <c r="X41">
        <f ca="1">IF(AND(ISNUMBER($X$463),$B$427=1),$X$463,HLOOKUP(INDIRECT(ADDRESS(2,COLUMN())),OFFSET($AM$2,0,0,ROW()-1,33),ROW()-1,FALSE))</f>
        <v>34262.449000000001</v>
      </c>
      <c r="Y41">
        <f ca="1">IF(AND(ISNUMBER($Y$463),$B$427=1),$Y$463,HLOOKUP(INDIRECT(ADDRESS(2,COLUMN())),OFFSET($AM$2,0,0,ROW()-1,33),ROW()-1,FALSE))</f>
        <v>19360.105</v>
      </c>
      <c r="Z41">
        <f ca="1">IF(AND(ISNUMBER($Z$463),$B$427=1),$Z$463,HLOOKUP(INDIRECT(ADDRESS(2,COLUMN())),OFFSET($AM$2,0,0,ROW()-1,33),ROW()-1,FALSE))</f>
        <v>18874.745999999999</v>
      </c>
      <c r="AA41" t="str">
        <f ca="1">IF(AND(ISNUMBER($AA$463),$B$427=1),$AA$463,HLOOKUP(INDIRECT(ADDRESS(2,COLUMN())),OFFSET($AM$2,0,0,ROW()-1,33),ROW()-1,FALSE))</f>
        <v/>
      </c>
      <c r="AB41" t="str">
        <f ca="1">IF(AND(ISNUMBER($AB$463),$B$427=1),$AB$463,HLOOKUP(INDIRECT(ADDRESS(2,COLUMN())),OFFSET($AM$2,0,0,ROW()-1,33),ROW()-1,FALSE))</f>
        <v/>
      </c>
      <c r="AC41" t="str">
        <f ca="1">IF(AND(ISNUMBER($AC$463),$B$427=1),$AC$463,HLOOKUP(INDIRECT(ADDRESS(2,COLUMN())),OFFSET($AM$2,0,0,ROW()-1,33),ROW()-1,FALSE))</f>
        <v/>
      </c>
      <c r="AD41" t="str">
        <f ca="1">IF(AND(ISNUMBER($AD$463),$B$427=1),$AD$463,HLOOKUP(INDIRECT(ADDRESS(2,COLUMN())),OFFSET($AM$2,0,0,ROW()-1,33),ROW()-1,FALSE))</f>
        <v/>
      </c>
      <c r="AE41" t="str">
        <f ca="1">IF(AND(ISNUMBER($AE$463),$B$427=1),$AE$463,HLOOKUP(INDIRECT(ADDRESS(2,COLUMN())),OFFSET($AM$2,0,0,ROW()-1,33),ROW()-1,FALSE))</f>
        <v/>
      </c>
      <c r="AF41" t="str">
        <f ca="1">IF(AND(ISNUMBER($AF$463),$B$427=1),$AF$463,HLOOKUP(INDIRECT(ADDRESS(2,COLUMN())),OFFSET($AM$2,0,0,ROW()-1,33),ROW()-1,FALSE))</f>
        <v/>
      </c>
      <c r="AG41" t="str">
        <f ca="1">IF(AND(ISNUMBER($AG$463),$B$427=1),$AG$463,HLOOKUP(INDIRECT(ADDRESS(2,COLUMN())),OFFSET($AM$2,0,0,ROW()-1,33),ROW()-1,FALSE))</f>
        <v/>
      </c>
      <c r="AH41" t="str">
        <f ca="1">IF(AND(ISNUMBER($AH$463),$B$427=1),$AH$463,HLOOKUP(INDIRECT(ADDRESS(2,COLUMN())),OFFSET($AM$2,0,0,ROW()-1,33),ROW()-1,FALSE))</f>
        <v/>
      </c>
      <c r="AI41" t="str">
        <f ca="1">IF(AND(ISNUMBER($AI$463),$B$427=1),$AI$463,HLOOKUP(INDIRECT(ADDRESS(2,COLUMN())),OFFSET($AM$2,0,0,ROW()-1,33),ROW()-1,FALSE))</f>
        <v/>
      </c>
      <c r="AJ41" t="str">
        <f ca="1">IF(AND(ISNUMBER($AJ$463),$B$427=1),$AJ$463,HLOOKUP(INDIRECT(ADDRESS(2,COLUMN())),OFFSET($AM$2,0,0,ROW()-1,33),ROW()-1,FALSE))</f>
        <v/>
      </c>
      <c r="AK41" t="str">
        <f ca="1">IF(AND(ISNUMBER($AK$463),$B$427=1),$AK$463,HLOOKUP(INDIRECT(ADDRESS(2,COLUMN())),OFFSET($AM$2,0,0,ROW()-1,33),ROW()-1,FALSE))</f>
        <v/>
      </c>
      <c r="AL41" t="str">
        <f ca="1">IF(AND(ISNUMBER($AL$463),$B$427=1),$AL$463,HLOOKUP(INDIRECT(ADDRESS(2,COLUMN())),OFFSET($AM$2,0,0,ROW()-1,33),ROW()-1,FALSE))</f>
        <v/>
      </c>
      <c r="AM41" t="str">
        <f>""</f>
        <v/>
      </c>
      <c r="AN41">
        <f>25335</f>
        <v>25335</v>
      </c>
      <c r="AO41">
        <f>23992</f>
        <v>23992</v>
      </c>
      <c r="AP41">
        <f>23605</f>
        <v>23605</v>
      </c>
      <c r="AQ41">
        <f>24798</f>
        <v>24798</v>
      </c>
      <c r="AR41">
        <f>22995</f>
        <v>22995</v>
      </c>
      <c r="AS41">
        <f>23452.879</f>
        <v>23452.879000000001</v>
      </c>
      <c r="AT41">
        <f>24319.57</f>
        <v>24319.57</v>
      </c>
      <c r="AU41">
        <f>24453.627</f>
        <v>24453.627</v>
      </c>
      <c r="AV41">
        <f>23990.043</f>
        <v>23990.043000000001</v>
      </c>
      <c r="AW41">
        <f>23554.953</f>
        <v>23554.953000000001</v>
      </c>
      <c r="AX41">
        <f>24384.403</f>
        <v>24384.402999999998</v>
      </c>
      <c r="AY41">
        <f>26120.225</f>
        <v>26120.224999999999</v>
      </c>
      <c r="AZ41">
        <f>27881.257</f>
        <v>27881.257000000001</v>
      </c>
      <c r="BA41">
        <f>30568.21</f>
        <v>30568.21</v>
      </c>
      <c r="BB41">
        <f>27723.529</f>
        <v>27723.528999999999</v>
      </c>
      <c r="BC41">
        <f>29478.956</f>
        <v>29478.955999999998</v>
      </c>
      <c r="BD41">
        <f>30906.43</f>
        <v>30906.43</v>
      </c>
      <c r="BE41">
        <f>34262.449</f>
        <v>34262.449000000001</v>
      </c>
      <c r="BF41">
        <f>19360.105</f>
        <v>19360.105</v>
      </c>
      <c r="BG41">
        <f>18874.746</f>
        <v>18874.745999999999</v>
      </c>
      <c r="BH41" t="str">
        <f>""</f>
        <v/>
      </c>
      <c r="BI41" t="str">
        <f>""</f>
        <v/>
      </c>
      <c r="BJ41" t="str">
        <f>""</f>
        <v/>
      </c>
      <c r="BK41" t="str">
        <f>""</f>
        <v/>
      </c>
      <c r="BL41" t="str">
        <f>""</f>
        <v/>
      </c>
      <c r="BM41" t="str">
        <f>""</f>
        <v/>
      </c>
      <c r="BN41" t="str">
        <f>""</f>
        <v/>
      </c>
      <c r="BO41" t="str">
        <f>""</f>
        <v/>
      </c>
      <c r="BP41" t="str">
        <f>""</f>
        <v/>
      </c>
      <c r="BQ41" t="str">
        <f>""</f>
        <v/>
      </c>
      <c r="BR41" t="str">
        <f>""</f>
        <v/>
      </c>
      <c r="BS41" t="str">
        <f>""</f>
        <v/>
      </c>
    </row>
    <row r="42" spans="1:71" x14ac:dyDescent="0.25">
      <c r="A42" t="str">
        <f>"            Truist Financial Corp"</f>
        <v xml:space="preserve">            Truist Financial Corp</v>
      </c>
      <c r="B42" t="str">
        <f>"TFC US Equity"</f>
        <v>TFC US Equity</v>
      </c>
      <c r="C42" t="str">
        <f t="shared" si="3"/>
        <v>FC004</v>
      </c>
      <c r="D42" t="str">
        <f t="shared" si="4"/>
        <v>FDIC_FAM_RESIDENT_LOANS</v>
      </c>
      <c r="E42" t="str">
        <f t="shared" si="5"/>
        <v>Dynamic</v>
      </c>
      <c r="F42">
        <f ca="1">IF(AND(ISNUMBER($F$464),$B$427=1),$F$464,HLOOKUP(INDIRECT(ADDRESS(2,COLUMN())),OFFSET($AM$2,0,0,ROW()-1,33),ROW()-1,FALSE))</f>
        <v>66579</v>
      </c>
      <c r="G42">
        <f ca="1">IF(AND(ISNUMBER($G$464),$B$427=1),$G$464,HLOOKUP(INDIRECT(ADDRESS(2,COLUMN())),OFFSET($AM$2,0,0,ROW()-1,33),ROW()-1,FALSE))</f>
        <v>66656</v>
      </c>
      <c r="H42">
        <f ca="1">IF(AND(ISNUMBER($H$464),$B$427=1),$H$464,HLOOKUP(INDIRECT(ADDRESS(2,COLUMN())),OFFSET($AM$2,0,0,ROW()-1,33),ROW()-1,FALSE))</f>
        <v>68650</v>
      </c>
      <c r="I42">
        <f ca="1">IF(AND(ISNUMBER($I$464),$B$427=1),$I$464,HLOOKUP(INDIRECT(ADDRESS(2,COLUMN())),OFFSET($AM$2,0,0,ROW()-1,33),ROW()-1,FALSE))</f>
        <v>62497</v>
      </c>
      <c r="J42">
        <f ca="1">IF(AND(ISNUMBER($J$464),$B$427=1),$J$464,HLOOKUP(INDIRECT(ADDRESS(2,COLUMN())),OFFSET($AM$2,0,0,ROW()-1,33),ROW()-1,FALSE))</f>
        <v>64932</v>
      </c>
      <c r="K42">
        <f ca="1">IF(AND(ISNUMBER($K$464),$B$427=1),$K$464,HLOOKUP(INDIRECT(ADDRESS(2,COLUMN())),OFFSET($AM$2,0,0,ROW()-1,33),ROW()-1,FALSE))</f>
        <v>76291</v>
      </c>
      <c r="L42">
        <f ca="1">IF(AND(ISNUMBER($L$464),$B$427=1),$L$464,HLOOKUP(INDIRECT(ADDRESS(2,COLUMN())),OFFSET($AM$2,0,0,ROW()-1,33),ROW()-1,FALSE))</f>
        <v>41340</v>
      </c>
      <c r="M42">
        <f ca="1">IF(AND(ISNUMBER($M$464),$B$427=1),$M$464,HLOOKUP(INDIRECT(ADDRESS(2,COLUMN())),OFFSET($AM$2,0,0,ROW()-1,33),ROW()-1,FALSE))</f>
        <v>39569</v>
      </c>
      <c r="N42">
        <f ca="1">IF(AND(ISNUMBER($N$464),$B$427=1),$N$464,HLOOKUP(INDIRECT(ADDRESS(2,COLUMN())),OFFSET($AM$2,0,0,ROW()-1,33),ROW()-1,FALSE))</f>
        <v>42047.432999999997</v>
      </c>
      <c r="O42">
        <f ca="1">IF(AND(ISNUMBER($O$464),$B$427=1),$O$464,HLOOKUP(INDIRECT(ADDRESS(2,COLUMN())),OFFSET($AM$2,0,0,ROW()-1,33),ROW()-1,FALSE))</f>
        <v>41289.938999999998</v>
      </c>
      <c r="P42">
        <f ca="1">IF(AND(ISNUMBER($P$464),$B$427=1),$P$464,HLOOKUP(INDIRECT(ADDRESS(2,COLUMN())),OFFSET($AM$2,0,0,ROW()-1,33),ROW()-1,FALSE))</f>
        <v>39683.368999999999</v>
      </c>
      <c r="Q42">
        <f ca="1">IF(AND(ISNUMBER($Q$464),$B$427=1),$Q$464,HLOOKUP(INDIRECT(ADDRESS(2,COLUMN())),OFFSET($AM$2,0,0,ROW()-1,33),ROW()-1,FALSE))</f>
        <v>41369.171000000002</v>
      </c>
      <c r="R42">
        <f ca="1">IF(AND(ISNUMBER($R$464),$B$427=1),$R$464,HLOOKUP(INDIRECT(ADDRESS(2,COLUMN())),OFFSET($AM$2,0,0,ROW()-1,33),ROW()-1,FALSE))</f>
        <v>44066.510999999999</v>
      </c>
      <c r="S42">
        <f ca="1">IF(AND(ISNUMBER($S$464),$B$427=1),$S$464,HLOOKUP(INDIRECT(ADDRESS(2,COLUMN())),OFFSET($AM$2,0,0,ROW()-1,33),ROW()-1,FALSE))</f>
        <v>39434.519</v>
      </c>
      <c r="T42">
        <f ca="1">IF(AND(ISNUMBER($T$464),$B$427=1),$T$464,HLOOKUP(INDIRECT(ADDRESS(2,COLUMN())),OFFSET($AM$2,0,0,ROW()-1,33),ROW()-1,FALSE))</f>
        <v>35627.915999999997</v>
      </c>
      <c r="U42">
        <f ca="1">IF(AND(ISNUMBER($U$464),$B$427=1),$U$464,HLOOKUP(INDIRECT(ADDRESS(2,COLUMN())),OFFSET($AM$2,0,0,ROW()-1,33),ROW()-1,FALSE))</f>
        <v>33429.417000000001</v>
      </c>
      <c r="V42">
        <f ca="1">IF(AND(ISNUMBER($V$464),$B$427=1),$V$464,HLOOKUP(INDIRECT(ADDRESS(2,COLUMN())),OFFSET($AM$2,0,0,ROW()-1,33),ROW()-1,FALSE))</f>
        <v>32021.447</v>
      </c>
      <c r="W42">
        <f ca="1">IF(AND(ISNUMBER($W$464),$B$427=1),$W$464,HLOOKUP(INDIRECT(ADDRESS(2,COLUMN())),OFFSET($AM$2,0,0,ROW()-1,33),ROW()-1,FALSE))</f>
        <v>31147.863000000001</v>
      </c>
      <c r="X42">
        <f ca="1">IF(AND(ISNUMBER($X$464),$B$427=1),$X$464,HLOOKUP(INDIRECT(ADDRESS(2,COLUMN())),OFFSET($AM$2,0,0,ROW()-1,33),ROW()-1,FALSE))</f>
        <v>29162.474999999999</v>
      </c>
      <c r="Y42">
        <f ca="1">IF(AND(ISNUMBER($Y$464),$B$427=1),$Y$464,HLOOKUP(INDIRECT(ADDRESS(2,COLUMN())),OFFSET($AM$2,0,0,ROW()-1,33),ROW()-1,FALSE))</f>
        <v>27258.822</v>
      </c>
      <c r="Z42">
        <f ca="1">IF(AND(ISNUMBER($Z$464),$B$427=1),$Z$464,HLOOKUP(INDIRECT(ADDRESS(2,COLUMN())),OFFSET($AM$2,0,0,ROW()-1,33),ROW()-1,FALSE))</f>
        <v>24779.028999999999</v>
      </c>
      <c r="AA42">
        <f ca="1">IF(AND(ISNUMBER($AA$464),$B$427=1),$AA$464,HLOOKUP(INDIRECT(ADDRESS(2,COLUMN())),OFFSET($AM$2,0,0,ROW()-1,33),ROW()-1,FALSE))</f>
        <v>22576.539000000001</v>
      </c>
      <c r="AB42">
        <f ca="1">IF(AND(ISNUMBER($AB$464),$B$427=1),$AB$464,HLOOKUP(INDIRECT(ADDRESS(2,COLUMN())),OFFSET($AM$2,0,0,ROW()-1,33),ROW()-1,FALSE))</f>
        <v>19044.467000000001</v>
      </c>
      <c r="AC42">
        <f ca="1">IF(AND(ISNUMBER($AC$464),$B$427=1),$AC$464,HLOOKUP(INDIRECT(ADDRESS(2,COLUMN())),OFFSET($AM$2,0,0,ROW()-1,33),ROW()-1,FALSE))</f>
        <v>16298.012000000001</v>
      </c>
      <c r="AD42">
        <f ca="1">IF(AND(ISNUMBER($AD$464),$B$427=1),$AD$464,HLOOKUP(INDIRECT(ADDRESS(2,COLUMN())),OFFSET($AM$2,0,0,ROW()-1,33),ROW()-1,FALSE))</f>
        <v>14212.623</v>
      </c>
      <c r="AE42">
        <f ca="1">IF(AND(ISNUMBER($AE$464),$B$427=1),$AE$464,HLOOKUP(INDIRECT(ADDRESS(2,COLUMN())),OFFSET($AM$2,0,0,ROW()-1,33),ROW()-1,FALSE))</f>
        <v>10364.093999999999</v>
      </c>
      <c r="AF42">
        <f ca="1">IF(AND(ISNUMBER($AF$464),$B$427=1),$AF$464,HLOOKUP(INDIRECT(ADDRESS(2,COLUMN())),OFFSET($AM$2,0,0,ROW()-1,33),ROW()-1,FALSE))</f>
        <v>9748.4110000000001</v>
      </c>
      <c r="AG42">
        <f ca="1">IF(AND(ISNUMBER($AG$464),$B$427=1),$AG$464,HLOOKUP(INDIRECT(ADDRESS(2,COLUMN())),OFFSET($AM$2,0,0,ROW()-1,33),ROW()-1,FALSE))</f>
        <v>8049.2250000000004</v>
      </c>
      <c r="AH42">
        <f ca="1">IF(AND(ISNUMBER($AH$464),$B$427=1),$AH$464,HLOOKUP(INDIRECT(ADDRESS(2,COLUMN())),OFFSET($AM$2,0,0,ROW()-1,33),ROW()-1,FALSE))</f>
        <v>5746.0959999999995</v>
      </c>
      <c r="AI42">
        <f ca="1">IF(AND(ISNUMBER($AI$464),$B$427=1),$AI$464,HLOOKUP(INDIRECT(ADDRESS(2,COLUMN())),OFFSET($AM$2,0,0,ROW()-1,33),ROW()-1,FALSE))</f>
        <v>5992.442</v>
      </c>
      <c r="AJ42">
        <f ca="1">IF(AND(ISNUMBER($AJ$464),$B$427=1),$AJ$464,HLOOKUP(INDIRECT(ADDRESS(2,COLUMN())),OFFSET($AM$2,0,0,ROW()-1,33),ROW()-1,FALSE))</f>
        <v>2404.875</v>
      </c>
      <c r="AK42">
        <f ca="1">IF(AND(ISNUMBER($AK$464),$B$427=1),$AK$464,HLOOKUP(INDIRECT(ADDRESS(2,COLUMN())),OFFSET($AM$2,0,0,ROW()-1,33),ROW()-1,FALSE))</f>
        <v>1279.818</v>
      </c>
      <c r="AL42">
        <f ca="1">IF(AND(ISNUMBER($AL$464),$B$427=1),$AL$464,HLOOKUP(INDIRECT(ADDRESS(2,COLUMN())),OFFSET($AM$2,0,0,ROW()-1,33),ROW()-1,FALSE))</f>
        <v>917.04</v>
      </c>
      <c r="AM42">
        <f>66579</f>
        <v>66579</v>
      </c>
      <c r="AN42">
        <f>66656</f>
        <v>66656</v>
      </c>
      <c r="AO42">
        <f>68650</f>
        <v>68650</v>
      </c>
      <c r="AP42">
        <f>62497</f>
        <v>62497</v>
      </c>
      <c r="AQ42">
        <f>64932</f>
        <v>64932</v>
      </c>
      <c r="AR42">
        <f>76291</f>
        <v>76291</v>
      </c>
      <c r="AS42">
        <f>41340</f>
        <v>41340</v>
      </c>
      <c r="AT42">
        <f>39569</f>
        <v>39569</v>
      </c>
      <c r="AU42">
        <f>42047.433</f>
        <v>42047.432999999997</v>
      </c>
      <c r="AV42">
        <f>41289.939</f>
        <v>41289.938999999998</v>
      </c>
      <c r="AW42">
        <f>39683.369</f>
        <v>39683.368999999999</v>
      </c>
      <c r="AX42">
        <f>41369.171</f>
        <v>41369.171000000002</v>
      </c>
      <c r="AY42">
        <f>44066.511</f>
        <v>44066.510999999999</v>
      </c>
      <c r="AZ42">
        <f>39434.519</f>
        <v>39434.519</v>
      </c>
      <c r="BA42">
        <f>35627.916</f>
        <v>35627.915999999997</v>
      </c>
      <c r="BB42">
        <f>33429.417</f>
        <v>33429.417000000001</v>
      </c>
      <c r="BC42">
        <f>32021.447</f>
        <v>32021.447</v>
      </c>
      <c r="BD42">
        <f>31147.863</f>
        <v>31147.863000000001</v>
      </c>
      <c r="BE42">
        <f>29162.475</f>
        <v>29162.474999999999</v>
      </c>
      <c r="BF42">
        <f>27258.822</f>
        <v>27258.822</v>
      </c>
      <c r="BG42">
        <f>24779.029</f>
        <v>24779.028999999999</v>
      </c>
      <c r="BH42">
        <f>22576.539</f>
        <v>22576.539000000001</v>
      </c>
      <c r="BI42">
        <f>19044.467</f>
        <v>19044.467000000001</v>
      </c>
      <c r="BJ42">
        <f>16298.012</f>
        <v>16298.012000000001</v>
      </c>
      <c r="BK42">
        <f>14212.623</f>
        <v>14212.623</v>
      </c>
      <c r="BL42">
        <f>10364.094</f>
        <v>10364.093999999999</v>
      </c>
      <c r="BM42">
        <f>9748.411</f>
        <v>9748.4110000000001</v>
      </c>
      <c r="BN42">
        <f>8049.225</f>
        <v>8049.2250000000004</v>
      </c>
      <c r="BO42">
        <f>5746.096</f>
        <v>5746.0959999999995</v>
      </c>
      <c r="BP42">
        <f>5992.442</f>
        <v>5992.442</v>
      </c>
      <c r="BQ42">
        <f>2404.875</f>
        <v>2404.875</v>
      </c>
      <c r="BR42">
        <f>1279.818</f>
        <v>1279.818</v>
      </c>
      <c r="BS42">
        <f>917.04</f>
        <v>917.04</v>
      </c>
    </row>
    <row r="43" spans="1:71" x14ac:dyDescent="0.25">
      <c r="A43" t="str">
        <f>"            US Bancorp"</f>
        <v xml:space="preserve">            US Bancorp</v>
      </c>
      <c r="B43" t="str">
        <f>"USB US Equity"</f>
        <v>USB US Equity</v>
      </c>
      <c r="C43" t="str">
        <f t="shared" si="3"/>
        <v>FC004</v>
      </c>
      <c r="D43" t="str">
        <f t="shared" si="4"/>
        <v>FDIC_FAM_RESIDENT_LOANS</v>
      </c>
      <c r="E43" t="str">
        <f t="shared" si="5"/>
        <v>Dynamic</v>
      </c>
      <c r="F43">
        <f ca="1">IF(AND(ISNUMBER($F$465),$B$427=1),$F$465,HLOOKUP(INDIRECT(ADDRESS(2,COLUMN())),OFFSET($AM$2,0,0,ROW()-1,33),ROW()-1,FALSE))</f>
        <v>134629</v>
      </c>
      <c r="G43">
        <f ca="1">IF(AND(ISNUMBER($G$465),$B$427=1),$G$465,HLOOKUP(INDIRECT(ADDRESS(2,COLUMN())),OFFSET($AM$2,0,0,ROW()-1,33),ROW()-1,FALSE))</f>
        <v>130597</v>
      </c>
      <c r="H43">
        <f ca="1">IF(AND(ISNUMBER($H$465),$B$427=1),$H$465,HLOOKUP(INDIRECT(ADDRESS(2,COLUMN())),OFFSET($AM$2,0,0,ROW()-1,33),ROW()-1,FALSE))</f>
        <v>130580</v>
      </c>
      <c r="I43">
        <f ca="1">IF(AND(ISNUMBER($I$465),$B$427=1),$I$465,HLOOKUP(INDIRECT(ADDRESS(2,COLUMN())),OFFSET($AM$2,0,0,ROW()-1,33),ROW()-1,FALSE))</f>
        <v>93562</v>
      </c>
      <c r="J43">
        <f ca="1">IF(AND(ISNUMBER($J$465),$B$427=1),$J$465,HLOOKUP(INDIRECT(ADDRESS(2,COLUMN())),OFFSET($AM$2,0,0,ROW()-1,33),ROW()-1,FALSE))</f>
        <v>97151</v>
      </c>
      <c r="K43">
        <f ca="1">IF(AND(ISNUMBER($K$465),$B$427=1),$K$465,HLOOKUP(INDIRECT(ADDRESS(2,COLUMN())),OFFSET($AM$2,0,0,ROW()-1,33),ROW()-1,FALSE))</f>
        <v>91183</v>
      </c>
      <c r="L43">
        <f ca="1">IF(AND(ISNUMBER($L$465),$B$427=1),$L$465,HLOOKUP(INDIRECT(ADDRESS(2,COLUMN())),OFFSET($AM$2,0,0,ROW()-1,33),ROW()-1,FALSE))</f>
        <v>83191</v>
      </c>
      <c r="M43">
        <f ca="1">IF(AND(ISNUMBER($M$465),$B$427=1),$M$465,HLOOKUP(INDIRECT(ADDRESS(2,COLUMN())),OFFSET($AM$2,0,0,ROW()-1,33),ROW()-1,FALSE))</f>
        <v>82207</v>
      </c>
      <c r="N43">
        <f ca="1">IF(AND(ISNUMBER($N$465),$B$427=1),$N$465,HLOOKUP(INDIRECT(ADDRESS(2,COLUMN())),OFFSET($AM$2,0,0,ROW()-1,33),ROW()-1,FALSE))</f>
        <v>81497</v>
      </c>
      <c r="O43">
        <f ca="1">IF(AND(ISNUMBER($O$465),$B$427=1),$O$465,HLOOKUP(INDIRECT(ADDRESS(2,COLUMN())),OFFSET($AM$2,0,0,ROW()-1,33),ROW()-1,FALSE))</f>
        <v>76554</v>
      </c>
      <c r="P43">
        <f ca="1">IF(AND(ISNUMBER($P$465),$B$427=1),$P$465,HLOOKUP(INDIRECT(ADDRESS(2,COLUMN())),OFFSET($AM$2,0,0,ROW()-1,33),ROW()-1,FALSE))</f>
        <v>76415</v>
      </c>
      <c r="Q43">
        <f ca="1">IF(AND(ISNUMBER($Q$465),$B$427=1),$Q$465,HLOOKUP(INDIRECT(ADDRESS(2,COLUMN())),OFFSET($AM$2,0,0,ROW()-1,33),ROW()-1,FALSE))</f>
        <v>74454</v>
      </c>
      <c r="R43">
        <f ca="1">IF(AND(ISNUMBER($R$465),$B$427=1),$R$465,HLOOKUP(INDIRECT(ADDRESS(2,COLUMN())),OFFSET($AM$2,0,0,ROW()-1,33),ROW()-1,FALSE))</f>
        <v>74563</v>
      </c>
      <c r="S43">
        <f ca="1">IF(AND(ISNUMBER($S$465),$B$427=1),$S$465,HLOOKUP(INDIRECT(ADDRESS(2,COLUMN())),OFFSET($AM$2,0,0,ROW()-1,33),ROW()-1,FALSE))</f>
        <v>68198</v>
      </c>
      <c r="T43">
        <f ca="1">IF(AND(ISNUMBER($T$465),$B$427=1),$T$465,HLOOKUP(INDIRECT(ADDRESS(2,COLUMN())),OFFSET($AM$2,0,0,ROW()-1,33),ROW()-1,FALSE))</f>
        <v>64138</v>
      </c>
      <c r="U43">
        <f ca="1">IF(AND(ISNUMBER($U$465),$B$427=1),$U$465,HLOOKUP(INDIRECT(ADDRESS(2,COLUMN())),OFFSET($AM$2,0,0,ROW()-1,33),ROW()-1,FALSE))</f>
        <v>57463</v>
      </c>
      <c r="V43">
        <f ca="1">IF(AND(ISNUMBER($V$465),$B$427=1),$V$465,HLOOKUP(INDIRECT(ADDRESS(2,COLUMN())),OFFSET($AM$2,0,0,ROW()-1,33),ROW()-1,FALSE))</f>
        <v>53283</v>
      </c>
      <c r="W43">
        <f ca="1">IF(AND(ISNUMBER($W$465),$B$427=1),$W$465,HLOOKUP(INDIRECT(ADDRESS(2,COLUMN())),OFFSET($AM$2,0,0,ROW()-1,33),ROW()-1,FALSE))</f>
        <v>42504</v>
      </c>
      <c r="X43">
        <f ca="1">IF(AND(ISNUMBER($X$465),$B$427=1),$X$465,HLOOKUP(INDIRECT(ADDRESS(2,COLUMN())),OFFSET($AM$2,0,0,ROW()-1,33),ROW()-1,FALSE))</f>
        <v>38579</v>
      </c>
      <c r="Y43">
        <f ca="1">IF(AND(ISNUMBER($Y$465),$B$427=1),$Y$465,HLOOKUP(INDIRECT(ADDRESS(2,COLUMN())),OFFSET($AM$2,0,0,ROW()-1,33),ROW()-1,FALSE))</f>
        <v>37395</v>
      </c>
      <c r="Z43">
        <f ca="1">IF(AND(ISNUMBER($Z$465),$B$427=1),$Z$465,HLOOKUP(INDIRECT(ADDRESS(2,COLUMN())),OFFSET($AM$2,0,0,ROW()-1,33),ROW()-1,FALSE))</f>
        <v>31657</v>
      </c>
      <c r="AA43">
        <f ca="1">IF(AND(ISNUMBER($AA$465),$B$427=1),$AA$465,HLOOKUP(INDIRECT(ADDRESS(2,COLUMN())),OFFSET($AM$2,0,0,ROW()-1,33),ROW()-1,FALSE))</f>
        <v>28100</v>
      </c>
      <c r="AB43">
        <f ca="1">IF(AND(ISNUMBER($AB$465),$B$427=1),$AB$465,HLOOKUP(INDIRECT(ADDRESS(2,COLUMN())),OFFSET($AM$2,0,0,ROW()-1,33),ROW()-1,FALSE))</f>
        <v>27477</v>
      </c>
      <c r="AC43">
        <f ca="1">IF(AND(ISNUMBER($AC$465),$B$427=1),$AC$465,HLOOKUP(INDIRECT(ADDRESS(2,COLUMN())),OFFSET($AM$2,0,0,ROW()-1,33),ROW()-1,FALSE))</f>
        <v>22877</v>
      </c>
      <c r="AD43">
        <f ca="1">IF(AND(ISNUMBER($AD$465),$B$427=1),$AD$465,HLOOKUP(INDIRECT(ADDRESS(2,COLUMN())),OFFSET($AM$2,0,0,ROW()-1,33),ROW()-1,FALSE))</f>
        <v>11952.511</v>
      </c>
      <c r="AE43">
        <f ca="1">IF(AND(ISNUMBER($AE$465),$B$427=1),$AE$465,HLOOKUP(INDIRECT(ADDRESS(2,COLUMN())),OFFSET($AM$2,0,0,ROW()-1,33),ROW()-1,FALSE))</f>
        <v>11381.629000000001</v>
      </c>
      <c r="AF43">
        <f ca="1">IF(AND(ISNUMBER($AF$465),$B$427=1),$AF$465,HLOOKUP(INDIRECT(ADDRESS(2,COLUMN())),OFFSET($AM$2,0,0,ROW()-1,33),ROW()-1,FALSE))</f>
        <v>10670.707</v>
      </c>
      <c r="AG43">
        <f ca="1">IF(AND(ISNUMBER($AG$465),$B$427=1),$AG$465,HLOOKUP(INDIRECT(ADDRESS(2,COLUMN())),OFFSET($AM$2,0,0,ROW()-1,33),ROW()-1,FALSE))</f>
        <v>10132.031000000001</v>
      </c>
      <c r="AH43">
        <f ca="1">IF(AND(ISNUMBER($AH$465),$B$427=1),$AH$465,HLOOKUP(INDIRECT(ADDRESS(2,COLUMN())),OFFSET($AM$2,0,0,ROW()-1,33),ROW()-1,FALSE))</f>
        <v>6392.826</v>
      </c>
      <c r="AI43">
        <f ca="1">IF(AND(ISNUMBER($AI$465),$B$427=1),$AI$465,HLOOKUP(INDIRECT(ADDRESS(2,COLUMN())),OFFSET($AM$2,0,0,ROW()-1,33),ROW()-1,FALSE))</f>
        <v>7735.835</v>
      </c>
      <c r="AJ43">
        <f ca="1">IF(AND(ISNUMBER($AJ$465),$B$427=1),$AJ$465,HLOOKUP(INDIRECT(ADDRESS(2,COLUMN())),OFFSET($AM$2,0,0,ROW()-1,33),ROW()-1,FALSE))</f>
        <v>4640.1220000000003</v>
      </c>
      <c r="AK43">
        <f ca="1">IF(AND(ISNUMBER($AK$465),$B$427=1),$AK$465,HLOOKUP(INDIRECT(ADDRESS(2,COLUMN())),OFFSET($AM$2,0,0,ROW()-1,33),ROW()-1,FALSE))</f>
        <v>5256.4709999999995</v>
      </c>
      <c r="AL43">
        <f ca="1">IF(AND(ISNUMBER($AL$465),$B$427=1),$AL$465,HLOOKUP(INDIRECT(ADDRESS(2,COLUMN())),OFFSET($AM$2,0,0,ROW()-1,33),ROW()-1,FALSE))</f>
        <v>4144.28</v>
      </c>
      <c r="AM43">
        <f>134629</f>
        <v>134629</v>
      </c>
      <c r="AN43">
        <f>130597</f>
        <v>130597</v>
      </c>
      <c r="AO43">
        <f>130580</f>
        <v>130580</v>
      </c>
      <c r="AP43">
        <f>93562</f>
        <v>93562</v>
      </c>
      <c r="AQ43">
        <f>97151</f>
        <v>97151</v>
      </c>
      <c r="AR43">
        <f>91183</f>
        <v>91183</v>
      </c>
      <c r="AS43">
        <f>83191</f>
        <v>83191</v>
      </c>
      <c r="AT43">
        <f>82207</f>
        <v>82207</v>
      </c>
      <c r="AU43">
        <f>81497</f>
        <v>81497</v>
      </c>
      <c r="AV43">
        <f>76554</f>
        <v>76554</v>
      </c>
      <c r="AW43">
        <f>76415</f>
        <v>76415</v>
      </c>
      <c r="AX43">
        <f>74454</f>
        <v>74454</v>
      </c>
      <c r="AY43">
        <f>74563</f>
        <v>74563</v>
      </c>
      <c r="AZ43">
        <f>68198</f>
        <v>68198</v>
      </c>
      <c r="BA43">
        <f>64138</f>
        <v>64138</v>
      </c>
      <c r="BB43">
        <f>57463</f>
        <v>57463</v>
      </c>
      <c r="BC43">
        <f>53283</f>
        <v>53283</v>
      </c>
      <c r="BD43">
        <f>42504</f>
        <v>42504</v>
      </c>
      <c r="BE43">
        <f>38579</f>
        <v>38579</v>
      </c>
      <c r="BF43">
        <f>37395</f>
        <v>37395</v>
      </c>
      <c r="BG43">
        <f>31657</f>
        <v>31657</v>
      </c>
      <c r="BH43">
        <f>28100</f>
        <v>28100</v>
      </c>
      <c r="BI43">
        <f>27477</f>
        <v>27477</v>
      </c>
      <c r="BJ43">
        <f>22877</f>
        <v>22877</v>
      </c>
      <c r="BK43">
        <f>11952.511</f>
        <v>11952.511</v>
      </c>
      <c r="BL43">
        <f>11381.629</f>
        <v>11381.629000000001</v>
      </c>
      <c r="BM43">
        <f>10670.707</f>
        <v>10670.707</v>
      </c>
      <c r="BN43">
        <f>10132.031</f>
        <v>10132.031000000001</v>
      </c>
      <c r="BO43">
        <f>6392.826</f>
        <v>6392.826</v>
      </c>
      <c r="BP43">
        <f>7735.835</f>
        <v>7735.835</v>
      </c>
      <c r="BQ43">
        <f>4640.122</f>
        <v>4640.1220000000003</v>
      </c>
      <c r="BR43">
        <f>5256.471</f>
        <v>5256.4709999999995</v>
      </c>
      <c r="BS43">
        <f>4144.28</f>
        <v>4144.28</v>
      </c>
    </row>
    <row r="44" spans="1:71" x14ac:dyDescent="0.25">
      <c r="A44" t="str">
        <f>"            Wells Fargo &amp; Co"</f>
        <v xml:space="preserve">            Wells Fargo &amp; Co</v>
      </c>
      <c r="B44" t="str">
        <f>"WFC US Equity"</f>
        <v>WFC US Equity</v>
      </c>
      <c r="C44" t="str">
        <f t="shared" si="3"/>
        <v>FC004</v>
      </c>
      <c r="D44" t="str">
        <f t="shared" si="4"/>
        <v>FDIC_FAM_RESIDENT_LOANS</v>
      </c>
      <c r="E44" t="str">
        <f t="shared" si="5"/>
        <v>Dynamic</v>
      </c>
      <c r="F44">
        <f ca="1">IF(AND(ISNUMBER($F$466),$B$427=1),$F$466,HLOOKUP(INDIRECT(ADDRESS(2,COLUMN())),OFFSET($AM$2,0,0,ROW()-1,33),ROW()-1,FALSE))</f>
        <v>252219</v>
      </c>
      <c r="G44">
        <f ca="1">IF(AND(ISNUMBER($G$466),$B$427=1),$G$466,HLOOKUP(INDIRECT(ADDRESS(2,COLUMN())),OFFSET($AM$2,0,0,ROW()-1,33),ROW()-1,FALSE))</f>
        <v>262339</v>
      </c>
      <c r="H44">
        <f ca="1">IF(AND(ISNUMBER($H$466),$B$427=1),$H$466,HLOOKUP(INDIRECT(ADDRESS(2,COLUMN())),OFFSET($AM$2,0,0,ROW()-1,33),ROW()-1,FALSE))</f>
        <v>273305</v>
      </c>
      <c r="I44">
        <f ca="1">IF(AND(ISNUMBER($I$466),$B$427=1),$I$466,HLOOKUP(INDIRECT(ADDRESS(2,COLUMN())),OFFSET($AM$2,0,0,ROW()-1,33),ROW()-1,FALSE))</f>
        <v>276320</v>
      </c>
      <c r="J44">
        <f ca="1">IF(AND(ISNUMBER($J$466),$B$427=1),$J$466,HLOOKUP(INDIRECT(ADDRESS(2,COLUMN())),OFFSET($AM$2,0,0,ROW()-1,33),ROW()-1,FALSE))</f>
        <v>323461</v>
      </c>
      <c r="K44">
        <f ca="1">IF(AND(ISNUMBER($K$466),$B$427=1),$K$466,HLOOKUP(INDIRECT(ADDRESS(2,COLUMN())),OFFSET($AM$2,0,0,ROW()-1,33),ROW()-1,FALSE))</f>
        <v>344353</v>
      </c>
      <c r="L44">
        <f ca="1">IF(AND(ISNUMBER($L$466),$B$427=1),$L$466,HLOOKUP(INDIRECT(ADDRESS(2,COLUMN())),OFFSET($AM$2,0,0,ROW()-1,33),ROW()-1,FALSE))</f>
        <v>336206</v>
      </c>
      <c r="M44">
        <f ca="1">IF(AND(ISNUMBER($M$466),$B$427=1),$M$466,HLOOKUP(INDIRECT(ADDRESS(2,COLUMN())),OFFSET($AM$2,0,0,ROW()-1,33),ROW()-1,FALSE))</f>
        <v>345462</v>
      </c>
      <c r="N44">
        <f ca="1">IF(AND(ISNUMBER($N$466),$B$427=1),$N$466,HLOOKUP(INDIRECT(ADDRESS(2,COLUMN())),OFFSET($AM$2,0,0,ROW()-1,33),ROW()-1,FALSE))</f>
        <v>350772</v>
      </c>
      <c r="O44">
        <f ca="1">IF(AND(ISNUMBER($O$466),$B$427=1),$O$466,HLOOKUP(INDIRECT(ADDRESS(2,COLUMN())),OFFSET($AM$2,0,0,ROW()-1,33),ROW()-1,FALSE))</f>
        <v>345726</v>
      </c>
      <c r="P44">
        <f ca="1">IF(AND(ISNUMBER($P$466),$B$427=1),$P$466,HLOOKUP(INDIRECT(ADDRESS(2,COLUMN())),OFFSET($AM$2,0,0,ROW()-1,33),ROW()-1,FALSE))</f>
        <v>345713</v>
      </c>
      <c r="Q44">
        <f ca="1">IF(AND(ISNUMBER($Q$466),$B$427=1),$Q$466,HLOOKUP(INDIRECT(ADDRESS(2,COLUMN())),OFFSET($AM$2,0,0,ROW()-1,33),ROW()-1,FALSE))</f>
        <v>341771</v>
      </c>
      <c r="R44">
        <f ca="1">IF(AND(ISNUMBER($R$466),$B$427=1),$R$466,HLOOKUP(INDIRECT(ADDRESS(2,COLUMN())),OFFSET($AM$2,0,0,ROW()-1,33),ROW()-1,FALSE))</f>
        <v>369429</v>
      </c>
      <c r="S44">
        <f ca="1">IF(AND(ISNUMBER($S$466),$B$427=1),$S$466,HLOOKUP(INDIRECT(ADDRESS(2,COLUMN())),OFFSET($AM$2,0,0,ROW()-1,33),ROW()-1,FALSE))</f>
        <v>361071</v>
      </c>
      <c r="T44">
        <f ca="1">IF(AND(ISNUMBER($T$466),$B$427=1),$T$466,HLOOKUP(INDIRECT(ADDRESS(2,COLUMN())),OFFSET($AM$2,0,0,ROW()-1,33),ROW()-1,FALSE))</f>
        <v>374671</v>
      </c>
      <c r="U44">
        <f ca="1">IF(AND(ISNUMBER($U$466),$B$427=1),$U$466,HLOOKUP(INDIRECT(ADDRESS(2,COLUMN())),OFFSET($AM$2,0,0,ROW()-1,33),ROW()-1,FALSE))</f>
        <v>370769</v>
      </c>
      <c r="V44">
        <f ca="1">IF(AND(ISNUMBER($V$466),$B$427=1),$V$466,HLOOKUP(INDIRECT(ADDRESS(2,COLUMN())),OFFSET($AM$2,0,0,ROW()-1,33),ROW()-1,FALSE))</f>
        <v>378459</v>
      </c>
      <c r="W44">
        <f ca="1">IF(AND(ISNUMBER($W$466),$B$427=1),$W$466,HLOOKUP(INDIRECT(ADDRESS(2,COLUMN())),OFFSET($AM$2,0,0,ROW()-1,33),ROW()-1,FALSE))</f>
        <v>173392</v>
      </c>
      <c r="X44">
        <f ca="1">IF(AND(ISNUMBER($X$466),$B$427=1),$X$466,HLOOKUP(INDIRECT(ADDRESS(2,COLUMN())),OFFSET($AM$2,0,0,ROW()-1,33),ROW()-1,FALSE))</f>
        <v>154759</v>
      </c>
      <c r="Y44">
        <f ca="1">IF(AND(ISNUMBER($Y$466),$B$427=1),$Y$466,HLOOKUP(INDIRECT(ADDRESS(2,COLUMN())),OFFSET($AM$2,0,0,ROW()-1,33),ROW()-1,FALSE))</f>
        <v>177209</v>
      </c>
      <c r="Z44">
        <f ca="1">IF(AND(ISNUMBER($Z$466),$B$427=1),$Z$466,HLOOKUP(INDIRECT(ADDRESS(2,COLUMN())),OFFSET($AM$2,0,0,ROW()-1,33),ROW()-1,FALSE))</f>
        <v>169205</v>
      </c>
      <c r="AA44">
        <f ca="1">IF(AND(ISNUMBER($AA$466),$B$427=1),$AA$466,HLOOKUP(INDIRECT(ADDRESS(2,COLUMN())),OFFSET($AM$2,0,0,ROW()-1,33),ROW()-1,FALSE))</f>
        <v>148772</v>
      </c>
      <c r="AB44">
        <f ca="1">IF(AND(ISNUMBER($AB$466),$B$427=1),$AB$466,HLOOKUP(INDIRECT(ADDRESS(2,COLUMN())),OFFSET($AM$2,0,0,ROW()-1,33),ROW()-1,FALSE))</f>
        <v>123361</v>
      </c>
      <c r="AC44">
        <f ca="1">IF(AND(ISNUMBER($AC$466),$B$427=1),$AC$466,HLOOKUP(INDIRECT(ADDRESS(2,COLUMN())),OFFSET($AM$2,0,0,ROW()-1,33),ROW()-1,FALSE))</f>
        <v>81525</v>
      </c>
      <c r="AD44">
        <f ca="1">IF(AND(ISNUMBER($AD$466),$B$427=1),$AD$466,HLOOKUP(INDIRECT(ADDRESS(2,COLUMN())),OFFSET($AM$2,0,0,ROW()-1,33),ROW()-1,FALSE))</f>
        <v>46173.819000000003</v>
      </c>
      <c r="AE44">
        <f ca="1">IF(AND(ISNUMBER($AE$466),$B$427=1),$AE$466,HLOOKUP(INDIRECT(ADDRESS(2,COLUMN())),OFFSET($AM$2,0,0,ROW()-1,33),ROW()-1,FALSE))</f>
        <v>33341.214</v>
      </c>
      <c r="AF44">
        <f ca="1">IF(AND(ISNUMBER($AF$466),$B$427=1),$AF$466,HLOOKUP(INDIRECT(ADDRESS(2,COLUMN())),OFFSET($AM$2,0,0,ROW()-1,33),ROW()-1,FALSE))</f>
        <v>36147.646999999997</v>
      </c>
      <c r="AG44">
        <f ca="1">IF(AND(ISNUMBER($AG$466),$B$427=1),$AG$466,HLOOKUP(INDIRECT(ADDRESS(2,COLUMN())),OFFSET($AM$2,0,0,ROW()-1,33),ROW()-1,FALSE))</f>
        <v>15047.531000000001</v>
      </c>
      <c r="AH44">
        <f ca="1">IF(AND(ISNUMBER($AH$466),$B$427=1),$AH$466,HLOOKUP(INDIRECT(ADDRESS(2,COLUMN())),OFFSET($AM$2,0,0,ROW()-1,33),ROW()-1,FALSE))</f>
        <v>12164.351000000001</v>
      </c>
      <c r="AI44">
        <f ca="1">IF(AND(ISNUMBER($AI$466),$B$427=1),$AI$466,HLOOKUP(INDIRECT(ADDRESS(2,COLUMN())),OFFSET($AM$2,0,0,ROW()-1,33),ROW()-1,FALSE))</f>
        <v>10443.56</v>
      </c>
      <c r="AJ44">
        <f ca="1">IF(AND(ISNUMBER($AJ$466),$B$427=1),$AJ$466,HLOOKUP(INDIRECT(ADDRESS(2,COLUMN())),OFFSET($AM$2,0,0,ROW()-1,33),ROW()-1,FALSE))</f>
        <v>8512.8439999999991</v>
      </c>
      <c r="AK44">
        <f ca="1">IF(AND(ISNUMBER($AK$466),$B$427=1),$AK$466,HLOOKUP(INDIRECT(ADDRESS(2,COLUMN())),OFFSET($AM$2,0,0,ROW()-1,33),ROW()-1,FALSE))</f>
        <v>10622.251</v>
      </c>
      <c r="AL44">
        <f ca="1">IF(AND(ISNUMBER($AL$466),$B$427=1),$AL$466,HLOOKUP(INDIRECT(ADDRESS(2,COLUMN())),OFFSET($AM$2,0,0,ROW()-1,33),ROW()-1,FALSE))</f>
        <v>8799.4979999999996</v>
      </c>
      <c r="AM44">
        <f>252219</f>
        <v>252219</v>
      </c>
      <c r="AN44">
        <f>262339</f>
        <v>262339</v>
      </c>
      <c r="AO44">
        <f>273305</f>
        <v>273305</v>
      </c>
      <c r="AP44">
        <f>276320</f>
        <v>276320</v>
      </c>
      <c r="AQ44">
        <f>323461</f>
        <v>323461</v>
      </c>
      <c r="AR44">
        <f>344353</f>
        <v>344353</v>
      </c>
      <c r="AS44">
        <f>336206</f>
        <v>336206</v>
      </c>
      <c r="AT44">
        <f>345462</f>
        <v>345462</v>
      </c>
      <c r="AU44">
        <f>350772</f>
        <v>350772</v>
      </c>
      <c r="AV44">
        <f>345726</f>
        <v>345726</v>
      </c>
      <c r="AW44">
        <f>345713</f>
        <v>345713</v>
      </c>
      <c r="AX44">
        <f>341771</f>
        <v>341771</v>
      </c>
      <c r="AY44">
        <f>369429</f>
        <v>369429</v>
      </c>
      <c r="AZ44">
        <f>361071</f>
        <v>361071</v>
      </c>
      <c r="BA44">
        <f>374671</f>
        <v>374671</v>
      </c>
      <c r="BB44">
        <f>370769</f>
        <v>370769</v>
      </c>
      <c r="BC44">
        <f>378459</f>
        <v>378459</v>
      </c>
      <c r="BD44">
        <f>173392</f>
        <v>173392</v>
      </c>
      <c r="BE44">
        <f>154759</f>
        <v>154759</v>
      </c>
      <c r="BF44">
        <f>177209</f>
        <v>177209</v>
      </c>
      <c r="BG44">
        <f>169205</f>
        <v>169205</v>
      </c>
      <c r="BH44">
        <f>148772</f>
        <v>148772</v>
      </c>
      <c r="BI44">
        <f>123361</f>
        <v>123361</v>
      </c>
      <c r="BJ44">
        <f>81525</f>
        <v>81525</v>
      </c>
      <c r="BK44">
        <f>46173.819</f>
        <v>46173.819000000003</v>
      </c>
      <c r="BL44">
        <f>33341.214</f>
        <v>33341.214</v>
      </c>
      <c r="BM44">
        <f>36147.647</f>
        <v>36147.646999999997</v>
      </c>
      <c r="BN44">
        <f>15047.531</f>
        <v>15047.531000000001</v>
      </c>
      <c r="BO44">
        <f>12164.351</f>
        <v>12164.351000000001</v>
      </c>
      <c r="BP44">
        <f>10443.56</f>
        <v>10443.56</v>
      </c>
      <c r="BQ44">
        <f>8512.844</f>
        <v>8512.8439999999991</v>
      </c>
      <c r="BR44">
        <f>10622.251</f>
        <v>10622.251</v>
      </c>
      <c r="BS44">
        <f>8799.498</f>
        <v>8799.4979999999996</v>
      </c>
    </row>
    <row r="45" spans="1:71" x14ac:dyDescent="0.25">
      <c r="A45" t="str">
        <f>"            Western Alliance Bancorp"</f>
        <v xml:space="preserve">            Western Alliance Bancorp</v>
      </c>
      <c r="B45" t="str">
        <f>"WAL US Equity"</f>
        <v>WAL US Equity</v>
      </c>
      <c r="C45" t="str">
        <f t="shared" si="3"/>
        <v>FC004</v>
      </c>
      <c r="D45" t="str">
        <f t="shared" si="4"/>
        <v>FDIC_FAM_RESIDENT_LOANS</v>
      </c>
      <c r="E45" t="str">
        <f t="shared" si="5"/>
        <v>Dynamic</v>
      </c>
      <c r="F45">
        <f ca="1">IF(AND(ISNUMBER($F$467),$B$427=1),$F$467,HLOOKUP(INDIRECT(ADDRESS(2,COLUMN())),OFFSET($AM$2,0,0,ROW()-1,33),ROW()-1,FALSE))</f>
        <v>17007.189999999999</v>
      </c>
      <c r="G45">
        <f ca="1">IF(AND(ISNUMBER($G$467),$B$427=1),$G$467,HLOOKUP(INDIRECT(ADDRESS(2,COLUMN())),OFFSET($AM$2,0,0,ROW()-1,33),ROW()-1,FALSE))</f>
        <v>16363.609</v>
      </c>
      <c r="H45">
        <f ca="1">IF(AND(ISNUMBER($H$467),$B$427=1),$H$467,HLOOKUP(INDIRECT(ADDRESS(2,COLUMN())),OFFSET($AM$2,0,0,ROW()-1,33),ROW()-1,FALSE))</f>
        <v>17636.233</v>
      </c>
      <c r="I45">
        <f ca="1">IF(AND(ISNUMBER($I$467),$B$427=1),$I$467,HLOOKUP(INDIRECT(ADDRESS(2,COLUMN())),OFFSET($AM$2,0,0,ROW()-1,33),ROW()-1,FALSE))</f>
        <v>14923.035</v>
      </c>
      <c r="J45">
        <f ca="1">IF(AND(ISNUMBER($J$467),$B$427=1),$J$467,HLOOKUP(INDIRECT(ADDRESS(2,COLUMN())),OFFSET($AM$2,0,0,ROW()-1,33),ROW()-1,FALSE))</f>
        <v>2434.596</v>
      </c>
      <c r="K45">
        <f ca="1">IF(AND(ISNUMBER($K$467),$B$427=1),$K$467,HLOOKUP(INDIRECT(ADDRESS(2,COLUMN())),OFFSET($AM$2,0,0,ROW()-1,33),ROW()-1,FALSE))</f>
        <v>2147.6640000000002</v>
      </c>
      <c r="L45">
        <f ca="1">IF(AND(ISNUMBER($L$467),$B$427=1),$L$467,HLOOKUP(INDIRECT(ADDRESS(2,COLUMN())),OFFSET($AM$2,0,0,ROW()-1,33),ROW()-1,FALSE))</f>
        <v>1204.355</v>
      </c>
      <c r="M45">
        <f ca="1">IF(AND(ISNUMBER($M$467),$B$427=1),$M$467,HLOOKUP(INDIRECT(ADDRESS(2,COLUMN())),OFFSET($AM$2,0,0,ROW()-1,33),ROW()-1,FALSE))</f>
        <v>425.94</v>
      </c>
      <c r="N45">
        <f ca="1">IF(AND(ISNUMBER($N$467),$B$427=1),$N$467,HLOOKUP(INDIRECT(ADDRESS(2,COLUMN())),OFFSET($AM$2,0,0,ROW()-1,33),ROW()-1,FALSE))</f>
        <v>259.43099999999998</v>
      </c>
      <c r="O45">
        <f ca="1">IF(AND(ISNUMBER($O$467),$B$427=1),$O$467,HLOOKUP(INDIRECT(ADDRESS(2,COLUMN())),OFFSET($AM$2,0,0,ROW()-1,33),ROW()-1,FALSE))</f>
        <v>322.93799999999999</v>
      </c>
      <c r="P45">
        <f ca="1">IF(AND(ISNUMBER($P$467),$B$427=1),$P$467,HLOOKUP(INDIRECT(ADDRESS(2,COLUMN())),OFFSET($AM$2,0,0,ROW()-1,33),ROW()-1,FALSE))</f>
        <v>299.40199999999999</v>
      </c>
      <c r="Q45">
        <f ca="1">IF(AND(ISNUMBER($Q$467),$B$427=1),$Q$467,HLOOKUP(INDIRECT(ADDRESS(2,COLUMN())),OFFSET($AM$2,0,0,ROW()-1,33),ROW()-1,FALSE))</f>
        <v>350.31299999999999</v>
      </c>
      <c r="R45">
        <f ca="1">IF(AND(ISNUMBER($R$467),$B$427=1),$R$467,HLOOKUP(INDIRECT(ADDRESS(2,COLUMN())),OFFSET($AM$2,0,0,ROW()-1,33),ROW()-1,FALSE))</f>
        <v>407.935</v>
      </c>
      <c r="S45">
        <f ca="1">IF(AND(ISNUMBER($S$467),$B$427=1),$S$467,HLOOKUP(INDIRECT(ADDRESS(2,COLUMN())),OFFSET($AM$2,0,0,ROW()-1,33),ROW()-1,FALSE))</f>
        <v>443.01900000000001</v>
      </c>
      <c r="T45">
        <f ca="1">IF(AND(ISNUMBER($T$467),$B$427=1),$T$467,HLOOKUP(INDIRECT(ADDRESS(2,COLUMN())),OFFSET($AM$2,0,0,ROW()-1,33),ROW()-1,FALSE))</f>
        <v>527.06700000000001</v>
      </c>
      <c r="U45">
        <f ca="1">IF(AND(ISNUMBER($U$467),$B$427=1),$U$467,HLOOKUP(INDIRECT(ADDRESS(2,COLUMN())),OFFSET($AM$2,0,0,ROW()-1,33),ROW()-1,FALSE))</f>
        <v>568.322</v>
      </c>
      <c r="V45">
        <f ca="1">IF(AND(ISNUMBER($V$467),$B$427=1),$V$467,HLOOKUP(INDIRECT(ADDRESS(2,COLUMN())),OFFSET($AM$2,0,0,ROW()-1,33),ROW()-1,FALSE))</f>
        <v>580.69600000000003</v>
      </c>
      <c r="W45">
        <f ca="1">IF(AND(ISNUMBER($W$467),$B$427=1),$W$467,HLOOKUP(INDIRECT(ADDRESS(2,COLUMN())),OFFSET($AM$2,0,0,ROW()-1,33),ROW()-1,FALSE))</f>
        <v>494.31400000000002</v>
      </c>
      <c r="X45">
        <f ca="1">IF(AND(ISNUMBER($X$467),$B$427=1),$X$467,HLOOKUP(INDIRECT(ADDRESS(2,COLUMN())),OFFSET($AM$2,0,0,ROW()-1,33),ROW()-1,FALSE))</f>
        <v>384.11</v>
      </c>
      <c r="Y45">
        <f ca="1">IF(AND(ISNUMBER($Y$467),$B$427=1),$Y$467,HLOOKUP(INDIRECT(ADDRESS(2,COLUMN())),OFFSET($AM$2,0,0,ROW()-1,33),ROW()-1,FALSE))</f>
        <v>272.86099999999999</v>
      </c>
      <c r="Z45">
        <f ca="1">IF(AND(ISNUMBER($Z$467),$B$427=1),$Z$467,HLOOKUP(INDIRECT(ADDRESS(2,COLUMN())),OFFSET($AM$2,0,0,ROW()-1,33),ROW()-1,FALSE))</f>
        <v>116.36</v>
      </c>
      <c r="AA45">
        <f ca="1">IF(AND(ISNUMBER($AA$467),$B$427=1),$AA$467,HLOOKUP(INDIRECT(ADDRESS(2,COLUMN())),OFFSET($AM$2,0,0,ROW()-1,33),ROW()-1,FALSE))</f>
        <v>42.771999999999998</v>
      </c>
      <c r="AB45">
        <f ca="1">IF(AND(ISNUMBER($AB$467),$B$427=1),$AB$467,HLOOKUP(INDIRECT(ADDRESS(2,COLUMN())),OFFSET($AM$2,0,0,ROW()-1,33),ROW()-1,FALSE))</f>
        <v>21.893000000000001</v>
      </c>
      <c r="AC45">
        <f ca="1">IF(AND(ISNUMBER($AC$467),$B$427=1),$AC$467,HLOOKUP(INDIRECT(ADDRESS(2,COLUMN())),OFFSET($AM$2,0,0,ROW()-1,33),ROW()-1,FALSE))</f>
        <v>15.724</v>
      </c>
      <c r="AD45" t="str">
        <f ca="1">IF(AND(ISNUMBER($AD$467),$B$427=1),$AD$467,HLOOKUP(INDIRECT(ADDRESS(2,COLUMN())),OFFSET($AM$2,0,0,ROW()-1,33),ROW()-1,FALSE))</f>
        <v/>
      </c>
      <c r="AE45" t="str">
        <f ca="1">IF(AND(ISNUMBER($AE$467),$B$427=1),$AE$467,HLOOKUP(INDIRECT(ADDRESS(2,COLUMN())),OFFSET($AM$2,0,0,ROW()-1,33),ROW()-1,FALSE))</f>
        <v/>
      </c>
      <c r="AF45" t="str">
        <f ca="1">IF(AND(ISNUMBER($AF$467),$B$427=1),$AF$467,HLOOKUP(INDIRECT(ADDRESS(2,COLUMN())),OFFSET($AM$2,0,0,ROW()-1,33),ROW()-1,FALSE))</f>
        <v/>
      </c>
      <c r="AG45" t="str">
        <f ca="1">IF(AND(ISNUMBER($AG$467),$B$427=1),$AG$467,HLOOKUP(INDIRECT(ADDRESS(2,COLUMN())),OFFSET($AM$2,0,0,ROW()-1,33),ROW()-1,FALSE))</f>
        <v/>
      </c>
      <c r="AH45" t="str">
        <f ca="1">IF(AND(ISNUMBER($AH$467),$B$427=1),$AH$467,HLOOKUP(INDIRECT(ADDRESS(2,COLUMN())),OFFSET($AM$2,0,0,ROW()-1,33),ROW()-1,FALSE))</f>
        <v/>
      </c>
      <c r="AI45" t="str">
        <f ca="1">IF(AND(ISNUMBER($AI$467),$B$427=1),$AI$467,HLOOKUP(INDIRECT(ADDRESS(2,COLUMN())),OFFSET($AM$2,0,0,ROW()-1,33),ROW()-1,FALSE))</f>
        <v/>
      </c>
      <c r="AJ45" t="str">
        <f ca="1">IF(AND(ISNUMBER($AJ$467),$B$427=1),$AJ$467,HLOOKUP(INDIRECT(ADDRESS(2,COLUMN())),OFFSET($AM$2,0,0,ROW()-1,33),ROW()-1,FALSE))</f>
        <v/>
      </c>
      <c r="AK45" t="str">
        <f ca="1">IF(AND(ISNUMBER($AK$467),$B$427=1),$AK$467,HLOOKUP(INDIRECT(ADDRESS(2,COLUMN())),OFFSET($AM$2,0,0,ROW()-1,33),ROW()-1,FALSE))</f>
        <v/>
      </c>
      <c r="AL45" t="str">
        <f ca="1">IF(AND(ISNUMBER($AL$467),$B$427=1),$AL$467,HLOOKUP(INDIRECT(ADDRESS(2,COLUMN())),OFFSET($AM$2,0,0,ROW()-1,33),ROW()-1,FALSE))</f>
        <v/>
      </c>
      <c r="AM45">
        <f>17007.19</f>
        <v>17007.189999999999</v>
      </c>
      <c r="AN45">
        <f>16363.609</f>
        <v>16363.609</v>
      </c>
      <c r="AO45">
        <f>17636.233</f>
        <v>17636.233</v>
      </c>
      <c r="AP45">
        <f>14923.035</f>
        <v>14923.035</v>
      </c>
      <c r="AQ45">
        <f>2434.596</f>
        <v>2434.596</v>
      </c>
      <c r="AR45">
        <f>2147.664</f>
        <v>2147.6640000000002</v>
      </c>
      <c r="AS45">
        <f>1204.355</f>
        <v>1204.355</v>
      </c>
      <c r="AT45">
        <f>425.94</f>
        <v>425.94</v>
      </c>
      <c r="AU45">
        <f>259.431</f>
        <v>259.43099999999998</v>
      </c>
      <c r="AV45">
        <f>322.938</f>
        <v>322.93799999999999</v>
      </c>
      <c r="AW45">
        <f>299.402</f>
        <v>299.40199999999999</v>
      </c>
      <c r="AX45">
        <f>350.313</f>
        <v>350.31299999999999</v>
      </c>
      <c r="AY45">
        <f>407.935</f>
        <v>407.935</v>
      </c>
      <c r="AZ45">
        <f>443.019</f>
        <v>443.01900000000001</v>
      </c>
      <c r="BA45">
        <f>527.067</f>
        <v>527.06700000000001</v>
      </c>
      <c r="BB45">
        <f>568.322</f>
        <v>568.322</v>
      </c>
      <c r="BC45">
        <f>580.696</f>
        <v>580.69600000000003</v>
      </c>
      <c r="BD45">
        <f>494.314</f>
        <v>494.31400000000002</v>
      </c>
      <c r="BE45">
        <f>384.11</f>
        <v>384.11</v>
      </c>
      <c r="BF45">
        <f>272.861</f>
        <v>272.86099999999999</v>
      </c>
      <c r="BG45">
        <f>116.36</f>
        <v>116.36</v>
      </c>
      <c r="BH45">
        <f>42.772</f>
        <v>42.771999999999998</v>
      </c>
      <c r="BI45">
        <f>21.893</f>
        <v>21.893000000000001</v>
      </c>
      <c r="BJ45">
        <f>15.724</f>
        <v>15.724</v>
      </c>
      <c r="BK45" t="str">
        <f>""</f>
        <v/>
      </c>
      <c r="BL45" t="str">
        <f>""</f>
        <v/>
      </c>
      <c r="BM45" t="str">
        <f>""</f>
        <v/>
      </c>
      <c r="BN45" t="str">
        <f>""</f>
        <v/>
      </c>
      <c r="BO45" t="str">
        <f>""</f>
        <v/>
      </c>
      <c r="BP45" t="str">
        <f>""</f>
        <v/>
      </c>
      <c r="BQ45" t="str">
        <f>""</f>
        <v/>
      </c>
      <c r="BR45" t="str">
        <f>""</f>
        <v/>
      </c>
      <c r="BS45" t="str">
        <f>""</f>
        <v/>
      </c>
    </row>
    <row r="46" spans="1:71" x14ac:dyDescent="0.25">
      <c r="A46" t="str">
        <f>"            Zions Bancorp NA"</f>
        <v xml:space="preserve">            Zions Bancorp NA</v>
      </c>
      <c r="B46" t="str">
        <f>"ZION US Equity"</f>
        <v>ZION US Equity</v>
      </c>
      <c r="C46" t="str">
        <f t="shared" si="3"/>
        <v>FC004</v>
      </c>
      <c r="D46" t="str">
        <f t="shared" si="4"/>
        <v>FDIC_FAM_RESIDENT_LOANS</v>
      </c>
      <c r="E46" t="str">
        <f t="shared" si="5"/>
        <v>Dynamic</v>
      </c>
      <c r="F46" t="str">
        <f ca="1">IF(AND(ISNUMBER($F$468),$B$427=1),$F$468,HLOOKUP(INDIRECT(ADDRESS(2,COLUMN())),OFFSET($AM$2,0,0,ROW()-1,33),ROW()-1,FALSE))</f>
        <v/>
      </c>
      <c r="G46">
        <f ca="1">IF(AND(ISNUMBER($G$468),$B$427=1),$G$468,HLOOKUP(INDIRECT(ADDRESS(2,COLUMN())),OFFSET($AM$2,0,0,ROW()-1,33),ROW()-1,FALSE))</f>
        <v>12195.65</v>
      </c>
      <c r="H46">
        <f ca="1">IF(AND(ISNUMBER($H$468),$B$427=1),$H$468,HLOOKUP(INDIRECT(ADDRESS(2,COLUMN())),OFFSET($AM$2,0,0,ROW()-1,33),ROW()-1,FALSE))</f>
        <v>11092.897000000001</v>
      </c>
      <c r="I46">
        <f ca="1">IF(AND(ISNUMBER($I$468),$B$427=1),$I$468,HLOOKUP(INDIRECT(ADDRESS(2,COLUMN())),OFFSET($AM$2,0,0,ROW()-1,33),ROW()-1,FALSE))</f>
        <v>9487.3700000000008</v>
      </c>
      <c r="J46" t="str">
        <f ca="1">IF(AND(ISNUMBER($J$468),$B$427=1),$J$468,HLOOKUP(INDIRECT(ADDRESS(2,COLUMN())),OFFSET($AM$2,0,0,ROW()-1,33),ROW()-1,FALSE))</f>
        <v/>
      </c>
      <c r="K46" t="str">
        <f ca="1">IF(AND(ISNUMBER($K$468),$B$427=1),$K$468,HLOOKUP(INDIRECT(ADDRESS(2,COLUMN())),OFFSET($AM$2,0,0,ROW()-1,33),ROW()-1,FALSE))</f>
        <v/>
      </c>
      <c r="L46" t="str">
        <f ca="1">IF(AND(ISNUMBER($L$468),$B$427=1),$L$468,HLOOKUP(INDIRECT(ADDRESS(2,COLUMN())),OFFSET($AM$2,0,0,ROW()-1,33),ROW()-1,FALSE))</f>
        <v/>
      </c>
      <c r="M46" t="str">
        <f ca="1">IF(AND(ISNUMBER($M$468),$B$427=1),$M$468,HLOOKUP(INDIRECT(ADDRESS(2,COLUMN())),OFFSET($AM$2,0,0,ROW()-1,33),ROW()-1,FALSE))</f>
        <v/>
      </c>
      <c r="N46" t="str">
        <f ca="1">IF(AND(ISNUMBER($N$468),$B$427=1),$N$468,HLOOKUP(INDIRECT(ADDRESS(2,COLUMN())),OFFSET($AM$2,0,0,ROW()-1,33),ROW()-1,FALSE))</f>
        <v/>
      </c>
      <c r="O46" t="str">
        <f ca="1">IF(AND(ISNUMBER($O$468),$B$427=1),$O$468,HLOOKUP(INDIRECT(ADDRESS(2,COLUMN())),OFFSET($AM$2,0,0,ROW()-1,33),ROW()-1,FALSE))</f>
        <v/>
      </c>
      <c r="P46" t="str">
        <f ca="1">IF(AND(ISNUMBER($P$468),$B$427=1),$P$468,HLOOKUP(INDIRECT(ADDRESS(2,COLUMN())),OFFSET($AM$2,0,0,ROW()-1,33),ROW()-1,FALSE))</f>
        <v/>
      </c>
      <c r="Q46" t="str">
        <f ca="1">IF(AND(ISNUMBER($Q$468),$B$427=1),$Q$468,HLOOKUP(INDIRECT(ADDRESS(2,COLUMN())),OFFSET($AM$2,0,0,ROW()-1,33),ROW()-1,FALSE))</f>
        <v/>
      </c>
      <c r="R46" t="str">
        <f ca="1">IF(AND(ISNUMBER($R$468),$B$427=1),$R$468,HLOOKUP(INDIRECT(ADDRESS(2,COLUMN())),OFFSET($AM$2,0,0,ROW()-1,33),ROW()-1,FALSE))</f>
        <v/>
      </c>
      <c r="S46" t="str">
        <f ca="1">IF(AND(ISNUMBER($S$468),$B$427=1),$S$468,HLOOKUP(INDIRECT(ADDRESS(2,COLUMN())),OFFSET($AM$2,0,0,ROW()-1,33),ROW()-1,FALSE))</f>
        <v/>
      </c>
      <c r="T46" t="str">
        <f ca="1">IF(AND(ISNUMBER($T$468),$B$427=1),$T$468,HLOOKUP(INDIRECT(ADDRESS(2,COLUMN())),OFFSET($AM$2,0,0,ROW()-1,33),ROW()-1,FALSE))</f>
        <v/>
      </c>
      <c r="U46" t="str">
        <f ca="1">IF(AND(ISNUMBER($U$468),$B$427=1),$U$468,HLOOKUP(INDIRECT(ADDRESS(2,COLUMN())),OFFSET($AM$2,0,0,ROW()-1,33),ROW()-1,FALSE))</f>
        <v/>
      </c>
      <c r="V46" t="str">
        <f ca="1">IF(AND(ISNUMBER($V$468),$B$427=1),$V$468,HLOOKUP(INDIRECT(ADDRESS(2,COLUMN())),OFFSET($AM$2,0,0,ROW()-1,33),ROW()-1,FALSE))</f>
        <v/>
      </c>
      <c r="W46" t="str">
        <f ca="1">IF(AND(ISNUMBER($W$468),$B$427=1),$W$468,HLOOKUP(INDIRECT(ADDRESS(2,COLUMN())),OFFSET($AM$2,0,0,ROW()-1,33),ROW()-1,FALSE))</f>
        <v/>
      </c>
      <c r="X46" t="str">
        <f ca="1">IF(AND(ISNUMBER($X$468),$B$427=1),$X$468,HLOOKUP(INDIRECT(ADDRESS(2,COLUMN())),OFFSET($AM$2,0,0,ROW()-1,33),ROW()-1,FALSE))</f>
        <v/>
      </c>
      <c r="Y46" t="str">
        <f ca="1">IF(AND(ISNUMBER($Y$468),$B$427=1),$Y$468,HLOOKUP(INDIRECT(ADDRESS(2,COLUMN())),OFFSET($AM$2,0,0,ROW()-1,33),ROW()-1,FALSE))</f>
        <v/>
      </c>
      <c r="Z46" t="str">
        <f ca="1">IF(AND(ISNUMBER($Z$468),$B$427=1),$Z$468,HLOOKUP(INDIRECT(ADDRESS(2,COLUMN())),OFFSET($AM$2,0,0,ROW()-1,33),ROW()-1,FALSE))</f>
        <v/>
      </c>
      <c r="AA46" t="str">
        <f ca="1">IF(AND(ISNUMBER($AA$468),$B$427=1),$AA$468,HLOOKUP(INDIRECT(ADDRESS(2,COLUMN())),OFFSET($AM$2,0,0,ROW()-1,33),ROW()-1,FALSE))</f>
        <v/>
      </c>
      <c r="AB46" t="str">
        <f ca="1">IF(AND(ISNUMBER($AB$468),$B$427=1),$AB$468,HLOOKUP(INDIRECT(ADDRESS(2,COLUMN())),OFFSET($AM$2,0,0,ROW()-1,33),ROW()-1,FALSE))</f>
        <v/>
      </c>
      <c r="AC46" t="str">
        <f ca="1">IF(AND(ISNUMBER($AC$468),$B$427=1),$AC$468,HLOOKUP(INDIRECT(ADDRESS(2,COLUMN())),OFFSET($AM$2,0,0,ROW()-1,33),ROW()-1,FALSE))</f>
        <v/>
      </c>
      <c r="AD46" t="str">
        <f ca="1">IF(AND(ISNUMBER($AD$468),$B$427=1),$AD$468,HLOOKUP(INDIRECT(ADDRESS(2,COLUMN())),OFFSET($AM$2,0,0,ROW()-1,33),ROW()-1,FALSE))</f>
        <v/>
      </c>
      <c r="AE46" t="str">
        <f ca="1">IF(AND(ISNUMBER($AE$468),$B$427=1),$AE$468,HLOOKUP(INDIRECT(ADDRESS(2,COLUMN())),OFFSET($AM$2,0,0,ROW()-1,33),ROW()-1,FALSE))</f>
        <v/>
      </c>
      <c r="AF46" t="str">
        <f ca="1">IF(AND(ISNUMBER($AF$468),$B$427=1),$AF$468,HLOOKUP(INDIRECT(ADDRESS(2,COLUMN())),OFFSET($AM$2,0,0,ROW()-1,33),ROW()-1,FALSE))</f>
        <v/>
      </c>
      <c r="AG46" t="str">
        <f ca="1">IF(AND(ISNUMBER($AG$468),$B$427=1),$AG$468,HLOOKUP(INDIRECT(ADDRESS(2,COLUMN())),OFFSET($AM$2,0,0,ROW()-1,33),ROW()-1,FALSE))</f>
        <v/>
      </c>
      <c r="AH46" t="str">
        <f ca="1">IF(AND(ISNUMBER($AH$468),$B$427=1),$AH$468,HLOOKUP(INDIRECT(ADDRESS(2,COLUMN())),OFFSET($AM$2,0,0,ROW()-1,33),ROW()-1,FALSE))</f>
        <v/>
      </c>
      <c r="AI46" t="str">
        <f ca="1">IF(AND(ISNUMBER($AI$468),$B$427=1),$AI$468,HLOOKUP(INDIRECT(ADDRESS(2,COLUMN())),OFFSET($AM$2,0,0,ROW()-1,33),ROW()-1,FALSE))</f>
        <v/>
      </c>
      <c r="AJ46" t="str">
        <f ca="1">IF(AND(ISNUMBER($AJ$468),$B$427=1),$AJ$468,HLOOKUP(INDIRECT(ADDRESS(2,COLUMN())),OFFSET($AM$2,0,0,ROW()-1,33),ROW()-1,FALSE))</f>
        <v/>
      </c>
      <c r="AK46" t="str">
        <f ca="1">IF(AND(ISNUMBER($AK$468),$B$427=1),$AK$468,HLOOKUP(INDIRECT(ADDRESS(2,COLUMN())),OFFSET($AM$2,0,0,ROW()-1,33),ROW()-1,FALSE))</f>
        <v/>
      </c>
      <c r="AL46" t="str">
        <f ca="1">IF(AND(ISNUMBER($AL$468),$B$427=1),$AL$468,HLOOKUP(INDIRECT(ADDRESS(2,COLUMN())),OFFSET($AM$2,0,0,ROW()-1,33),ROW()-1,FALSE))</f>
        <v/>
      </c>
      <c r="AM46" t="str">
        <f>""</f>
        <v/>
      </c>
      <c r="AN46">
        <f>12195.65</f>
        <v>12195.65</v>
      </c>
      <c r="AO46">
        <f>11092.897</f>
        <v>11092.897000000001</v>
      </c>
      <c r="AP46">
        <f>9487.37</f>
        <v>9487.3700000000008</v>
      </c>
      <c r="AQ46" t="str">
        <f>""</f>
        <v/>
      </c>
      <c r="AR46" t="str">
        <f>""</f>
        <v/>
      </c>
      <c r="AS46" t="str">
        <f>""</f>
        <v/>
      </c>
      <c r="AT46" t="str">
        <f>""</f>
        <v/>
      </c>
      <c r="AU46" t="str">
        <f>""</f>
        <v/>
      </c>
      <c r="AV46" t="str">
        <f>""</f>
        <v/>
      </c>
      <c r="AW46" t="str">
        <f>""</f>
        <v/>
      </c>
      <c r="AX46" t="str">
        <f>""</f>
        <v/>
      </c>
      <c r="AY46" t="str">
        <f>""</f>
        <v/>
      </c>
      <c r="AZ46" t="str">
        <f>""</f>
        <v/>
      </c>
      <c r="BA46" t="str">
        <f>""</f>
        <v/>
      </c>
      <c r="BB46" t="str">
        <f>""</f>
        <v/>
      </c>
      <c r="BC46" t="str">
        <f>""</f>
        <v/>
      </c>
      <c r="BD46" t="str">
        <f>""</f>
        <v/>
      </c>
      <c r="BE46" t="str">
        <f>""</f>
        <v/>
      </c>
      <c r="BF46" t="str">
        <f>""</f>
        <v/>
      </c>
      <c r="BG46" t="str">
        <f>""</f>
        <v/>
      </c>
      <c r="BH46" t="str">
        <f>""</f>
        <v/>
      </c>
      <c r="BI46" t="str">
        <f>""</f>
        <v/>
      </c>
      <c r="BJ46" t="str">
        <f>""</f>
        <v/>
      </c>
      <c r="BK46" t="str">
        <f>""</f>
        <v/>
      </c>
      <c r="BL46" t="str">
        <f>""</f>
        <v/>
      </c>
      <c r="BM46" t="str">
        <f>""</f>
        <v/>
      </c>
      <c r="BN46" t="str">
        <f>""</f>
        <v/>
      </c>
      <c r="BO46" t="str">
        <f>""</f>
        <v/>
      </c>
      <c r="BP46" t="str">
        <f>""</f>
        <v/>
      </c>
      <c r="BQ46" t="str">
        <f>""</f>
        <v/>
      </c>
      <c r="BR46" t="str">
        <f>""</f>
        <v/>
      </c>
      <c r="BS46" t="str">
        <f>""</f>
        <v/>
      </c>
    </row>
    <row r="47" spans="1:71" x14ac:dyDescent="0.25">
      <c r="A47" t="str">
        <f>"    Commercial Real Estate"</f>
        <v xml:space="preserve">    Commercial Real Estate</v>
      </c>
      <c r="B47" t="str">
        <f>""</f>
        <v/>
      </c>
      <c r="E47" t="str">
        <f>"Expression"</f>
        <v>Expression</v>
      </c>
      <c r="F47">
        <f ca="1">IF(AND($B$427=1,LEN($F$48)&gt;0),$F$48,HLOOKUP(INDIRECT(ADDRESS(2,COLUMN())),OFFSET($AM$2,0,0,ROW()-1,33),ROW()-1,FALSE))</f>
        <v>740520.022</v>
      </c>
      <c r="G47">
        <f ca="1">IF(AND($B$427=1,LEN($G$48)&gt;0),$G$48,HLOOKUP(INDIRECT(ADDRESS(2,COLUMN())),OFFSET($AM$2,0,0,ROW()-1,33),ROW()-1,FALSE))</f>
        <v>878558.95900000003</v>
      </c>
      <c r="H47">
        <f ca="1">IF(AND($B$427=1,LEN($H$48)&gt;0),$H$48,HLOOKUP(INDIRECT(ADDRESS(2,COLUMN())),OFFSET($AM$2,0,0,ROW()-1,33),ROW()-1,FALSE))</f>
        <v>841451.18900000001</v>
      </c>
      <c r="I47">
        <f ca="1">IF(AND($B$427=1,LEN($I$48)&gt;0),$I$48,HLOOKUP(INDIRECT(ADDRESS(2,COLUMN())),OFFSET($AM$2,0,0,ROW()-1,33),ROW()-1,FALSE))</f>
        <v>754803.72900000005</v>
      </c>
      <c r="J47">
        <f ca="1">IF(AND($B$427=1,LEN($J$48)&gt;0),$J$48,HLOOKUP(INDIRECT(ADDRESS(2,COLUMN())),OFFSET($AM$2,0,0,ROW()-1,33),ROW()-1,FALSE))</f>
        <v>724429.66200000001</v>
      </c>
      <c r="K47">
        <f ca="1">IF(AND($B$427=1,LEN($K$48)&gt;0),$K$48,HLOOKUP(INDIRECT(ADDRESS(2,COLUMN())),OFFSET($AM$2,0,0,ROW()-1,33),ROW()-1,FALSE))</f>
        <v>714251.59900000005</v>
      </c>
      <c r="L47">
        <f ca="1">IF(AND($B$427=1,LEN($L$48)&gt;0),$L$48,HLOOKUP(INDIRECT(ADDRESS(2,COLUMN())),OFFSET($AM$2,0,0,ROW()-1,33),ROW()-1,FALSE))</f>
        <v>674032.72400000005</v>
      </c>
      <c r="M47">
        <f ca="1">IF(AND($B$427=1,LEN($M$48)&gt;0),$M$48,HLOOKUP(INDIRECT(ADDRESS(2,COLUMN())),OFFSET($AM$2,0,0,ROW()-1,33),ROW()-1,FALSE))</f>
        <v>671177.14300000004</v>
      </c>
      <c r="N47">
        <f ca="1">IF(AND($B$427=1,LEN($N$48)&gt;0),$N$48,HLOOKUP(INDIRECT(ADDRESS(2,COLUMN())),OFFSET($AM$2,0,0,ROW()-1,33),ROW()-1,FALSE))</f>
        <v>668798.93099999998</v>
      </c>
      <c r="O47">
        <f ca="1">IF(AND($B$427=1,LEN($O$48)&gt;0),$O$48,HLOOKUP(INDIRECT(ADDRESS(2,COLUMN())),OFFSET($AM$2,0,0,ROW()-1,33),ROW()-1,FALSE))</f>
        <v>613191.27899999998</v>
      </c>
      <c r="P47">
        <f ca="1">IF(AND($B$427=1,LEN($P$48)&gt;0),$P$48,HLOOKUP(INDIRECT(ADDRESS(2,COLUMN())),OFFSET($AM$2,0,0,ROW()-1,33),ROW()-1,FALSE))</f>
        <v>553661.27300000004</v>
      </c>
      <c r="Q47">
        <f ca="1">IF(AND($B$427=1,LEN($Q$48)&gt;0),$Q$48,HLOOKUP(INDIRECT(ADDRESS(2,COLUMN())),OFFSET($AM$2,0,0,ROW()-1,33),ROW()-1,FALSE))</f>
        <v>538003.45499999996</v>
      </c>
      <c r="R47">
        <f ca="1">IF(AND($B$427=1,LEN($R$48)&gt;0),$R$48,HLOOKUP(INDIRECT(ADDRESS(2,COLUMN())),OFFSET($AM$2,0,0,ROW()-1,33),ROW()-1,FALSE))</f>
        <v>524960.46499999997</v>
      </c>
      <c r="S47">
        <f ca="1">IF(AND($B$427=1,LEN($S$48)&gt;0),$S$48,HLOOKUP(INDIRECT(ADDRESS(2,COLUMN())),OFFSET($AM$2,0,0,ROW()-1,33),ROW()-1,FALSE))</f>
        <v>525439.60100000002</v>
      </c>
      <c r="T47">
        <f ca="1">IF(AND($B$427=1,LEN($T$48)&gt;0),$T$48,HLOOKUP(INDIRECT(ADDRESS(2,COLUMN())),OFFSET($AM$2,0,0,ROW()-1,33),ROW()-1,FALSE))</f>
        <v>554012.429</v>
      </c>
      <c r="U47">
        <f ca="1">IF(AND($B$427=1,LEN($U$48)&gt;0),$U$48,HLOOKUP(INDIRECT(ADDRESS(2,COLUMN())),OFFSET($AM$2,0,0,ROW()-1,33),ROW()-1,FALSE))</f>
        <v>624666.77599999995</v>
      </c>
      <c r="V47">
        <f ca="1">IF(AND($B$427=1,LEN($V$48)&gt;0),$V$48,HLOOKUP(INDIRECT(ADDRESS(2,COLUMN())),OFFSET($AM$2,0,0,ROW()-1,33),ROW()-1,FALSE))</f>
        <v>634556.15700000001</v>
      </c>
      <c r="W47">
        <f ca="1">IF(AND($B$427=1,LEN($W$48)&gt;0),$W$48,HLOOKUP(INDIRECT(ADDRESS(2,COLUMN())),OFFSET($AM$2,0,0,ROW()-1,33),ROW()-1,FALSE))</f>
        <v>467501.00400000002</v>
      </c>
      <c r="X47">
        <f ca="1">IF(AND($B$427=1,LEN($X$48)&gt;0),$X$48,HLOOKUP(INDIRECT(ADDRESS(2,COLUMN())),OFFSET($AM$2,0,0,ROW()-1,33),ROW()-1,FALSE))</f>
        <v>56861.843999999997</v>
      </c>
      <c r="Y47">
        <f ca="1">IF(AND($B$427=1,LEN($Y$48)&gt;0),$Y$48,HLOOKUP(INDIRECT(ADDRESS(2,COLUMN())),OFFSET($AM$2,0,0,ROW()-1,33),ROW()-1,FALSE))</f>
        <v>47228.684000000001</v>
      </c>
      <c r="Z47">
        <f ca="1">IF(AND($B$427=1,LEN($Z$48)&gt;0),$Z$48,HLOOKUP(INDIRECT(ADDRESS(2,COLUMN())),OFFSET($AM$2,0,0,ROW()-1,33),ROW()-1,FALSE))</f>
        <v>42432.822</v>
      </c>
      <c r="AA47">
        <f ca="1">IF(AND($B$427=1,LEN($AA$48)&gt;0),$AA$48,HLOOKUP(INDIRECT(ADDRESS(2,COLUMN())),OFFSET($AM$2,0,0,ROW()-1,33),ROW()-1,FALSE))</f>
        <v>33176.94</v>
      </c>
      <c r="AB47">
        <f ca="1">IF(AND($B$427=1,LEN($AB$48)&gt;0),$AB$48,HLOOKUP(INDIRECT(ADDRESS(2,COLUMN())),OFFSET($AM$2,0,0,ROW()-1,33),ROW()-1,FALSE))</f>
        <v>29786.624</v>
      </c>
      <c r="AC47">
        <f ca="1">IF(AND($B$427=1,LEN($AC$48)&gt;0),$AC$48,HLOOKUP(INDIRECT(ADDRESS(2,COLUMN())),OFFSET($AM$2,0,0,ROW()-1,33),ROW()-1,FALSE))</f>
        <v>23103.47</v>
      </c>
      <c r="AD47">
        <f ca="1">IF(AND($B$427=1,LEN($AD$48)&gt;0),$AD$48,HLOOKUP(INDIRECT(ADDRESS(2,COLUMN())),OFFSET($AM$2,0,0,ROW()-1,33),ROW()-1,FALSE))</f>
        <v>13564.111000000001</v>
      </c>
      <c r="AE47">
        <f ca="1">IF(AND($B$427=1,LEN($AE$48)&gt;0),$AE$48,HLOOKUP(INDIRECT(ADDRESS(2,COLUMN())),OFFSET($AM$2,0,0,ROW()-1,33),ROW()-1,FALSE))</f>
        <v>12340.941999999999</v>
      </c>
      <c r="AF47">
        <f ca="1">IF(AND($B$427=1,LEN($AF$48)&gt;0),$AF$48,HLOOKUP(INDIRECT(ADDRESS(2,COLUMN())),OFFSET($AM$2,0,0,ROW()-1,33),ROW()-1,FALSE))</f>
        <v>11169.294</v>
      </c>
      <c r="AG47">
        <f ca="1">IF(AND($B$427=1,LEN($AG$48)&gt;0),$AG$48,HLOOKUP(INDIRECT(ADDRESS(2,COLUMN())),OFFSET($AM$2,0,0,ROW()-1,33),ROW()-1,FALSE))</f>
        <v>7491.9979999999996</v>
      </c>
      <c r="AH47">
        <f ca="1">IF(AND($B$427=1,LEN($AH$48)&gt;0),$AH$48,HLOOKUP(INDIRECT(ADDRESS(2,COLUMN())),OFFSET($AM$2,0,0,ROW()-1,33),ROW()-1,FALSE))</f>
        <v>5814.1310000000003</v>
      </c>
      <c r="AI47">
        <f ca="1">IF(AND($B$427=1,LEN($AI$48)&gt;0),$AI$48,HLOOKUP(INDIRECT(ADDRESS(2,COLUMN())),OFFSET($AM$2,0,0,ROW()-1,33),ROW()-1,FALSE))</f>
        <v>5121.0439999999999</v>
      </c>
      <c r="AJ47">
        <f ca="1">IF(AND($B$427=1,LEN($AJ$48)&gt;0),$AJ$48,HLOOKUP(INDIRECT(ADDRESS(2,COLUMN())),OFFSET($AM$2,0,0,ROW()-1,33),ROW()-1,FALSE))</f>
        <v>3506.0360000000001</v>
      </c>
      <c r="AK47">
        <f ca="1">IF(AND($B$427=1,LEN($AK$48)&gt;0),$AK$48,HLOOKUP(INDIRECT(ADDRESS(2,COLUMN())),OFFSET($AM$2,0,0,ROW()-1,33),ROW()-1,FALSE))</f>
        <v>2738.346</v>
      </c>
      <c r="AL47">
        <f ca="1">IF(AND($B$427=1,LEN($AL$48)&gt;0),$AL$48,HLOOKUP(INDIRECT(ADDRESS(2,COLUMN())),OFFSET($AM$2,0,0,ROW()-1,33),ROW()-1,FALSE))</f>
        <v>1878.6179999999999</v>
      </c>
      <c r="AM47">
        <f>740520.022</f>
        <v>740520.022</v>
      </c>
      <c r="AN47">
        <f>878558.959</f>
        <v>878558.95900000003</v>
      </c>
      <c r="AO47">
        <f>841451.189</f>
        <v>841451.18900000001</v>
      </c>
      <c r="AP47">
        <f>754803.729</f>
        <v>754803.72900000005</v>
      </c>
      <c r="AQ47">
        <f>724429.662</f>
        <v>724429.66200000001</v>
      </c>
      <c r="AR47">
        <f>714251.599</f>
        <v>714251.59900000005</v>
      </c>
      <c r="AS47">
        <f>674032.724</f>
        <v>674032.72400000005</v>
      </c>
      <c r="AT47">
        <f>671177.143</f>
        <v>671177.14300000004</v>
      </c>
      <c r="AU47">
        <f>668798.931</f>
        <v>668798.93099999998</v>
      </c>
      <c r="AV47">
        <f>613191.279</f>
        <v>613191.27899999998</v>
      </c>
      <c r="AW47">
        <f>553661.273</f>
        <v>553661.27300000004</v>
      </c>
      <c r="AX47">
        <f>538003.455</f>
        <v>538003.45499999996</v>
      </c>
      <c r="AY47">
        <f>524960.465</f>
        <v>524960.46499999997</v>
      </c>
      <c r="AZ47">
        <f>525439.601</f>
        <v>525439.60100000002</v>
      </c>
      <c r="BA47">
        <f>554012.429</f>
        <v>554012.429</v>
      </c>
      <c r="BB47">
        <f>624666.776</f>
        <v>624666.77599999995</v>
      </c>
      <c r="BC47">
        <f>634556.157</f>
        <v>634556.15700000001</v>
      </c>
      <c r="BD47">
        <f>467501.004</f>
        <v>467501.00400000002</v>
      </c>
      <c r="BE47">
        <f>56861.844</f>
        <v>56861.843999999997</v>
      </c>
      <c r="BF47">
        <f>47228.684</f>
        <v>47228.684000000001</v>
      </c>
      <c r="BG47">
        <f>42432.822</f>
        <v>42432.822</v>
      </c>
      <c r="BH47">
        <f>33176.94</f>
        <v>33176.94</v>
      </c>
      <c r="BI47">
        <f>29786.624</f>
        <v>29786.624</v>
      </c>
      <c r="BJ47">
        <f>23103.47</f>
        <v>23103.47</v>
      </c>
      <c r="BK47">
        <f>13564.111</f>
        <v>13564.111000000001</v>
      </c>
      <c r="BL47">
        <f>12340.942</f>
        <v>12340.941999999999</v>
      </c>
      <c r="BM47">
        <f>11169.294</f>
        <v>11169.294</v>
      </c>
      <c r="BN47">
        <f>7491.998</f>
        <v>7491.9979999999996</v>
      </c>
      <c r="BO47">
        <f>5814.131</f>
        <v>5814.1310000000003</v>
      </c>
      <c r="BP47">
        <f>5121.044</f>
        <v>5121.0439999999999</v>
      </c>
      <c r="BQ47">
        <f>3506.036</f>
        <v>3506.0360000000001</v>
      </c>
      <c r="BR47">
        <f>2738.346</f>
        <v>2738.346</v>
      </c>
      <c r="BS47">
        <f>1878.618</f>
        <v>1878.6179999999999</v>
      </c>
    </row>
    <row r="48" spans="1:71" x14ac:dyDescent="0.25">
      <c r="A48" t="str">
        <f>"        CRE by Company"</f>
        <v xml:space="preserve">        CRE by Company</v>
      </c>
      <c r="B48" t="str">
        <f>""</f>
        <v/>
      </c>
      <c r="E48" t="str">
        <f>"Sum"</f>
        <v>Sum</v>
      </c>
      <c r="F48">
        <f ca="1">IF(ISERROR(IF(SUM($F$49:$F$68) = 0, "", SUM($F$49:$F$68))), "", (IF(SUM($F$49:$F$68) = 0, "", SUM($F$49:$F$68))))</f>
        <v>740520.02199999988</v>
      </c>
      <c r="G48">
        <f ca="1">IF(ISERROR(IF(SUM($G$49:$G$68) = 0, "", SUM($G$49:$G$68))), "", (IF(SUM($G$49:$G$68) = 0, "", SUM($G$49:$G$68))))</f>
        <v>878558.95900000003</v>
      </c>
      <c r="H48">
        <f ca="1">IF(ISERROR(IF(SUM($H$49:$H$68) = 0, "", SUM($H$49:$H$68))), "", (IF(SUM($H$49:$H$68) = 0, "", SUM($H$49:$H$68))))</f>
        <v>841451.18900000001</v>
      </c>
      <c r="I48">
        <f ca="1">IF(ISERROR(IF(SUM($I$49:$I$68) = 0, "", SUM($I$49:$I$68))), "", (IF(SUM($I$49:$I$68) = 0, "", SUM($I$49:$I$68))))</f>
        <v>754803.72899999993</v>
      </c>
      <c r="J48">
        <f ca="1">IF(ISERROR(IF(SUM($J$49:$J$68) = 0, "", SUM($J$49:$J$68))), "", (IF(SUM($J$49:$J$68) = 0, "", SUM($J$49:$J$68))))</f>
        <v>724429.66199999989</v>
      </c>
      <c r="K48">
        <f ca="1">IF(ISERROR(IF(SUM($K$49:$K$68) = 0, "", SUM($K$49:$K$68))), "", (IF(SUM($K$49:$K$68) = 0, "", SUM($K$49:$K$68))))</f>
        <v>714251.59900000005</v>
      </c>
      <c r="L48">
        <f ca="1">IF(ISERROR(IF(SUM($L$49:$L$68) = 0, "", SUM($L$49:$L$68))), "", (IF(SUM($L$49:$L$68) = 0, "", SUM($L$49:$L$68))))</f>
        <v>674032.72399999981</v>
      </c>
      <c r="M48">
        <f ca="1">IF(ISERROR(IF(SUM($M$49:$M$68) = 0, "", SUM($M$49:$M$68))), "", (IF(SUM($M$49:$M$68) = 0, "", SUM($M$49:$M$68))))</f>
        <v>671177.14299999992</v>
      </c>
      <c r="N48">
        <f ca="1">IF(ISERROR(IF(SUM($N$49:$N$68) = 0, "", SUM($N$49:$N$68))), "", (IF(SUM($N$49:$N$68) = 0, "", SUM($N$49:$N$68))))</f>
        <v>668798.9310000001</v>
      </c>
      <c r="O48">
        <f ca="1">IF(ISERROR(IF(SUM($O$49:$O$68) = 0, "", SUM($O$49:$O$68))), "", (IF(SUM($O$49:$O$68) = 0, "", SUM($O$49:$O$68))))</f>
        <v>613191.27899999998</v>
      </c>
      <c r="P48">
        <f ca="1">IF(ISERROR(IF(SUM($P$49:$P$68) = 0, "", SUM($P$49:$P$68))), "", (IF(SUM($P$49:$P$68) = 0, "", SUM($P$49:$P$68))))</f>
        <v>553661.27299999993</v>
      </c>
      <c r="Q48">
        <f ca="1">IF(ISERROR(IF(SUM($Q$49:$Q$68) = 0, "", SUM($Q$49:$Q$68))), "", (IF(SUM($Q$49:$Q$68) = 0, "", SUM($Q$49:$Q$68))))</f>
        <v>538003.45499999996</v>
      </c>
      <c r="R48">
        <f ca="1">IF(ISERROR(IF(SUM($R$49:$R$68) = 0, "", SUM($R$49:$R$68))), "", (IF(SUM($R$49:$R$68) = 0, "", SUM($R$49:$R$68))))</f>
        <v>524960.46499999997</v>
      </c>
      <c r="S48">
        <f ca="1">IF(ISERROR(IF(SUM($S$49:$S$68) = 0, "", SUM($S$49:$S$68))), "", (IF(SUM($S$49:$S$68) = 0, "", SUM($S$49:$S$68))))</f>
        <v>525439.60100000002</v>
      </c>
      <c r="T48">
        <f ca="1">IF(ISERROR(IF(SUM($T$49:$T$68) = 0, "", SUM($T$49:$T$68))), "", (IF(SUM($T$49:$T$68) = 0, "", SUM($T$49:$T$68))))</f>
        <v>554012.429</v>
      </c>
      <c r="U48">
        <f ca="1">IF(ISERROR(IF(SUM($U$49:$U$68) = 0, "", SUM($U$49:$U$68))), "", (IF(SUM($U$49:$U$68) = 0, "", SUM($U$49:$U$68))))</f>
        <v>624666.77599999995</v>
      </c>
      <c r="V48">
        <f ca="1">IF(ISERROR(IF(SUM($V$49:$V$68) = 0, "", SUM($V$49:$V$68))), "", (IF(SUM($V$49:$V$68) = 0, "", SUM($V$49:$V$68))))</f>
        <v>634556.15700000012</v>
      </c>
      <c r="W48">
        <f ca="1">IF(ISERROR(IF(SUM($W$49:$W$68) = 0, "", SUM($W$49:$W$68))), "", (IF(SUM($W$49:$W$68) = 0, "", SUM($W$49:$W$68))))</f>
        <v>467501.00400000002</v>
      </c>
      <c r="X48">
        <f ca="1">IF(ISERROR(IF(SUM($X$49:$X$68) = 0, "", SUM($X$49:$X$68))), "", (IF(SUM($X$49:$X$68) = 0, "", SUM($X$49:$X$68))))</f>
        <v>56861.84399999999</v>
      </c>
      <c r="Y48">
        <f ca="1">IF(ISERROR(IF(SUM($Y$49:$Y$68) = 0, "", SUM($Y$49:$Y$68))), "", (IF(SUM($Y$49:$Y$68) = 0, "", SUM($Y$49:$Y$68))))</f>
        <v>47228.684000000008</v>
      </c>
      <c r="Z48">
        <f ca="1">IF(ISERROR(IF(SUM($Z$49:$Z$68) = 0, "", SUM($Z$49:$Z$68))), "", (IF(SUM($Z$49:$Z$68) = 0, "", SUM($Z$49:$Z$68))))</f>
        <v>42432.822</v>
      </c>
      <c r="AA48">
        <f ca="1">IF(ISERROR(IF(SUM($AA$49:$AA$68) = 0, "", SUM($AA$49:$AA$68))), "", (IF(SUM($AA$49:$AA$68) = 0, "", SUM($AA$49:$AA$68))))</f>
        <v>33176.939999999995</v>
      </c>
      <c r="AB48">
        <f ca="1">IF(ISERROR(IF(SUM($AB$49:$AB$68) = 0, "", SUM($AB$49:$AB$68))), "", (IF(SUM($AB$49:$AB$68) = 0, "", SUM($AB$49:$AB$68))))</f>
        <v>29786.624000000003</v>
      </c>
      <c r="AC48">
        <f ca="1">IF(ISERROR(IF(SUM($AC$49:$AC$68) = 0, "", SUM($AC$49:$AC$68))), "", (IF(SUM($AC$49:$AC$68) = 0, "", SUM($AC$49:$AC$68))))</f>
        <v>23103.469999999998</v>
      </c>
      <c r="AD48">
        <f ca="1">IF(ISERROR(IF(SUM($AD$49:$AD$68) = 0, "", SUM($AD$49:$AD$68))), "", (IF(SUM($AD$49:$AD$68) = 0, "", SUM($AD$49:$AD$68))))</f>
        <v>13564.110999999999</v>
      </c>
      <c r="AE48">
        <f ca="1">IF(ISERROR(IF(SUM($AE$49:$AE$68) = 0, "", SUM($AE$49:$AE$68))), "", (IF(SUM($AE$49:$AE$68) = 0, "", SUM($AE$49:$AE$68))))</f>
        <v>12340.941999999999</v>
      </c>
      <c r="AF48">
        <f ca="1">IF(ISERROR(IF(SUM($AF$49:$AF$68) = 0, "", SUM($AF$49:$AF$68))), "", (IF(SUM($AF$49:$AF$68) = 0, "", SUM($AF$49:$AF$68))))</f>
        <v>11169.294</v>
      </c>
      <c r="AG48">
        <f ca="1">IF(ISERROR(IF(SUM($AG$49:$AG$68) = 0, "", SUM($AG$49:$AG$68))), "", (IF(SUM($AG$49:$AG$68) = 0, "", SUM($AG$49:$AG$68))))</f>
        <v>7491.9979999999996</v>
      </c>
      <c r="AH48">
        <f ca="1">IF(ISERROR(IF(SUM($AH$49:$AH$68) = 0, "", SUM($AH$49:$AH$68))), "", (IF(SUM($AH$49:$AH$68) = 0, "", SUM($AH$49:$AH$68))))</f>
        <v>5814.1310000000003</v>
      </c>
      <c r="AI48">
        <f ca="1">IF(ISERROR(IF(SUM($AI$49:$AI$68) = 0, "", SUM($AI$49:$AI$68))), "", (IF(SUM($AI$49:$AI$68) = 0, "", SUM($AI$49:$AI$68))))</f>
        <v>5121.0439999999999</v>
      </c>
      <c r="AJ48">
        <f ca="1">IF(ISERROR(IF(SUM($AJ$49:$AJ$68) = 0, "", SUM($AJ$49:$AJ$68))), "", (IF(SUM($AJ$49:$AJ$68) = 0, "", SUM($AJ$49:$AJ$68))))</f>
        <v>3506.0360000000005</v>
      </c>
      <c r="AK48">
        <f ca="1">IF(ISERROR(IF(SUM($AK$49:$AK$68) = 0, "", SUM($AK$49:$AK$68))), "", (IF(SUM($AK$49:$AK$68) = 0, "", SUM($AK$49:$AK$68))))</f>
        <v>2738.3459999999995</v>
      </c>
      <c r="AL48">
        <f ca="1">IF(ISERROR(IF(SUM($AL$49:$AL$68) = 0, "", SUM($AL$49:$AL$68))), "", (IF(SUM($AL$49:$AL$68) = 0, "", SUM($AL$49:$AL$68))))</f>
        <v>1878.6180000000002</v>
      </c>
      <c r="AM48">
        <f>740520.022</f>
        <v>740520.022</v>
      </c>
      <c r="AN48">
        <f>878558.959</f>
        <v>878558.95900000003</v>
      </c>
      <c r="AO48">
        <f>841451.189</f>
        <v>841451.18900000001</v>
      </c>
      <c r="AP48">
        <f>754803.729</f>
        <v>754803.72900000005</v>
      </c>
      <c r="AQ48">
        <f>724429.662</f>
        <v>724429.66200000001</v>
      </c>
      <c r="AR48">
        <f>714251.599</f>
        <v>714251.59900000005</v>
      </c>
      <c r="AS48">
        <f>674032.724</f>
        <v>674032.72400000005</v>
      </c>
      <c r="AT48">
        <f>671177.143</f>
        <v>671177.14300000004</v>
      </c>
      <c r="AU48">
        <f>668798.931</f>
        <v>668798.93099999998</v>
      </c>
      <c r="AV48">
        <f>613191.279</f>
        <v>613191.27899999998</v>
      </c>
      <c r="AW48">
        <f>553661.273</f>
        <v>553661.27300000004</v>
      </c>
      <c r="AX48">
        <f>538003.455</f>
        <v>538003.45499999996</v>
      </c>
      <c r="AY48">
        <f>524960.465</f>
        <v>524960.46499999997</v>
      </c>
      <c r="AZ48">
        <f>525439.601</f>
        <v>525439.60100000002</v>
      </c>
      <c r="BA48">
        <f>554012.429</f>
        <v>554012.429</v>
      </c>
      <c r="BB48">
        <f>624666.776</f>
        <v>624666.77599999995</v>
      </c>
      <c r="BC48">
        <f>634556.157</f>
        <v>634556.15700000001</v>
      </c>
      <c r="BD48">
        <f>467501.004</f>
        <v>467501.00400000002</v>
      </c>
      <c r="BE48">
        <f>56861.844</f>
        <v>56861.843999999997</v>
      </c>
      <c r="BF48">
        <f>47228.684</f>
        <v>47228.684000000001</v>
      </c>
      <c r="BG48">
        <f>42432.822</f>
        <v>42432.822</v>
      </c>
      <c r="BH48">
        <f>33176.94</f>
        <v>33176.94</v>
      </c>
      <c r="BI48">
        <f>29786.624</f>
        <v>29786.624</v>
      </c>
      <c r="BJ48">
        <f>23103.47</f>
        <v>23103.47</v>
      </c>
      <c r="BK48">
        <f>13564.111</f>
        <v>13564.111000000001</v>
      </c>
      <c r="BL48">
        <f>12340.942</f>
        <v>12340.941999999999</v>
      </c>
      <c r="BM48">
        <f>11169.294</f>
        <v>11169.294</v>
      </c>
      <c r="BN48">
        <f>7491.998</f>
        <v>7491.9979999999996</v>
      </c>
      <c r="BO48">
        <f>5814.131</f>
        <v>5814.1310000000003</v>
      </c>
      <c r="BP48">
        <f>5121.044</f>
        <v>5121.0439999999999</v>
      </c>
      <c r="BQ48">
        <f>3506.036</f>
        <v>3506.0360000000001</v>
      </c>
      <c r="BR48">
        <f>2738.346</f>
        <v>2738.346</v>
      </c>
      <c r="BS48">
        <f>1878.618</f>
        <v>1878.6179999999999</v>
      </c>
    </row>
    <row r="49" spans="1:71" x14ac:dyDescent="0.25">
      <c r="A49" t="str">
        <f>"            Bank of America Corp"</f>
        <v xml:space="preserve">            Bank of America Corp</v>
      </c>
      <c r="B49" t="str">
        <f>"BAC US Equity"</f>
        <v>BAC US Equity</v>
      </c>
      <c r="C49" t="str">
        <f t="shared" ref="C49:C68" si="6">"F0375"</f>
        <v>F0375</v>
      </c>
      <c r="D49" t="str">
        <f t="shared" ref="D49:D68" si="7">"FED_CRE_LNS_INCL_APTS_&amp;_FRMLND"</f>
        <v>FED_CRE_LNS_INCL_APTS_&amp;_FRMLND</v>
      </c>
      <c r="E49" t="str">
        <f t="shared" ref="E49:E68" si="8">"Dynamic"</f>
        <v>Dynamic</v>
      </c>
      <c r="F49">
        <f ca="1">IF(AND(ISNUMBER($F$469),$B$427=1),$F$469,HLOOKUP(INDIRECT(ADDRESS(2,COLUMN())),OFFSET($AM$2,0,0,ROW()-1,33),ROW()-1,FALSE))</f>
        <v>77108</v>
      </c>
      <c r="G49">
        <f ca="1">IF(AND(ISNUMBER($G$469),$B$427=1),$G$469,HLOOKUP(INDIRECT(ADDRESS(2,COLUMN())),OFFSET($AM$2,0,0,ROW()-1,33),ROW()-1,FALSE))</f>
        <v>80455</v>
      </c>
      <c r="H49">
        <f ca="1">IF(AND(ISNUMBER($H$469),$B$427=1),$H$469,HLOOKUP(INDIRECT(ADDRESS(2,COLUMN())),OFFSET($AM$2,0,0,ROW()-1,33),ROW()-1,FALSE))</f>
        <v>79083</v>
      </c>
      <c r="I49">
        <f ca="1">IF(AND(ISNUMBER($I$469),$B$427=1),$I$469,HLOOKUP(INDIRECT(ADDRESS(2,COLUMN())),OFFSET($AM$2,0,0,ROW()-1,33),ROW()-1,FALSE))</f>
        <v>77538</v>
      </c>
      <c r="J49">
        <f ca="1">IF(AND(ISNUMBER($J$469),$B$427=1),$J$469,HLOOKUP(INDIRECT(ADDRESS(2,COLUMN())),OFFSET($AM$2,0,0,ROW()-1,33),ROW()-1,FALSE))</f>
        <v>75585</v>
      </c>
      <c r="K49">
        <f ca="1">IF(AND(ISNUMBER($K$469),$B$427=1),$K$469,HLOOKUP(INDIRECT(ADDRESS(2,COLUMN())),OFFSET($AM$2,0,0,ROW()-1,33),ROW()-1,FALSE))</f>
        <v>78054</v>
      </c>
      <c r="L49">
        <f ca="1">IF(AND(ISNUMBER($L$469),$B$427=1),$L$469,HLOOKUP(INDIRECT(ADDRESS(2,COLUMN())),OFFSET($AM$2,0,0,ROW()-1,33),ROW()-1,FALSE))</f>
        <v>73778</v>
      </c>
      <c r="M49">
        <f ca="1">IF(AND(ISNUMBER($M$469),$B$427=1),$M$469,HLOOKUP(INDIRECT(ADDRESS(2,COLUMN())),OFFSET($AM$2,0,0,ROW()-1,33),ROW()-1,FALSE))</f>
        <v>74053</v>
      </c>
      <c r="N49">
        <f ca="1">IF(AND(ISNUMBER($N$469),$B$427=1),$N$469,HLOOKUP(INDIRECT(ADDRESS(2,COLUMN())),OFFSET($AM$2,0,0,ROW()-1,33),ROW()-1,FALSE))</f>
        <v>74200</v>
      </c>
      <c r="O49">
        <f ca="1">IF(AND(ISNUMBER($O$469),$B$427=1),$O$469,HLOOKUP(INDIRECT(ADDRESS(2,COLUMN())),OFFSET($AM$2,0,0,ROW()-1,33),ROW()-1,FALSE))</f>
        <v>75246</v>
      </c>
      <c r="P49">
        <f ca="1">IF(AND(ISNUMBER($P$469),$B$427=1),$P$469,HLOOKUP(INDIRECT(ADDRESS(2,COLUMN())),OFFSET($AM$2,0,0,ROW()-1,33),ROW()-1,FALSE))</f>
        <v>62267</v>
      </c>
      <c r="Q49">
        <f ca="1">IF(AND(ISNUMBER($Q$469),$B$427=1),$Q$469,HLOOKUP(INDIRECT(ADDRESS(2,COLUMN())),OFFSET($AM$2,0,0,ROW()-1,33),ROW()-1,FALSE))</f>
        <v>66391</v>
      </c>
      <c r="R49">
        <f ca="1">IF(AND(ISNUMBER($R$469),$B$427=1),$R$469,HLOOKUP(INDIRECT(ADDRESS(2,COLUMN())),OFFSET($AM$2,0,0,ROW()-1,33),ROW()-1,FALSE))</f>
        <v>61868.642999999996</v>
      </c>
      <c r="S49">
        <f ca="1">IF(AND(ISNUMBER($S$469),$B$427=1),$S$469,HLOOKUP(INDIRECT(ADDRESS(2,COLUMN())),OFFSET($AM$2,0,0,ROW()-1,33),ROW()-1,FALSE))</f>
        <v>63397.002999999997</v>
      </c>
      <c r="T49">
        <f ca="1">IF(AND(ISNUMBER($T$469),$B$427=1),$T$469,HLOOKUP(INDIRECT(ADDRESS(2,COLUMN())),OFFSET($AM$2,0,0,ROW()-1,33),ROW()-1,FALSE))</f>
        <v>78586.464999999997</v>
      </c>
      <c r="U49">
        <f ca="1">IF(AND(ISNUMBER($U$469),$B$427=1),$U$469,HLOOKUP(INDIRECT(ADDRESS(2,COLUMN())),OFFSET($AM$2,0,0,ROW()-1,33),ROW()-1,FALSE))</f>
        <v>98790.173999999999</v>
      </c>
      <c r="V49">
        <f ca="1">IF(AND(ISNUMBER($V$469),$B$427=1),$V$469,HLOOKUP(INDIRECT(ADDRESS(2,COLUMN())),OFFSET($AM$2,0,0,ROW()-1,33),ROW()-1,FALSE))</f>
        <v>105167.917</v>
      </c>
      <c r="W49">
        <f ca="1">IF(AND(ISNUMBER($W$469),$B$427=1),$W$469,HLOOKUP(INDIRECT(ADDRESS(2,COLUMN())),OFFSET($AM$2,0,0,ROW()-1,33),ROW()-1,FALSE))</f>
        <v>103562.928</v>
      </c>
      <c r="X49">
        <f ca="1">IF(AND(ISNUMBER($X$469),$B$427=1),$X$469,HLOOKUP(INDIRECT(ADDRESS(2,COLUMN())),OFFSET($AM$2,0,0,ROW()-1,33),ROW()-1,FALSE))</f>
        <v>7949.3919999999998</v>
      </c>
      <c r="Y49">
        <f ca="1">IF(AND(ISNUMBER($Y$469),$B$427=1),$Y$469,HLOOKUP(INDIRECT(ADDRESS(2,COLUMN())),OFFSET($AM$2,0,0,ROW()-1,33),ROW()-1,FALSE))</f>
        <v>6619.9139999999998</v>
      </c>
      <c r="Z49">
        <f ca="1">IF(AND(ISNUMBER($Z$469),$B$427=1),$Z$469,HLOOKUP(INDIRECT(ADDRESS(2,COLUMN())),OFFSET($AM$2,0,0,ROW()-1,33),ROW()-1,FALSE))</f>
        <v>4236.3770000000004</v>
      </c>
      <c r="AA49">
        <f ca="1">IF(AND(ISNUMBER($AA$469),$B$427=1),$AA$469,HLOOKUP(INDIRECT(ADDRESS(2,COLUMN())),OFFSET($AM$2,0,0,ROW()-1,33),ROW()-1,FALSE))</f>
        <v>3530.3150000000001</v>
      </c>
      <c r="AB49">
        <f ca="1">IF(AND(ISNUMBER($AB$469),$B$427=1),$AB$469,HLOOKUP(INDIRECT(ADDRESS(2,COLUMN())),OFFSET($AM$2,0,0,ROW()-1,33),ROW()-1,FALSE))</f>
        <v>3794</v>
      </c>
      <c r="AC49">
        <f ca="1">IF(AND(ISNUMBER($AC$469),$B$427=1),$AC$469,HLOOKUP(INDIRECT(ADDRESS(2,COLUMN())),OFFSET($AM$2,0,0,ROW()-1,33),ROW()-1,FALSE))</f>
        <v>3813</v>
      </c>
      <c r="AD49" t="str">
        <f ca="1">IF(AND(ISNUMBER($AD$469),$B$427=1),$AD$469,HLOOKUP(INDIRECT(ADDRESS(2,COLUMN())),OFFSET($AM$2,0,0,ROW()-1,33),ROW()-1,FALSE))</f>
        <v/>
      </c>
      <c r="AE49" t="str">
        <f ca="1">IF(AND(ISNUMBER($AE$469),$B$427=1),$AE$469,HLOOKUP(INDIRECT(ADDRESS(2,COLUMN())),OFFSET($AM$2,0,0,ROW()-1,33),ROW()-1,FALSE))</f>
        <v/>
      </c>
      <c r="AF49" t="str">
        <f ca="1">IF(AND(ISNUMBER($AF$469),$B$427=1),$AF$469,HLOOKUP(INDIRECT(ADDRESS(2,COLUMN())),OFFSET($AM$2,0,0,ROW()-1,33),ROW()-1,FALSE))</f>
        <v/>
      </c>
      <c r="AG49" t="str">
        <f ca="1">IF(AND(ISNUMBER($AG$469),$B$427=1),$AG$469,HLOOKUP(INDIRECT(ADDRESS(2,COLUMN())),OFFSET($AM$2,0,0,ROW()-1,33),ROW()-1,FALSE))</f>
        <v/>
      </c>
      <c r="AH49" t="str">
        <f ca="1">IF(AND(ISNUMBER($AH$469),$B$427=1),$AH$469,HLOOKUP(INDIRECT(ADDRESS(2,COLUMN())),OFFSET($AM$2,0,0,ROW()-1,33),ROW()-1,FALSE))</f>
        <v/>
      </c>
      <c r="AI49" t="str">
        <f ca="1">IF(AND(ISNUMBER($AI$469),$B$427=1),$AI$469,HLOOKUP(INDIRECT(ADDRESS(2,COLUMN())),OFFSET($AM$2,0,0,ROW()-1,33),ROW()-1,FALSE))</f>
        <v/>
      </c>
      <c r="AJ49" t="str">
        <f ca="1">IF(AND(ISNUMBER($AJ$469),$B$427=1),$AJ$469,HLOOKUP(INDIRECT(ADDRESS(2,COLUMN())),OFFSET($AM$2,0,0,ROW()-1,33),ROW()-1,FALSE))</f>
        <v/>
      </c>
      <c r="AK49" t="str">
        <f ca="1">IF(AND(ISNUMBER($AK$469),$B$427=1),$AK$469,HLOOKUP(INDIRECT(ADDRESS(2,COLUMN())),OFFSET($AM$2,0,0,ROW()-1,33),ROW()-1,FALSE))</f>
        <v/>
      </c>
      <c r="AL49" t="str">
        <f ca="1">IF(AND(ISNUMBER($AL$469),$B$427=1),$AL$469,HLOOKUP(INDIRECT(ADDRESS(2,COLUMN())),OFFSET($AM$2,0,0,ROW()-1,33),ROW()-1,FALSE))</f>
        <v/>
      </c>
      <c r="AM49">
        <f>77108</f>
        <v>77108</v>
      </c>
      <c r="AN49">
        <f>80455</f>
        <v>80455</v>
      </c>
      <c r="AO49">
        <f>79083</f>
        <v>79083</v>
      </c>
      <c r="AP49">
        <f>77538</f>
        <v>77538</v>
      </c>
      <c r="AQ49">
        <f>75585</f>
        <v>75585</v>
      </c>
      <c r="AR49">
        <f>78054</f>
        <v>78054</v>
      </c>
      <c r="AS49">
        <f>73778</f>
        <v>73778</v>
      </c>
      <c r="AT49">
        <f>74053</f>
        <v>74053</v>
      </c>
      <c r="AU49">
        <f>74200</f>
        <v>74200</v>
      </c>
      <c r="AV49">
        <f>75246</f>
        <v>75246</v>
      </c>
      <c r="AW49">
        <f>62267</f>
        <v>62267</v>
      </c>
      <c r="AX49">
        <f>66391</f>
        <v>66391</v>
      </c>
      <c r="AY49">
        <f>61868.643</f>
        <v>61868.642999999996</v>
      </c>
      <c r="AZ49">
        <f>63397.003</f>
        <v>63397.002999999997</v>
      </c>
      <c r="BA49">
        <f>78586.465</f>
        <v>78586.464999999997</v>
      </c>
      <c r="BB49">
        <f>98790.174</f>
        <v>98790.173999999999</v>
      </c>
      <c r="BC49">
        <f>105167.917</f>
        <v>105167.917</v>
      </c>
      <c r="BD49">
        <f>103562.928</f>
        <v>103562.928</v>
      </c>
      <c r="BE49">
        <f>7949.392</f>
        <v>7949.3919999999998</v>
      </c>
      <c r="BF49">
        <f>6619.914</f>
        <v>6619.9139999999998</v>
      </c>
      <c r="BG49">
        <f>4236.377</f>
        <v>4236.3770000000004</v>
      </c>
      <c r="BH49">
        <f>3530.315</f>
        <v>3530.3150000000001</v>
      </c>
      <c r="BI49">
        <f>3794</f>
        <v>3794</v>
      </c>
      <c r="BJ49">
        <f>3813</f>
        <v>3813</v>
      </c>
      <c r="BK49" t="str">
        <f>""</f>
        <v/>
      </c>
      <c r="BL49" t="str">
        <f>""</f>
        <v/>
      </c>
      <c r="BM49" t="str">
        <f>""</f>
        <v/>
      </c>
      <c r="BN49" t="str">
        <f>""</f>
        <v/>
      </c>
      <c r="BO49" t="str">
        <f>""</f>
        <v/>
      </c>
      <c r="BP49" t="str">
        <f>""</f>
        <v/>
      </c>
      <c r="BQ49" t="str">
        <f>""</f>
        <v/>
      </c>
      <c r="BR49" t="str">
        <f>""</f>
        <v/>
      </c>
      <c r="BS49" t="str">
        <f>""</f>
        <v/>
      </c>
    </row>
    <row r="50" spans="1:71" x14ac:dyDescent="0.25">
      <c r="A50" t="str">
        <f>"            Citigroup Inc"</f>
        <v xml:space="preserve">            Citigroup Inc</v>
      </c>
      <c r="B50" t="str">
        <f>"C US Equity"</f>
        <v>C US Equity</v>
      </c>
      <c r="C50" t="str">
        <f t="shared" si="6"/>
        <v>F0375</v>
      </c>
      <c r="D50" t="str">
        <f t="shared" si="7"/>
        <v>FED_CRE_LNS_INCL_APTS_&amp;_FRMLND</v>
      </c>
      <c r="E50" t="str">
        <f t="shared" si="8"/>
        <v>Dynamic</v>
      </c>
      <c r="F50">
        <f ca="1">IF(AND(ISNUMBER($F$470),$B$427=1),$F$470,HLOOKUP(INDIRECT(ADDRESS(2,COLUMN())),OFFSET($AM$2,0,0,ROW()-1,33),ROW()-1,FALSE))</f>
        <v>26022</v>
      </c>
      <c r="G50">
        <f ca="1">IF(AND(ISNUMBER($G$470),$B$427=1),$G$470,HLOOKUP(INDIRECT(ADDRESS(2,COLUMN())),OFFSET($AM$2,0,0,ROW()-1,33),ROW()-1,FALSE))</f>
        <v>26641</v>
      </c>
      <c r="H50">
        <f ca="1">IF(AND(ISNUMBER($H$470),$B$427=1),$H$470,HLOOKUP(INDIRECT(ADDRESS(2,COLUMN())),OFFSET($AM$2,0,0,ROW()-1,33),ROW()-1,FALSE))</f>
        <v>27148</v>
      </c>
      <c r="I50">
        <f ca="1">IF(AND(ISNUMBER($I$470),$B$427=1),$I$470,HLOOKUP(INDIRECT(ADDRESS(2,COLUMN())),OFFSET($AM$2,0,0,ROW()-1,33),ROW()-1,FALSE))</f>
        <v>27498</v>
      </c>
      <c r="J50">
        <f ca="1">IF(AND(ISNUMBER($J$470),$B$427=1),$J$470,HLOOKUP(INDIRECT(ADDRESS(2,COLUMN())),OFFSET($AM$2,0,0,ROW()-1,33),ROW()-1,FALSE))</f>
        <v>25899</v>
      </c>
      <c r="K50">
        <f ca="1">IF(AND(ISNUMBER($K$470),$B$427=1),$K$470,HLOOKUP(INDIRECT(ADDRESS(2,COLUMN())),OFFSET($AM$2,0,0,ROW()-1,33),ROW()-1,FALSE))</f>
        <v>25137</v>
      </c>
      <c r="L50">
        <f ca="1">IF(AND(ISNUMBER($L$470),$B$427=1),$L$470,HLOOKUP(INDIRECT(ADDRESS(2,COLUMN())),OFFSET($AM$2,0,0,ROW()-1,33),ROW()-1,FALSE))</f>
        <v>25049</v>
      </c>
      <c r="M50">
        <f ca="1">IF(AND(ISNUMBER($M$470),$B$427=1),$M$470,HLOOKUP(INDIRECT(ADDRESS(2,COLUMN())),OFFSET($AM$2,0,0,ROW()-1,33),ROW()-1,FALSE))</f>
        <v>19712</v>
      </c>
      <c r="N50">
        <f ca="1">IF(AND(ISNUMBER($N$470),$B$427=1),$N$470,HLOOKUP(INDIRECT(ADDRESS(2,COLUMN())),OFFSET($AM$2,0,0,ROW()-1,33),ROW()-1,FALSE))</f>
        <v>15561</v>
      </c>
      <c r="O50">
        <f ca="1">IF(AND(ISNUMBER($O$470),$B$427=1),$O$470,HLOOKUP(INDIRECT(ADDRESS(2,COLUMN())),OFFSET($AM$2,0,0,ROW()-1,33),ROW()-1,FALSE))</f>
        <v>12173</v>
      </c>
      <c r="P50">
        <f ca="1">IF(AND(ISNUMBER($P$470),$B$427=1),$P$470,HLOOKUP(INDIRECT(ADDRESS(2,COLUMN())),OFFSET($AM$2,0,0,ROW()-1,33),ROW()-1,FALSE))</f>
        <v>10681</v>
      </c>
      <c r="Q50">
        <f ca="1">IF(AND(ISNUMBER($Q$470),$B$427=1),$Q$470,HLOOKUP(INDIRECT(ADDRESS(2,COLUMN())),OFFSET($AM$2,0,0,ROW()-1,33),ROW()-1,FALSE))</f>
        <v>10018</v>
      </c>
      <c r="R50">
        <f ca="1">IF(AND(ISNUMBER($R$470),$B$427=1),$R$470,HLOOKUP(INDIRECT(ADDRESS(2,COLUMN())),OFFSET($AM$2,0,0,ROW()-1,33),ROW()-1,FALSE))</f>
        <v>8940</v>
      </c>
      <c r="S50">
        <f ca="1">IF(AND(ISNUMBER($S$470),$B$427=1),$S$470,HLOOKUP(INDIRECT(ADDRESS(2,COLUMN())),OFFSET($AM$2,0,0,ROW()-1,33),ROW()-1,FALSE))</f>
        <v>8607</v>
      </c>
      <c r="T50">
        <f ca="1">IF(AND(ISNUMBER($T$470),$B$427=1),$T$470,HLOOKUP(INDIRECT(ADDRESS(2,COLUMN())),OFFSET($AM$2,0,0,ROW()-1,33),ROW()-1,FALSE))</f>
        <v>11518</v>
      </c>
      <c r="U50">
        <f ca="1">IF(AND(ISNUMBER($U$470),$B$427=1),$U$470,HLOOKUP(INDIRECT(ADDRESS(2,COLUMN())),OFFSET($AM$2,0,0,ROW()-1,33),ROW()-1,FALSE))</f>
        <v>22535</v>
      </c>
      <c r="V50">
        <f ca="1">IF(AND(ISNUMBER($V$470),$B$427=1),$V$470,HLOOKUP(INDIRECT(ADDRESS(2,COLUMN())),OFFSET($AM$2,0,0,ROW()-1,33),ROW()-1,FALSE))</f>
        <v>23516</v>
      </c>
      <c r="W50">
        <f ca="1">IF(AND(ISNUMBER($W$470),$B$427=1),$W$470,HLOOKUP(INDIRECT(ADDRESS(2,COLUMN())),OFFSET($AM$2,0,0,ROW()-1,33),ROW()-1,FALSE))</f>
        <v>21906</v>
      </c>
      <c r="X50">
        <f ca="1">IF(AND(ISNUMBER($X$470),$B$427=1),$X$470,HLOOKUP(INDIRECT(ADDRESS(2,COLUMN())),OFFSET($AM$2,0,0,ROW()-1,33),ROW()-1,FALSE))</f>
        <v>10099</v>
      </c>
      <c r="Y50">
        <f ca="1">IF(AND(ISNUMBER($Y$470),$B$427=1),$Y$470,HLOOKUP(INDIRECT(ADDRESS(2,COLUMN())),OFFSET($AM$2,0,0,ROW()-1,33),ROW()-1,FALSE))</f>
        <v>9367</v>
      </c>
      <c r="Z50">
        <f ca="1">IF(AND(ISNUMBER($Z$470),$B$427=1),$Z$470,HLOOKUP(INDIRECT(ADDRESS(2,COLUMN())),OFFSET($AM$2,0,0,ROW()-1,33),ROW()-1,FALSE))</f>
        <v>9674</v>
      </c>
      <c r="AA50">
        <f ca="1">IF(AND(ISNUMBER($AA$470),$B$427=1),$AA$470,HLOOKUP(INDIRECT(ADDRESS(2,COLUMN())),OFFSET($AM$2,0,0,ROW()-1,33),ROW()-1,FALSE))</f>
        <v>8907</v>
      </c>
      <c r="AB50">
        <f ca="1">IF(AND(ISNUMBER($AB$470),$B$427=1),$AB$470,HLOOKUP(INDIRECT(ADDRESS(2,COLUMN())),OFFSET($AM$2,0,0,ROW()-1,33),ROW()-1,FALSE))</f>
        <v>8598</v>
      </c>
      <c r="AC50">
        <f ca="1">IF(AND(ISNUMBER($AC$470),$B$427=1),$AC$470,HLOOKUP(INDIRECT(ADDRESS(2,COLUMN())),OFFSET($AM$2,0,0,ROW()-1,33),ROW()-1,FALSE))</f>
        <v>3507</v>
      </c>
      <c r="AD50">
        <f ca="1">IF(AND(ISNUMBER($AD$470),$B$427=1),$AD$470,HLOOKUP(INDIRECT(ADDRESS(2,COLUMN())),OFFSET($AM$2,0,0,ROW()-1,33),ROW()-1,FALSE))</f>
        <v>1789.53</v>
      </c>
      <c r="AE50">
        <f ca="1">IF(AND(ISNUMBER($AE$470),$B$427=1),$AE$470,HLOOKUP(INDIRECT(ADDRESS(2,COLUMN())),OFFSET($AM$2,0,0,ROW()-1,33),ROW()-1,FALSE))</f>
        <v>1720.414</v>
      </c>
      <c r="AF50">
        <f ca="1">IF(AND(ISNUMBER($AF$470),$B$427=1),$AF$470,HLOOKUP(INDIRECT(ADDRESS(2,COLUMN())),OFFSET($AM$2,0,0,ROW()-1,33),ROW()-1,FALSE))</f>
        <v>1757.6210000000001</v>
      </c>
      <c r="AG50" t="str">
        <f ca="1">IF(AND(ISNUMBER($AG$470),$B$427=1),$AG$470,HLOOKUP(INDIRECT(ADDRESS(2,COLUMN())),OFFSET($AM$2,0,0,ROW()-1,33),ROW()-1,FALSE))</f>
        <v/>
      </c>
      <c r="AH50" t="str">
        <f ca="1">IF(AND(ISNUMBER($AH$470),$B$427=1),$AH$470,HLOOKUP(INDIRECT(ADDRESS(2,COLUMN())),OFFSET($AM$2,0,0,ROW()-1,33),ROW()-1,FALSE))</f>
        <v/>
      </c>
      <c r="AI50" t="str">
        <f ca="1">IF(AND(ISNUMBER($AI$470),$B$427=1),$AI$470,HLOOKUP(INDIRECT(ADDRESS(2,COLUMN())),OFFSET($AM$2,0,0,ROW()-1,33),ROW()-1,FALSE))</f>
        <v/>
      </c>
      <c r="AJ50" t="str">
        <f ca="1">IF(AND(ISNUMBER($AJ$470),$B$427=1),$AJ$470,HLOOKUP(INDIRECT(ADDRESS(2,COLUMN())),OFFSET($AM$2,0,0,ROW()-1,33),ROW()-1,FALSE))</f>
        <v/>
      </c>
      <c r="AK50" t="str">
        <f ca="1">IF(AND(ISNUMBER($AK$470),$B$427=1),$AK$470,HLOOKUP(INDIRECT(ADDRESS(2,COLUMN())),OFFSET($AM$2,0,0,ROW()-1,33),ROW()-1,FALSE))</f>
        <v/>
      </c>
      <c r="AL50" t="str">
        <f ca="1">IF(AND(ISNUMBER($AL$470),$B$427=1),$AL$470,HLOOKUP(INDIRECT(ADDRESS(2,COLUMN())),OFFSET($AM$2,0,0,ROW()-1,33),ROW()-1,FALSE))</f>
        <v/>
      </c>
      <c r="AM50">
        <f>26022</f>
        <v>26022</v>
      </c>
      <c r="AN50">
        <f>26641</f>
        <v>26641</v>
      </c>
      <c r="AO50">
        <f>27148</f>
        <v>27148</v>
      </c>
      <c r="AP50">
        <f>27498</f>
        <v>27498</v>
      </c>
      <c r="AQ50">
        <f>25899</f>
        <v>25899</v>
      </c>
      <c r="AR50">
        <f>25137</f>
        <v>25137</v>
      </c>
      <c r="AS50">
        <f>25049</f>
        <v>25049</v>
      </c>
      <c r="AT50">
        <f>19712</f>
        <v>19712</v>
      </c>
      <c r="AU50">
        <f>15561</f>
        <v>15561</v>
      </c>
      <c r="AV50">
        <f>12173</f>
        <v>12173</v>
      </c>
      <c r="AW50">
        <f>10681</f>
        <v>10681</v>
      </c>
      <c r="AX50">
        <f>10018</f>
        <v>10018</v>
      </c>
      <c r="AY50">
        <f>8940</f>
        <v>8940</v>
      </c>
      <c r="AZ50">
        <f>8607</f>
        <v>8607</v>
      </c>
      <c r="BA50">
        <f>11518</f>
        <v>11518</v>
      </c>
      <c r="BB50">
        <f>22535</f>
        <v>22535</v>
      </c>
      <c r="BC50">
        <f>23516</f>
        <v>23516</v>
      </c>
      <c r="BD50">
        <f>21906</f>
        <v>21906</v>
      </c>
      <c r="BE50">
        <f>10099</f>
        <v>10099</v>
      </c>
      <c r="BF50">
        <f>9367</f>
        <v>9367</v>
      </c>
      <c r="BG50">
        <f>9674</f>
        <v>9674</v>
      </c>
      <c r="BH50">
        <f>8907</f>
        <v>8907</v>
      </c>
      <c r="BI50">
        <f>8598</f>
        <v>8598</v>
      </c>
      <c r="BJ50">
        <f>3507</f>
        <v>3507</v>
      </c>
      <c r="BK50">
        <f>1789.53</f>
        <v>1789.53</v>
      </c>
      <c r="BL50">
        <f>1720.414</f>
        <v>1720.414</v>
      </c>
      <c r="BM50">
        <f>1757.621</f>
        <v>1757.6210000000001</v>
      </c>
      <c r="BN50" t="str">
        <f>""</f>
        <v/>
      </c>
      <c r="BO50" t="str">
        <f>""</f>
        <v/>
      </c>
      <c r="BP50" t="str">
        <f>""</f>
        <v/>
      </c>
      <c r="BQ50" t="str">
        <f>""</f>
        <v/>
      </c>
      <c r="BR50" t="str">
        <f>""</f>
        <v/>
      </c>
      <c r="BS50" t="str">
        <f>""</f>
        <v/>
      </c>
    </row>
    <row r="51" spans="1:71" x14ac:dyDescent="0.25">
      <c r="A51" t="str">
        <f>"            Citizens Financial Group Inc"</f>
        <v xml:space="preserve">            Citizens Financial Group Inc</v>
      </c>
      <c r="B51" t="str">
        <f>"CFG US Equity"</f>
        <v>CFG US Equity</v>
      </c>
      <c r="C51" t="str">
        <f t="shared" si="6"/>
        <v>F0375</v>
      </c>
      <c r="D51" t="str">
        <f t="shared" si="7"/>
        <v>FED_CRE_LNS_INCL_APTS_&amp;_FRMLND</v>
      </c>
      <c r="E51" t="str">
        <f t="shared" si="8"/>
        <v>Dynamic</v>
      </c>
      <c r="F51">
        <f ca="1">IF(AND(ISNUMBER($F$471),$B$427=1),$F$471,HLOOKUP(INDIRECT(ADDRESS(2,COLUMN())),OFFSET($AM$2,0,0,ROW()-1,33),ROW()-1,FALSE))</f>
        <v>30216.67</v>
      </c>
      <c r="G51">
        <f ca="1">IF(AND(ISNUMBER($G$471),$B$427=1),$G$471,HLOOKUP(INDIRECT(ADDRESS(2,COLUMN())),OFFSET($AM$2,0,0,ROW()-1,33),ROW()-1,FALSE))</f>
        <v>32470.03</v>
      </c>
      <c r="H51">
        <f ca="1">IF(AND(ISNUMBER($H$471),$B$427=1),$H$471,HLOOKUP(INDIRECT(ADDRESS(2,COLUMN())),OFFSET($AM$2,0,0,ROW()-1,33),ROW()-1,FALSE))</f>
        <v>32776.512999999999</v>
      </c>
      <c r="I51">
        <f ca="1">IF(AND(ISNUMBER($I$471),$B$427=1),$I$471,HLOOKUP(INDIRECT(ADDRESS(2,COLUMN())),OFFSET($AM$2,0,0,ROW()-1,33),ROW()-1,FALSE))</f>
        <v>17114.733</v>
      </c>
      <c r="J51">
        <f ca="1">IF(AND(ISNUMBER($J$471),$B$427=1),$J$471,HLOOKUP(INDIRECT(ADDRESS(2,COLUMN())),OFFSET($AM$2,0,0,ROW()-1,33),ROW()-1,FALSE))</f>
        <v>17881.262999999999</v>
      </c>
      <c r="K51">
        <f ca="1">IF(AND(ISNUMBER($K$471),$B$427=1),$K$471,HLOOKUP(INDIRECT(ADDRESS(2,COLUMN())),OFFSET($AM$2,0,0,ROW()-1,33),ROW()-1,FALSE))</f>
        <v>17129.416000000001</v>
      </c>
      <c r="L51">
        <f ca="1">IF(AND(ISNUMBER($L$471),$B$427=1),$L$471,HLOOKUP(INDIRECT(ADDRESS(2,COLUMN())),OFFSET($AM$2,0,0,ROW()-1,33),ROW()-1,FALSE))</f>
        <v>16632.873</v>
      </c>
      <c r="M51">
        <f ca="1">IF(AND(ISNUMBER($M$471),$B$427=1),$M$471,HLOOKUP(INDIRECT(ADDRESS(2,COLUMN())),OFFSET($AM$2,0,0,ROW()-1,33),ROW()-1,FALSE))</f>
        <v>15312.878000000001</v>
      </c>
      <c r="N51">
        <f ca="1">IF(AND(ISNUMBER($N$471),$B$427=1),$N$471,HLOOKUP(INDIRECT(ADDRESS(2,COLUMN())),OFFSET($AM$2,0,0,ROW()-1,33),ROW()-1,FALSE))</f>
        <v>13638.348</v>
      </c>
      <c r="O51">
        <f ca="1">IF(AND(ISNUMBER($O$471),$B$427=1),$O$471,HLOOKUP(INDIRECT(ADDRESS(2,COLUMN())),OFFSET($AM$2,0,0,ROW()-1,33),ROW()-1,FALSE))</f>
        <v>11997.605</v>
      </c>
      <c r="P51">
        <f ca="1">IF(AND(ISNUMBER($P$471),$B$427=1),$P$471,HLOOKUP(INDIRECT(ADDRESS(2,COLUMN())),OFFSET($AM$2,0,0,ROW()-1,33),ROW()-1,FALSE))</f>
        <v>10353.701999999999</v>
      </c>
      <c r="Q51">
        <f ca="1">IF(AND(ISNUMBER($Q$471),$B$427=1),$Q$471,HLOOKUP(INDIRECT(ADDRESS(2,COLUMN())),OFFSET($AM$2,0,0,ROW()-1,33),ROW()-1,FALSE))</f>
        <v>10565.642</v>
      </c>
      <c r="R51">
        <f ca="1">IF(AND(ISNUMBER($R$471),$B$427=1),$R$471,HLOOKUP(INDIRECT(ADDRESS(2,COLUMN())),OFFSET($AM$2,0,0,ROW()-1,33),ROW()-1,FALSE))</f>
        <v>11488.772999999999</v>
      </c>
      <c r="S51">
        <f ca="1">IF(AND(ISNUMBER($S$471),$B$427=1),$S$471,HLOOKUP(INDIRECT(ADDRESS(2,COLUMN())),OFFSET($AM$2,0,0,ROW()-1,33),ROW()-1,FALSE))</f>
        <v>12890.806</v>
      </c>
      <c r="T51">
        <f ca="1">IF(AND(ISNUMBER($T$471),$B$427=1),$T$471,HLOOKUP(INDIRECT(ADDRESS(2,COLUMN())),OFFSET($AM$2,0,0,ROW()-1,33),ROW()-1,FALSE))</f>
        <v>13868.047</v>
      </c>
      <c r="U51">
        <f ca="1">IF(AND(ISNUMBER($U$471),$B$427=1),$U$471,HLOOKUP(INDIRECT(ADDRESS(2,COLUMN())),OFFSET($AM$2,0,0,ROW()-1,33),ROW()-1,FALSE))</f>
        <v>15030.448</v>
      </c>
      <c r="V51">
        <f ca="1">IF(AND(ISNUMBER($V$471),$B$427=1),$V$471,HLOOKUP(INDIRECT(ADDRESS(2,COLUMN())),OFFSET($AM$2,0,0,ROW()-1,33),ROW()-1,FALSE))</f>
        <v>15253.687</v>
      </c>
      <c r="W51">
        <f ca="1">IF(AND(ISNUMBER($W$471),$B$427=1),$W$471,HLOOKUP(INDIRECT(ADDRESS(2,COLUMN())),OFFSET($AM$2,0,0,ROW()-1,33),ROW()-1,FALSE))</f>
        <v>11676.735000000001</v>
      </c>
      <c r="X51">
        <f ca="1">IF(AND(ISNUMBER($X$471),$B$427=1),$X$471,HLOOKUP(INDIRECT(ADDRESS(2,COLUMN())),OFFSET($AM$2,0,0,ROW()-1,33),ROW()-1,FALSE))</f>
        <v>1041.67</v>
      </c>
      <c r="Y51">
        <f ca="1">IF(AND(ISNUMBER($Y$471),$B$427=1),$Y$471,HLOOKUP(INDIRECT(ADDRESS(2,COLUMN())),OFFSET($AM$2,0,0,ROW()-1,33),ROW()-1,FALSE))</f>
        <v>1236.299</v>
      </c>
      <c r="Z51">
        <f ca="1">IF(AND(ISNUMBER($Z$471),$B$427=1),$Z$471,HLOOKUP(INDIRECT(ADDRESS(2,COLUMN())),OFFSET($AM$2,0,0,ROW()-1,33),ROW()-1,FALSE))</f>
        <v>1268.3710000000001</v>
      </c>
      <c r="AA51">
        <f ca="1">IF(AND(ISNUMBER($AA$471),$B$427=1),$AA$471,HLOOKUP(INDIRECT(ADDRESS(2,COLUMN())),OFFSET($AM$2,0,0,ROW()-1,33),ROW()-1,FALSE))</f>
        <v>280.846</v>
      </c>
      <c r="AB51">
        <f ca="1">IF(AND(ISNUMBER($AB$471),$B$427=1),$AB$471,HLOOKUP(INDIRECT(ADDRESS(2,COLUMN())),OFFSET($AM$2,0,0,ROW()-1,33),ROW()-1,FALSE))</f>
        <v>210.35499999999999</v>
      </c>
      <c r="AC51">
        <f ca="1">IF(AND(ISNUMBER($AC$471),$B$427=1),$AC$471,HLOOKUP(INDIRECT(ADDRESS(2,COLUMN())),OFFSET($AM$2,0,0,ROW()-1,33),ROW()-1,FALSE))</f>
        <v>241.959</v>
      </c>
      <c r="AD51" t="str">
        <f ca="1">IF(AND(ISNUMBER($AD$471),$B$427=1),$AD$471,HLOOKUP(INDIRECT(ADDRESS(2,COLUMN())),OFFSET($AM$2,0,0,ROW()-1,33),ROW()-1,FALSE))</f>
        <v/>
      </c>
      <c r="AE51" t="str">
        <f ca="1">IF(AND(ISNUMBER($AE$471),$B$427=1),$AE$471,HLOOKUP(INDIRECT(ADDRESS(2,COLUMN())),OFFSET($AM$2,0,0,ROW()-1,33),ROW()-1,FALSE))</f>
        <v/>
      </c>
      <c r="AF51" t="str">
        <f ca="1">IF(AND(ISNUMBER($AF$471),$B$427=1),$AF$471,HLOOKUP(INDIRECT(ADDRESS(2,COLUMN())),OFFSET($AM$2,0,0,ROW()-1,33),ROW()-1,FALSE))</f>
        <v/>
      </c>
      <c r="AG51" t="str">
        <f ca="1">IF(AND(ISNUMBER($AG$471),$B$427=1),$AG$471,HLOOKUP(INDIRECT(ADDRESS(2,COLUMN())),OFFSET($AM$2,0,0,ROW()-1,33),ROW()-1,FALSE))</f>
        <v/>
      </c>
      <c r="AH51" t="str">
        <f ca="1">IF(AND(ISNUMBER($AH$471),$B$427=1),$AH$471,HLOOKUP(INDIRECT(ADDRESS(2,COLUMN())),OFFSET($AM$2,0,0,ROW()-1,33),ROW()-1,FALSE))</f>
        <v/>
      </c>
      <c r="AI51" t="str">
        <f ca="1">IF(AND(ISNUMBER($AI$471),$B$427=1),$AI$471,HLOOKUP(INDIRECT(ADDRESS(2,COLUMN())),OFFSET($AM$2,0,0,ROW()-1,33),ROW()-1,FALSE))</f>
        <v/>
      </c>
      <c r="AJ51" t="str">
        <f ca="1">IF(AND(ISNUMBER($AJ$471),$B$427=1),$AJ$471,HLOOKUP(INDIRECT(ADDRESS(2,COLUMN())),OFFSET($AM$2,0,0,ROW()-1,33),ROW()-1,FALSE))</f>
        <v/>
      </c>
      <c r="AK51" t="str">
        <f ca="1">IF(AND(ISNUMBER($AK$471),$B$427=1),$AK$471,HLOOKUP(INDIRECT(ADDRESS(2,COLUMN())),OFFSET($AM$2,0,0,ROW()-1,33),ROW()-1,FALSE))</f>
        <v/>
      </c>
      <c r="AL51" t="str">
        <f ca="1">IF(AND(ISNUMBER($AL$471),$B$427=1),$AL$471,HLOOKUP(INDIRECT(ADDRESS(2,COLUMN())),OFFSET($AM$2,0,0,ROW()-1,33),ROW()-1,FALSE))</f>
        <v/>
      </c>
      <c r="AM51">
        <f>30216.67</f>
        <v>30216.67</v>
      </c>
      <c r="AN51">
        <f>32470.03</f>
        <v>32470.03</v>
      </c>
      <c r="AO51">
        <f>32776.513</f>
        <v>32776.512999999999</v>
      </c>
      <c r="AP51">
        <f>17114.733</f>
        <v>17114.733</v>
      </c>
      <c r="AQ51">
        <f>17881.263</f>
        <v>17881.262999999999</v>
      </c>
      <c r="AR51">
        <f>17129.416</f>
        <v>17129.416000000001</v>
      </c>
      <c r="AS51">
        <f>16632.873</f>
        <v>16632.873</v>
      </c>
      <c r="AT51">
        <f>15312.878</f>
        <v>15312.878000000001</v>
      </c>
      <c r="AU51">
        <f>13638.348</f>
        <v>13638.348</v>
      </c>
      <c r="AV51">
        <f>11997.605</f>
        <v>11997.605</v>
      </c>
      <c r="AW51">
        <f>10353.702</f>
        <v>10353.701999999999</v>
      </c>
      <c r="AX51">
        <f>10565.642</f>
        <v>10565.642</v>
      </c>
      <c r="AY51">
        <f>11488.773</f>
        <v>11488.772999999999</v>
      </c>
      <c r="AZ51">
        <f>12890.806</f>
        <v>12890.806</v>
      </c>
      <c r="BA51">
        <f>13868.047</f>
        <v>13868.047</v>
      </c>
      <c r="BB51">
        <f>15030.448</f>
        <v>15030.448</v>
      </c>
      <c r="BC51">
        <f>15253.687</f>
        <v>15253.687</v>
      </c>
      <c r="BD51">
        <f>11676.735</f>
        <v>11676.735000000001</v>
      </c>
      <c r="BE51">
        <f>1041.67</f>
        <v>1041.67</v>
      </c>
      <c r="BF51">
        <f>1236.299</f>
        <v>1236.299</v>
      </c>
      <c r="BG51">
        <f>1268.371</f>
        <v>1268.3710000000001</v>
      </c>
      <c r="BH51">
        <f>280.846</f>
        <v>280.846</v>
      </c>
      <c r="BI51">
        <f>210.355</f>
        <v>210.35499999999999</v>
      </c>
      <c r="BJ51">
        <f>241.959</f>
        <v>241.959</v>
      </c>
      <c r="BK51" t="str">
        <f>""</f>
        <v/>
      </c>
      <c r="BL51" t="str">
        <f>""</f>
        <v/>
      </c>
      <c r="BM51" t="str">
        <f>""</f>
        <v/>
      </c>
      <c r="BN51" t="str">
        <f>""</f>
        <v/>
      </c>
      <c r="BO51" t="str">
        <f>""</f>
        <v/>
      </c>
      <c r="BP51" t="str">
        <f>""</f>
        <v/>
      </c>
      <c r="BQ51" t="str">
        <f>""</f>
        <v/>
      </c>
      <c r="BR51" t="str">
        <f>""</f>
        <v/>
      </c>
      <c r="BS51" t="str">
        <f>""</f>
        <v/>
      </c>
    </row>
    <row r="52" spans="1:71" x14ac:dyDescent="0.25">
      <c r="A52" t="str">
        <f>"            Capital One Financial Corp"</f>
        <v xml:space="preserve">            Capital One Financial Corp</v>
      </c>
      <c r="B52" t="str">
        <f>"COF US Equity"</f>
        <v>COF US Equity</v>
      </c>
      <c r="C52" t="str">
        <f t="shared" si="6"/>
        <v>F0375</v>
      </c>
      <c r="D52" t="str">
        <f t="shared" si="7"/>
        <v>FED_CRE_LNS_INCL_APTS_&amp;_FRMLND</v>
      </c>
      <c r="E52" t="str">
        <f t="shared" si="8"/>
        <v>Dynamic</v>
      </c>
      <c r="F52">
        <f ca="1">IF(AND(ISNUMBER($F$472),$B$427=1),$F$472,HLOOKUP(INDIRECT(ADDRESS(2,COLUMN())),OFFSET($AM$2,0,0,ROW()-1,33),ROW()-1,FALSE))</f>
        <v>26205.478999999999</v>
      </c>
      <c r="G52">
        <f ca="1">IF(AND(ISNUMBER($G$472),$B$427=1),$G$472,HLOOKUP(INDIRECT(ADDRESS(2,COLUMN())),OFFSET($AM$2,0,0,ROW()-1,33),ROW()-1,FALSE))</f>
        <v>28950.134999999998</v>
      </c>
      <c r="H52">
        <f ca="1">IF(AND(ISNUMBER($H$472),$B$427=1),$H$472,HLOOKUP(INDIRECT(ADDRESS(2,COLUMN())),OFFSET($AM$2,0,0,ROW()-1,33),ROW()-1,FALSE))</f>
        <v>30340.308000000001</v>
      </c>
      <c r="I52">
        <f ca="1">IF(AND(ISNUMBER($I$472),$B$427=1),$I$472,HLOOKUP(INDIRECT(ADDRESS(2,COLUMN())),OFFSET($AM$2,0,0,ROW()-1,33),ROW()-1,FALSE))</f>
        <v>32035.034</v>
      </c>
      <c r="J52">
        <f ca="1">IF(AND(ISNUMBER($J$472),$B$427=1),$J$472,HLOOKUP(INDIRECT(ADDRESS(2,COLUMN())),OFFSET($AM$2,0,0,ROW()-1,33),ROW()-1,FALSE))</f>
        <v>32071.86</v>
      </c>
      <c r="K52">
        <f ca="1">IF(AND(ISNUMBER($K$472),$B$427=1),$K$472,HLOOKUP(INDIRECT(ADDRESS(2,COLUMN())),OFFSET($AM$2,0,0,ROW()-1,33),ROW()-1,FALSE))</f>
        <v>31071.784</v>
      </c>
      <c r="L52">
        <f ca="1">IF(AND(ISNUMBER($L$472),$B$427=1),$L$472,HLOOKUP(INDIRECT(ADDRESS(2,COLUMN())),OFFSET($AM$2,0,0,ROW()-1,33),ROW()-1,FALSE))</f>
        <v>30797.63</v>
      </c>
      <c r="M52">
        <f ca="1">IF(AND(ISNUMBER($M$472),$B$427=1),$M$472,HLOOKUP(INDIRECT(ADDRESS(2,COLUMN())),OFFSET($AM$2,0,0,ROW()-1,33),ROW()-1,FALSE))</f>
        <v>29416.893</v>
      </c>
      <c r="N52">
        <f ca="1">IF(AND(ISNUMBER($N$472),$B$427=1),$N$472,HLOOKUP(INDIRECT(ADDRESS(2,COLUMN())),OFFSET($AM$2,0,0,ROW()-1,33),ROW()-1,FALSE))</f>
        <v>30214.210999999999</v>
      </c>
      <c r="O52">
        <f ca="1">IF(AND(ISNUMBER($O$472),$B$427=1),$O$472,HLOOKUP(INDIRECT(ADDRESS(2,COLUMN())),OFFSET($AM$2,0,0,ROW()-1,33),ROW()-1,FALSE))</f>
        <v>28262.728999999999</v>
      </c>
      <c r="P52">
        <f ca="1">IF(AND(ISNUMBER($P$472),$B$427=1),$P$472,HLOOKUP(INDIRECT(ADDRESS(2,COLUMN())),OFFSET($AM$2,0,0,ROW()-1,33),ROW()-1,FALSE))</f>
        <v>23354.244999999999</v>
      </c>
      <c r="Q52">
        <f ca="1">IF(AND(ISNUMBER($Q$472),$B$427=1),$Q$472,HLOOKUP(INDIRECT(ADDRESS(2,COLUMN())),OFFSET($AM$2,0,0,ROW()-1,33),ROW()-1,FALSE))</f>
        <v>21703.063999999998</v>
      </c>
      <c r="R52">
        <f ca="1">IF(AND(ISNUMBER($R$472),$B$427=1),$R$472,HLOOKUP(INDIRECT(ADDRESS(2,COLUMN())),OFFSET($AM$2,0,0,ROW()-1,33),ROW()-1,FALSE))</f>
        <v>19551.599999999999</v>
      </c>
      <c r="S52">
        <f ca="1">IF(AND(ISNUMBER($S$472),$B$427=1),$S$472,HLOOKUP(INDIRECT(ADDRESS(2,COLUMN())),OFFSET($AM$2,0,0,ROW()-1,33),ROW()-1,FALSE))</f>
        <v>18913.895</v>
      </c>
      <c r="T52">
        <f ca="1">IF(AND(ISNUMBER($T$472),$B$427=1),$T$472,HLOOKUP(INDIRECT(ADDRESS(2,COLUMN())),OFFSET($AM$2,0,0,ROW()-1,33),ROW()-1,FALSE))</f>
        <v>17764.815999999999</v>
      </c>
      <c r="U52">
        <f ca="1">IF(AND(ISNUMBER($U$472),$B$427=1),$U$472,HLOOKUP(INDIRECT(ADDRESS(2,COLUMN())),OFFSET($AM$2,0,0,ROW()-1,33),ROW()-1,FALSE))</f>
        <v>19107.246999999999</v>
      </c>
      <c r="V52">
        <f ca="1">IF(AND(ISNUMBER($V$472),$B$427=1),$V$472,HLOOKUP(INDIRECT(ADDRESS(2,COLUMN())),OFFSET($AM$2,0,0,ROW()-1,33),ROW()-1,FALSE))</f>
        <v>18901.184000000001</v>
      </c>
      <c r="W52">
        <f ca="1">IF(AND(ISNUMBER($W$472),$B$427=1),$W$472,HLOOKUP(INDIRECT(ADDRESS(2,COLUMN())),OFFSET($AM$2,0,0,ROW()-1,33),ROW()-1,FALSE))</f>
        <v>18322.043000000001</v>
      </c>
      <c r="X52">
        <f ca="1">IF(AND(ISNUMBER($X$472),$B$427=1),$X$472,HLOOKUP(INDIRECT(ADDRESS(2,COLUMN())),OFFSET($AM$2,0,0,ROW()-1,33),ROW()-1,FALSE))</f>
        <v>5335.9880000000003</v>
      </c>
      <c r="Y52">
        <f ca="1">IF(AND(ISNUMBER($Y$472),$B$427=1),$Y$472,HLOOKUP(INDIRECT(ADDRESS(2,COLUMN())),OFFSET($AM$2,0,0,ROW()-1,33),ROW()-1,FALSE))</f>
        <v>189.494</v>
      </c>
      <c r="Z52">
        <f ca="1">IF(AND(ISNUMBER($Z$472),$B$427=1),$Z$472,HLOOKUP(INDIRECT(ADDRESS(2,COLUMN())),OFFSET($AM$2,0,0,ROW()-1,33),ROW()-1,FALSE))</f>
        <v>0</v>
      </c>
      <c r="AA52" t="str">
        <f ca="1">IF(AND(ISNUMBER($AA$472),$B$427=1),$AA$472,HLOOKUP(INDIRECT(ADDRESS(2,COLUMN())),OFFSET($AM$2,0,0,ROW()-1,33),ROW()-1,FALSE))</f>
        <v/>
      </c>
      <c r="AB52" t="str">
        <f ca="1">IF(AND(ISNUMBER($AB$472),$B$427=1),$AB$472,HLOOKUP(INDIRECT(ADDRESS(2,COLUMN())),OFFSET($AM$2,0,0,ROW()-1,33),ROW()-1,FALSE))</f>
        <v/>
      </c>
      <c r="AC52" t="str">
        <f ca="1">IF(AND(ISNUMBER($AC$472),$B$427=1),$AC$472,HLOOKUP(INDIRECT(ADDRESS(2,COLUMN())),OFFSET($AM$2,0,0,ROW()-1,33),ROW()-1,FALSE))</f>
        <v/>
      </c>
      <c r="AD52" t="str">
        <f ca="1">IF(AND(ISNUMBER($AD$472),$B$427=1),$AD$472,HLOOKUP(INDIRECT(ADDRESS(2,COLUMN())),OFFSET($AM$2,0,0,ROW()-1,33),ROW()-1,FALSE))</f>
        <v/>
      </c>
      <c r="AE52" t="str">
        <f ca="1">IF(AND(ISNUMBER($AE$472),$B$427=1),$AE$472,HLOOKUP(INDIRECT(ADDRESS(2,COLUMN())),OFFSET($AM$2,0,0,ROW()-1,33),ROW()-1,FALSE))</f>
        <v/>
      </c>
      <c r="AF52" t="str">
        <f ca="1">IF(AND(ISNUMBER($AF$472),$B$427=1),$AF$472,HLOOKUP(INDIRECT(ADDRESS(2,COLUMN())),OFFSET($AM$2,0,0,ROW()-1,33),ROW()-1,FALSE))</f>
        <v/>
      </c>
      <c r="AG52" t="str">
        <f ca="1">IF(AND(ISNUMBER($AG$472),$B$427=1),$AG$472,HLOOKUP(INDIRECT(ADDRESS(2,COLUMN())),OFFSET($AM$2,0,0,ROW()-1,33),ROW()-1,FALSE))</f>
        <v/>
      </c>
      <c r="AH52" t="str">
        <f ca="1">IF(AND(ISNUMBER($AH$472),$B$427=1),$AH$472,HLOOKUP(INDIRECT(ADDRESS(2,COLUMN())),OFFSET($AM$2,0,0,ROW()-1,33),ROW()-1,FALSE))</f>
        <v/>
      </c>
      <c r="AI52" t="str">
        <f ca="1">IF(AND(ISNUMBER($AI$472),$B$427=1),$AI$472,HLOOKUP(INDIRECT(ADDRESS(2,COLUMN())),OFFSET($AM$2,0,0,ROW()-1,33),ROW()-1,FALSE))</f>
        <v/>
      </c>
      <c r="AJ52" t="str">
        <f ca="1">IF(AND(ISNUMBER($AJ$472),$B$427=1),$AJ$472,HLOOKUP(INDIRECT(ADDRESS(2,COLUMN())),OFFSET($AM$2,0,0,ROW()-1,33),ROW()-1,FALSE))</f>
        <v/>
      </c>
      <c r="AK52" t="str">
        <f ca="1">IF(AND(ISNUMBER($AK$472),$B$427=1),$AK$472,HLOOKUP(INDIRECT(ADDRESS(2,COLUMN())),OFFSET($AM$2,0,0,ROW()-1,33),ROW()-1,FALSE))</f>
        <v/>
      </c>
      <c r="AL52" t="str">
        <f ca="1">IF(AND(ISNUMBER($AL$472),$B$427=1),$AL$472,HLOOKUP(INDIRECT(ADDRESS(2,COLUMN())),OFFSET($AM$2,0,0,ROW()-1,33),ROW()-1,FALSE))</f>
        <v/>
      </c>
      <c r="AM52">
        <f>26205.479</f>
        <v>26205.478999999999</v>
      </c>
      <c r="AN52">
        <f>28950.135</f>
        <v>28950.134999999998</v>
      </c>
      <c r="AO52">
        <f>30340.308</f>
        <v>30340.308000000001</v>
      </c>
      <c r="AP52">
        <f>32035.034</f>
        <v>32035.034</v>
      </c>
      <c r="AQ52">
        <f>32071.86</f>
        <v>32071.86</v>
      </c>
      <c r="AR52">
        <f>31071.784</f>
        <v>31071.784</v>
      </c>
      <c r="AS52">
        <f>30797.63</f>
        <v>30797.63</v>
      </c>
      <c r="AT52">
        <f>29416.893</f>
        <v>29416.893</v>
      </c>
      <c r="AU52">
        <f>30214.211</f>
        <v>30214.210999999999</v>
      </c>
      <c r="AV52">
        <f>28262.729</f>
        <v>28262.728999999999</v>
      </c>
      <c r="AW52">
        <f>23354.245</f>
        <v>23354.244999999999</v>
      </c>
      <c r="AX52">
        <f>21703.064</f>
        <v>21703.063999999998</v>
      </c>
      <c r="AY52">
        <f>19551.6</f>
        <v>19551.599999999999</v>
      </c>
      <c r="AZ52">
        <f>18913.895</f>
        <v>18913.895</v>
      </c>
      <c r="BA52">
        <f>17764.816</f>
        <v>17764.815999999999</v>
      </c>
      <c r="BB52">
        <f>19107.247</f>
        <v>19107.246999999999</v>
      </c>
      <c r="BC52">
        <f>18901.184</f>
        <v>18901.184000000001</v>
      </c>
      <c r="BD52">
        <f>18322.043</f>
        <v>18322.043000000001</v>
      </c>
      <c r="BE52">
        <f>5335.988</f>
        <v>5335.9880000000003</v>
      </c>
      <c r="BF52">
        <f>189.494</f>
        <v>189.494</v>
      </c>
      <c r="BG52">
        <f>0</f>
        <v>0</v>
      </c>
      <c r="BH52" t="str">
        <f>""</f>
        <v/>
      </c>
      <c r="BI52" t="str">
        <f>""</f>
        <v/>
      </c>
      <c r="BJ52" t="str">
        <f>""</f>
        <v/>
      </c>
      <c r="BK52" t="str">
        <f>""</f>
        <v/>
      </c>
      <c r="BL52" t="str">
        <f>""</f>
        <v/>
      </c>
      <c r="BM52" t="str">
        <f>""</f>
        <v/>
      </c>
      <c r="BN52" t="str">
        <f>""</f>
        <v/>
      </c>
      <c r="BO52" t="str">
        <f>""</f>
        <v/>
      </c>
      <c r="BP52" t="str">
        <f>""</f>
        <v/>
      </c>
      <c r="BQ52" t="str">
        <f>""</f>
        <v/>
      </c>
      <c r="BR52" t="str">
        <f>""</f>
        <v/>
      </c>
      <c r="BS52" t="str">
        <f>""</f>
        <v/>
      </c>
    </row>
    <row r="53" spans="1:71" x14ac:dyDescent="0.25">
      <c r="A53" t="str">
        <f>"            Comerica Inc"</f>
        <v xml:space="preserve">            Comerica Inc</v>
      </c>
      <c r="B53" t="str">
        <f>"CMA US Equity"</f>
        <v>CMA US Equity</v>
      </c>
      <c r="C53" t="str">
        <f t="shared" si="6"/>
        <v>F0375</v>
      </c>
      <c r="D53" t="str">
        <f t="shared" si="7"/>
        <v>FED_CRE_LNS_INCL_APTS_&amp;_FRMLND</v>
      </c>
      <c r="E53" t="str">
        <f t="shared" si="8"/>
        <v>Dynamic</v>
      </c>
      <c r="F53" t="str">
        <f ca="1">IF(AND(ISNUMBER($F$473),$B$427=1),$F$473,HLOOKUP(INDIRECT(ADDRESS(2,COLUMN())),OFFSET($AM$2,0,0,ROW()-1,33),ROW()-1,FALSE))</f>
        <v/>
      </c>
      <c r="G53">
        <f ca="1">IF(AND(ISNUMBER($G$473),$B$427=1),$G$473,HLOOKUP(INDIRECT(ADDRESS(2,COLUMN())),OFFSET($AM$2,0,0,ROW()-1,33),ROW()-1,FALSE))</f>
        <v>18373</v>
      </c>
      <c r="H53">
        <f ca="1">IF(AND(ISNUMBER($H$473),$B$427=1),$H$473,HLOOKUP(INDIRECT(ADDRESS(2,COLUMN())),OFFSET($AM$2,0,0,ROW()-1,33),ROW()-1,FALSE))</f>
        <v>15892</v>
      </c>
      <c r="I53">
        <f ca="1">IF(AND(ISNUMBER($I$473),$B$427=1),$I$473,HLOOKUP(INDIRECT(ADDRESS(2,COLUMN())),OFFSET($AM$2,0,0,ROW()-1,33),ROW()-1,FALSE))</f>
        <v>13669</v>
      </c>
      <c r="J53">
        <f ca="1">IF(AND(ISNUMBER($J$473),$B$427=1),$J$473,HLOOKUP(INDIRECT(ADDRESS(2,COLUMN())),OFFSET($AM$2,0,0,ROW()-1,33),ROW()-1,FALSE))</f>
        <v>13459</v>
      </c>
      <c r="K53">
        <f ca="1">IF(AND(ISNUMBER($K$473),$B$427=1),$K$473,HLOOKUP(INDIRECT(ADDRESS(2,COLUMN())),OFFSET($AM$2,0,0,ROW()-1,33),ROW()-1,FALSE))</f>
        <v>12532</v>
      </c>
      <c r="L53">
        <f ca="1">IF(AND(ISNUMBER($L$473),$B$427=1),$L$473,HLOOKUP(INDIRECT(ADDRESS(2,COLUMN())),OFFSET($AM$2,0,0,ROW()-1,33),ROW()-1,FALSE))</f>
        <v>11734.048000000001</v>
      </c>
      <c r="M53">
        <f ca="1">IF(AND(ISNUMBER($M$473),$B$427=1),$M$473,HLOOKUP(INDIRECT(ADDRESS(2,COLUMN())),OFFSET($AM$2,0,0,ROW()-1,33),ROW()-1,FALSE))</f>
        <v>11757.696</v>
      </c>
      <c r="N53">
        <f ca="1">IF(AND(ISNUMBER($N$473),$B$427=1),$N$473,HLOOKUP(INDIRECT(ADDRESS(2,COLUMN())),OFFSET($AM$2,0,0,ROW()-1,33),ROW()-1,FALSE))</f>
        <v>11603.868</v>
      </c>
      <c r="O53">
        <f ca="1">IF(AND(ISNUMBER($O$473),$B$427=1),$O$473,HLOOKUP(INDIRECT(ADDRESS(2,COLUMN())),OFFSET($AM$2,0,0,ROW()-1,33),ROW()-1,FALSE))</f>
        <v>10852.83</v>
      </c>
      <c r="P53">
        <f ca="1">IF(AND(ISNUMBER($P$473),$B$427=1),$P$473,HLOOKUP(INDIRECT(ADDRESS(2,COLUMN())),OFFSET($AM$2,0,0,ROW()-1,33),ROW()-1,FALSE))</f>
        <v>10376.252</v>
      </c>
      <c r="Q53">
        <f ca="1">IF(AND(ISNUMBER($Q$473),$B$427=1),$Q$473,HLOOKUP(INDIRECT(ADDRESS(2,COLUMN())),OFFSET($AM$2,0,0,ROW()-1,33),ROW()-1,FALSE))</f>
        <v>10273.226000000001</v>
      </c>
      <c r="R53">
        <f ca="1">IF(AND(ISNUMBER($R$473),$B$427=1),$R$473,HLOOKUP(INDIRECT(ADDRESS(2,COLUMN())),OFFSET($AM$2,0,0,ROW()-1,33),ROW()-1,FALSE))</f>
        <v>10359.722</v>
      </c>
      <c r="S53">
        <f ca="1">IF(AND(ISNUMBER($S$473),$B$427=1),$S$473,HLOOKUP(INDIRECT(ADDRESS(2,COLUMN())),OFFSET($AM$2,0,0,ROW()-1,33),ROW()-1,FALSE))</f>
        <v>11193.147000000001</v>
      </c>
      <c r="T53">
        <f ca="1">IF(AND(ISNUMBER($T$473),$B$427=1),$T$473,HLOOKUP(INDIRECT(ADDRESS(2,COLUMN())),OFFSET($AM$2,0,0,ROW()-1,33),ROW()-1,FALSE))</f>
        <v>11712.348</v>
      </c>
      <c r="U53">
        <f ca="1">IF(AND(ISNUMBER($U$473),$B$427=1),$U$473,HLOOKUP(INDIRECT(ADDRESS(2,COLUMN())),OFFSET($AM$2,0,0,ROW()-1,33),ROW()-1,FALSE))</f>
        <v>14142.164000000001</v>
      </c>
      <c r="V53">
        <f ca="1">IF(AND(ISNUMBER($V$473),$B$427=1),$V$473,HLOOKUP(INDIRECT(ADDRESS(2,COLUMN())),OFFSET($AM$2,0,0,ROW()-1,33),ROW()-1,FALSE))</f>
        <v>17646.64</v>
      </c>
      <c r="W53">
        <f ca="1">IF(AND(ISNUMBER($W$473),$B$427=1),$W$473,HLOOKUP(INDIRECT(ADDRESS(2,COLUMN())),OFFSET($AM$2,0,0,ROW()-1,33),ROW()-1,FALSE))</f>
        <v>18038.677</v>
      </c>
      <c r="X53">
        <f ca="1">IF(AND(ISNUMBER($X$473),$B$427=1),$X$473,HLOOKUP(INDIRECT(ADDRESS(2,COLUMN())),OFFSET($AM$2,0,0,ROW()-1,33),ROW()-1,FALSE))</f>
        <v>18.38</v>
      </c>
      <c r="Y53">
        <f ca="1">IF(AND(ISNUMBER($Y$473),$B$427=1),$Y$473,HLOOKUP(INDIRECT(ADDRESS(2,COLUMN())),OFFSET($AM$2,0,0,ROW()-1,33),ROW()-1,FALSE))</f>
        <v>12.122999999999999</v>
      </c>
      <c r="Z53">
        <f ca="1">IF(AND(ISNUMBER($Z$473),$B$427=1),$Z$473,HLOOKUP(INDIRECT(ADDRESS(2,COLUMN())),OFFSET($AM$2,0,0,ROW()-1,33),ROW()-1,FALSE))</f>
        <v>12.46</v>
      </c>
      <c r="AA53">
        <f ca="1">IF(AND(ISNUMBER($AA$473),$B$427=1),$AA$473,HLOOKUP(INDIRECT(ADDRESS(2,COLUMN())),OFFSET($AM$2,0,0,ROW()-1,33),ROW()-1,FALSE))</f>
        <v>24.815999999999999</v>
      </c>
      <c r="AB53">
        <f ca="1">IF(AND(ISNUMBER($AB$473),$B$427=1),$AB$473,HLOOKUP(INDIRECT(ADDRESS(2,COLUMN())),OFFSET($AM$2,0,0,ROW()-1,33),ROW()-1,FALSE))</f>
        <v>44.429000000000002</v>
      </c>
      <c r="AC53">
        <f ca="1">IF(AND(ISNUMBER($AC$473),$B$427=1),$AC$473,HLOOKUP(INDIRECT(ADDRESS(2,COLUMN())),OFFSET($AM$2,0,0,ROW()-1,33),ROW()-1,FALSE))</f>
        <v>69.724999999999994</v>
      </c>
      <c r="AD53">
        <f ca="1">IF(AND(ISNUMBER($AD$473),$B$427=1),$AD$473,HLOOKUP(INDIRECT(ADDRESS(2,COLUMN())),OFFSET($AM$2,0,0,ROW()-1,33),ROW()-1,FALSE))</f>
        <v>62.838000000000001</v>
      </c>
      <c r="AE53">
        <f ca="1">IF(AND(ISNUMBER($AE$473),$B$427=1),$AE$473,HLOOKUP(INDIRECT(ADDRESS(2,COLUMN())),OFFSET($AM$2,0,0,ROW()-1,33),ROW()-1,FALSE))</f>
        <v>69.790000000000006</v>
      </c>
      <c r="AF53">
        <f ca="1">IF(AND(ISNUMBER($AF$473),$B$427=1),$AF$473,HLOOKUP(INDIRECT(ADDRESS(2,COLUMN())),OFFSET($AM$2,0,0,ROW()-1,33),ROW()-1,FALSE))</f>
        <v>88.873999999999995</v>
      </c>
      <c r="AG53">
        <f ca="1">IF(AND(ISNUMBER($AG$473),$B$427=1),$AG$473,HLOOKUP(INDIRECT(ADDRESS(2,COLUMN())),OFFSET($AM$2,0,0,ROW()-1,33),ROW()-1,FALSE))</f>
        <v>79.638999999999996</v>
      </c>
      <c r="AH53">
        <f ca="1">IF(AND(ISNUMBER($AH$473),$B$427=1),$AH$473,HLOOKUP(INDIRECT(ADDRESS(2,COLUMN())),OFFSET($AM$2,0,0,ROW()-1,33),ROW()-1,FALSE))</f>
        <v>95.144999999999996</v>
      </c>
      <c r="AI53">
        <f ca="1">IF(AND(ISNUMBER($AI$473),$B$427=1),$AI$473,HLOOKUP(INDIRECT(ADDRESS(2,COLUMN())),OFFSET($AM$2,0,0,ROW()-1,33),ROW()-1,FALSE))</f>
        <v>64.888999999999996</v>
      </c>
      <c r="AJ53">
        <f ca="1">IF(AND(ISNUMBER($AJ$473),$B$427=1),$AJ$473,HLOOKUP(INDIRECT(ADDRESS(2,COLUMN())),OFFSET($AM$2,0,0,ROW()-1,33),ROW()-1,FALSE))</f>
        <v>124.377</v>
      </c>
      <c r="AK53">
        <f ca="1">IF(AND(ISNUMBER($AK$473),$B$427=1),$AK$473,HLOOKUP(INDIRECT(ADDRESS(2,COLUMN())),OFFSET($AM$2,0,0,ROW()-1,33),ROW()-1,FALSE))</f>
        <v>95.661000000000001</v>
      </c>
      <c r="AL53">
        <f ca="1">IF(AND(ISNUMBER($AL$473),$B$427=1),$AL$473,HLOOKUP(INDIRECT(ADDRESS(2,COLUMN())),OFFSET($AM$2,0,0,ROW()-1,33),ROW()-1,FALSE))</f>
        <v>132.63399999999999</v>
      </c>
      <c r="AM53" t="str">
        <f>""</f>
        <v/>
      </c>
      <c r="AN53">
        <f>18373</f>
        <v>18373</v>
      </c>
      <c r="AO53">
        <f>15892</f>
        <v>15892</v>
      </c>
      <c r="AP53">
        <f>13669</f>
        <v>13669</v>
      </c>
      <c r="AQ53">
        <f>13459</f>
        <v>13459</v>
      </c>
      <c r="AR53">
        <f>12532</f>
        <v>12532</v>
      </c>
      <c r="AS53">
        <f>11734.048</f>
        <v>11734.048000000001</v>
      </c>
      <c r="AT53">
        <f>11757.696</f>
        <v>11757.696</v>
      </c>
      <c r="AU53">
        <f>11603.868</f>
        <v>11603.868</v>
      </c>
      <c r="AV53">
        <f>10852.83</f>
        <v>10852.83</v>
      </c>
      <c r="AW53">
        <f>10376.252</f>
        <v>10376.252</v>
      </c>
      <c r="AX53">
        <f>10273.226</f>
        <v>10273.226000000001</v>
      </c>
      <c r="AY53">
        <f>10359.722</f>
        <v>10359.722</v>
      </c>
      <c r="AZ53">
        <f>11193.147</f>
        <v>11193.147000000001</v>
      </c>
      <c r="BA53">
        <f>11712.348</f>
        <v>11712.348</v>
      </c>
      <c r="BB53">
        <f>14142.164</f>
        <v>14142.164000000001</v>
      </c>
      <c r="BC53">
        <f>17646.64</f>
        <v>17646.64</v>
      </c>
      <c r="BD53">
        <f>18038.677</f>
        <v>18038.677</v>
      </c>
      <c r="BE53">
        <f>18.38</f>
        <v>18.38</v>
      </c>
      <c r="BF53">
        <f>12.123</f>
        <v>12.122999999999999</v>
      </c>
      <c r="BG53">
        <f>12.46</f>
        <v>12.46</v>
      </c>
      <c r="BH53">
        <f>24.816</f>
        <v>24.815999999999999</v>
      </c>
      <c r="BI53">
        <f>44.429</f>
        <v>44.429000000000002</v>
      </c>
      <c r="BJ53">
        <f>69.725</f>
        <v>69.724999999999994</v>
      </c>
      <c r="BK53">
        <f>62.838</f>
        <v>62.838000000000001</v>
      </c>
      <c r="BL53">
        <f>69.79</f>
        <v>69.790000000000006</v>
      </c>
      <c r="BM53">
        <f>88.874</f>
        <v>88.873999999999995</v>
      </c>
      <c r="BN53">
        <f>79.639</f>
        <v>79.638999999999996</v>
      </c>
      <c r="BO53">
        <f>95.145</f>
        <v>95.144999999999996</v>
      </c>
      <c r="BP53">
        <f>64.889</f>
        <v>64.888999999999996</v>
      </c>
      <c r="BQ53">
        <f>124.377</f>
        <v>124.377</v>
      </c>
      <c r="BR53">
        <f>95.661</f>
        <v>95.661000000000001</v>
      </c>
      <c r="BS53">
        <f>132.634</f>
        <v>132.63399999999999</v>
      </c>
    </row>
    <row r="54" spans="1:71" x14ac:dyDescent="0.25">
      <c r="A54" t="str">
        <f>"            East West Bancorp Inc"</f>
        <v xml:space="preserve">            East West Bancorp Inc</v>
      </c>
      <c r="B54" t="str">
        <f>"EWBC US Equity"</f>
        <v>EWBC US Equity</v>
      </c>
      <c r="C54" t="str">
        <f t="shared" si="6"/>
        <v>F0375</v>
      </c>
      <c r="D54" t="str">
        <f t="shared" si="7"/>
        <v>FED_CRE_LNS_INCL_APTS_&amp;_FRMLND</v>
      </c>
      <c r="E54" t="str">
        <f t="shared" si="8"/>
        <v>Dynamic</v>
      </c>
      <c r="F54" t="str">
        <f ca="1">IF(AND(ISNUMBER($F$474),$B$427=1),$F$474,HLOOKUP(INDIRECT(ADDRESS(2,COLUMN())),OFFSET($AM$2,0,0,ROW()-1,33),ROW()-1,FALSE))</f>
        <v/>
      </c>
      <c r="G54">
        <f ca="1">IF(AND(ISNUMBER($G$474),$B$427=1),$G$474,HLOOKUP(INDIRECT(ADDRESS(2,COLUMN())),OFFSET($AM$2,0,0,ROW()-1,33),ROW()-1,FALSE))</f>
        <v>20451.072</v>
      </c>
      <c r="H54">
        <f ca="1">IF(AND(ISNUMBER($H$474),$B$427=1),$H$474,HLOOKUP(INDIRECT(ADDRESS(2,COLUMN())),OFFSET($AM$2,0,0,ROW()-1,33),ROW()-1,FALSE))</f>
        <v>19045.53</v>
      </c>
      <c r="I54">
        <f ca="1">IF(AND(ISNUMBER($I$474),$B$427=1),$I$474,HLOOKUP(INDIRECT(ADDRESS(2,COLUMN())),OFFSET($AM$2,0,0,ROW()-1,33),ROW()-1,FALSE))</f>
        <v>16288.388999999999</v>
      </c>
      <c r="J54">
        <f ca="1">IF(AND(ISNUMBER($J$474),$B$427=1),$J$474,HLOOKUP(INDIRECT(ADDRESS(2,COLUMN())),OFFSET($AM$2,0,0,ROW()-1,33),ROW()-1,FALSE))</f>
        <v>14902.964</v>
      </c>
      <c r="K54">
        <f ca="1">IF(AND(ISNUMBER($K$474),$B$427=1),$K$474,HLOOKUP(INDIRECT(ADDRESS(2,COLUMN())),OFFSET($AM$2,0,0,ROW()-1,33),ROW()-1,FALSE))</f>
        <v>13998.132</v>
      </c>
      <c r="L54">
        <f ca="1">IF(AND(ISNUMBER($L$474),$B$427=1),$L$474,HLOOKUP(INDIRECT(ADDRESS(2,COLUMN())),OFFSET($AM$2,0,0,ROW()-1,33),ROW()-1,FALSE))</f>
        <v>12537.011</v>
      </c>
      <c r="M54">
        <f ca="1">IF(AND(ISNUMBER($M$474),$B$427=1),$M$474,HLOOKUP(INDIRECT(ADDRESS(2,COLUMN())),OFFSET($AM$2,0,0,ROW()-1,33),ROW()-1,FALSE))</f>
        <v>11816.342000000001</v>
      </c>
      <c r="N54">
        <f ca="1">IF(AND(ISNUMBER($N$474),$B$427=1),$N$474,HLOOKUP(INDIRECT(ADDRESS(2,COLUMN())),OFFSET($AM$2,0,0,ROW()-1,33),ROW()-1,FALSE))</f>
        <v>10518.798000000001</v>
      </c>
      <c r="O54">
        <f ca="1">IF(AND(ISNUMBER($O$474),$B$427=1),$O$474,HLOOKUP(INDIRECT(ADDRESS(2,COLUMN())),OFFSET($AM$2,0,0,ROW()-1,33),ROW()-1,FALSE))</f>
        <v>9974.4120000000003</v>
      </c>
      <c r="P54">
        <f ca="1">IF(AND(ISNUMBER($P$474),$B$427=1),$P$474,HLOOKUP(INDIRECT(ADDRESS(2,COLUMN())),OFFSET($AM$2,0,0,ROW()-1,33),ROW()-1,FALSE))</f>
        <v>8362.6659999999993</v>
      </c>
      <c r="Q54">
        <f ca="1">IF(AND(ISNUMBER($Q$474),$B$427=1),$Q$474,HLOOKUP(INDIRECT(ADDRESS(2,COLUMN())),OFFSET($AM$2,0,0,ROW()-1,33),ROW()-1,FALSE))</f>
        <v>6989.1710000000003</v>
      </c>
      <c r="R54">
        <f ca="1">IF(AND(ISNUMBER($R$474),$B$427=1),$R$474,HLOOKUP(INDIRECT(ADDRESS(2,COLUMN())),OFFSET($AM$2,0,0,ROW()-1,33),ROW()-1,FALSE))</f>
        <v>6749.741</v>
      </c>
      <c r="S54">
        <f ca="1">IF(AND(ISNUMBER($S$474),$B$427=1),$S$474,HLOOKUP(INDIRECT(ADDRESS(2,COLUMN())),OFFSET($AM$2,0,0,ROW()-1,33),ROW()-1,FALSE))</f>
        <v>7436.4309999999996</v>
      </c>
      <c r="T54">
        <f ca="1">IF(AND(ISNUMBER($T$474),$B$427=1),$T$474,HLOOKUP(INDIRECT(ADDRESS(2,COLUMN())),OFFSET($AM$2,0,0,ROW()-1,33),ROW()-1,FALSE))</f>
        <v>8116.0219999999999</v>
      </c>
      <c r="U54">
        <f ca="1">IF(AND(ISNUMBER($U$474),$B$427=1),$U$474,HLOOKUP(INDIRECT(ADDRESS(2,COLUMN())),OFFSET($AM$2,0,0,ROW()-1,33),ROW()-1,FALSE))</f>
        <v>9150.1509999999998</v>
      </c>
      <c r="V54">
        <f ca="1">IF(AND(ISNUMBER($V$474),$B$427=1),$V$474,HLOOKUP(INDIRECT(ADDRESS(2,COLUMN())),OFFSET($AM$2,0,0,ROW()-1,33),ROW()-1,FALSE))</f>
        <v>5981.5060000000003</v>
      </c>
      <c r="W54">
        <f ca="1">IF(AND(ISNUMBER($W$474),$B$427=1),$W$474,HLOOKUP(INDIRECT(ADDRESS(2,COLUMN())),OFFSET($AM$2,0,0,ROW()-1,33),ROW()-1,FALSE))</f>
        <v>6417.848</v>
      </c>
      <c r="X54">
        <f ca="1">IF(AND(ISNUMBER($X$474),$B$427=1),$X$474,HLOOKUP(INDIRECT(ADDRESS(2,COLUMN())),OFFSET($AM$2,0,0,ROW()-1,33),ROW()-1,FALSE))</f>
        <v>1583.5730000000001</v>
      </c>
      <c r="Y54">
        <f ca="1">IF(AND(ISNUMBER($Y$474),$B$427=1),$Y$474,HLOOKUP(INDIRECT(ADDRESS(2,COLUMN())),OFFSET($AM$2,0,0,ROW()-1,33),ROW()-1,FALSE))</f>
        <v>1241.0440000000001</v>
      </c>
      <c r="Z54">
        <f ca="1">IF(AND(ISNUMBER($Z$474),$B$427=1),$Z$474,HLOOKUP(INDIRECT(ADDRESS(2,COLUMN())),OFFSET($AM$2,0,0,ROW()-1,33),ROW()-1,FALSE))</f>
        <v>1123.0609999999999</v>
      </c>
      <c r="AA54">
        <f ca="1">IF(AND(ISNUMBER($AA$474),$B$427=1),$AA$474,HLOOKUP(INDIRECT(ADDRESS(2,COLUMN())),OFFSET($AM$2,0,0,ROW()-1,33),ROW()-1,FALSE))</f>
        <v>812.22500000000002</v>
      </c>
      <c r="AB54">
        <f ca="1">IF(AND(ISNUMBER($AB$474),$B$427=1),$AB$474,HLOOKUP(INDIRECT(ADDRESS(2,COLUMN())),OFFSET($AM$2,0,0,ROW()-1,33),ROW()-1,FALSE))</f>
        <v>631.70299999999997</v>
      </c>
      <c r="AC54">
        <f ca="1">IF(AND(ISNUMBER($AC$474),$B$427=1),$AC$474,HLOOKUP(INDIRECT(ADDRESS(2,COLUMN())),OFFSET($AM$2,0,0,ROW()-1,33),ROW()-1,FALSE))</f>
        <v>379.827</v>
      </c>
      <c r="AD54">
        <f ca="1">IF(AND(ISNUMBER($AD$474),$B$427=1),$AD$474,HLOOKUP(INDIRECT(ADDRESS(2,COLUMN())),OFFSET($AM$2,0,0,ROW()-1,33),ROW()-1,FALSE))</f>
        <v>325.173</v>
      </c>
      <c r="AE54">
        <f ca="1">IF(AND(ISNUMBER($AE$474),$B$427=1),$AE$474,HLOOKUP(INDIRECT(ADDRESS(2,COLUMN())),OFFSET($AM$2,0,0,ROW()-1,33),ROW()-1,FALSE))</f>
        <v>312.70400000000001</v>
      </c>
      <c r="AF54">
        <f ca="1">IF(AND(ISNUMBER($AF$474),$B$427=1),$AF$474,HLOOKUP(INDIRECT(ADDRESS(2,COLUMN())),OFFSET($AM$2,0,0,ROW()-1,33),ROW()-1,FALSE))</f>
        <v>167.322</v>
      </c>
      <c r="AG54" t="str">
        <f ca="1">IF(AND(ISNUMBER($AG$474),$B$427=1),$AG$474,HLOOKUP(INDIRECT(ADDRESS(2,COLUMN())),OFFSET($AM$2,0,0,ROW()-1,33),ROW()-1,FALSE))</f>
        <v/>
      </c>
      <c r="AH54" t="str">
        <f ca="1">IF(AND(ISNUMBER($AH$474),$B$427=1),$AH$474,HLOOKUP(INDIRECT(ADDRESS(2,COLUMN())),OFFSET($AM$2,0,0,ROW()-1,33),ROW()-1,FALSE))</f>
        <v/>
      </c>
      <c r="AI54" t="str">
        <f ca="1">IF(AND(ISNUMBER($AI$474),$B$427=1),$AI$474,HLOOKUP(INDIRECT(ADDRESS(2,COLUMN())),OFFSET($AM$2,0,0,ROW()-1,33),ROW()-1,FALSE))</f>
        <v/>
      </c>
      <c r="AJ54" t="str">
        <f ca="1">IF(AND(ISNUMBER($AJ$474),$B$427=1),$AJ$474,HLOOKUP(INDIRECT(ADDRESS(2,COLUMN())),OFFSET($AM$2,0,0,ROW()-1,33),ROW()-1,FALSE))</f>
        <v/>
      </c>
      <c r="AK54" t="str">
        <f ca="1">IF(AND(ISNUMBER($AK$474),$B$427=1),$AK$474,HLOOKUP(INDIRECT(ADDRESS(2,COLUMN())),OFFSET($AM$2,0,0,ROW()-1,33),ROW()-1,FALSE))</f>
        <v/>
      </c>
      <c r="AL54" t="str">
        <f ca="1">IF(AND(ISNUMBER($AL$474),$B$427=1),$AL$474,HLOOKUP(INDIRECT(ADDRESS(2,COLUMN())),OFFSET($AM$2,0,0,ROW()-1,33),ROW()-1,FALSE))</f>
        <v/>
      </c>
      <c r="AM54" t="str">
        <f>""</f>
        <v/>
      </c>
      <c r="AN54">
        <f>20451.072</f>
        <v>20451.072</v>
      </c>
      <c r="AO54">
        <f>19045.53</f>
        <v>19045.53</v>
      </c>
      <c r="AP54">
        <f>16288.389</f>
        <v>16288.388999999999</v>
      </c>
      <c r="AQ54">
        <f>14902.964</f>
        <v>14902.964</v>
      </c>
      <c r="AR54">
        <f>13998.132</f>
        <v>13998.132</v>
      </c>
      <c r="AS54">
        <f>12537.011</f>
        <v>12537.011</v>
      </c>
      <c r="AT54">
        <f>11816.342</f>
        <v>11816.342000000001</v>
      </c>
      <c r="AU54">
        <f>10518.798</f>
        <v>10518.798000000001</v>
      </c>
      <c r="AV54">
        <f>9974.412</f>
        <v>9974.4120000000003</v>
      </c>
      <c r="AW54">
        <f>8362.666</f>
        <v>8362.6659999999993</v>
      </c>
      <c r="AX54">
        <f>6989.171</f>
        <v>6989.1710000000003</v>
      </c>
      <c r="AY54">
        <f>6749.741</f>
        <v>6749.741</v>
      </c>
      <c r="AZ54">
        <f>7436.431</f>
        <v>7436.4309999999996</v>
      </c>
      <c r="BA54">
        <f>8116.022</f>
        <v>8116.0219999999999</v>
      </c>
      <c r="BB54">
        <f>9150.151</f>
        <v>9150.1509999999998</v>
      </c>
      <c r="BC54">
        <f>5981.506</f>
        <v>5981.5060000000003</v>
      </c>
      <c r="BD54">
        <f>6417.848</f>
        <v>6417.848</v>
      </c>
      <c r="BE54">
        <f>1583.573</f>
        <v>1583.5730000000001</v>
      </c>
      <c r="BF54">
        <f>1241.044</f>
        <v>1241.0440000000001</v>
      </c>
      <c r="BG54">
        <f>1123.061</f>
        <v>1123.0609999999999</v>
      </c>
      <c r="BH54">
        <f>812.225</f>
        <v>812.22500000000002</v>
      </c>
      <c r="BI54">
        <f>631.703</f>
        <v>631.70299999999997</v>
      </c>
      <c r="BJ54">
        <f>379.827</f>
        <v>379.827</v>
      </c>
      <c r="BK54">
        <f>325.173</f>
        <v>325.173</v>
      </c>
      <c r="BL54">
        <f>312.704</f>
        <v>312.70400000000001</v>
      </c>
      <c r="BM54">
        <f>167.322</f>
        <v>167.322</v>
      </c>
      <c r="BN54" t="str">
        <f>""</f>
        <v/>
      </c>
      <c r="BO54" t="str">
        <f>""</f>
        <v/>
      </c>
      <c r="BP54" t="str">
        <f>""</f>
        <v/>
      </c>
      <c r="BQ54" t="str">
        <f>""</f>
        <v/>
      </c>
      <c r="BR54" t="str">
        <f>""</f>
        <v/>
      </c>
      <c r="BS54" t="str">
        <f>""</f>
        <v/>
      </c>
    </row>
    <row r="55" spans="1:71" x14ac:dyDescent="0.25">
      <c r="A55" t="str">
        <f>"            Fifth Third Bancorp"</f>
        <v xml:space="preserve">            Fifth Third Bancorp</v>
      </c>
      <c r="B55" t="str">
        <f>"FITB US Equity"</f>
        <v>FITB US Equity</v>
      </c>
      <c r="C55" t="str">
        <f t="shared" si="6"/>
        <v>F0375</v>
      </c>
      <c r="D55" t="str">
        <f t="shared" si="7"/>
        <v>FED_CRE_LNS_INCL_APTS_&amp;_FRMLND</v>
      </c>
      <c r="E55" t="str">
        <f t="shared" si="8"/>
        <v>Dynamic</v>
      </c>
      <c r="F55">
        <f ca="1">IF(AND(ISNUMBER($F$475),$B$427=1),$F$475,HLOOKUP(INDIRECT(ADDRESS(2,COLUMN())),OFFSET($AM$2,0,0,ROW()-1,33),ROW()-1,FALSE))</f>
        <v>16771</v>
      </c>
      <c r="G55">
        <f ca="1">IF(AND(ISNUMBER($G$475),$B$427=1),$G$475,HLOOKUP(INDIRECT(ADDRESS(2,COLUMN())),OFFSET($AM$2,0,0,ROW()-1,33),ROW()-1,FALSE))</f>
        <v>16109</v>
      </c>
      <c r="H55">
        <f ca="1">IF(AND(ISNUMBER($H$475),$B$427=1),$H$475,HLOOKUP(INDIRECT(ADDRESS(2,COLUMN())),OFFSET($AM$2,0,0,ROW()-1,33),ROW()-1,FALSE))</f>
        <v>15331.22</v>
      </c>
      <c r="I55">
        <f ca="1">IF(AND(ISNUMBER($I$475),$B$427=1),$I$475,HLOOKUP(INDIRECT(ADDRESS(2,COLUMN())),OFFSET($AM$2,0,0,ROW()-1,33),ROW()-1,FALSE))</f>
        <v>14407.945</v>
      </c>
      <c r="J55">
        <f ca="1">IF(AND(ISNUMBER($J$475),$B$427=1),$J$475,HLOOKUP(INDIRECT(ADDRESS(2,COLUMN())),OFFSET($AM$2,0,0,ROW()-1,33),ROW()-1,FALSE))</f>
        <v>15539.885</v>
      </c>
      <c r="K55">
        <f ca="1">IF(AND(ISNUMBER($K$475),$B$427=1),$K$475,HLOOKUP(INDIRECT(ADDRESS(2,COLUMN())),OFFSET($AM$2,0,0,ROW()-1,33),ROW()-1,FALSE))</f>
        <v>15388.257</v>
      </c>
      <c r="L55">
        <f ca="1">IF(AND(ISNUMBER($L$475),$B$427=1),$L$475,HLOOKUP(INDIRECT(ADDRESS(2,COLUMN())),OFFSET($AM$2,0,0,ROW()-1,33),ROW()-1,FALSE))</f>
        <v>11221.126</v>
      </c>
      <c r="M55">
        <f ca="1">IF(AND(ISNUMBER($M$475),$B$427=1),$M$475,HLOOKUP(INDIRECT(ADDRESS(2,COLUMN())),OFFSET($AM$2,0,0,ROW()-1,33),ROW()-1,FALSE))</f>
        <v>10863.759</v>
      </c>
      <c r="N55">
        <f ca="1">IF(AND(ISNUMBER($N$475),$B$427=1),$N$475,HLOOKUP(INDIRECT(ADDRESS(2,COLUMN())),OFFSET($AM$2,0,0,ROW()-1,33),ROW()-1,FALSE))</f>
        <v>11207.855</v>
      </c>
      <c r="O55">
        <f ca="1">IF(AND(ISNUMBER($O$475),$B$427=1),$O$475,HLOOKUP(INDIRECT(ADDRESS(2,COLUMN())),OFFSET($AM$2,0,0,ROW()-1,33),ROW()-1,FALSE))</f>
        <v>10456.695</v>
      </c>
      <c r="P55">
        <f ca="1">IF(AND(ISNUMBER($P$475),$B$427=1),$P$475,HLOOKUP(INDIRECT(ADDRESS(2,COLUMN())),OFFSET($AM$2,0,0,ROW()-1,33),ROW()-1,FALSE))</f>
        <v>9803.9359999999997</v>
      </c>
      <c r="Q55">
        <f ca="1">IF(AND(ISNUMBER($Q$475),$B$427=1),$Q$475,HLOOKUP(INDIRECT(ADDRESS(2,COLUMN())),OFFSET($AM$2,0,0,ROW()-1,33),ROW()-1,FALSE))</f>
        <v>9658.5149999999994</v>
      </c>
      <c r="R55">
        <f ca="1">IF(AND(ISNUMBER($R$475),$B$427=1),$R$475,HLOOKUP(INDIRECT(ADDRESS(2,COLUMN())),OFFSET($AM$2,0,0,ROW()-1,33),ROW()-1,FALSE))</f>
        <v>10660.053</v>
      </c>
      <c r="S55">
        <f ca="1">IF(AND(ISNUMBER($S$475),$B$427=1),$S$475,HLOOKUP(INDIRECT(ADDRESS(2,COLUMN())),OFFSET($AM$2,0,0,ROW()-1,33),ROW()-1,FALSE))</f>
        <v>12760.798000000001</v>
      </c>
      <c r="T55">
        <f ca="1">IF(AND(ISNUMBER($T$475),$B$427=1),$T$475,HLOOKUP(INDIRECT(ADDRESS(2,COLUMN())),OFFSET($AM$2,0,0,ROW()-1,33),ROW()-1,FALSE))</f>
        <v>15094.589</v>
      </c>
      <c r="U55">
        <f ca="1">IF(AND(ISNUMBER($U$475),$B$427=1),$U$475,HLOOKUP(INDIRECT(ADDRESS(2,COLUMN())),OFFSET($AM$2,0,0,ROW()-1,33),ROW()-1,FALSE))</f>
        <v>18061.043000000001</v>
      </c>
      <c r="V55">
        <f ca="1">IF(AND(ISNUMBER($V$475),$B$427=1),$V$475,HLOOKUP(INDIRECT(ADDRESS(2,COLUMN())),OFFSET($AM$2,0,0,ROW()-1,33),ROW()-1,FALSE))</f>
        <v>21061.866000000002</v>
      </c>
      <c r="W55">
        <f ca="1">IF(AND(ISNUMBER($W$475),$B$427=1),$W$475,HLOOKUP(INDIRECT(ADDRESS(2,COLUMN())),OFFSET($AM$2,0,0,ROW()-1,33),ROW()-1,FALSE))</f>
        <v>21244.798999999999</v>
      </c>
      <c r="X55">
        <f ca="1">IF(AND(ISNUMBER($X$475),$B$427=1),$X$475,HLOOKUP(INDIRECT(ADDRESS(2,COLUMN())),OFFSET($AM$2,0,0,ROW()-1,33),ROW()-1,FALSE))</f>
        <v>1154.8309999999999</v>
      </c>
      <c r="Y55">
        <f ca="1">IF(AND(ISNUMBER($Y$475),$B$427=1),$Y$475,HLOOKUP(INDIRECT(ADDRESS(2,COLUMN())),OFFSET($AM$2,0,0,ROW()-1,33),ROW()-1,FALSE))</f>
        <v>880.09199999999998</v>
      </c>
      <c r="Z55">
        <f ca="1">IF(AND(ISNUMBER($Z$475),$B$427=1),$Z$475,HLOOKUP(INDIRECT(ADDRESS(2,COLUMN())),OFFSET($AM$2,0,0,ROW()-1,33),ROW()-1,FALSE))</f>
        <v>822.19200000000001</v>
      </c>
      <c r="AA55">
        <f ca="1">IF(AND(ISNUMBER($AA$475),$B$427=1),$AA$475,HLOOKUP(INDIRECT(ADDRESS(2,COLUMN())),OFFSET($AM$2,0,0,ROW()-1,33),ROW()-1,FALSE))</f>
        <v>781.49599999999998</v>
      </c>
      <c r="AB55">
        <f ca="1">IF(AND(ISNUMBER($AB$475),$B$427=1),$AB$475,HLOOKUP(INDIRECT(ADDRESS(2,COLUMN())),OFFSET($AM$2,0,0,ROW()-1,33),ROW()-1,FALSE))</f>
        <v>741.47299999999996</v>
      </c>
      <c r="AC55">
        <f ca="1">IF(AND(ISNUMBER($AC$475),$B$427=1),$AC$475,HLOOKUP(INDIRECT(ADDRESS(2,COLUMN())),OFFSET($AM$2,0,0,ROW()-1,33),ROW()-1,FALSE))</f>
        <v>721.07799999999997</v>
      </c>
      <c r="AD55">
        <f ca="1">IF(AND(ISNUMBER($AD$475),$B$427=1),$AD$475,HLOOKUP(INDIRECT(ADDRESS(2,COLUMN())),OFFSET($AM$2,0,0,ROW()-1,33),ROW()-1,FALSE))</f>
        <v>385.35</v>
      </c>
      <c r="AE55">
        <f ca="1">IF(AND(ISNUMBER($AE$475),$B$427=1),$AE$475,HLOOKUP(INDIRECT(ADDRESS(2,COLUMN())),OFFSET($AM$2,0,0,ROW()-1,33),ROW()-1,FALSE))</f>
        <v>346.75400000000002</v>
      </c>
      <c r="AF55">
        <f ca="1">IF(AND(ISNUMBER($AF$475),$B$427=1),$AF$475,HLOOKUP(INDIRECT(ADDRESS(2,COLUMN())),OFFSET($AM$2,0,0,ROW()-1,33),ROW()-1,FALSE))</f>
        <v>144.17699999999999</v>
      </c>
      <c r="AG55">
        <f ca="1">IF(AND(ISNUMBER($AG$475),$B$427=1),$AG$475,HLOOKUP(INDIRECT(ADDRESS(2,COLUMN())),OFFSET($AM$2,0,0,ROW()-1,33),ROW()-1,FALSE))</f>
        <v>112.465</v>
      </c>
      <c r="AH55">
        <f ca="1">IF(AND(ISNUMBER($AH$475),$B$427=1),$AH$475,HLOOKUP(INDIRECT(ADDRESS(2,COLUMN())),OFFSET($AM$2,0,0,ROW()-1,33),ROW()-1,FALSE))</f>
        <v>85.257999999999996</v>
      </c>
      <c r="AI55">
        <f ca="1">IF(AND(ISNUMBER($AI$475),$B$427=1),$AI$475,HLOOKUP(INDIRECT(ADDRESS(2,COLUMN())),OFFSET($AM$2,0,0,ROW()-1,33),ROW()-1,FALSE))</f>
        <v>94.424000000000007</v>
      </c>
      <c r="AJ55">
        <f ca="1">IF(AND(ISNUMBER($AJ$475),$B$427=1),$AJ$475,HLOOKUP(INDIRECT(ADDRESS(2,COLUMN())),OFFSET($AM$2,0,0,ROW()-1,33),ROW()-1,FALSE))</f>
        <v>116.324</v>
      </c>
      <c r="AK55">
        <f ca="1">IF(AND(ISNUMBER($AK$475),$B$427=1),$AK$475,HLOOKUP(INDIRECT(ADDRESS(2,COLUMN())),OFFSET($AM$2,0,0,ROW()-1,33),ROW()-1,FALSE))</f>
        <v>83.843999999999994</v>
      </c>
      <c r="AL55">
        <f ca="1">IF(AND(ISNUMBER($AL$475),$B$427=1),$AL$475,HLOOKUP(INDIRECT(ADDRESS(2,COLUMN())),OFFSET($AM$2,0,0,ROW()-1,33),ROW()-1,FALSE))</f>
        <v>63.302999999999997</v>
      </c>
      <c r="AM55">
        <f>16771</f>
        <v>16771</v>
      </c>
      <c r="AN55">
        <f>16109</f>
        <v>16109</v>
      </c>
      <c r="AO55">
        <f>15331.22</f>
        <v>15331.22</v>
      </c>
      <c r="AP55">
        <f>14407.945</f>
        <v>14407.945</v>
      </c>
      <c r="AQ55">
        <f>15539.885</f>
        <v>15539.885</v>
      </c>
      <c r="AR55">
        <f>15388.257</f>
        <v>15388.257</v>
      </c>
      <c r="AS55">
        <f>11221.126</f>
        <v>11221.126</v>
      </c>
      <c r="AT55">
        <f>10863.759</f>
        <v>10863.759</v>
      </c>
      <c r="AU55">
        <f>11207.855</f>
        <v>11207.855</v>
      </c>
      <c r="AV55">
        <f>10456.695</f>
        <v>10456.695</v>
      </c>
      <c r="AW55">
        <f>9803.936</f>
        <v>9803.9359999999997</v>
      </c>
      <c r="AX55">
        <f>9658.515</f>
        <v>9658.5149999999994</v>
      </c>
      <c r="AY55">
        <f>10660.053</f>
        <v>10660.053</v>
      </c>
      <c r="AZ55">
        <f>12760.798</f>
        <v>12760.798000000001</v>
      </c>
      <c r="BA55">
        <f>15094.589</f>
        <v>15094.589</v>
      </c>
      <c r="BB55">
        <f>18061.043</f>
        <v>18061.043000000001</v>
      </c>
      <c r="BC55">
        <f>21061.866</f>
        <v>21061.866000000002</v>
      </c>
      <c r="BD55">
        <f>21244.799</f>
        <v>21244.798999999999</v>
      </c>
      <c r="BE55">
        <f>1154.831</f>
        <v>1154.8309999999999</v>
      </c>
      <c r="BF55">
        <f>880.092</f>
        <v>880.09199999999998</v>
      </c>
      <c r="BG55">
        <f>822.192</f>
        <v>822.19200000000001</v>
      </c>
      <c r="BH55">
        <f>781.496</f>
        <v>781.49599999999998</v>
      </c>
      <c r="BI55">
        <f>741.473</f>
        <v>741.47299999999996</v>
      </c>
      <c r="BJ55">
        <f>721.078</f>
        <v>721.07799999999997</v>
      </c>
      <c r="BK55">
        <f>385.35</f>
        <v>385.35</v>
      </c>
      <c r="BL55">
        <f>346.754</f>
        <v>346.75400000000002</v>
      </c>
      <c r="BM55">
        <f>144.177</f>
        <v>144.17699999999999</v>
      </c>
      <c r="BN55">
        <f>112.465</f>
        <v>112.465</v>
      </c>
      <c r="BO55">
        <f>85.258</f>
        <v>85.257999999999996</v>
      </c>
      <c r="BP55">
        <f>94.424</f>
        <v>94.424000000000007</v>
      </c>
      <c r="BQ55">
        <f>116.324</f>
        <v>116.324</v>
      </c>
      <c r="BR55">
        <f>83.844</f>
        <v>83.843999999999994</v>
      </c>
      <c r="BS55">
        <f>63.303</f>
        <v>63.302999999999997</v>
      </c>
    </row>
    <row r="56" spans="1:71" x14ac:dyDescent="0.25">
      <c r="A56" t="str">
        <f>"            First Citizens BancShares Inc/"</f>
        <v xml:space="preserve">            First Citizens BancShares Inc/</v>
      </c>
      <c r="B56" t="str">
        <f>"FCNCA US Equity"</f>
        <v>FCNCA US Equity</v>
      </c>
      <c r="C56" t="str">
        <f t="shared" si="6"/>
        <v>F0375</v>
      </c>
      <c r="D56" t="str">
        <f t="shared" si="7"/>
        <v>FED_CRE_LNS_INCL_APTS_&amp;_FRMLND</v>
      </c>
      <c r="E56" t="str">
        <f t="shared" si="8"/>
        <v>Dynamic</v>
      </c>
      <c r="F56">
        <f ca="1">IF(AND(ISNUMBER($F$476),$B$427=1),$F$476,HLOOKUP(INDIRECT(ADDRESS(2,COLUMN())),OFFSET($AM$2,0,0,ROW()-1,33),ROW()-1,FALSE))</f>
        <v>38533</v>
      </c>
      <c r="G56">
        <f ca="1">IF(AND(ISNUMBER($G$476),$B$427=1),$G$476,HLOOKUP(INDIRECT(ADDRESS(2,COLUMN())),OFFSET($AM$2,0,0,ROW()-1,33),ROW()-1,FALSE))</f>
        <v>34830.968000000001</v>
      </c>
      <c r="H56">
        <f ca="1">IF(AND(ISNUMBER($H$476),$B$427=1),$H$476,HLOOKUP(INDIRECT(ADDRESS(2,COLUMN())),OFFSET($AM$2,0,0,ROW()-1,33),ROW()-1,FALSE))</f>
        <v>27568.206999999999</v>
      </c>
      <c r="I56">
        <f ca="1">IF(AND(ISNUMBER($I$476),$B$427=1),$I$476,HLOOKUP(INDIRECT(ADDRESS(2,COLUMN())),OFFSET($AM$2,0,0,ROW()-1,33),ROW()-1,FALSE))</f>
        <v>16658.418000000001</v>
      </c>
      <c r="J56">
        <f ca="1">IF(AND(ISNUMBER($J$476),$B$427=1),$J$476,HLOOKUP(INDIRECT(ADDRESS(2,COLUMN())),OFFSET($AM$2,0,0,ROW()-1,33),ROW()-1,FALSE))</f>
        <v>15727.582</v>
      </c>
      <c r="K56">
        <f ca="1">IF(AND(ISNUMBER($K$476),$B$427=1),$K$476,HLOOKUP(INDIRECT(ADDRESS(2,COLUMN())),OFFSET($AM$2,0,0,ROW()-1,33),ROW()-1,FALSE))</f>
        <v>14475.444</v>
      </c>
      <c r="L56">
        <f ca="1">IF(AND(ISNUMBER($L$476),$B$427=1),$L$476,HLOOKUP(INDIRECT(ADDRESS(2,COLUMN())),OFFSET($AM$2,0,0,ROW()-1,33),ROW()-1,FALSE))</f>
        <v>12453.044</v>
      </c>
      <c r="M56">
        <f ca="1">IF(AND(ISNUMBER($M$476),$B$427=1),$M$476,HLOOKUP(INDIRECT(ADDRESS(2,COLUMN())),OFFSET($AM$2,0,0,ROW()-1,33),ROW()-1,FALSE))</f>
        <v>11510.823</v>
      </c>
      <c r="N56">
        <f ca="1">IF(AND(ISNUMBER($N$476),$B$427=1),$N$476,HLOOKUP(INDIRECT(ADDRESS(2,COLUMN())),OFFSET($AM$2,0,0,ROW()-1,33),ROW()-1,FALSE))</f>
        <v>10744.682000000001</v>
      </c>
      <c r="O56">
        <f ca="1">IF(AND(ISNUMBER($O$476),$B$427=1),$O$476,HLOOKUP(INDIRECT(ADDRESS(2,COLUMN())),OFFSET($AM$2,0,0,ROW()-1,33),ROW()-1,FALSE))</f>
        <v>10013.619000000001</v>
      </c>
      <c r="P56">
        <f ca="1">IF(AND(ISNUMBER($P$476),$B$427=1),$P$476,HLOOKUP(INDIRECT(ADDRESS(2,COLUMN())),OFFSET($AM$2,0,0,ROW()-1,33),ROW()-1,FALSE))</f>
        <v>9166.2459999999992</v>
      </c>
      <c r="Q56">
        <f ca="1">IF(AND(ISNUMBER($Q$476),$B$427=1),$Q$476,HLOOKUP(INDIRECT(ADDRESS(2,COLUMN())),OFFSET($AM$2,0,0,ROW()-1,33),ROW()-1,FALSE))</f>
        <v>7751.3119999999999</v>
      </c>
      <c r="R56">
        <f ca="1">IF(AND(ISNUMBER($R$476),$B$427=1),$R$476,HLOOKUP(INDIRECT(ADDRESS(2,COLUMN())),OFFSET($AM$2,0,0,ROW()-1,33),ROW()-1,FALSE))</f>
        <v>7326.9589999999998</v>
      </c>
      <c r="S56">
        <f ca="1">IF(AND(ISNUMBER($S$476),$B$427=1),$S$476,HLOOKUP(INDIRECT(ADDRESS(2,COLUMN())),OFFSET($AM$2,0,0,ROW()-1,33),ROW()-1,FALSE))</f>
        <v>7633.4359999999997</v>
      </c>
      <c r="T56">
        <f ca="1">IF(AND(ISNUMBER($T$476),$B$427=1),$T$476,HLOOKUP(INDIRECT(ADDRESS(2,COLUMN())),OFFSET($AM$2,0,0,ROW()-1,33),ROW()-1,FALSE))</f>
        <v>7194.36</v>
      </c>
      <c r="U56">
        <f ca="1">IF(AND(ISNUMBER($U$476),$B$427=1),$U$476,HLOOKUP(INDIRECT(ADDRESS(2,COLUMN())),OFFSET($AM$2,0,0,ROW()-1,33),ROW()-1,FALSE))</f>
        <v>6270.3379999999997</v>
      </c>
      <c r="V56">
        <f ca="1">IF(AND(ISNUMBER($V$476),$B$427=1),$V$476,HLOOKUP(INDIRECT(ADDRESS(2,COLUMN())),OFFSET($AM$2,0,0,ROW()-1,33),ROW()-1,FALSE))</f>
        <v>5274.1750000000002</v>
      </c>
      <c r="W56">
        <f ca="1">IF(AND(ISNUMBER($W$476),$B$427=1),$W$476,HLOOKUP(INDIRECT(ADDRESS(2,COLUMN())),OFFSET($AM$2,0,0,ROW()-1,33),ROW()-1,FALSE))</f>
        <v>4941.0069999999996</v>
      </c>
      <c r="X56">
        <f ca="1">IF(AND(ISNUMBER($X$476),$B$427=1),$X$476,HLOOKUP(INDIRECT(ADDRESS(2,COLUMN())),OFFSET($AM$2,0,0,ROW()-1,33),ROW()-1,FALSE))</f>
        <v>167.02500000000001</v>
      </c>
      <c r="Y56">
        <f ca="1">IF(AND(ISNUMBER($Y$476),$B$427=1),$Y$476,HLOOKUP(INDIRECT(ADDRESS(2,COLUMN())),OFFSET($AM$2,0,0,ROW()-1,33),ROW()-1,FALSE))</f>
        <v>175.607</v>
      </c>
      <c r="Z56">
        <f ca="1">IF(AND(ISNUMBER($Z$476),$B$427=1),$Z$476,HLOOKUP(INDIRECT(ADDRESS(2,COLUMN())),OFFSET($AM$2,0,0,ROW()-1,33),ROW()-1,FALSE))</f>
        <v>175.02099999999999</v>
      </c>
      <c r="AA56">
        <f ca="1">IF(AND(ISNUMBER($AA$476),$B$427=1),$AA$476,HLOOKUP(INDIRECT(ADDRESS(2,COLUMN())),OFFSET($AM$2,0,0,ROW()-1,33),ROW()-1,FALSE))</f>
        <v>164.596</v>
      </c>
      <c r="AB56">
        <f ca="1">IF(AND(ISNUMBER($AB$476),$B$427=1),$AB$476,HLOOKUP(INDIRECT(ADDRESS(2,COLUMN())),OFFSET($AM$2,0,0,ROW()-1,33),ROW()-1,FALSE))</f>
        <v>153.678</v>
      </c>
      <c r="AC56">
        <f ca="1">IF(AND(ISNUMBER($AC$476),$B$427=1),$AC$476,HLOOKUP(INDIRECT(ADDRESS(2,COLUMN())),OFFSET($AM$2,0,0,ROW()-1,33),ROW()-1,FALSE))</f>
        <v>153.131</v>
      </c>
      <c r="AD56">
        <f ca="1">IF(AND(ISNUMBER($AD$476),$B$427=1),$AD$476,HLOOKUP(INDIRECT(ADDRESS(2,COLUMN())),OFFSET($AM$2,0,0,ROW()-1,33),ROW()-1,FALSE))</f>
        <v>186.77699999999999</v>
      </c>
      <c r="AE56">
        <f ca="1">IF(AND(ISNUMBER($AE$476),$B$427=1),$AE$476,HLOOKUP(INDIRECT(ADDRESS(2,COLUMN())),OFFSET($AM$2,0,0,ROW()-1,33),ROW()-1,FALSE))</f>
        <v>161.35599999999999</v>
      </c>
      <c r="AF56">
        <f ca="1">IF(AND(ISNUMBER($AF$476),$B$427=1),$AF$476,HLOOKUP(INDIRECT(ADDRESS(2,COLUMN())),OFFSET($AM$2,0,0,ROW()-1,33),ROW()-1,FALSE))</f>
        <v>160.82599999999999</v>
      </c>
      <c r="AG56">
        <f ca="1">IF(AND(ISNUMBER($AG$476),$B$427=1),$AG$476,HLOOKUP(INDIRECT(ADDRESS(2,COLUMN())),OFFSET($AM$2,0,0,ROW()-1,33),ROW()-1,FALSE))</f>
        <v>148.77099999999999</v>
      </c>
      <c r="AH56">
        <f ca="1">IF(AND(ISNUMBER($AH$476),$B$427=1),$AH$476,HLOOKUP(INDIRECT(ADDRESS(2,COLUMN())),OFFSET($AM$2,0,0,ROW()-1,33),ROW()-1,FALSE))</f>
        <v>134.012</v>
      </c>
      <c r="AI56">
        <f ca="1">IF(AND(ISNUMBER($AI$476),$B$427=1),$AI$476,HLOOKUP(INDIRECT(ADDRESS(2,COLUMN())),OFFSET($AM$2,0,0,ROW()-1,33),ROW()-1,FALSE))</f>
        <v>130.328</v>
      </c>
      <c r="AJ56">
        <f ca="1">IF(AND(ISNUMBER($AJ$476),$B$427=1),$AJ$476,HLOOKUP(INDIRECT(ADDRESS(2,COLUMN())),OFFSET($AM$2,0,0,ROW()-1,33),ROW()-1,FALSE))</f>
        <v>109.955</v>
      </c>
      <c r="AK56">
        <f ca="1">IF(AND(ISNUMBER($AK$476),$B$427=1),$AK$476,HLOOKUP(INDIRECT(ADDRESS(2,COLUMN())),OFFSET($AM$2,0,0,ROW()-1,33),ROW()-1,FALSE))</f>
        <v>56.14</v>
      </c>
      <c r="AL56">
        <f ca="1">IF(AND(ISNUMBER($AL$476),$B$427=1),$AL$476,HLOOKUP(INDIRECT(ADDRESS(2,COLUMN())),OFFSET($AM$2,0,0,ROW()-1,33),ROW()-1,FALSE))</f>
        <v>47.883000000000003</v>
      </c>
      <c r="AM56">
        <f>38533</f>
        <v>38533</v>
      </c>
      <c r="AN56">
        <f>34830.968</f>
        <v>34830.968000000001</v>
      </c>
      <c r="AO56">
        <f>27568.207</f>
        <v>27568.206999999999</v>
      </c>
      <c r="AP56">
        <f>16658.418</f>
        <v>16658.418000000001</v>
      </c>
      <c r="AQ56">
        <f>15727.582</f>
        <v>15727.582</v>
      </c>
      <c r="AR56">
        <f>14475.444</f>
        <v>14475.444</v>
      </c>
      <c r="AS56">
        <f>12453.044</f>
        <v>12453.044</v>
      </c>
      <c r="AT56">
        <f>11510.823</f>
        <v>11510.823</v>
      </c>
      <c r="AU56">
        <f>10744.682</f>
        <v>10744.682000000001</v>
      </c>
      <c r="AV56">
        <f>10013.619</f>
        <v>10013.619000000001</v>
      </c>
      <c r="AW56">
        <f>9166.246</f>
        <v>9166.2459999999992</v>
      </c>
      <c r="AX56">
        <f>7751.312</f>
        <v>7751.3119999999999</v>
      </c>
      <c r="AY56">
        <f>7326.959</f>
        <v>7326.9589999999998</v>
      </c>
      <c r="AZ56">
        <f>7633.436</f>
        <v>7633.4359999999997</v>
      </c>
      <c r="BA56">
        <f>7194.36</f>
        <v>7194.36</v>
      </c>
      <c r="BB56">
        <f>6270.338</f>
        <v>6270.3379999999997</v>
      </c>
      <c r="BC56">
        <f>5274.175</f>
        <v>5274.1750000000002</v>
      </c>
      <c r="BD56">
        <f>4941.007</f>
        <v>4941.0069999999996</v>
      </c>
      <c r="BE56">
        <f>167.025</f>
        <v>167.02500000000001</v>
      </c>
      <c r="BF56">
        <f>175.607</f>
        <v>175.607</v>
      </c>
      <c r="BG56">
        <f>175.021</f>
        <v>175.02099999999999</v>
      </c>
      <c r="BH56">
        <f>164.596</f>
        <v>164.596</v>
      </c>
      <c r="BI56">
        <f>153.678</f>
        <v>153.678</v>
      </c>
      <c r="BJ56">
        <f>153.131</f>
        <v>153.131</v>
      </c>
      <c r="BK56">
        <f>186.777</f>
        <v>186.77699999999999</v>
      </c>
      <c r="BL56">
        <f>161.356</f>
        <v>161.35599999999999</v>
      </c>
      <c r="BM56">
        <f>160.826</f>
        <v>160.82599999999999</v>
      </c>
      <c r="BN56">
        <f>148.771</f>
        <v>148.77099999999999</v>
      </c>
      <c r="BO56">
        <f>134.012</f>
        <v>134.012</v>
      </c>
      <c r="BP56">
        <f>130.328</f>
        <v>130.328</v>
      </c>
      <c r="BQ56">
        <f>109.955</f>
        <v>109.955</v>
      </c>
      <c r="BR56">
        <f>56.14</f>
        <v>56.14</v>
      </c>
      <c r="BS56">
        <f>47.883</f>
        <v>47.883000000000003</v>
      </c>
    </row>
    <row r="57" spans="1:71" x14ac:dyDescent="0.25">
      <c r="A57" t="str">
        <f>"            Flagstar Financial Inc"</f>
        <v xml:space="preserve">            Flagstar Financial Inc</v>
      </c>
      <c r="B57" t="str">
        <f>"FLG US Equity"</f>
        <v>FLG US Equity</v>
      </c>
      <c r="C57" t="str">
        <f t="shared" si="6"/>
        <v>F0375</v>
      </c>
      <c r="D57" t="str">
        <f t="shared" si="7"/>
        <v>FED_CRE_LNS_INCL_APTS_&amp;_FRMLND</v>
      </c>
      <c r="E57" t="str">
        <f t="shared" si="8"/>
        <v>Dynamic</v>
      </c>
      <c r="F57">
        <f ca="1">IF(AND(ISNUMBER($F$477),$B$427=1),$F$477,HLOOKUP(INDIRECT(ADDRESS(2,COLUMN())),OFFSET($AM$2,0,0,ROW()-1,33),ROW()-1,FALSE))</f>
        <v>46353.345999999998</v>
      </c>
      <c r="G57">
        <f ca="1">IF(AND(ISNUMBER($G$477),$B$427=1),$G$477,HLOOKUP(INDIRECT(ADDRESS(2,COLUMN())),OFFSET($AM$2,0,0,ROW()-1,33),ROW()-1,FALSE))</f>
        <v>50887.241999999998</v>
      </c>
      <c r="H57">
        <f ca="1">IF(AND(ISNUMBER($H$477),$B$427=1),$H$477,HLOOKUP(INDIRECT(ADDRESS(2,COLUMN())),OFFSET($AM$2,0,0,ROW()-1,33),ROW()-1,FALSE))</f>
        <v>48767.777000000002</v>
      </c>
      <c r="I57">
        <f ca="1">IF(AND(ISNUMBER($I$477),$B$427=1),$I$477,HLOOKUP(INDIRECT(ADDRESS(2,COLUMN())),OFFSET($AM$2,0,0,ROW()-1,33),ROW()-1,FALSE))</f>
        <v>41537.502999999997</v>
      </c>
      <c r="J57">
        <f ca="1">IF(AND(ISNUMBER($J$477),$B$427=1),$J$477,HLOOKUP(INDIRECT(ADDRESS(2,COLUMN())),OFFSET($AM$2,0,0,ROW()-1,33),ROW()-1,FALSE))</f>
        <v>39189.919000000002</v>
      </c>
      <c r="K57">
        <f ca="1">IF(AND(ISNUMBER($K$477),$B$427=1),$K$477,HLOOKUP(INDIRECT(ADDRESS(2,COLUMN())),OFFSET($AM$2,0,0,ROW()-1,33),ROW()-1,FALSE))</f>
        <v>38467.042000000001</v>
      </c>
      <c r="L57">
        <f ca="1">IF(AND(ISNUMBER($L$477),$B$427=1),$L$477,HLOOKUP(INDIRECT(ADDRESS(2,COLUMN())),OFFSET($AM$2,0,0,ROW()-1,33),ROW()-1,FALSE))</f>
        <v>37312.927000000003</v>
      </c>
      <c r="M57">
        <f ca="1">IF(AND(ISNUMBER($M$477),$B$427=1),$M$477,HLOOKUP(INDIRECT(ADDRESS(2,COLUMN())),OFFSET($AM$2,0,0,ROW()-1,33),ROW()-1,FALSE))</f>
        <v>35852.652999999998</v>
      </c>
      <c r="N57">
        <f ca="1">IF(AND(ISNUMBER($N$477),$B$427=1),$N$477,HLOOKUP(INDIRECT(ADDRESS(2,COLUMN())),OFFSET($AM$2,0,0,ROW()-1,33),ROW()-1,FALSE))</f>
        <v>35073.783000000003</v>
      </c>
      <c r="O57">
        <f ca="1">IF(AND(ISNUMBER($O$477),$B$427=1),$O$477,HLOOKUP(INDIRECT(ADDRESS(2,COLUMN())),OFFSET($AM$2,0,0,ROW()-1,33),ROW()-1,FALSE))</f>
        <v>34167.83</v>
      </c>
      <c r="P57">
        <f ca="1">IF(AND(ISNUMBER($P$477),$B$427=1),$P$477,HLOOKUP(INDIRECT(ADDRESS(2,COLUMN())),OFFSET($AM$2,0,0,ROW()-1,33),ROW()-1,FALSE))</f>
        <v>31763.453000000001</v>
      </c>
      <c r="Q57">
        <f ca="1">IF(AND(ISNUMBER($Q$477),$B$427=1),$Q$477,HLOOKUP(INDIRECT(ADDRESS(2,COLUMN())),OFFSET($AM$2,0,0,ROW()-1,33),ROW()-1,FALSE))</f>
        <v>28451.682000000001</v>
      </c>
      <c r="R57">
        <f ca="1">IF(AND(ISNUMBER($R$477),$B$427=1),$R$477,HLOOKUP(INDIRECT(ADDRESS(2,COLUMN())),OFFSET($AM$2,0,0,ROW()-1,33),ROW()-1,FALSE))</f>
        <v>26472.289000000001</v>
      </c>
      <c r="S57">
        <f ca="1">IF(AND(ISNUMBER($S$477),$B$427=1),$S$477,HLOOKUP(INDIRECT(ADDRESS(2,COLUMN())),OFFSET($AM$2,0,0,ROW()-1,33),ROW()-1,FALSE))</f>
        <v>24783.41</v>
      </c>
      <c r="T57">
        <f ca="1">IF(AND(ISNUMBER($T$477),$B$427=1),$T$477,HLOOKUP(INDIRECT(ADDRESS(2,COLUMN())),OFFSET($AM$2,0,0,ROW()-1,33),ROW()-1,FALSE))</f>
        <v>22872.547999999999</v>
      </c>
      <c r="U57">
        <f ca="1">IF(AND(ISNUMBER($U$477),$B$427=1),$U$477,HLOOKUP(INDIRECT(ADDRESS(2,COLUMN())),OFFSET($AM$2,0,0,ROW()-1,33),ROW()-1,FALSE))</f>
        <v>22382.437000000002</v>
      </c>
      <c r="V57">
        <f ca="1">IF(AND(ISNUMBER($V$477),$B$427=1),$V$477,HLOOKUP(INDIRECT(ADDRESS(2,COLUMN())),OFFSET($AM$2,0,0,ROW()-1,33),ROW()-1,FALSE))</f>
        <v>21051.75</v>
      </c>
      <c r="W57">
        <f ca="1">IF(AND(ISNUMBER($W$477),$B$427=1),$W$477,HLOOKUP(INDIRECT(ADDRESS(2,COLUMN())),OFFSET($AM$2,0,0,ROW()-1,33),ROW()-1,FALSE))</f>
        <v>19024.379000000001</v>
      </c>
      <c r="X57">
        <f ca="1">IF(AND(ISNUMBER($X$477),$B$427=1),$X$477,HLOOKUP(INDIRECT(ADDRESS(2,COLUMN())),OFFSET($AM$2,0,0,ROW()-1,33),ROW()-1,FALSE))</f>
        <v>14530.638999999999</v>
      </c>
      <c r="Y57">
        <f ca="1">IF(AND(ISNUMBER($Y$477),$B$427=1),$Y$477,HLOOKUP(INDIRECT(ADDRESS(2,COLUMN())),OFFSET($AM$2,0,0,ROW()-1,33),ROW()-1,FALSE))</f>
        <v>12858.008</v>
      </c>
      <c r="Z57">
        <f ca="1">IF(AND(ISNUMBER($Z$477),$B$427=1),$Z$477,HLOOKUP(INDIRECT(ADDRESS(2,COLUMN())),OFFSET($AM$2,0,0,ROW()-1,33),ROW()-1,FALSE))</f>
        <v>9840.6550000000007</v>
      </c>
      <c r="AA57">
        <f ca="1">IF(AND(ISNUMBER($AA$477),$B$427=1),$AA$477,HLOOKUP(INDIRECT(ADDRESS(2,COLUMN())),OFFSET($AM$2,0,0,ROW()-1,33),ROW()-1,FALSE))</f>
        <v>7369.1790000000001</v>
      </c>
      <c r="AB57">
        <f ca="1">IF(AND(ISNUMBER($AB$477),$B$427=1),$AB$477,HLOOKUP(INDIRECT(ADDRESS(2,COLUMN())),OFFSET($AM$2,0,0,ROW()-1,33),ROW()-1,FALSE))</f>
        <v>4494.3320000000003</v>
      </c>
      <c r="AC57">
        <f ca="1">IF(AND(ISNUMBER($AC$477),$B$427=1),$AC$477,HLOOKUP(INDIRECT(ADDRESS(2,COLUMN())),OFFSET($AM$2,0,0,ROW()-1,33),ROW()-1,FALSE))</f>
        <v>3255.1669999999999</v>
      </c>
      <c r="AD57">
        <f ca="1">IF(AND(ISNUMBER($AD$477),$B$427=1),$AD$477,HLOOKUP(INDIRECT(ADDRESS(2,COLUMN())),OFFSET($AM$2,0,0,ROW()-1,33),ROW()-1,FALSE))</f>
        <v>1449.587</v>
      </c>
      <c r="AE57">
        <f ca="1">IF(AND(ISNUMBER($AE$477),$B$427=1),$AE$477,HLOOKUP(INDIRECT(ADDRESS(2,COLUMN())),OFFSET($AM$2,0,0,ROW()-1,33),ROW()-1,FALSE))</f>
        <v>1348.3520000000001</v>
      </c>
      <c r="AF57">
        <f ca="1">IF(AND(ISNUMBER($AF$477),$B$427=1),$AF$477,HLOOKUP(INDIRECT(ADDRESS(2,COLUMN())),OFFSET($AM$2,0,0,ROW()-1,33),ROW()-1,FALSE))</f>
        <v>1239.0940000000001</v>
      </c>
      <c r="AG57">
        <f ca="1">IF(AND(ISNUMBER($AG$477),$B$427=1),$AG$477,HLOOKUP(INDIRECT(ADDRESS(2,COLUMN())),OFFSET($AM$2,0,0,ROW()-1,33),ROW()-1,FALSE))</f>
        <v>1107.374</v>
      </c>
      <c r="AH57">
        <f ca="1">IF(AND(ISNUMBER($AH$477),$B$427=1),$AH$477,HLOOKUP(INDIRECT(ADDRESS(2,COLUMN())),OFFSET($AM$2,0,0,ROW()-1,33),ROW()-1,FALSE))</f>
        <v>822.36400000000003</v>
      </c>
      <c r="AI57">
        <f ca="1">IF(AND(ISNUMBER($AI$477),$B$427=1),$AI$477,HLOOKUP(INDIRECT(ADDRESS(2,COLUMN())),OFFSET($AM$2,0,0,ROW()-1,33),ROW()-1,FALSE))</f>
        <v>641.56399999999996</v>
      </c>
      <c r="AJ57">
        <f ca="1">IF(AND(ISNUMBER($AJ$477),$B$427=1),$AJ$477,HLOOKUP(INDIRECT(ADDRESS(2,COLUMN())),OFFSET($AM$2,0,0,ROW()-1,33),ROW()-1,FALSE))</f>
        <v>561.59</v>
      </c>
      <c r="AK57">
        <f ca="1">IF(AND(ISNUMBER($AK$477),$B$427=1),$AK$477,HLOOKUP(INDIRECT(ADDRESS(2,COLUMN())),OFFSET($AM$2,0,0,ROW()-1,33),ROW()-1,FALSE))</f>
        <v>428.846</v>
      </c>
      <c r="AL57" t="str">
        <f ca="1">IF(AND(ISNUMBER($AL$477),$B$427=1),$AL$477,HLOOKUP(INDIRECT(ADDRESS(2,COLUMN())),OFFSET($AM$2,0,0,ROW()-1,33),ROW()-1,FALSE))</f>
        <v/>
      </c>
      <c r="AM57">
        <f>46353.346</f>
        <v>46353.345999999998</v>
      </c>
      <c r="AN57">
        <f>50887.242</f>
        <v>50887.241999999998</v>
      </c>
      <c r="AO57">
        <f>48767.777</f>
        <v>48767.777000000002</v>
      </c>
      <c r="AP57">
        <f>41537.503</f>
        <v>41537.502999999997</v>
      </c>
      <c r="AQ57">
        <f>39189.919</f>
        <v>39189.919000000002</v>
      </c>
      <c r="AR57">
        <f>38467.042</f>
        <v>38467.042000000001</v>
      </c>
      <c r="AS57">
        <f>37312.927</f>
        <v>37312.927000000003</v>
      </c>
      <c r="AT57">
        <f>35852.653</f>
        <v>35852.652999999998</v>
      </c>
      <c r="AU57">
        <f>35073.783</f>
        <v>35073.783000000003</v>
      </c>
      <c r="AV57">
        <f>34167.83</f>
        <v>34167.83</v>
      </c>
      <c r="AW57">
        <f>31763.453</f>
        <v>31763.453000000001</v>
      </c>
      <c r="AX57">
        <f>28451.682</f>
        <v>28451.682000000001</v>
      </c>
      <c r="AY57">
        <f>26472.289</f>
        <v>26472.289000000001</v>
      </c>
      <c r="AZ57">
        <f>24783.41</f>
        <v>24783.41</v>
      </c>
      <c r="BA57">
        <f>22872.548</f>
        <v>22872.547999999999</v>
      </c>
      <c r="BB57">
        <f>22382.437</f>
        <v>22382.437000000002</v>
      </c>
      <c r="BC57">
        <f>21051.75</f>
        <v>21051.75</v>
      </c>
      <c r="BD57">
        <f>19024.379</f>
        <v>19024.379000000001</v>
      </c>
      <c r="BE57">
        <f>14530.639</f>
        <v>14530.638999999999</v>
      </c>
      <c r="BF57">
        <f>12858.008</f>
        <v>12858.008</v>
      </c>
      <c r="BG57">
        <f>9840.655</f>
        <v>9840.6550000000007</v>
      </c>
      <c r="BH57">
        <f>7369.179</f>
        <v>7369.1790000000001</v>
      </c>
      <c r="BI57">
        <f>4494.332</f>
        <v>4494.3320000000003</v>
      </c>
      <c r="BJ57">
        <f>3255.167</f>
        <v>3255.1669999999999</v>
      </c>
      <c r="BK57">
        <f>1449.587</f>
        <v>1449.587</v>
      </c>
      <c r="BL57">
        <f>1348.352</f>
        <v>1348.3520000000001</v>
      </c>
      <c r="BM57">
        <f>1239.094</f>
        <v>1239.0940000000001</v>
      </c>
      <c r="BN57">
        <f>1107.374</f>
        <v>1107.374</v>
      </c>
      <c r="BO57">
        <f>822.364</f>
        <v>822.36400000000003</v>
      </c>
      <c r="BP57">
        <f>641.564</f>
        <v>641.56399999999996</v>
      </c>
      <c r="BQ57">
        <f>561.59</f>
        <v>561.59</v>
      </c>
      <c r="BR57">
        <f>428.846</f>
        <v>428.846</v>
      </c>
      <c r="BS57" t="str">
        <f>""</f>
        <v/>
      </c>
    </row>
    <row r="58" spans="1:71" x14ac:dyDescent="0.25">
      <c r="A58" t="str">
        <f>"            Huntington Bancshares Inc/OH"</f>
        <v xml:space="preserve">            Huntington Bancshares Inc/OH</v>
      </c>
      <c r="B58" t="str">
        <f>"HBAN US Equity"</f>
        <v>HBAN US Equity</v>
      </c>
      <c r="C58" t="str">
        <f t="shared" si="6"/>
        <v>F0375</v>
      </c>
      <c r="D58" t="str">
        <f t="shared" si="7"/>
        <v>FED_CRE_LNS_INCL_APTS_&amp;_FRMLND</v>
      </c>
      <c r="E58" t="str">
        <f t="shared" si="8"/>
        <v>Dynamic</v>
      </c>
      <c r="F58">
        <f ca="1">IF(AND(ISNUMBER($F$478),$B$427=1),$F$478,HLOOKUP(INDIRECT(ADDRESS(2,COLUMN())),OFFSET($AM$2,0,0,ROW()-1,33),ROW()-1,FALSE))</f>
        <v>18774.509999999998</v>
      </c>
      <c r="G58">
        <f ca="1">IF(AND(ISNUMBER($G$478),$B$427=1),$G$478,HLOOKUP(INDIRECT(ADDRESS(2,COLUMN())),OFFSET($AM$2,0,0,ROW()-1,33),ROW()-1,FALSE))</f>
        <v>19385.839</v>
      </c>
      <c r="H58">
        <f ca="1">IF(AND(ISNUMBER($H$478),$B$427=1),$H$478,HLOOKUP(INDIRECT(ADDRESS(2,COLUMN())),OFFSET($AM$2,0,0,ROW()-1,33),ROW()-1,FALSE))</f>
        <v>20364.303</v>
      </c>
      <c r="I58">
        <f ca="1">IF(AND(ISNUMBER($I$478),$B$427=1),$I$478,HLOOKUP(INDIRECT(ADDRESS(2,COLUMN())),OFFSET($AM$2,0,0,ROW()-1,33),ROW()-1,FALSE))</f>
        <v>19960.984</v>
      </c>
      <c r="J58">
        <f ca="1">IF(AND(ISNUMBER($J$478),$B$427=1),$J$478,HLOOKUP(INDIRECT(ADDRESS(2,COLUMN())),OFFSET($AM$2,0,0,ROW()-1,33),ROW()-1,FALSE))</f>
        <v>10444.623</v>
      </c>
      <c r="K58">
        <f ca="1">IF(AND(ISNUMBER($K$478),$B$427=1),$K$478,HLOOKUP(INDIRECT(ADDRESS(2,COLUMN())),OFFSET($AM$2,0,0,ROW()-1,33),ROW()-1,FALSE))</f>
        <v>9877.7430000000004</v>
      </c>
      <c r="L58">
        <f ca="1">IF(AND(ISNUMBER($L$478),$B$427=1),$L$478,HLOOKUP(INDIRECT(ADDRESS(2,COLUMN())),OFFSET($AM$2,0,0,ROW()-1,33),ROW()-1,FALSE))</f>
        <v>10177.215</v>
      </c>
      <c r="M58">
        <f ca="1">IF(AND(ISNUMBER($M$478),$B$427=1),$M$478,HLOOKUP(INDIRECT(ADDRESS(2,COLUMN())),OFFSET($AM$2,0,0,ROW()-1,33),ROW()-1,FALSE))</f>
        <v>10866.85</v>
      </c>
      <c r="N58">
        <f ca="1">IF(AND(ISNUMBER($N$478),$B$427=1),$N$478,HLOOKUP(INDIRECT(ADDRESS(2,COLUMN())),OFFSET($AM$2,0,0,ROW()-1,33),ROW()-1,FALSE))</f>
        <v>11651.493</v>
      </c>
      <c r="O58">
        <f ca="1">IF(AND(ISNUMBER($O$478),$B$427=1),$O$478,HLOOKUP(INDIRECT(ADDRESS(2,COLUMN())),OFFSET($AM$2,0,0,ROW()-1,33),ROW()-1,FALSE))</f>
        <v>7767.1059999999998</v>
      </c>
      <c r="P58">
        <f ca="1">IF(AND(ISNUMBER($P$478),$B$427=1),$P$478,HLOOKUP(INDIRECT(ADDRESS(2,COLUMN())),OFFSET($AM$2,0,0,ROW()-1,33),ROW()-1,FALSE))</f>
        <v>8335.2430000000004</v>
      </c>
      <c r="Q58">
        <f ca="1">IF(AND(ISNUMBER($Q$478),$B$427=1),$Q$478,HLOOKUP(INDIRECT(ADDRESS(2,COLUMN())),OFFSET($AM$2,0,0,ROW()-1,33),ROW()-1,FALSE))</f>
        <v>7978.7849999999999</v>
      </c>
      <c r="R58">
        <f ca="1">IF(AND(ISNUMBER($R$478),$B$427=1),$R$478,HLOOKUP(INDIRECT(ADDRESS(2,COLUMN())),OFFSET($AM$2,0,0,ROW()-1,33),ROW()-1,FALSE))</f>
        <v>8226.6319999999996</v>
      </c>
      <c r="S58">
        <f ca="1">IF(AND(ISNUMBER($S$478),$B$427=1),$S$478,HLOOKUP(INDIRECT(ADDRESS(2,COLUMN())),OFFSET($AM$2,0,0,ROW()-1,33),ROW()-1,FALSE))</f>
        <v>8776.3050000000003</v>
      </c>
      <c r="T58">
        <f ca="1">IF(AND(ISNUMBER($T$478),$B$427=1),$T$478,HLOOKUP(INDIRECT(ADDRESS(2,COLUMN())),OFFSET($AM$2,0,0,ROW()-1,33),ROW()-1,FALSE))</f>
        <v>9521.3080000000009</v>
      </c>
      <c r="U58">
        <f ca="1">IF(AND(ISNUMBER($U$478),$B$427=1),$U$478,HLOOKUP(INDIRECT(ADDRESS(2,COLUMN())),OFFSET($AM$2,0,0,ROW()-1,33),ROW()-1,FALSE))</f>
        <v>11030.936</v>
      </c>
      <c r="V58">
        <f ca="1">IF(AND(ISNUMBER($V$478),$B$427=1),$V$478,HLOOKUP(INDIRECT(ADDRESS(2,COLUMN())),OFFSET($AM$2,0,0,ROW()-1,33),ROW()-1,FALSE))</f>
        <v>13017.208000000001</v>
      </c>
      <c r="W58">
        <f ca="1">IF(AND(ISNUMBER($W$478),$B$427=1),$W$478,HLOOKUP(INDIRECT(ADDRESS(2,COLUMN())),OFFSET($AM$2,0,0,ROW()-1,33),ROW()-1,FALSE))</f>
        <v>11901.017</v>
      </c>
      <c r="X58">
        <f ca="1">IF(AND(ISNUMBER($X$478),$B$427=1),$X$478,HLOOKUP(INDIRECT(ADDRESS(2,COLUMN())),OFFSET($AM$2,0,0,ROW()-1,33),ROW()-1,FALSE))</f>
        <v>290.54899999999998</v>
      </c>
      <c r="Y58">
        <f ca="1">IF(AND(ISNUMBER($Y$478),$B$427=1),$Y$478,HLOOKUP(INDIRECT(ADDRESS(2,COLUMN())),OFFSET($AM$2,0,0,ROW()-1,33),ROW()-1,FALSE))</f>
        <v>259.32600000000002</v>
      </c>
      <c r="Z58">
        <f ca="1">IF(AND(ISNUMBER($Z$478),$B$427=1),$Z$478,HLOOKUP(INDIRECT(ADDRESS(2,COLUMN())),OFFSET($AM$2,0,0,ROW()-1,33),ROW()-1,FALSE))</f>
        <v>275.221</v>
      </c>
      <c r="AA58">
        <f ca="1">IF(AND(ISNUMBER($AA$478),$B$427=1),$AA$478,HLOOKUP(INDIRECT(ADDRESS(2,COLUMN())),OFFSET($AM$2,0,0,ROW()-1,33),ROW()-1,FALSE))</f>
        <v>246.71</v>
      </c>
      <c r="AB58">
        <f ca="1">IF(AND(ISNUMBER($AB$478),$B$427=1),$AB$478,HLOOKUP(INDIRECT(ADDRESS(2,COLUMN())),OFFSET($AM$2,0,0,ROW()-1,33),ROW()-1,FALSE))</f>
        <v>247.32599999999999</v>
      </c>
      <c r="AC58">
        <f ca="1">IF(AND(ISNUMBER($AC$478),$B$427=1),$AC$478,HLOOKUP(INDIRECT(ADDRESS(2,COLUMN())),OFFSET($AM$2,0,0,ROW()-1,33),ROW()-1,FALSE))</f>
        <v>303.40899999999999</v>
      </c>
      <c r="AD58">
        <f ca="1">IF(AND(ISNUMBER($AD$478),$B$427=1),$AD$478,HLOOKUP(INDIRECT(ADDRESS(2,COLUMN())),OFFSET($AM$2,0,0,ROW()-1,33),ROW()-1,FALSE))</f>
        <v>270.82600000000002</v>
      </c>
      <c r="AE58">
        <f ca="1">IF(AND(ISNUMBER($AE$478),$B$427=1),$AE$478,HLOOKUP(INDIRECT(ADDRESS(2,COLUMN())),OFFSET($AM$2,0,0,ROW()-1,33),ROW()-1,FALSE))</f>
        <v>235.29400000000001</v>
      </c>
      <c r="AF58">
        <f ca="1">IF(AND(ISNUMBER($AF$478),$B$427=1),$AF$478,HLOOKUP(INDIRECT(ADDRESS(2,COLUMN())),OFFSET($AM$2,0,0,ROW()-1,33),ROW()-1,FALSE))</f>
        <v>243.18</v>
      </c>
      <c r="AG58">
        <f ca="1">IF(AND(ISNUMBER($AG$478),$B$427=1),$AG$478,HLOOKUP(INDIRECT(ADDRESS(2,COLUMN())),OFFSET($AM$2,0,0,ROW()-1,33),ROW()-1,FALSE))</f>
        <v>176.678</v>
      </c>
      <c r="AH58">
        <f ca="1">IF(AND(ISNUMBER($AH$478),$B$427=1),$AH$478,HLOOKUP(INDIRECT(ADDRESS(2,COLUMN())),OFFSET($AM$2,0,0,ROW()-1,33),ROW()-1,FALSE))</f>
        <v>152.488</v>
      </c>
      <c r="AI58">
        <f ca="1">IF(AND(ISNUMBER($AI$478),$B$427=1),$AI$478,HLOOKUP(INDIRECT(ADDRESS(2,COLUMN())),OFFSET($AM$2,0,0,ROW()-1,33),ROW()-1,FALSE))</f>
        <v>173.459</v>
      </c>
      <c r="AJ58">
        <f ca="1">IF(AND(ISNUMBER($AJ$478),$B$427=1),$AJ$478,HLOOKUP(INDIRECT(ADDRESS(2,COLUMN())),OFFSET($AM$2,0,0,ROW()-1,33),ROW()-1,FALSE))</f>
        <v>164.351</v>
      </c>
      <c r="AK58">
        <f ca="1">IF(AND(ISNUMBER($AK$478),$B$427=1),$AK$478,HLOOKUP(INDIRECT(ADDRESS(2,COLUMN())),OFFSET($AM$2,0,0,ROW()-1,33),ROW()-1,FALSE))</f>
        <v>215.626</v>
      </c>
      <c r="AL58">
        <f ca="1">IF(AND(ISNUMBER($AL$478),$B$427=1),$AL$478,HLOOKUP(INDIRECT(ADDRESS(2,COLUMN())),OFFSET($AM$2,0,0,ROW()-1,33),ROW()-1,FALSE))</f>
        <v>71.093999999999994</v>
      </c>
      <c r="AM58">
        <f>18774.51</f>
        <v>18774.509999999998</v>
      </c>
      <c r="AN58">
        <f>19385.839</f>
        <v>19385.839</v>
      </c>
      <c r="AO58">
        <f>20364.303</f>
        <v>20364.303</v>
      </c>
      <c r="AP58">
        <f>19960.984</f>
        <v>19960.984</v>
      </c>
      <c r="AQ58">
        <f>10444.623</f>
        <v>10444.623</v>
      </c>
      <c r="AR58">
        <f>9877.743</f>
        <v>9877.7430000000004</v>
      </c>
      <c r="AS58">
        <f>10177.215</f>
        <v>10177.215</v>
      </c>
      <c r="AT58">
        <f>10866.85</f>
        <v>10866.85</v>
      </c>
      <c r="AU58">
        <f>11651.493</f>
        <v>11651.493</v>
      </c>
      <c r="AV58">
        <f>7767.106</f>
        <v>7767.1059999999998</v>
      </c>
      <c r="AW58">
        <f>8335.243</f>
        <v>8335.2430000000004</v>
      </c>
      <c r="AX58">
        <f>7978.785</f>
        <v>7978.7849999999999</v>
      </c>
      <c r="AY58">
        <f>8226.632</f>
        <v>8226.6319999999996</v>
      </c>
      <c r="AZ58">
        <f>8776.305</f>
        <v>8776.3050000000003</v>
      </c>
      <c r="BA58">
        <f>9521.308</f>
        <v>9521.3080000000009</v>
      </c>
      <c r="BB58">
        <f>11030.936</f>
        <v>11030.936</v>
      </c>
      <c r="BC58">
        <f>13017.208</f>
        <v>13017.208000000001</v>
      </c>
      <c r="BD58">
        <f>11901.017</f>
        <v>11901.017</v>
      </c>
      <c r="BE58">
        <f>290.549</f>
        <v>290.54899999999998</v>
      </c>
      <c r="BF58">
        <f>259.326</f>
        <v>259.32600000000002</v>
      </c>
      <c r="BG58">
        <f>275.221</f>
        <v>275.221</v>
      </c>
      <c r="BH58">
        <f>246.71</f>
        <v>246.71</v>
      </c>
      <c r="BI58">
        <f>247.326</f>
        <v>247.32599999999999</v>
      </c>
      <c r="BJ58">
        <f>303.409</f>
        <v>303.40899999999999</v>
      </c>
      <c r="BK58">
        <f>270.826</f>
        <v>270.82600000000002</v>
      </c>
      <c r="BL58">
        <f>235.294</f>
        <v>235.29400000000001</v>
      </c>
      <c r="BM58">
        <f>243.18</f>
        <v>243.18</v>
      </c>
      <c r="BN58">
        <f>176.678</f>
        <v>176.678</v>
      </c>
      <c r="BO58">
        <f>152.488</f>
        <v>152.488</v>
      </c>
      <c r="BP58">
        <f>173.459</f>
        <v>173.459</v>
      </c>
      <c r="BQ58">
        <f>164.351</f>
        <v>164.351</v>
      </c>
      <c r="BR58">
        <f>215.626</f>
        <v>215.626</v>
      </c>
      <c r="BS58">
        <f>71.094</f>
        <v>71.093999999999994</v>
      </c>
    </row>
    <row r="59" spans="1:71" x14ac:dyDescent="0.25">
      <c r="A59" t="str">
        <f>"            JPMorgan Chase &amp; Co"</f>
        <v xml:space="preserve">            JPMorgan Chase &amp; Co</v>
      </c>
      <c r="B59" t="str">
        <f>"JPM US Equity"</f>
        <v>JPM US Equity</v>
      </c>
      <c r="C59" t="str">
        <f t="shared" si="6"/>
        <v>F0375</v>
      </c>
      <c r="D59" t="str">
        <f t="shared" si="7"/>
        <v>FED_CRE_LNS_INCL_APTS_&amp;_FRMLND</v>
      </c>
      <c r="E59" t="str">
        <f t="shared" si="8"/>
        <v>Dynamic</v>
      </c>
      <c r="F59">
        <f ca="1">IF(AND(ISNUMBER($F$479),$B$427=1),$F$479,HLOOKUP(INDIRECT(ADDRESS(2,COLUMN())),OFFSET($AM$2,0,0,ROW()-1,33),ROW()-1,FALSE))</f>
        <v>168719</v>
      </c>
      <c r="G59">
        <f ca="1">IF(AND(ISNUMBER($G$479),$B$427=1),$G$479,HLOOKUP(INDIRECT(ADDRESS(2,COLUMN())),OFFSET($AM$2,0,0,ROW()-1,33),ROW()-1,FALSE))</f>
        <v>168856</v>
      </c>
      <c r="H59">
        <f ca="1">IF(AND(ISNUMBER($H$479),$B$427=1),$H$479,HLOOKUP(INDIRECT(ADDRESS(2,COLUMN())),OFFSET($AM$2,0,0,ROW()-1,33),ROW()-1,FALSE))</f>
        <v>132146</v>
      </c>
      <c r="I59">
        <f ca="1">IF(AND(ISNUMBER($I$479),$B$427=1),$I$479,HLOOKUP(INDIRECT(ADDRESS(2,COLUMN())),OFFSET($AM$2,0,0,ROW()-1,33),ROW()-1,FALSE))</f>
        <v>125401</v>
      </c>
      <c r="J59">
        <f ca="1">IF(AND(ISNUMBER($J$479),$B$427=1),$J$479,HLOOKUP(INDIRECT(ADDRESS(2,COLUMN())),OFFSET($AM$2,0,0,ROW()-1,33),ROW()-1,FALSE))</f>
        <v>125406</v>
      </c>
      <c r="K59">
        <f ca="1">IF(AND(ISNUMBER($K$479),$B$427=1),$K$479,HLOOKUP(INDIRECT(ADDRESS(2,COLUMN())),OFFSET($AM$2,0,0,ROW()-1,33),ROW()-1,FALSE))</f>
        <v>123660</v>
      </c>
      <c r="L59">
        <f ca="1">IF(AND(ISNUMBER($L$479),$B$427=1),$L$479,HLOOKUP(INDIRECT(ADDRESS(2,COLUMN())),OFFSET($AM$2,0,0,ROW()-1,33),ROW()-1,FALSE))</f>
        <v>119257</v>
      </c>
      <c r="M59">
        <f ca="1">IF(AND(ISNUMBER($M$479),$B$427=1),$M$479,HLOOKUP(INDIRECT(ADDRESS(2,COLUMN())),OFFSET($AM$2,0,0,ROW()-1,33),ROW()-1,FALSE))</f>
        <v>116556</v>
      </c>
      <c r="N59">
        <f ca="1">IF(AND(ISNUMBER($N$479),$B$427=1),$N$479,HLOOKUP(INDIRECT(ADDRESS(2,COLUMN())),OFFSET($AM$2,0,0,ROW()-1,33),ROW()-1,FALSE))</f>
        <v>109802</v>
      </c>
      <c r="O59">
        <f ca="1">IF(AND(ISNUMBER($O$479),$B$427=1),$O$479,HLOOKUP(INDIRECT(ADDRESS(2,COLUMN())),OFFSET($AM$2,0,0,ROW()-1,33),ROW()-1,FALSE))</f>
        <v>94599</v>
      </c>
      <c r="P59">
        <f ca="1">IF(AND(ISNUMBER($P$479),$B$427=1),$P$479,HLOOKUP(INDIRECT(ADDRESS(2,COLUMN())),OFFSET($AM$2,0,0,ROW()-1,33),ROW()-1,FALSE))</f>
        <v>82706</v>
      </c>
      <c r="Q59">
        <f ca="1">IF(AND(ISNUMBER($Q$479),$B$427=1),$Q$479,HLOOKUP(INDIRECT(ADDRESS(2,COLUMN())),OFFSET($AM$2,0,0,ROW()-1,33),ROW()-1,FALSE))</f>
        <v>76243</v>
      </c>
      <c r="R59">
        <f ca="1">IF(AND(ISNUMBER($R$479),$B$427=1),$R$479,HLOOKUP(INDIRECT(ADDRESS(2,COLUMN())),OFFSET($AM$2,0,0,ROW()-1,33),ROW()-1,FALSE))</f>
        <v>70044</v>
      </c>
      <c r="S59">
        <f ca="1">IF(AND(ISNUMBER($S$479),$B$427=1),$S$479,HLOOKUP(INDIRECT(ADDRESS(2,COLUMN())),OFFSET($AM$2,0,0,ROW()-1,33),ROW()-1,FALSE))</f>
        <v>62788</v>
      </c>
      <c r="T59">
        <f ca="1">IF(AND(ISNUMBER($T$479),$B$427=1),$T$479,HLOOKUP(INDIRECT(ADDRESS(2,COLUMN())),OFFSET($AM$2,0,0,ROW()-1,33),ROW()-1,FALSE))</f>
        <v>60099</v>
      </c>
      <c r="U59">
        <f ca="1">IF(AND(ISNUMBER($U$479),$B$427=1),$U$479,HLOOKUP(INDIRECT(ADDRESS(2,COLUMN())),OFFSET($AM$2,0,0,ROW()-1,33),ROW()-1,FALSE))</f>
        <v>63593</v>
      </c>
      <c r="V59">
        <f ca="1">IF(AND(ISNUMBER($V$479),$B$427=1),$V$479,HLOOKUP(INDIRECT(ADDRESS(2,COLUMN())),OFFSET($AM$2,0,0,ROW()-1,33),ROW()-1,FALSE))</f>
        <v>66974</v>
      </c>
      <c r="W59">
        <f ca="1">IF(AND(ISNUMBER($W$479),$B$427=1),$W$479,HLOOKUP(INDIRECT(ADDRESS(2,COLUMN())),OFFSET($AM$2,0,0,ROW()-1,33),ROW()-1,FALSE))</f>
        <v>25519</v>
      </c>
      <c r="X59">
        <f ca="1">IF(AND(ISNUMBER($X$479),$B$427=1),$X$479,HLOOKUP(INDIRECT(ADDRESS(2,COLUMN())),OFFSET($AM$2,0,0,ROW()-1,33),ROW()-1,FALSE))</f>
        <v>850</v>
      </c>
      <c r="Y59">
        <f ca="1">IF(AND(ISNUMBER($Y$479),$B$427=1),$Y$479,HLOOKUP(INDIRECT(ADDRESS(2,COLUMN())),OFFSET($AM$2,0,0,ROW()-1,33),ROW()-1,FALSE))</f>
        <v>841</v>
      </c>
      <c r="Z59">
        <f ca="1">IF(AND(ISNUMBER($Z$479),$B$427=1),$Z$479,HLOOKUP(INDIRECT(ADDRESS(2,COLUMN())),OFFSET($AM$2,0,0,ROW()-1,33),ROW()-1,FALSE))</f>
        <v>1122</v>
      </c>
      <c r="AA59">
        <f ca="1">IF(AND(ISNUMBER($AA$479),$B$427=1),$AA$479,HLOOKUP(INDIRECT(ADDRESS(2,COLUMN())),OFFSET($AM$2,0,0,ROW()-1,33),ROW()-1,FALSE))</f>
        <v>95</v>
      </c>
      <c r="AB59">
        <f ca="1">IF(AND(ISNUMBER($AB$479),$B$427=1),$AB$479,HLOOKUP(INDIRECT(ADDRESS(2,COLUMN())),OFFSET($AM$2,0,0,ROW()-1,33),ROW()-1,FALSE))</f>
        <v>135</v>
      </c>
      <c r="AC59">
        <f ca="1">IF(AND(ISNUMBER($AC$479),$B$427=1),$AC$479,HLOOKUP(INDIRECT(ADDRESS(2,COLUMN())),OFFSET($AM$2,0,0,ROW()-1,33),ROW()-1,FALSE))</f>
        <v>431</v>
      </c>
      <c r="AD59">
        <f ca="1">IF(AND(ISNUMBER($AD$479),$B$427=1),$AD$479,HLOOKUP(INDIRECT(ADDRESS(2,COLUMN())),OFFSET($AM$2,0,0,ROW()-1,33),ROW()-1,FALSE))</f>
        <v>465</v>
      </c>
      <c r="AE59">
        <f ca="1">IF(AND(ISNUMBER($AE$479),$B$427=1),$AE$479,HLOOKUP(INDIRECT(ADDRESS(2,COLUMN())),OFFSET($AM$2,0,0,ROW()-1,33),ROW()-1,FALSE))</f>
        <v>439.02600000000001</v>
      </c>
      <c r="AF59">
        <f ca="1">IF(AND(ISNUMBER($AF$479),$B$427=1),$AF$479,HLOOKUP(INDIRECT(ADDRESS(2,COLUMN())),OFFSET($AM$2,0,0,ROW()-1,33),ROW()-1,FALSE))</f>
        <v>193.67500000000001</v>
      </c>
      <c r="AG59">
        <f ca="1">IF(AND(ISNUMBER($AG$479),$B$427=1),$AG$479,HLOOKUP(INDIRECT(ADDRESS(2,COLUMN())),OFFSET($AM$2,0,0,ROW()-1,33),ROW()-1,FALSE))</f>
        <v>305.31099999999998</v>
      </c>
      <c r="AH59" t="str">
        <f ca="1">IF(AND(ISNUMBER($AH$479),$B$427=1),$AH$479,HLOOKUP(INDIRECT(ADDRESS(2,COLUMN())),OFFSET($AM$2,0,0,ROW()-1,33),ROW()-1,FALSE))</f>
        <v/>
      </c>
      <c r="AI59" t="str">
        <f ca="1">IF(AND(ISNUMBER($AI$479),$B$427=1),$AI$479,HLOOKUP(INDIRECT(ADDRESS(2,COLUMN())),OFFSET($AM$2,0,0,ROW()-1,33),ROW()-1,FALSE))</f>
        <v/>
      </c>
      <c r="AJ59" t="str">
        <f ca="1">IF(AND(ISNUMBER($AJ$479),$B$427=1),$AJ$479,HLOOKUP(INDIRECT(ADDRESS(2,COLUMN())),OFFSET($AM$2,0,0,ROW()-1,33),ROW()-1,FALSE))</f>
        <v/>
      </c>
      <c r="AK59" t="str">
        <f ca="1">IF(AND(ISNUMBER($AK$479),$B$427=1),$AK$479,HLOOKUP(INDIRECT(ADDRESS(2,COLUMN())),OFFSET($AM$2,0,0,ROW()-1,33),ROW()-1,FALSE))</f>
        <v/>
      </c>
      <c r="AL59" t="str">
        <f ca="1">IF(AND(ISNUMBER($AL$479),$B$427=1),$AL$479,HLOOKUP(INDIRECT(ADDRESS(2,COLUMN())),OFFSET($AM$2,0,0,ROW()-1,33),ROW()-1,FALSE))</f>
        <v/>
      </c>
      <c r="AM59">
        <f>168719</f>
        <v>168719</v>
      </c>
      <c r="AN59">
        <f>168856</f>
        <v>168856</v>
      </c>
      <c r="AO59">
        <f>132146</f>
        <v>132146</v>
      </c>
      <c r="AP59">
        <f>125401</f>
        <v>125401</v>
      </c>
      <c r="AQ59">
        <f>125406</f>
        <v>125406</v>
      </c>
      <c r="AR59">
        <f>123660</f>
        <v>123660</v>
      </c>
      <c r="AS59">
        <f>119257</f>
        <v>119257</v>
      </c>
      <c r="AT59">
        <f>116556</f>
        <v>116556</v>
      </c>
      <c r="AU59">
        <f>109802</f>
        <v>109802</v>
      </c>
      <c r="AV59">
        <f>94599</f>
        <v>94599</v>
      </c>
      <c r="AW59">
        <f>82706</f>
        <v>82706</v>
      </c>
      <c r="AX59">
        <f>76243</f>
        <v>76243</v>
      </c>
      <c r="AY59">
        <f>70044</f>
        <v>70044</v>
      </c>
      <c r="AZ59">
        <f>62788</f>
        <v>62788</v>
      </c>
      <c r="BA59">
        <f>60099</f>
        <v>60099</v>
      </c>
      <c r="BB59">
        <f>63593</f>
        <v>63593</v>
      </c>
      <c r="BC59">
        <f>66974</f>
        <v>66974</v>
      </c>
      <c r="BD59">
        <f>25519</f>
        <v>25519</v>
      </c>
      <c r="BE59">
        <f>850</f>
        <v>850</v>
      </c>
      <c r="BF59">
        <f>841</f>
        <v>841</v>
      </c>
      <c r="BG59">
        <f>1122</f>
        <v>1122</v>
      </c>
      <c r="BH59">
        <f>95</f>
        <v>95</v>
      </c>
      <c r="BI59">
        <f>135</f>
        <v>135</v>
      </c>
      <c r="BJ59">
        <f>431</f>
        <v>431</v>
      </c>
      <c r="BK59">
        <f>465</f>
        <v>465</v>
      </c>
      <c r="BL59">
        <f>439.026</f>
        <v>439.02600000000001</v>
      </c>
      <c r="BM59">
        <f>193.675</f>
        <v>193.67500000000001</v>
      </c>
      <c r="BN59">
        <f>305.311</f>
        <v>305.31099999999998</v>
      </c>
      <c r="BO59" t="str">
        <f>""</f>
        <v/>
      </c>
      <c r="BP59" t="str">
        <f>""</f>
        <v/>
      </c>
      <c r="BQ59" t="str">
        <f>""</f>
        <v/>
      </c>
      <c r="BR59" t="str">
        <f>""</f>
        <v/>
      </c>
      <c r="BS59" t="str">
        <f>""</f>
        <v/>
      </c>
    </row>
    <row r="60" spans="1:71" x14ac:dyDescent="0.25">
      <c r="A60" t="str">
        <f>"            KeyCorp"</f>
        <v xml:space="preserve">            KeyCorp</v>
      </c>
      <c r="B60" t="str">
        <f>"KEY US Equity"</f>
        <v>KEY US Equity</v>
      </c>
      <c r="C60" t="str">
        <f t="shared" si="6"/>
        <v>F0375</v>
      </c>
      <c r="D60" t="str">
        <f t="shared" si="7"/>
        <v>FED_CRE_LNS_INCL_APTS_&amp;_FRMLND</v>
      </c>
      <c r="E60" t="str">
        <f t="shared" si="8"/>
        <v>Dynamic</v>
      </c>
      <c r="F60">
        <f ca="1">IF(AND(ISNUMBER($F$480),$B$427=1),$F$480,HLOOKUP(INDIRECT(ADDRESS(2,COLUMN())),OFFSET($AM$2,0,0,ROW()-1,33),ROW()-1,FALSE))</f>
        <v>16868.038</v>
      </c>
      <c r="G60">
        <f ca="1">IF(AND(ISNUMBER($G$480),$B$427=1),$G$480,HLOOKUP(INDIRECT(ADDRESS(2,COLUMN())),OFFSET($AM$2,0,0,ROW()-1,33),ROW()-1,FALSE))</f>
        <v>18635.827000000001</v>
      </c>
      <c r="H60">
        <f ca="1">IF(AND(ISNUMBER($H$480),$B$427=1),$H$480,HLOOKUP(INDIRECT(ADDRESS(2,COLUMN())),OFFSET($AM$2,0,0,ROW()-1,33),ROW()-1,FALSE))</f>
        <v>19308.707999999999</v>
      </c>
      <c r="I60">
        <f ca="1">IF(AND(ISNUMBER($I$480),$B$427=1),$I$480,HLOOKUP(INDIRECT(ADDRESS(2,COLUMN())),OFFSET($AM$2,0,0,ROW()-1,33),ROW()-1,FALSE))</f>
        <v>17250.733</v>
      </c>
      <c r="J60">
        <f ca="1">IF(AND(ISNUMBER($J$480),$B$427=1),$J$480,HLOOKUP(INDIRECT(ADDRESS(2,COLUMN())),OFFSET($AM$2,0,0,ROW()-1,33),ROW()-1,FALSE))</f>
        <v>15687.643</v>
      </c>
      <c r="K60">
        <f ca="1">IF(AND(ISNUMBER($K$480),$B$427=1),$K$480,HLOOKUP(INDIRECT(ADDRESS(2,COLUMN())),OFFSET($AM$2,0,0,ROW()-1,33),ROW()-1,FALSE))</f>
        <v>15822.851000000001</v>
      </c>
      <c r="L60">
        <f ca="1">IF(AND(ISNUMBER($L$480),$B$427=1),$L$480,HLOOKUP(INDIRECT(ADDRESS(2,COLUMN())),OFFSET($AM$2,0,0,ROW()-1,33),ROW()-1,FALSE))</f>
        <v>16844.61</v>
      </c>
      <c r="M60">
        <f ca="1">IF(AND(ISNUMBER($M$480),$B$427=1),$M$480,HLOOKUP(INDIRECT(ADDRESS(2,COLUMN())),OFFSET($AM$2,0,0,ROW()-1,33),ROW()-1,FALSE))</f>
        <v>16945.518</v>
      </c>
      <c r="N60">
        <f ca="1">IF(AND(ISNUMBER($N$480),$B$427=1),$N$480,HLOOKUP(INDIRECT(ADDRESS(2,COLUMN())),OFFSET($AM$2,0,0,ROW()-1,33),ROW()-1,FALSE))</f>
        <v>18480.881000000001</v>
      </c>
      <c r="O60">
        <f ca="1">IF(AND(ISNUMBER($O$480),$B$427=1),$O$480,HLOOKUP(INDIRECT(ADDRESS(2,COLUMN())),OFFSET($AM$2,0,0,ROW()-1,33),ROW()-1,FALSE))</f>
        <v>9544.5650000000005</v>
      </c>
      <c r="P60">
        <f ca="1">IF(AND(ISNUMBER($P$480),$B$427=1),$P$480,HLOOKUP(INDIRECT(ADDRESS(2,COLUMN())),OFFSET($AM$2,0,0,ROW()-1,33),ROW()-1,FALSE))</f>
        <v>9786.3349999999991</v>
      </c>
      <c r="Q60">
        <f ca="1">IF(AND(ISNUMBER($Q$480),$B$427=1),$Q$480,HLOOKUP(INDIRECT(ADDRESS(2,COLUMN())),OFFSET($AM$2,0,0,ROW()-1,33),ROW()-1,FALSE))</f>
        <v>9120.2260000000006</v>
      </c>
      <c r="R60">
        <f ca="1">IF(AND(ISNUMBER($R$480),$B$427=1),$R$480,HLOOKUP(INDIRECT(ADDRESS(2,COLUMN())),OFFSET($AM$2,0,0,ROW()-1,33),ROW()-1,FALSE))</f>
        <v>9201.9189999999999</v>
      </c>
      <c r="S60">
        <f ca="1">IF(AND(ISNUMBER($S$480),$B$427=1),$S$480,HLOOKUP(INDIRECT(ADDRESS(2,COLUMN())),OFFSET($AM$2,0,0,ROW()-1,33),ROW()-1,FALSE))</f>
        <v>9957.3709999999992</v>
      </c>
      <c r="T60">
        <f ca="1">IF(AND(ISNUMBER($T$480),$B$427=1),$T$480,HLOOKUP(INDIRECT(ADDRESS(2,COLUMN())),OFFSET($AM$2,0,0,ROW()-1,33),ROW()-1,FALSE))</f>
        <v>11766.29</v>
      </c>
      <c r="U60">
        <f ca="1">IF(AND(ISNUMBER($U$480),$B$427=1),$U$480,HLOOKUP(INDIRECT(ADDRESS(2,COLUMN())),OFFSET($AM$2,0,0,ROW()-1,33),ROW()-1,FALSE))</f>
        <v>15468.002</v>
      </c>
      <c r="V60">
        <f ca="1">IF(AND(ISNUMBER($V$480),$B$427=1),$V$480,HLOOKUP(INDIRECT(ADDRESS(2,COLUMN())),OFFSET($AM$2,0,0,ROW()-1,33),ROW()-1,FALSE))</f>
        <v>18977.990000000002</v>
      </c>
      <c r="W60">
        <f ca="1">IF(AND(ISNUMBER($W$480),$B$427=1),$W$480,HLOOKUP(INDIRECT(ADDRESS(2,COLUMN())),OFFSET($AM$2,0,0,ROW()-1,33),ROW()-1,FALSE))</f>
        <v>18987.848999999998</v>
      </c>
      <c r="X60">
        <f ca="1">IF(AND(ISNUMBER($X$480),$B$427=1),$X$480,HLOOKUP(INDIRECT(ADDRESS(2,COLUMN())),OFFSET($AM$2,0,0,ROW()-1,33),ROW()-1,FALSE))</f>
        <v>852.41700000000003</v>
      </c>
      <c r="Y60">
        <f ca="1">IF(AND(ISNUMBER($Y$480),$B$427=1),$Y$480,HLOOKUP(INDIRECT(ADDRESS(2,COLUMN())),OFFSET($AM$2,0,0,ROW()-1,33),ROW()-1,FALSE))</f>
        <v>776.26800000000003</v>
      </c>
      <c r="Z60">
        <f ca="1">IF(AND(ISNUMBER($Z$480),$B$427=1),$Z$480,HLOOKUP(INDIRECT(ADDRESS(2,COLUMN())),OFFSET($AM$2,0,0,ROW()-1,33),ROW()-1,FALSE))</f>
        <v>687.15700000000004</v>
      </c>
      <c r="AA60">
        <f ca="1">IF(AND(ISNUMBER($AA$480),$B$427=1),$AA$480,HLOOKUP(INDIRECT(ADDRESS(2,COLUMN())),OFFSET($AM$2,0,0,ROW()-1,33),ROW()-1,FALSE))</f>
        <v>549.01900000000001</v>
      </c>
      <c r="AB60">
        <f ca="1">IF(AND(ISNUMBER($AB$480),$B$427=1),$AB$480,HLOOKUP(INDIRECT(ADDRESS(2,COLUMN())),OFFSET($AM$2,0,0,ROW()-1,33),ROW()-1,FALSE))</f>
        <v>652.255</v>
      </c>
      <c r="AC60">
        <f ca="1">IF(AND(ISNUMBER($AC$480),$B$427=1),$AC$480,HLOOKUP(INDIRECT(ADDRESS(2,COLUMN())),OFFSET($AM$2,0,0,ROW()-1,33),ROW()-1,FALSE))</f>
        <v>502.726</v>
      </c>
      <c r="AD60">
        <f ca="1">IF(AND(ISNUMBER($AD$480),$B$427=1),$AD$480,HLOOKUP(INDIRECT(ADDRESS(2,COLUMN())),OFFSET($AM$2,0,0,ROW()-1,33),ROW()-1,FALSE))</f>
        <v>396.858</v>
      </c>
      <c r="AE60">
        <f ca="1">IF(AND(ISNUMBER($AE$480),$B$427=1),$AE$480,HLOOKUP(INDIRECT(ADDRESS(2,COLUMN())),OFFSET($AM$2,0,0,ROW()-1,33),ROW()-1,FALSE))</f>
        <v>535.87300000000005</v>
      </c>
      <c r="AF60">
        <f ca="1">IF(AND(ISNUMBER($AF$480),$B$427=1),$AF$480,HLOOKUP(INDIRECT(ADDRESS(2,COLUMN())),OFFSET($AM$2,0,0,ROW()-1,33),ROW()-1,FALSE))</f>
        <v>456.815</v>
      </c>
      <c r="AG60">
        <f ca="1">IF(AND(ISNUMBER($AG$480),$B$427=1),$AG$480,HLOOKUP(INDIRECT(ADDRESS(2,COLUMN())),OFFSET($AM$2,0,0,ROW()-1,33),ROW()-1,FALSE))</f>
        <v>748.81200000000001</v>
      </c>
      <c r="AH60">
        <f ca="1">IF(AND(ISNUMBER($AH$480),$B$427=1),$AH$480,HLOOKUP(INDIRECT(ADDRESS(2,COLUMN())),OFFSET($AM$2,0,0,ROW()-1,33),ROW()-1,FALSE))</f>
        <v>662.74099999999999</v>
      </c>
      <c r="AI60">
        <f ca="1">IF(AND(ISNUMBER($AI$480),$B$427=1),$AI$480,HLOOKUP(INDIRECT(ADDRESS(2,COLUMN())),OFFSET($AM$2,0,0,ROW()-1,33),ROW()-1,FALSE))</f>
        <v>597.52300000000002</v>
      </c>
      <c r="AJ60">
        <f ca="1">IF(AND(ISNUMBER($AJ$480),$B$427=1),$AJ$480,HLOOKUP(INDIRECT(ADDRESS(2,COLUMN())),OFFSET($AM$2,0,0,ROW()-1,33),ROW()-1,FALSE))</f>
        <v>487.91399999999999</v>
      </c>
      <c r="AK60">
        <f ca="1">IF(AND(ISNUMBER($AK$480),$B$427=1),$AK$480,HLOOKUP(INDIRECT(ADDRESS(2,COLUMN())),OFFSET($AM$2,0,0,ROW()-1,33),ROW()-1,FALSE))</f>
        <v>212.40700000000001</v>
      </c>
      <c r="AL60">
        <f ca="1">IF(AND(ISNUMBER($AL$480),$B$427=1),$AL$480,HLOOKUP(INDIRECT(ADDRESS(2,COLUMN())),OFFSET($AM$2,0,0,ROW()-1,33),ROW()-1,FALSE))</f>
        <v>291.93299999999999</v>
      </c>
      <c r="AM60">
        <f>16868.038</f>
        <v>16868.038</v>
      </c>
      <c r="AN60">
        <f>18635.827</f>
        <v>18635.827000000001</v>
      </c>
      <c r="AO60">
        <f>19308.708</f>
        <v>19308.707999999999</v>
      </c>
      <c r="AP60">
        <f>17250.733</f>
        <v>17250.733</v>
      </c>
      <c r="AQ60">
        <f>15687.643</f>
        <v>15687.643</v>
      </c>
      <c r="AR60">
        <f>15822.851</f>
        <v>15822.851000000001</v>
      </c>
      <c r="AS60">
        <f>16844.61</f>
        <v>16844.61</v>
      </c>
      <c r="AT60">
        <f>16945.518</f>
        <v>16945.518</v>
      </c>
      <c r="AU60">
        <f>18480.881</f>
        <v>18480.881000000001</v>
      </c>
      <c r="AV60">
        <f>9544.565</f>
        <v>9544.5650000000005</v>
      </c>
      <c r="AW60">
        <f>9786.335</f>
        <v>9786.3349999999991</v>
      </c>
      <c r="AX60">
        <f>9120.226</f>
        <v>9120.2260000000006</v>
      </c>
      <c r="AY60">
        <f>9201.919</f>
        <v>9201.9189999999999</v>
      </c>
      <c r="AZ60">
        <f>9957.371</f>
        <v>9957.3709999999992</v>
      </c>
      <c r="BA60">
        <f>11766.29</f>
        <v>11766.29</v>
      </c>
      <c r="BB60">
        <f>15468.002</f>
        <v>15468.002</v>
      </c>
      <c r="BC60">
        <f>18977.99</f>
        <v>18977.990000000002</v>
      </c>
      <c r="BD60">
        <f>18987.849</f>
        <v>18987.848999999998</v>
      </c>
      <c r="BE60">
        <f>852.417</f>
        <v>852.41700000000003</v>
      </c>
      <c r="BF60">
        <f>776.268</f>
        <v>776.26800000000003</v>
      </c>
      <c r="BG60">
        <f>687.157</f>
        <v>687.15700000000004</v>
      </c>
      <c r="BH60">
        <f>549.019</f>
        <v>549.01900000000001</v>
      </c>
      <c r="BI60">
        <f>652.255</f>
        <v>652.255</v>
      </c>
      <c r="BJ60">
        <f>502.726</f>
        <v>502.726</v>
      </c>
      <c r="BK60">
        <f>396.858</f>
        <v>396.858</v>
      </c>
      <c r="BL60">
        <f>535.873</f>
        <v>535.87300000000005</v>
      </c>
      <c r="BM60">
        <f>456.815</f>
        <v>456.815</v>
      </c>
      <c r="BN60">
        <f>748.812</f>
        <v>748.81200000000001</v>
      </c>
      <c r="BO60">
        <f>662.741</f>
        <v>662.74099999999999</v>
      </c>
      <c r="BP60">
        <f>597.523</f>
        <v>597.52300000000002</v>
      </c>
      <c r="BQ60">
        <f>487.914</f>
        <v>487.91399999999999</v>
      </c>
      <c r="BR60">
        <f>212.407</f>
        <v>212.40700000000001</v>
      </c>
      <c r="BS60">
        <f>291.933</f>
        <v>291.93299999999999</v>
      </c>
    </row>
    <row r="61" spans="1:71" x14ac:dyDescent="0.25">
      <c r="A61" t="str">
        <f>"            M&amp;T Bank Corp"</f>
        <v xml:space="preserve">            M&amp;T Bank Corp</v>
      </c>
      <c r="B61" t="str">
        <f>"MTB US Equity"</f>
        <v>MTB US Equity</v>
      </c>
      <c r="C61" t="str">
        <f t="shared" si="6"/>
        <v>F0375</v>
      </c>
      <c r="D61" t="str">
        <f t="shared" si="7"/>
        <v>FED_CRE_LNS_INCL_APTS_&amp;_FRMLND</v>
      </c>
      <c r="E61" t="str">
        <f t="shared" si="8"/>
        <v>Dynamic</v>
      </c>
      <c r="F61">
        <f ca="1">IF(AND(ISNUMBER($F$481),$B$427=1),$F$481,HLOOKUP(INDIRECT(ADDRESS(2,COLUMN())),OFFSET($AM$2,0,0,ROW()-1,33),ROW()-1,FALSE))</f>
        <v>36455.898000000001</v>
      </c>
      <c r="G61">
        <f ca="1">IF(AND(ISNUMBER($G$481),$B$427=1),$G$481,HLOOKUP(INDIRECT(ADDRESS(2,COLUMN())),OFFSET($AM$2,0,0,ROW()-1,33),ROW()-1,FALSE))</f>
        <v>41547.082999999999</v>
      </c>
      <c r="H61">
        <f ca="1">IF(AND(ISNUMBER($H$481),$B$427=1),$H$481,HLOOKUP(INDIRECT(ADDRESS(2,COLUMN())),OFFSET($AM$2,0,0,ROW()-1,33),ROW()-1,FALSE))</f>
        <v>44453.165999999997</v>
      </c>
      <c r="I61">
        <f ca="1">IF(AND(ISNUMBER($I$481),$B$427=1),$I$481,HLOOKUP(INDIRECT(ADDRESS(2,COLUMN())),OFFSET($AM$2,0,0,ROW()-1,33),ROW()-1,FALSE))</f>
        <v>34929.207999999999</v>
      </c>
      <c r="J61">
        <f ca="1">IF(AND(ISNUMBER($J$481),$B$427=1),$J$481,HLOOKUP(INDIRECT(ADDRESS(2,COLUMN())),OFFSET($AM$2,0,0,ROW()-1,33),ROW()-1,FALSE))</f>
        <v>37630.673999999999</v>
      </c>
      <c r="K61">
        <f ca="1">IF(AND(ISNUMBER($K$481),$B$427=1),$K$481,HLOOKUP(INDIRECT(ADDRESS(2,COLUMN())),OFFSET($AM$2,0,0,ROW()-1,33),ROW()-1,FALSE))</f>
        <v>35584.686999999998</v>
      </c>
      <c r="L61">
        <f ca="1">IF(AND(ISNUMBER($L$481),$B$427=1),$L$481,HLOOKUP(INDIRECT(ADDRESS(2,COLUMN())),OFFSET($AM$2,0,0,ROW()-1,33),ROW()-1,FALSE))</f>
        <v>34372.127</v>
      </c>
      <c r="M61">
        <f ca="1">IF(AND(ISNUMBER($M$481),$B$427=1),$M$481,HLOOKUP(INDIRECT(ADDRESS(2,COLUMN())),OFFSET($AM$2,0,0,ROW()-1,33),ROW()-1,FALSE))</f>
        <v>33327.798000000003</v>
      </c>
      <c r="N61">
        <f ca="1">IF(AND(ISNUMBER($N$481),$B$427=1),$N$481,HLOOKUP(INDIRECT(ADDRESS(2,COLUMN())),OFFSET($AM$2,0,0,ROW()-1,33),ROW()-1,FALSE))</f>
        <v>33437.82</v>
      </c>
      <c r="O61">
        <f ca="1">IF(AND(ISNUMBER($O$481),$B$427=1),$O$481,HLOOKUP(INDIRECT(ADDRESS(2,COLUMN())),OFFSET($AM$2,0,0,ROW()-1,33),ROW()-1,FALSE))</f>
        <v>29151.564999999999</v>
      </c>
      <c r="P61">
        <f ca="1">IF(AND(ISNUMBER($P$481),$B$427=1),$P$481,HLOOKUP(INDIRECT(ADDRESS(2,COLUMN())),OFFSET($AM$2,0,0,ROW()-1,33),ROW()-1,FALSE))</f>
        <v>27431.887999999999</v>
      </c>
      <c r="Q61">
        <f ca="1">IF(AND(ISNUMBER($Q$481),$B$427=1),$Q$481,HLOOKUP(INDIRECT(ADDRESS(2,COLUMN())),OFFSET($AM$2,0,0,ROW()-1,33),ROW()-1,FALSE))</f>
        <v>26149.42</v>
      </c>
      <c r="R61">
        <f ca="1">IF(AND(ISNUMBER($R$481),$B$427=1),$R$481,HLOOKUP(INDIRECT(ADDRESS(2,COLUMN())),OFFSET($AM$2,0,0,ROW()-1,33),ROW()-1,FALSE))</f>
        <v>25968.675999999999</v>
      </c>
      <c r="S61">
        <f ca="1">IF(AND(ISNUMBER($S$481),$B$427=1),$S$481,HLOOKUP(INDIRECT(ADDRESS(2,COLUMN())),OFFSET($AM$2,0,0,ROW()-1,33),ROW()-1,FALSE))</f>
        <v>24398.914000000001</v>
      </c>
      <c r="T61">
        <f ca="1">IF(AND(ISNUMBER($T$481),$B$427=1),$T$481,HLOOKUP(INDIRECT(ADDRESS(2,COLUMN())),OFFSET($AM$2,0,0,ROW()-1,33),ROW()-1,FALSE))</f>
        <v>21166.437000000002</v>
      </c>
      <c r="U61">
        <f ca="1">IF(AND(ISNUMBER($U$481),$B$427=1),$U$481,HLOOKUP(INDIRECT(ADDRESS(2,COLUMN())),OFFSET($AM$2,0,0,ROW()-1,33),ROW()-1,FALSE))</f>
        <v>20791.111000000001</v>
      </c>
      <c r="V61">
        <f ca="1">IF(AND(ISNUMBER($V$481),$B$427=1),$V$481,HLOOKUP(INDIRECT(ADDRESS(2,COLUMN())),OFFSET($AM$2,0,0,ROW()-1,33),ROW()-1,FALSE))</f>
        <v>18793.843000000001</v>
      </c>
      <c r="W61">
        <f ca="1">IF(AND(ISNUMBER($W$481),$B$427=1),$W$481,HLOOKUP(INDIRECT(ADDRESS(2,COLUMN())),OFFSET($AM$2,0,0,ROW()-1,33),ROW()-1,FALSE))</f>
        <v>17822.552</v>
      </c>
      <c r="X61">
        <f ca="1">IF(AND(ISNUMBER($X$481),$B$427=1),$X$481,HLOOKUP(INDIRECT(ADDRESS(2,COLUMN())),OFFSET($AM$2,0,0,ROW()-1,33),ROW()-1,FALSE))</f>
        <v>1939.204</v>
      </c>
      <c r="Y61">
        <f ca="1">IF(AND(ISNUMBER($Y$481),$B$427=1),$Y$481,HLOOKUP(INDIRECT(ADDRESS(2,COLUMN())),OFFSET($AM$2,0,0,ROW()-1,33),ROW()-1,FALSE))</f>
        <v>2068.9319999999998</v>
      </c>
      <c r="Z61">
        <f ca="1">IF(AND(ISNUMBER($Z$481),$B$427=1),$Z$481,HLOOKUP(INDIRECT(ADDRESS(2,COLUMN())),OFFSET($AM$2,0,0,ROW()-1,33),ROW()-1,FALSE))</f>
        <v>2272.3820000000001</v>
      </c>
      <c r="AA61">
        <f ca="1">IF(AND(ISNUMBER($AA$481),$B$427=1),$AA$481,HLOOKUP(INDIRECT(ADDRESS(2,COLUMN())),OFFSET($AM$2,0,0,ROW()-1,33),ROW()-1,FALSE))</f>
        <v>2122.0439999999999</v>
      </c>
      <c r="AB61">
        <f ca="1">IF(AND(ISNUMBER($AB$481),$B$427=1),$AB$481,HLOOKUP(INDIRECT(ADDRESS(2,COLUMN())),OFFSET($AM$2,0,0,ROW()-1,33),ROW()-1,FALSE))</f>
        <v>2169.2240000000002</v>
      </c>
      <c r="AC61">
        <f ca="1">IF(AND(ISNUMBER($AC$481),$B$427=1),$AC$481,HLOOKUP(INDIRECT(ADDRESS(2,COLUMN())),OFFSET($AM$2,0,0,ROW()-1,33),ROW()-1,FALSE))</f>
        <v>2271.1239999999998</v>
      </c>
      <c r="AD61">
        <f ca="1">IF(AND(ISNUMBER($AD$481),$B$427=1),$AD$481,HLOOKUP(INDIRECT(ADDRESS(2,COLUMN())),OFFSET($AM$2,0,0,ROW()-1,33),ROW()-1,FALSE))</f>
        <v>2385.0509999999999</v>
      </c>
      <c r="AE61">
        <f ca="1">IF(AND(ISNUMBER($AE$481),$B$427=1),$AE$481,HLOOKUP(INDIRECT(ADDRESS(2,COLUMN())),OFFSET($AM$2,0,0,ROW()-1,33),ROW()-1,FALSE))</f>
        <v>2079.1770000000001</v>
      </c>
      <c r="AF61">
        <f ca="1">IF(AND(ISNUMBER($AF$481),$B$427=1),$AF$481,HLOOKUP(INDIRECT(ADDRESS(2,COLUMN())),OFFSET($AM$2,0,0,ROW()-1,33),ROW()-1,FALSE))</f>
        <v>1711.1790000000001</v>
      </c>
      <c r="AG61">
        <f ca="1">IF(AND(ISNUMBER($AG$481),$B$427=1),$AG$481,HLOOKUP(INDIRECT(ADDRESS(2,COLUMN())),OFFSET($AM$2,0,0,ROW()-1,33),ROW()-1,FALSE))</f>
        <v>1714.0170000000001</v>
      </c>
      <c r="AH61">
        <f ca="1">IF(AND(ISNUMBER($AH$481),$B$427=1),$AH$481,HLOOKUP(INDIRECT(ADDRESS(2,COLUMN())),OFFSET($AM$2,0,0,ROW()-1,33),ROW()-1,FALSE))</f>
        <v>1626.4380000000001</v>
      </c>
      <c r="AI61">
        <f ca="1">IF(AND(ISNUMBER($AI$481),$B$427=1),$AI$481,HLOOKUP(INDIRECT(ADDRESS(2,COLUMN())),OFFSET($AM$2,0,0,ROW()-1,33),ROW()-1,FALSE))</f>
        <v>1520.971</v>
      </c>
      <c r="AJ61">
        <f ca="1">IF(AND(ISNUMBER($AJ$481),$B$427=1),$AJ$481,HLOOKUP(INDIRECT(ADDRESS(2,COLUMN())),OFFSET($AM$2,0,0,ROW()-1,33),ROW()-1,FALSE))</f>
        <v>1422.1890000000001</v>
      </c>
      <c r="AK61">
        <f ca="1">IF(AND(ISNUMBER($AK$481),$B$427=1),$AK$481,HLOOKUP(INDIRECT(ADDRESS(2,COLUMN())),OFFSET($AM$2,0,0,ROW()-1,33),ROW()-1,FALSE))</f>
        <v>1267.4459999999999</v>
      </c>
      <c r="AL61">
        <f ca="1">IF(AND(ISNUMBER($AL$481),$B$427=1),$AL$481,HLOOKUP(INDIRECT(ADDRESS(2,COLUMN())),OFFSET($AM$2,0,0,ROW()-1,33),ROW()-1,FALSE))</f>
        <v>1066.1210000000001</v>
      </c>
      <c r="AM61">
        <f>36455.898</f>
        <v>36455.898000000001</v>
      </c>
      <c r="AN61">
        <f>41547.083</f>
        <v>41547.082999999999</v>
      </c>
      <c r="AO61">
        <f>44453.166</f>
        <v>44453.165999999997</v>
      </c>
      <c r="AP61">
        <f>34929.208</f>
        <v>34929.207999999999</v>
      </c>
      <c r="AQ61">
        <f>37630.674</f>
        <v>37630.673999999999</v>
      </c>
      <c r="AR61">
        <f>35584.687</f>
        <v>35584.686999999998</v>
      </c>
      <c r="AS61">
        <f>34372.127</f>
        <v>34372.127</v>
      </c>
      <c r="AT61">
        <f>33327.798</f>
        <v>33327.798000000003</v>
      </c>
      <c r="AU61">
        <f>33437.82</f>
        <v>33437.82</v>
      </c>
      <c r="AV61">
        <f>29151.565</f>
        <v>29151.564999999999</v>
      </c>
      <c r="AW61">
        <f>27431.888</f>
        <v>27431.887999999999</v>
      </c>
      <c r="AX61">
        <f>26149.42</f>
        <v>26149.42</v>
      </c>
      <c r="AY61">
        <f>25968.676</f>
        <v>25968.675999999999</v>
      </c>
      <c r="AZ61">
        <f>24398.914</f>
        <v>24398.914000000001</v>
      </c>
      <c r="BA61">
        <f>21166.437</f>
        <v>21166.437000000002</v>
      </c>
      <c r="BB61">
        <f>20791.111</f>
        <v>20791.111000000001</v>
      </c>
      <c r="BC61">
        <f>18793.843</f>
        <v>18793.843000000001</v>
      </c>
      <c r="BD61">
        <f>17822.552</f>
        <v>17822.552</v>
      </c>
      <c r="BE61">
        <f>1939.204</f>
        <v>1939.204</v>
      </c>
      <c r="BF61">
        <f>2068.932</f>
        <v>2068.9319999999998</v>
      </c>
      <c r="BG61">
        <f>2272.382</f>
        <v>2272.3820000000001</v>
      </c>
      <c r="BH61">
        <f>2122.044</f>
        <v>2122.0439999999999</v>
      </c>
      <c r="BI61">
        <f>2169.224</f>
        <v>2169.2240000000002</v>
      </c>
      <c r="BJ61">
        <f>2271.124</f>
        <v>2271.1239999999998</v>
      </c>
      <c r="BK61">
        <f>2385.051</f>
        <v>2385.0509999999999</v>
      </c>
      <c r="BL61">
        <f>2079.177</f>
        <v>2079.1770000000001</v>
      </c>
      <c r="BM61">
        <f>1711.179</f>
        <v>1711.1790000000001</v>
      </c>
      <c r="BN61">
        <f>1714.017</f>
        <v>1714.0170000000001</v>
      </c>
      <c r="BO61">
        <f>1626.438</f>
        <v>1626.4380000000001</v>
      </c>
      <c r="BP61">
        <f>1520.971</f>
        <v>1520.971</v>
      </c>
      <c r="BQ61">
        <f>1422.189</f>
        <v>1422.1890000000001</v>
      </c>
      <c r="BR61">
        <f>1267.446</f>
        <v>1267.4459999999999</v>
      </c>
      <c r="BS61">
        <f>1066.121</f>
        <v>1066.1210000000001</v>
      </c>
    </row>
    <row r="62" spans="1:71" x14ac:dyDescent="0.25">
      <c r="A62" t="str">
        <f>"            PNC Financial Services Group I"</f>
        <v xml:space="preserve">            PNC Financial Services Group I</v>
      </c>
      <c r="B62" t="str">
        <f>"PNC US Equity"</f>
        <v>PNC US Equity</v>
      </c>
      <c r="C62" t="str">
        <f t="shared" si="6"/>
        <v>F0375</v>
      </c>
      <c r="D62" t="str">
        <f t="shared" si="7"/>
        <v>FED_CRE_LNS_INCL_APTS_&amp;_FRMLND</v>
      </c>
      <c r="E62" t="str">
        <f t="shared" si="8"/>
        <v>Dynamic</v>
      </c>
      <c r="F62" t="str">
        <f ca="1">IF(AND(ISNUMBER($F$482),$B$427=1),$F$482,HLOOKUP(INDIRECT(ADDRESS(2,COLUMN())),OFFSET($AM$2,0,0,ROW()-1,33),ROW()-1,FALSE))</f>
        <v/>
      </c>
      <c r="G62">
        <f ca="1">IF(AND(ISNUMBER($G$482),$B$427=1),$G$482,HLOOKUP(INDIRECT(ADDRESS(2,COLUMN())),OFFSET($AM$2,0,0,ROW()-1,33),ROW()-1,FALSE))</f>
        <v>45186.357000000004</v>
      </c>
      <c r="H62">
        <f ca="1">IF(AND(ISNUMBER($H$482),$B$427=1),$H$482,HLOOKUP(INDIRECT(ADDRESS(2,COLUMN())),OFFSET($AM$2,0,0,ROW()-1,33),ROW()-1,FALSE))</f>
        <v>47064.612000000001</v>
      </c>
      <c r="I62">
        <f ca="1">IF(AND(ISNUMBER($I$482),$B$427=1),$I$482,HLOOKUP(INDIRECT(ADDRESS(2,COLUMN())),OFFSET($AM$2,0,0,ROW()-1,33),ROW()-1,FALSE))</f>
        <v>46377.953999999998</v>
      </c>
      <c r="J62">
        <f ca="1">IF(AND(ISNUMBER($J$482),$B$427=1),$J$482,HLOOKUP(INDIRECT(ADDRESS(2,COLUMN())),OFFSET($AM$2,0,0,ROW()-1,33),ROW()-1,FALSE))</f>
        <v>36285.338000000003</v>
      </c>
      <c r="K62">
        <f ca="1">IF(AND(ISNUMBER($K$482),$B$427=1),$K$482,HLOOKUP(INDIRECT(ADDRESS(2,COLUMN())),OFFSET($AM$2,0,0,ROW()-1,33),ROW()-1,FALSE))</f>
        <v>35486.482000000004</v>
      </c>
      <c r="L62">
        <f ca="1">IF(AND(ISNUMBER($L$482),$B$427=1),$L$482,HLOOKUP(INDIRECT(ADDRESS(2,COLUMN())),OFFSET($AM$2,0,0,ROW()-1,33),ROW()-1,FALSE))</f>
        <v>34826.436999999998</v>
      </c>
      <c r="M62">
        <f ca="1">IF(AND(ISNUMBER($M$482),$B$427=1),$M$482,HLOOKUP(INDIRECT(ADDRESS(2,COLUMN())),OFFSET($AM$2,0,0,ROW()-1,33),ROW()-1,FALSE))</f>
        <v>36602.247000000003</v>
      </c>
      <c r="N62">
        <f ca="1">IF(AND(ISNUMBER($N$482),$B$427=1),$N$482,HLOOKUP(INDIRECT(ADDRESS(2,COLUMN())),OFFSET($AM$2,0,0,ROW()-1,33),ROW()-1,FALSE))</f>
        <v>37113.677000000003</v>
      </c>
      <c r="O62">
        <f ca="1">IF(AND(ISNUMBER($O$482),$B$427=1),$O$482,HLOOKUP(INDIRECT(ADDRESS(2,COLUMN())),OFFSET($AM$2,0,0,ROW()-1,33),ROW()-1,FALSE))</f>
        <v>35628.311999999998</v>
      </c>
      <c r="P62">
        <f ca="1">IF(AND(ISNUMBER($P$482),$B$427=1),$P$482,HLOOKUP(INDIRECT(ADDRESS(2,COLUMN())),OFFSET($AM$2,0,0,ROW()-1,33),ROW()-1,FALSE))</f>
        <v>33698.699999999997</v>
      </c>
      <c r="Q62">
        <f ca="1">IF(AND(ISNUMBER($Q$482),$B$427=1),$Q$482,HLOOKUP(INDIRECT(ADDRESS(2,COLUMN())),OFFSET($AM$2,0,0,ROW()-1,33),ROW()-1,FALSE))</f>
        <v>32668.51</v>
      </c>
      <c r="R62">
        <f ca="1">IF(AND(ISNUMBER($R$482),$B$427=1),$R$482,HLOOKUP(INDIRECT(ADDRESS(2,COLUMN())),OFFSET($AM$2,0,0,ROW()-1,33),ROW()-1,FALSE))</f>
        <v>31317.608</v>
      </c>
      <c r="S62">
        <f ca="1">IF(AND(ISNUMBER($S$482),$B$427=1),$S$482,HLOOKUP(INDIRECT(ADDRESS(2,COLUMN())),OFFSET($AM$2,0,0,ROW()-1,33),ROW()-1,FALSE))</f>
        <v>26980.107</v>
      </c>
      <c r="T62">
        <f ca="1">IF(AND(ISNUMBER($T$482),$B$427=1),$T$482,HLOOKUP(INDIRECT(ADDRESS(2,COLUMN())),OFFSET($AM$2,0,0,ROW()-1,33),ROW()-1,FALSE))</f>
        <v>28246.83</v>
      </c>
      <c r="U62">
        <f ca="1">IF(AND(ISNUMBER($U$482),$B$427=1),$U$482,HLOOKUP(INDIRECT(ADDRESS(2,COLUMN())),OFFSET($AM$2,0,0,ROW()-1,33),ROW()-1,FALSE))</f>
        <v>33979.686000000002</v>
      </c>
      <c r="V62">
        <f ca="1">IF(AND(ISNUMBER($V$482),$B$427=1),$V$482,HLOOKUP(INDIRECT(ADDRESS(2,COLUMN())),OFFSET($AM$2,0,0,ROW()-1,33),ROW()-1,FALSE))</f>
        <v>38478.286999999997</v>
      </c>
      <c r="W62">
        <f ca="1">IF(AND(ISNUMBER($W$482),$B$427=1),$W$482,HLOOKUP(INDIRECT(ADDRESS(2,COLUMN())),OFFSET($AM$2,0,0,ROW()-1,33),ROW()-1,FALSE))</f>
        <v>15389.293</v>
      </c>
      <c r="X62">
        <f ca="1">IF(AND(ISNUMBER($X$482),$B$427=1),$X$482,HLOOKUP(INDIRECT(ADDRESS(2,COLUMN())),OFFSET($AM$2,0,0,ROW()-1,33),ROW()-1,FALSE))</f>
        <v>461.63</v>
      </c>
      <c r="Y62">
        <f ca="1">IF(AND(ISNUMBER($Y$482),$B$427=1),$Y$482,HLOOKUP(INDIRECT(ADDRESS(2,COLUMN())),OFFSET($AM$2,0,0,ROW()-1,33),ROW()-1,FALSE))</f>
        <v>544.10699999999997</v>
      </c>
      <c r="Z62">
        <f ca="1">IF(AND(ISNUMBER($Z$482),$B$427=1),$Z$482,HLOOKUP(INDIRECT(ADDRESS(2,COLUMN())),OFFSET($AM$2,0,0,ROW()-1,33),ROW()-1,FALSE))</f>
        <v>396.81599999999997</v>
      </c>
      <c r="AA62">
        <f ca="1">IF(AND(ISNUMBER($AA$482),$B$427=1),$AA$482,HLOOKUP(INDIRECT(ADDRESS(2,COLUMN())),OFFSET($AM$2,0,0,ROW()-1,33),ROW()-1,FALSE))</f>
        <v>302.714</v>
      </c>
      <c r="AB62">
        <f ca="1">IF(AND(ISNUMBER($AB$482),$B$427=1),$AB$482,HLOOKUP(INDIRECT(ADDRESS(2,COLUMN())),OFFSET($AM$2,0,0,ROW()-1,33),ROW()-1,FALSE))</f>
        <v>321.322</v>
      </c>
      <c r="AC62">
        <f ca="1">IF(AND(ISNUMBER($AC$482),$B$427=1),$AC$482,HLOOKUP(INDIRECT(ADDRESS(2,COLUMN())),OFFSET($AM$2,0,0,ROW()-1,33),ROW()-1,FALSE))</f>
        <v>495.80200000000002</v>
      </c>
      <c r="AD62">
        <f ca="1">IF(AND(ISNUMBER($AD$482),$B$427=1),$AD$482,HLOOKUP(INDIRECT(ADDRESS(2,COLUMN())),OFFSET($AM$2,0,0,ROW()-1,33),ROW()-1,FALSE))</f>
        <v>426.26299999999998</v>
      </c>
      <c r="AE62">
        <f ca="1">IF(AND(ISNUMBER($AE$482),$B$427=1),$AE$482,HLOOKUP(INDIRECT(ADDRESS(2,COLUMN())),OFFSET($AM$2,0,0,ROW()-1,33),ROW()-1,FALSE))</f>
        <v>646.75800000000004</v>
      </c>
      <c r="AF62">
        <f ca="1">IF(AND(ISNUMBER($AF$482),$B$427=1),$AF$482,HLOOKUP(INDIRECT(ADDRESS(2,COLUMN())),OFFSET($AM$2,0,0,ROW()-1,33),ROW()-1,FALSE))</f>
        <v>735.51800000000003</v>
      </c>
      <c r="AG62">
        <f ca="1">IF(AND(ISNUMBER($AG$482),$B$427=1),$AG$482,HLOOKUP(INDIRECT(ADDRESS(2,COLUMN())),OFFSET($AM$2,0,0,ROW()-1,33),ROW()-1,FALSE))</f>
        <v>408.15899999999999</v>
      </c>
      <c r="AH62">
        <f ca="1">IF(AND(ISNUMBER($AH$482),$B$427=1),$AH$482,HLOOKUP(INDIRECT(ADDRESS(2,COLUMN())),OFFSET($AM$2,0,0,ROW()-1,33),ROW()-1,FALSE))</f>
        <v>328.12700000000001</v>
      </c>
      <c r="AI62">
        <f ca="1">IF(AND(ISNUMBER($AI$482),$B$427=1),$AI$482,HLOOKUP(INDIRECT(ADDRESS(2,COLUMN())),OFFSET($AM$2,0,0,ROW()-1,33),ROW()-1,FALSE))</f>
        <v>296.73899999999998</v>
      </c>
      <c r="AJ62">
        <f ca="1">IF(AND(ISNUMBER($AJ$482),$B$427=1),$AJ$482,HLOOKUP(INDIRECT(ADDRESS(2,COLUMN())),OFFSET($AM$2,0,0,ROW()-1,33),ROW()-1,FALSE))</f>
        <v>360.68099999999998</v>
      </c>
      <c r="AK62">
        <f ca="1">IF(AND(ISNUMBER($AK$482),$B$427=1),$AK$482,HLOOKUP(INDIRECT(ADDRESS(2,COLUMN())),OFFSET($AM$2,0,0,ROW()-1,33),ROW()-1,FALSE))</f>
        <v>248.39699999999999</v>
      </c>
      <c r="AL62">
        <f ca="1">IF(AND(ISNUMBER($AL$482),$B$427=1),$AL$482,HLOOKUP(INDIRECT(ADDRESS(2,COLUMN())),OFFSET($AM$2,0,0,ROW()-1,33),ROW()-1,FALSE))</f>
        <v>130.32599999999999</v>
      </c>
      <c r="AM62" t="str">
        <f>""</f>
        <v/>
      </c>
      <c r="AN62">
        <f>45186.357</f>
        <v>45186.357000000004</v>
      </c>
      <c r="AO62">
        <f>47064.612</f>
        <v>47064.612000000001</v>
      </c>
      <c r="AP62">
        <f>46377.954</f>
        <v>46377.953999999998</v>
      </c>
      <c r="AQ62">
        <f>36285.338</f>
        <v>36285.338000000003</v>
      </c>
      <c r="AR62">
        <f>35486.482</f>
        <v>35486.482000000004</v>
      </c>
      <c r="AS62">
        <f>34826.437</f>
        <v>34826.436999999998</v>
      </c>
      <c r="AT62">
        <f>36602.247</f>
        <v>36602.247000000003</v>
      </c>
      <c r="AU62">
        <f>37113.677</f>
        <v>37113.677000000003</v>
      </c>
      <c r="AV62">
        <f>35628.312</f>
        <v>35628.311999999998</v>
      </c>
      <c r="AW62">
        <f>33698.7</f>
        <v>33698.699999999997</v>
      </c>
      <c r="AX62">
        <f>32668.51</f>
        <v>32668.51</v>
      </c>
      <c r="AY62">
        <f>31317.608</f>
        <v>31317.608</v>
      </c>
      <c r="AZ62">
        <f>26980.107</f>
        <v>26980.107</v>
      </c>
      <c r="BA62">
        <f>28246.83</f>
        <v>28246.83</v>
      </c>
      <c r="BB62">
        <f>33979.686</f>
        <v>33979.686000000002</v>
      </c>
      <c r="BC62">
        <f>38478.287</f>
        <v>38478.286999999997</v>
      </c>
      <c r="BD62">
        <f>15389.293</f>
        <v>15389.293</v>
      </c>
      <c r="BE62">
        <f>461.63</f>
        <v>461.63</v>
      </c>
      <c r="BF62">
        <f>544.107</f>
        <v>544.10699999999997</v>
      </c>
      <c r="BG62">
        <f>396.816</f>
        <v>396.81599999999997</v>
      </c>
      <c r="BH62">
        <f>302.714</f>
        <v>302.714</v>
      </c>
      <c r="BI62">
        <f>321.322</f>
        <v>321.322</v>
      </c>
      <c r="BJ62">
        <f>495.802</f>
        <v>495.80200000000002</v>
      </c>
      <c r="BK62">
        <f>426.263</f>
        <v>426.26299999999998</v>
      </c>
      <c r="BL62">
        <f>646.758</f>
        <v>646.75800000000004</v>
      </c>
      <c r="BM62">
        <f>735.518</f>
        <v>735.51800000000003</v>
      </c>
      <c r="BN62">
        <f>408.159</f>
        <v>408.15899999999999</v>
      </c>
      <c r="BO62">
        <f>328.127</f>
        <v>328.12700000000001</v>
      </c>
      <c r="BP62">
        <f>296.739</f>
        <v>296.73899999999998</v>
      </c>
      <c r="BQ62">
        <f>360.681</f>
        <v>360.68099999999998</v>
      </c>
      <c r="BR62">
        <f>248.397</f>
        <v>248.39699999999999</v>
      </c>
      <c r="BS62">
        <f>130.326</f>
        <v>130.32599999999999</v>
      </c>
    </row>
    <row r="63" spans="1:71" x14ac:dyDescent="0.25">
      <c r="A63" t="str">
        <f>"            Regions Financial Corp"</f>
        <v xml:space="preserve">            Regions Financial Corp</v>
      </c>
      <c r="B63" t="str">
        <f>"RF US Equity"</f>
        <v>RF US Equity</v>
      </c>
      <c r="C63" t="str">
        <f t="shared" si="6"/>
        <v>F0375</v>
      </c>
      <c r="D63" t="str">
        <f t="shared" si="7"/>
        <v>FED_CRE_LNS_INCL_APTS_&amp;_FRMLND</v>
      </c>
      <c r="E63" t="str">
        <f t="shared" si="8"/>
        <v>Dynamic</v>
      </c>
      <c r="F63" t="str">
        <f ca="1">IF(AND(ISNUMBER($F$483),$B$427=1),$F$483,HLOOKUP(INDIRECT(ADDRESS(2,COLUMN())),OFFSET($AM$2,0,0,ROW()-1,33),ROW()-1,FALSE))</f>
        <v/>
      </c>
      <c r="G63">
        <f ca="1">IF(AND(ISNUMBER($G$483),$B$427=1),$G$483,HLOOKUP(INDIRECT(ADDRESS(2,COLUMN())),OFFSET($AM$2,0,0,ROW()-1,33),ROW()-1,FALSE))</f>
        <v>15337</v>
      </c>
      <c r="H63">
        <f ca="1">IF(AND(ISNUMBER($H$483),$B$427=1),$H$483,HLOOKUP(INDIRECT(ADDRESS(2,COLUMN())),OFFSET($AM$2,0,0,ROW()-1,33),ROW()-1,FALSE))</f>
        <v>15277</v>
      </c>
      <c r="I63">
        <f ca="1">IF(AND(ISNUMBER($I$483),$B$427=1),$I$483,HLOOKUP(INDIRECT(ADDRESS(2,COLUMN())),OFFSET($AM$2,0,0,ROW()-1,33),ROW()-1,FALSE))</f>
        <v>14103</v>
      </c>
      <c r="J63">
        <f ca="1">IF(AND(ISNUMBER($J$483),$B$427=1),$J$483,HLOOKUP(INDIRECT(ADDRESS(2,COLUMN())),OFFSET($AM$2,0,0,ROW()-1,33),ROW()-1,FALSE))</f>
        <v>14345</v>
      </c>
      <c r="K63">
        <f ca="1">IF(AND(ISNUMBER($K$483),$B$427=1),$K$483,HLOOKUP(INDIRECT(ADDRESS(2,COLUMN())),OFFSET($AM$2,0,0,ROW()-1,33),ROW()-1,FALSE))</f>
        <v>13759</v>
      </c>
      <c r="L63">
        <f ca="1">IF(AND(ISNUMBER($L$483),$B$427=1),$L$483,HLOOKUP(INDIRECT(ADDRESS(2,COLUMN())),OFFSET($AM$2,0,0,ROW()-1,33),ROW()-1,FALSE))</f>
        <v>13438.606</v>
      </c>
      <c r="M63">
        <f ca="1">IF(AND(ISNUMBER($M$483),$B$427=1),$M$483,HLOOKUP(INDIRECT(ADDRESS(2,COLUMN())),OFFSET($AM$2,0,0,ROW()-1,33),ROW()-1,FALSE))</f>
        <v>13188.591</v>
      </c>
      <c r="N63">
        <f ca="1">IF(AND(ISNUMBER($N$483),$B$427=1),$N$483,HLOOKUP(INDIRECT(ADDRESS(2,COLUMN())),OFFSET($AM$2,0,0,ROW()-1,33),ROW()-1,FALSE))</f>
        <v>14668.526</v>
      </c>
      <c r="O63">
        <f ca="1">IF(AND(ISNUMBER($O$483),$B$427=1),$O$483,HLOOKUP(INDIRECT(ADDRESS(2,COLUMN())),OFFSET($AM$2,0,0,ROW()-1,33),ROW()-1,FALSE))</f>
        <v>15643.03</v>
      </c>
      <c r="P63">
        <f ca="1">IF(AND(ISNUMBER($P$483),$B$427=1),$P$483,HLOOKUP(INDIRECT(ADDRESS(2,COLUMN())),OFFSET($AM$2,0,0,ROW()-1,33),ROW()-1,FALSE))</f>
        <v>15868.339</v>
      </c>
      <c r="Q63">
        <f ca="1">IF(AND(ISNUMBER($Q$483),$B$427=1),$Q$483,HLOOKUP(INDIRECT(ADDRESS(2,COLUMN())),OFFSET($AM$2,0,0,ROW()-1,33),ROW()-1,FALSE))</f>
        <v>16845.057000000001</v>
      </c>
      <c r="R63">
        <f ca="1">IF(AND(ISNUMBER($R$483),$B$427=1),$R$483,HLOOKUP(INDIRECT(ADDRESS(2,COLUMN())),OFFSET($AM$2,0,0,ROW()-1,33),ROW()-1,FALSE))</f>
        <v>18531.451000000001</v>
      </c>
      <c r="S63">
        <f ca="1">IF(AND(ISNUMBER($S$483),$B$427=1),$S$483,HLOOKUP(INDIRECT(ADDRESS(2,COLUMN())),OFFSET($AM$2,0,0,ROW()-1,33),ROW()-1,FALSE))</f>
        <v>22927.569</v>
      </c>
      <c r="T63">
        <f ca="1">IF(AND(ISNUMBER($T$483),$B$427=1),$T$483,HLOOKUP(INDIRECT(ADDRESS(2,COLUMN())),OFFSET($AM$2,0,0,ROW()-1,33),ROW()-1,FALSE))</f>
        <v>28953.944</v>
      </c>
      <c r="U63">
        <f ca="1">IF(AND(ISNUMBER($U$483),$B$427=1),$U$483,HLOOKUP(INDIRECT(ADDRESS(2,COLUMN())),OFFSET($AM$2,0,0,ROW()-1,33),ROW()-1,FALSE))</f>
        <v>34043.442999999999</v>
      </c>
      <c r="V63">
        <f ca="1">IF(AND(ISNUMBER($V$483),$B$427=1),$V$483,HLOOKUP(INDIRECT(ADDRESS(2,COLUMN())),OFFSET($AM$2,0,0,ROW()-1,33),ROW()-1,FALSE))</f>
        <v>35179.639000000003</v>
      </c>
      <c r="W63">
        <f ca="1">IF(AND(ISNUMBER($W$483),$B$427=1),$W$483,HLOOKUP(INDIRECT(ADDRESS(2,COLUMN())),OFFSET($AM$2,0,0,ROW()-1,33),ROW()-1,FALSE))</f>
        <v>33246.807999999997</v>
      </c>
      <c r="X63">
        <f ca="1">IF(AND(ISNUMBER($X$483),$B$427=1),$X$483,HLOOKUP(INDIRECT(ADDRESS(2,COLUMN())),OFFSET($AM$2,0,0,ROW()-1,33),ROW()-1,FALSE))</f>
        <v>2171.6170000000002</v>
      </c>
      <c r="Y63">
        <f ca="1">IF(AND(ISNUMBER($Y$483),$B$427=1),$Y$483,HLOOKUP(INDIRECT(ADDRESS(2,COLUMN())),OFFSET($AM$2,0,0,ROW()-1,33),ROW()-1,FALSE))</f>
        <v>1640.4760000000001</v>
      </c>
      <c r="Z63">
        <f ca="1">IF(AND(ISNUMBER($Z$483),$B$427=1),$Z$483,HLOOKUP(INDIRECT(ADDRESS(2,COLUMN())),OFFSET($AM$2,0,0,ROW()-1,33),ROW()-1,FALSE))</f>
        <v>2028.5170000000001</v>
      </c>
      <c r="AA63" t="str">
        <f ca="1">IF(AND(ISNUMBER($AA$483),$B$427=1),$AA$483,HLOOKUP(INDIRECT(ADDRESS(2,COLUMN())),OFFSET($AM$2,0,0,ROW()-1,33),ROW()-1,FALSE))</f>
        <v/>
      </c>
      <c r="AB63" t="str">
        <f ca="1">IF(AND(ISNUMBER($AB$483),$B$427=1),$AB$483,HLOOKUP(INDIRECT(ADDRESS(2,COLUMN())),OFFSET($AM$2,0,0,ROW()-1,33),ROW()-1,FALSE))</f>
        <v/>
      </c>
      <c r="AC63" t="str">
        <f ca="1">IF(AND(ISNUMBER($AC$483),$B$427=1),$AC$483,HLOOKUP(INDIRECT(ADDRESS(2,COLUMN())),OFFSET($AM$2,0,0,ROW()-1,33),ROW()-1,FALSE))</f>
        <v/>
      </c>
      <c r="AD63" t="str">
        <f ca="1">IF(AND(ISNUMBER($AD$483),$B$427=1),$AD$483,HLOOKUP(INDIRECT(ADDRESS(2,COLUMN())),OFFSET($AM$2,0,0,ROW()-1,33),ROW()-1,FALSE))</f>
        <v/>
      </c>
      <c r="AE63" t="str">
        <f ca="1">IF(AND(ISNUMBER($AE$483),$B$427=1),$AE$483,HLOOKUP(INDIRECT(ADDRESS(2,COLUMN())),OFFSET($AM$2,0,0,ROW()-1,33),ROW()-1,FALSE))</f>
        <v/>
      </c>
      <c r="AF63" t="str">
        <f ca="1">IF(AND(ISNUMBER($AF$483),$B$427=1),$AF$483,HLOOKUP(INDIRECT(ADDRESS(2,COLUMN())),OFFSET($AM$2,0,0,ROW()-1,33),ROW()-1,FALSE))</f>
        <v/>
      </c>
      <c r="AG63" t="str">
        <f ca="1">IF(AND(ISNUMBER($AG$483),$B$427=1),$AG$483,HLOOKUP(INDIRECT(ADDRESS(2,COLUMN())),OFFSET($AM$2,0,0,ROW()-1,33),ROW()-1,FALSE))</f>
        <v/>
      </c>
      <c r="AH63" t="str">
        <f ca="1">IF(AND(ISNUMBER($AH$483),$B$427=1),$AH$483,HLOOKUP(INDIRECT(ADDRESS(2,COLUMN())),OFFSET($AM$2,0,0,ROW()-1,33),ROW()-1,FALSE))</f>
        <v/>
      </c>
      <c r="AI63" t="str">
        <f ca="1">IF(AND(ISNUMBER($AI$483),$B$427=1),$AI$483,HLOOKUP(INDIRECT(ADDRESS(2,COLUMN())),OFFSET($AM$2,0,0,ROW()-1,33),ROW()-1,FALSE))</f>
        <v/>
      </c>
      <c r="AJ63" t="str">
        <f ca="1">IF(AND(ISNUMBER($AJ$483),$B$427=1),$AJ$483,HLOOKUP(INDIRECT(ADDRESS(2,COLUMN())),OFFSET($AM$2,0,0,ROW()-1,33),ROW()-1,FALSE))</f>
        <v/>
      </c>
      <c r="AK63" t="str">
        <f ca="1">IF(AND(ISNUMBER($AK$483),$B$427=1),$AK$483,HLOOKUP(INDIRECT(ADDRESS(2,COLUMN())),OFFSET($AM$2,0,0,ROW()-1,33),ROW()-1,FALSE))</f>
        <v/>
      </c>
      <c r="AL63" t="str">
        <f ca="1">IF(AND(ISNUMBER($AL$483),$B$427=1),$AL$483,HLOOKUP(INDIRECT(ADDRESS(2,COLUMN())),OFFSET($AM$2,0,0,ROW()-1,33),ROW()-1,FALSE))</f>
        <v/>
      </c>
      <c r="AM63" t="str">
        <f>""</f>
        <v/>
      </c>
      <c r="AN63">
        <f>15337</f>
        <v>15337</v>
      </c>
      <c r="AO63">
        <f>15277</f>
        <v>15277</v>
      </c>
      <c r="AP63">
        <f>14103</f>
        <v>14103</v>
      </c>
      <c r="AQ63">
        <f>14345</f>
        <v>14345</v>
      </c>
      <c r="AR63">
        <f>13759</f>
        <v>13759</v>
      </c>
      <c r="AS63">
        <f>13438.606</f>
        <v>13438.606</v>
      </c>
      <c r="AT63">
        <f>13188.591</f>
        <v>13188.591</v>
      </c>
      <c r="AU63">
        <f>14668.526</f>
        <v>14668.526</v>
      </c>
      <c r="AV63">
        <f>15643.03</f>
        <v>15643.03</v>
      </c>
      <c r="AW63">
        <f>15868.339</f>
        <v>15868.339</v>
      </c>
      <c r="AX63">
        <f>16845.057</f>
        <v>16845.057000000001</v>
      </c>
      <c r="AY63">
        <f>18531.451</f>
        <v>18531.451000000001</v>
      </c>
      <c r="AZ63">
        <f>22927.569</f>
        <v>22927.569</v>
      </c>
      <c r="BA63">
        <f>28953.944</f>
        <v>28953.944</v>
      </c>
      <c r="BB63">
        <f>34043.443</f>
        <v>34043.442999999999</v>
      </c>
      <c r="BC63">
        <f>35179.639</f>
        <v>35179.639000000003</v>
      </c>
      <c r="BD63">
        <f>33246.808</f>
        <v>33246.807999999997</v>
      </c>
      <c r="BE63">
        <f>2171.617</f>
        <v>2171.6170000000002</v>
      </c>
      <c r="BF63">
        <f>1640.476</f>
        <v>1640.4760000000001</v>
      </c>
      <c r="BG63">
        <f>2028.517</f>
        <v>2028.5170000000001</v>
      </c>
      <c r="BH63" t="str">
        <f>""</f>
        <v/>
      </c>
      <c r="BI63" t="str">
        <f>""</f>
        <v/>
      </c>
      <c r="BJ63" t="str">
        <f>""</f>
        <v/>
      </c>
      <c r="BK63" t="str">
        <f>""</f>
        <v/>
      </c>
      <c r="BL63" t="str">
        <f>""</f>
        <v/>
      </c>
      <c r="BM63" t="str">
        <f>""</f>
        <v/>
      </c>
      <c r="BN63" t="str">
        <f>""</f>
        <v/>
      </c>
      <c r="BO63" t="str">
        <f>""</f>
        <v/>
      </c>
      <c r="BP63" t="str">
        <f>""</f>
        <v/>
      </c>
      <c r="BQ63" t="str">
        <f>""</f>
        <v/>
      </c>
      <c r="BR63" t="str">
        <f>""</f>
        <v/>
      </c>
      <c r="BS63" t="str">
        <f>""</f>
        <v/>
      </c>
    </row>
    <row r="64" spans="1:71" x14ac:dyDescent="0.25">
      <c r="A64" t="str">
        <f>"            Truist Financial Corp"</f>
        <v xml:space="preserve">            Truist Financial Corp</v>
      </c>
      <c r="B64" t="str">
        <f>"TFC US Equity"</f>
        <v>TFC US Equity</v>
      </c>
      <c r="C64" t="str">
        <f t="shared" si="6"/>
        <v>F0375</v>
      </c>
      <c r="D64" t="str">
        <f t="shared" si="7"/>
        <v>FED_CRE_LNS_INCL_APTS_&amp;_FRMLND</v>
      </c>
      <c r="E64" t="str">
        <f t="shared" si="8"/>
        <v>Dynamic</v>
      </c>
      <c r="F64">
        <f ca="1">IF(AND(ISNUMBER($F$484),$B$427=1),$F$484,HLOOKUP(INDIRECT(ADDRESS(2,COLUMN())),OFFSET($AM$2,0,0,ROW()-1,33),ROW()-1,FALSE))</f>
        <v>50149</v>
      </c>
      <c r="G64">
        <f ca="1">IF(AND(ISNUMBER($G$484),$B$427=1),$G$484,HLOOKUP(INDIRECT(ADDRESS(2,COLUMN())),OFFSET($AM$2,0,0,ROW()-1,33),ROW()-1,FALSE))</f>
        <v>52497</v>
      </c>
      <c r="H64">
        <f ca="1">IF(AND(ISNUMBER($H$484),$B$427=1),$H$484,HLOOKUP(INDIRECT(ADDRESS(2,COLUMN())),OFFSET($AM$2,0,0,ROW()-1,33),ROW()-1,FALSE))</f>
        <v>54008</v>
      </c>
      <c r="I64">
        <f ca="1">IF(AND(ISNUMBER($I$484),$B$427=1),$I$484,HLOOKUP(INDIRECT(ADDRESS(2,COLUMN())),OFFSET($AM$2,0,0,ROW()-1,33),ROW()-1,FALSE))</f>
        <v>54620</v>
      </c>
      <c r="J64">
        <f ca="1">IF(AND(ISNUMBER($J$484),$B$427=1),$J$484,HLOOKUP(INDIRECT(ADDRESS(2,COLUMN())),OFFSET($AM$2,0,0,ROW()-1,33),ROW()-1,FALSE))</f>
        <v>58507</v>
      </c>
      <c r="K64">
        <f ca="1">IF(AND(ISNUMBER($K$484),$B$427=1),$K$484,HLOOKUP(INDIRECT(ADDRESS(2,COLUMN())),OFFSET($AM$2,0,0,ROW()-1,33),ROW()-1,FALSE))</f>
        <v>58056</v>
      </c>
      <c r="L64">
        <f ca="1">IF(AND(ISNUMBER($L$484),$B$427=1),$L$484,HLOOKUP(INDIRECT(ADDRESS(2,COLUMN())),OFFSET($AM$2,0,0,ROW()-1,33),ROW()-1,FALSE))</f>
        <v>36497</v>
      </c>
      <c r="M64">
        <f ca="1">IF(AND(ISNUMBER($M$484),$B$427=1),$M$484,HLOOKUP(INDIRECT(ADDRESS(2,COLUMN())),OFFSET($AM$2,0,0,ROW()-1,33),ROW()-1,FALSE))</f>
        <v>37388</v>
      </c>
      <c r="N64">
        <f ca="1">IF(AND(ISNUMBER($N$484),$B$427=1),$N$484,HLOOKUP(INDIRECT(ADDRESS(2,COLUMN())),OFFSET($AM$2,0,0,ROW()-1,33),ROW()-1,FALSE))</f>
        <v>37373.552000000003</v>
      </c>
      <c r="O64">
        <f ca="1">IF(AND(ISNUMBER($O$484),$B$427=1),$O$484,HLOOKUP(INDIRECT(ADDRESS(2,COLUMN())),OFFSET($AM$2,0,0,ROW()-1,33),ROW()-1,FALSE))</f>
        <v>35706.161</v>
      </c>
      <c r="P64">
        <f ca="1">IF(AND(ISNUMBER($P$484),$B$427=1),$P$484,HLOOKUP(INDIRECT(ADDRESS(2,COLUMN())),OFFSET($AM$2,0,0,ROW()-1,33),ROW()-1,FALSE))</f>
        <v>29947.671999999999</v>
      </c>
      <c r="Q64">
        <f ca="1">IF(AND(ISNUMBER($Q$484),$B$427=1),$Q$484,HLOOKUP(INDIRECT(ADDRESS(2,COLUMN())),OFFSET($AM$2,0,0,ROW()-1,33),ROW()-1,FALSE))</f>
        <v>29978.486000000001</v>
      </c>
      <c r="R64">
        <f ca="1">IF(AND(ISNUMBER($R$484),$B$427=1),$R$484,HLOOKUP(INDIRECT(ADDRESS(2,COLUMN())),OFFSET($AM$2,0,0,ROW()-1,33),ROW()-1,FALSE))</f>
        <v>31367.681</v>
      </c>
      <c r="S64">
        <f ca="1">IF(AND(ISNUMBER($S$484),$B$427=1),$S$484,HLOOKUP(INDIRECT(ADDRESS(2,COLUMN())),OFFSET($AM$2,0,0,ROW()-1,33),ROW()-1,FALSE))</f>
        <v>32861.379000000001</v>
      </c>
      <c r="T64">
        <f ca="1">IF(AND(ISNUMBER($T$484),$B$427=1),$T$484,HLOOKUP(INDIRECT(ADDRESS(2,COLUMN())),OFFSET($AM$2,0,0,ROW()-1,33),ROW()-1,FALSE))</f>
        <v>36464.082999999999</v>
      </c>
      <c r="U64">
        <f ca="1">IF(AND(ISNUMBER($U$484),$B$427=1),$U$484,HLOOKUP(INDIRECT(ADDRESS(2,COLUMN())),OFFSET($AM$2,0,0,ROW()-1,33),ROW()-1,FALSE))</f>
        <v>40174.629999999997</v>
      </c>
      <c r="V64">
        <f ca="1">IF(AND(ISNUMBER($V$484),$B$427=1),$V$484,HLOOKUP(INDIRECT(ADDRESS(2,COLUMN())),OFFSET($AM$2,0,0,ROW()-1,33),ROW()-1,FALSE))</f>
        <v>36140.508000000002</v>
      </c>
      <c r="W64">
        <f ca="1">IF(AND(ISNUMBER($W$484),$B$427=1),$W$484,HLOOKUP(INDIRECT(ADDRESS(2,COLUMN())),OFFSET($AM$2,0,0,ROW()-1,33),ROW()-1,FALSE))</f>
        <v>33797.294999999998</v>
      </c>
      <c r="X64">
        <f ca="1">IF(AND(ISNUMBER($X$484),$B$427=1),$X$484,HLOOKUP(INDIRECT(ADDRESS(2,COLUMN())),OFFSET($AM$2,0,0,ROW()-1,33),ROW()-1,FALSE))</f>
        <v>1159.5709999999999</v>
      </c>
      <c r="Y64">
        <f ca="1">IF(AND(ISNUMBER($Y$484),$B$427=1),$Y$484,HLOOKUP(INDIRECT(ADDRESS(2,COLUMN())),OFFSET($AM$2,0,0,ROW()-1,33),ROW()-1,FALSE))</f>
        <v>1294.623</v>
      </c>
      <c r="Z64">
        <f ca="1">IF(AND(ISNUMBER($Z$484),$B$427=1),$Z$484,HLOOKUP(INDIRECT(ADDRESS(2,COLUMN())),OFFSET($AM$2,0,0,ROW()-1,33),ROW()-1,FALSE))</f>
        <v>1279.278</v>
      </c>
      <c r="AA64">
        <f ca="1">IF(AND(ISNUMBER($AA$484),$B$427=1),$AA$484,HLOOKUP(INDIRECT(ADDRESS(2,COLUMN())),OFFSET($AM$2,0,0,ROW()-1,33),ROW()-1,FALSE))</f>
        <v>1231.0309999999999</v>
      </c>
      <c r="AB64">
        <f ca="1">IF(AND(ISNUMBER($AB$484),$B$427=1),$AB$484,HLOOKUP(INDIRECT(ADDRESS(2,COLUMN())),OFFSET($AM$2,0,0,ROW()-1,33),ROW()-1,FALSE))</f>
        <v>1198.2929999999999</v>
      </c>
      <c r="AC64">
        <f ca="1">IF(AND(ISNUMBER($AC$484),$B$427=1),$AC$484,HLOOKUP(INDIRECT(ADDRESS(2,COLUMN())),OFFSET($AM$2,0,0,ROW()-1,33),ROW()-1,FALSE))</f>
        <v>1032.18</v>
      </c>
      <c r="AD64">
        <f ca="1">IF(AND(ISNUMBER($AD$484),$B$427=1),$AD$484,HLOOKUP(INDIRECT(ADDRESS(2,COLUMN())),OFFSET($AM$2,0,0,ROW()-1,33),ROW()-1,FALSE))</f>
        <v>877.62699999999995</v>
      </c>
      <c r="AE64">
        <f ca="1">IF(AND(ISNUMBER($AE$484),$B$427=1),$AE$484,HLOOKUP(INDIRECT(ADDRESS(2,COLUMN())),OFFSET($AM$2,0,0,ROW()-1,33),ROW()-1,FALSE))</f>
        <v>560.41999999999996</v>
      </c>
      <c r="AF64">
        <f ca="1">IF(AND(ISNUMBER($AF$484),$B$427=1),$AF$484,HLOOKUP(INDIRECT(ADDRESS(2,COLUMN())),OFFSET($AM$2,0,0,ROW()-1,33),ROW()-1,FALSE))</f>
        <v>532.226</v>
      </c>
      <c r="AG64">
        <f ca="1">IF(AND(ISNUMBER($AG$484),$B$427=1),$AG$484,HLOOKUP(INDIRECT(ADDRESS(2,COLUMN())),OFFSET($AM$2,0,0,ROW()-1,33),ROW()-1,FALSE))</f>
        <v>527.93899999999996</v>
      </c>
      <c r="AH64">
        <f ca="1">IF(AND(ISNUMBER($AH$484),$B$427=1),$AH$484,HLOOKUP(INDIRECT(ADDRESS(2,COLUMN())),OFFSET($AM$2,0,0,ROW()-1,33),ROW()-1,FALSE))</f>
        <v>376.5</v>
      </c>
      <c r="AI64">
        <f ca="1">IF(AND(ISNUMBER($AI$484),$B$427=1),$AI$484,HLOOKUP(INDIRECT(ADDRESS(2,COLUMN())),OFFSET($AM$2,0,0,ROW()-1,33),ROW()-1,FALSE))</f>
        <v>348.34199999999998</v>
      </c>
      <c r="AJ64">
        <f ca="1">IF(AND(ISNUMBER($AJ$484),$B$427=1),$AJ$484,HLOOKUP(INDIRECT(ADDRESS(2,COLUMN())),OFFSET($AM$2,0,0,ROW()-1,33),ROW()-1,FALSE))</f>
        <v>158.655</v>
      </c>
      <c r="AK64">
        <f ca="1">IF(AND(ISNUMBER($AK$484),$B$427=1),$AK$484,HLOOKUP(INDIRECT(ADDRESS(2,COLUMN())),OFFSET($AM$2,0,0,ROW()-1,33),ROW()-1,FALSE))</f>
        <v>129.97900000000001</v>
      </c>
      <c r="AL64">
        <f ca="1">IF(AND(ISNUMBER($AL$484),$B$427=1),$AL$484,HLOOKUP(INDIRECT(ADDRESS(2,COLUMN())),OFFSET($AM$2,0,0,ROW()-1,33),ROW()-1,FALSE))</f>
        <v>75.323999999999998</v>
      </c>
      <c r="AM64">
        <f>50149</f>
        <v>50149</v>
      </c>
      <c r="AN64">
        <f>52497</f>
        <v>52497</v>
      </c>
      <c r="AO64">
        <f>54008</f>
        <v>54008</v>
      </c>
      <c r="AP64">
        <f>54620</f>
        <v>54620</v>
      </c>
      <c r="AQ64">
        <f>58507</f>
        <v>58507</v>
      </c>
      <c r="AR64">
        <f>58056</f>
        <v>58056</v>
      </c>
      <c r="AS64">
        <f>36497</f>
        <v>36497</v>
      </c>
      <c r="AT64">
        <f>37388</f>
        <v>37388</v>
      </c>
      <c r="AU64">
        <f>37373.552</f>
        <v>37373.552000000003</v>
      </c>
      <c r="AV64">
        <f>35706.161</f>
        <v>35706.161</v>
      </c>
      <c r="AW64">
        <f>29947.672</f>
        <v>29947.671999999999</v>
      </c>
      <c r="AX64">
        <f>29978.486</f>
        <v>29978.486000000001</v>
      </c>
      <c r="AY64">
        <f>31367.681</f>
        <v>31367.681</v>
      </c>
      <c r="AZ64">
        <f>32861.379</f>
        <v>32861.379000000001</v>
      </c>
      <c r="BA64">
        <f>36464.083</f>
        <v>36464.082999999999</v>
      </c>
      <c r="BB64">
        <f>40174.63</f>
        <v>40174.629999999997</v>
      </c>
      <c r="BC64">
        <f>36140.508</f>
        <v>36140.508000000002</v>
      </c>
      <c r="BD64">
        <f>33797.295</f>
        <v>33797.294999999998</v>
      </c>
      <c r="BE64">
        <f>1159.571</f>
        <v>1159.5709999999999</v>
      </c>
      <c r="BF64">
        <f>1294.623</f>
        <v>1294.623</v>
      </c>
      <c r="BG64">
        <f>1279.278</f>
        <v>1279.278</v>
      </c>
      <c r="BH64">
        <f>1231.031</f>
        <v>1231.0309999999999</v>
      </c>
      <c r="BI64">
        <f>1198.293</f>
        <v>1198.2929999999999</v>
      </c>
      <c r="BJ64">
        <f>1032.18</f>
        <v>1032.18</v>
      </c>
      <c r="BK64">
        <f>877.627</f>
        <v>877.62699999999995</v>
      </c>
      <c r="BL64">
        <f>560.42</f>
        <v>560.41999999999996</v>
      </c>
      <c r="BM64">
        <f>532.226</f>
        <v>532.226</v>
      </c>
      <c r="BN64">
        <f>527.939</f>
        <v>527.93899999999996</v>
      </c>
      <c r="BO64">
        <f>376.5</f>
        <v>376.5</v>
      </c>
      <c r="BP64">
        <f>348.342</f>
        <v>348.34199999999998</v>
      </c>
      <c r="BQ64">
        <f>158.655</f>
        <v>158.655</v>
      </c>
      <c r="BR64">
        <f>129.979</f>
        <v>129.97900000000001</v>
      </c>
      <c r="BS64">
        <f>75.324</f>
        <v>75.323999999999998</v>
      </c>
    </row>
    <row r="65" spans="1:71" x14ac:dyDescent="0.25">
      <c r="A65" t="str">
        <f>"            US Bancorp"</f>
        <v xml:space="preserve">            US Bancorp</v>
      </c>
      <c r="B65" t="str">
        <f>"USB US Equity"</f>
        <v>USB US Equity</v>
      </c>
      <c r="C65" t="str">
        <f t="shared" si="6"/>
        <v>F0375</v>
      </c>
      <c r="D65" t="str">
        <f t="shared" si="7"/>
        <v>FED_CRE_LNS_INCL_APTS_&amp;_FRMLND</v>
      </c>
      <c r="E65" t="str">
        <f t="shared" si="8"/>
        <v>Dynamic</v>
      </c>
      <c r="F65">
        <f ca="1">IF(AND(ISNUMBER($F$485),$B$427=1),$F$485,HLOOKUP(INDIRECT(ADDRESS(2,COLUMN())),OFFSET($AM$2,0,0,ROW()-1,33),ROW()-1,FALSE))</f>
        <v>47297</v>
      </c>
      <c r="G65">
        <f ca="1">IF(AND(ISNUMBER($G$485),$B$427=1),$G$485,HLOOKUP(INDIRECT(ADDRESS(2,COLUMN())),OFFSET($AM$2,0,0,ROW()-1,33),ROW()-1,FALSE))</f>
        <v>51640</v>
      </c>
      <c r="H65">
        <f ca="1">IF(AND(ISNUMBER($H$485),$B$427=1),$H$485,HLOOKUP(INDIRECT(ADDRESS(2,COLUMN())),OFFSET($AM$2,0,0,ROW()-1,33),ROW()-1,FALSE))</f>
        <v>54011</v>
      </c>
      <c r="I65">
        <f ca="1">IF(AND(ISNUMBER($I$485),$B$427=1),$I$485,HLOOKUP(INDIRECT(ADDRESS(2,COLUMN())),OFFSET($AM$2,0,0,ROW()-1,33),ROW()-1,FALSE))</f>
        <v>37468</v>
      </c>
      <c r="J65">
        <f ca="1">IF(AND(ISNUMBER($J$485),$B$427=1),$J$485,HLOOKUP(INDIRECT(ADDRESS(2,COLUMN())),OFFSET($AM$2,0,0,ROW()-1,33),ROW()-1,FALSE))</f>
        <v>37767</v>
      </c>
      <c r="K65">
        <f ca="1">IF(AND(ISNUMBER($K$485),$B$427=1),$K$485,HLOOKUP(INDIRECT(ADDRESS(2,COLUMN())),OFFSET($AM$2,0,0,ROW()-1,33),ROW()-1,FALSE))</f>
        <v>37909</v>
      </c>
      <c r="L65">
        <f ca="1">IF(AND(ISNUMBER($L$485),$B$427=1),$L$485,HLOOKUP(INDIRECT(ADDRESS(2,COLUMN())),OFFSET($AM$2,0,0,ROW()-1,33),ROW()-1,FALSE))</f>
        <v>37413</v>
      </c>
      <c r="M65">
        <f ca="1">IF(AND(ISNUMBER($M$485),$B$427=1),$M$485,HLOOKUP(INDIRECT(ADDRESS(2,COLUMN())),OFFSET($AM$2,0,0,ROW()-1,33),ROW()-1,FALSE))</f>
        <v>38267</v>
      </c>
      <c r="N65">
        <f ca="1">IF(AND(ISNUMBER($N$485),$B$427=1),$N$485,HLOOKUP(INDIRECT(ADDRESS(2,COLUMN())),OFFSET($AM$2,0,0,ROW()-1,33),ROW()-1,FALSE))</f>
        <v>40646</v>
      </c>
      <c r="O65">
        <f ca="1">IF(AND(ISNUMBER($O$485),$B$427=1),$O$485,HLOOKUP(INDIRECT(ADDRESS(2,COLUMN())),OFFSET($AM$2,0,0,ROW()-1,33),ROW()-1,FALSE))</f>
        <v>39566</v>
      </c>
      <c r="P65">
        <f ca="1">IF(AND(ISNUMBER($P$485),$B$427=1),$P$485,HLOOKUP(INDIRECT(ADDRESS(2,COLUMN())),OFFSET($AM$2,0,0,ROW()-1,33),ROW()-1,FALSE))</f>
        <v>40073</v>
      </c>
      <c r="Q65">
        <f ca="1">IF(AND(ISNUMBER($Q$485),$B$427=1),$Q$485,HLOOKUP(INDIRECT(ADDRESS(2,COLUMN())),OFFSET($AM$2,0,0,ROW()-1,33),ROW()-1,FALSE))</f>
        <v>39272</v>
      </c>
      <c r="R65">
        <f ca="1">IF(AND(ISNUMBER($R$485),$B$427=1),$R$485,HLOOKUP(INDIRECT(ADDRESS(2,COLUMN())),OFFSET($AM$2,0,0,ROW()-1,33),ROW()-1,FALSE))</f>
        <v>38194</v>
      </c>
      <c r="S65">
        <f ca="1">IF(AND(ISNUMBER($S$485),$B$427=1),$S$485,HLOOKUP(INDIRECT(ADDRESS(2,COLUMN())),OFFSET($AM$2,0,0,ROW()-1,33),ROW()-1,FALSE))</f>
        <v>39292</v>
      </c>
      <c r="T65">
        <f ca="1">IF(AND(ISNUMBER($T$485),$B$427=1),$T$485,HLOOKUP(INDIRECT(ADDRESS(2,COLUMN())),OFFSET($AM$2,0,0,ROW()-1,33),ROW()-1,FALSE))</f>
        <v>40480</v>
      </c>
      <c r="U65">
        <f ca="1">IF(AND(ISNUMBER($U$485),$B$427=1),$U$485,HLOOKUP(INDIRECT(ADDRESS(2,COLUMN())),OFFSET($AM$2,0,0,ROW()-1,33),ROW()-1,FALSE))</f>
        <v>41940</v>
      </c>
      <c r="V65">
        <f ca="1">IF(AND(ISNUMBER($V$485),$B$427=1),$V$485,HLOOKUP(INDIRECT(ADDRESS(2,COLUMN())),OFFSET($AM$2,0,0,ROW()-1,33),ROW()-1,FALSE))</f>
        <v>32394</v>
      </c>
      <c r="W65">
        <f ca="1">IF(AND(ISNUMBER($W$485),$B$427=1),$W$485,HLOOKUP(INDIRECT(ADDRESS(2,COLUMN())),OFFSET($AM$2,0,0,ROW()-1,33),ROW()-1,FALSE))</f>
        <v>27626</v>
      </c>
      <c r="X65">
        <f ca="1">IF(AND(ISNUMBER($X$485),$B$427=1),$X$485,HLOOKUP(INDIRECT(ADDRESS(2,COLUMN())),OFFSET($AM$2,0,0,ROW()-1,33),ROW()-1,FALSE))</f>
        <v>2583</v>
      </c>
      <c r="Y65">
        <f ca="1">IF(AND(ISNUMBER($Y$485),$B$427=1),$Y$485,HLOOKUP(INDIRECT(ADDRESS(2,COLUMN())),OFFSET($AM$2,0,0,ROW()-1,33),ROW()-1,FALSE))</f>
        <v>2881</v>
      </c>
      <c r="Z65">
        <f ca="1">IF(AND(ISNUMBER($Z$485),$B$427=1),$Z$485,HLOOKUP(INDIRECT(ADDRESS(2,COLUMN())),OFFSET($AM$2,0,0,ROW()-1,33),ROW()-1,FALSE))</f>
        <v>2911</v>
      </c>
      <c r="AA65">
        <f ca="1">IF(AND(ISNUMBER($AA$485),$B$427=1),$AA$485,HLOOKUP(INDIRECT(ADDRESS(2,COLUMN())),OFFSET($AM$2,0,0,ROW()-1,33),ROW()-1,FALSE))</f>
        <v>3119</v>
      </c>
      <c r="AB65">
        <f ca="1">IF(AND(ISNUMBER($AB$485),$B$427=1),$AB$485,HLOOKUP(INDIRECT(ADDRESS(2,COLUMN())),OFFSET($AM$2,0,0,ROW()-1,33),ROW()-1,FALSE))</f>
        <v>3214</v>
      </c>
      <c r="AC65">
        <f ca="1">IF(AND(ISNUMBER($AC$485),$B$427=1),$AC$485,HLOOKUP(INDIRECT(ADDRESS(2,COLUMN())),OFFSET($AM$2,0,0,ROW()-1,33),ROW()-1,FALSE))</f>
        <v>2768</v>
      </c>
      <c r="AD65">
        <f ca="1">IF(AND(ISNUMBER($AD$485),$B$427=1),$AD$485,HLOOKUP(INDIRECT(ADDRESS(2,COLUMN())),OFFSET($AM$2,0,0,ROW()-1,33),ROW()-1,FALSE))</f>
        <v>1256.761</v>
      </c>
      <c r="AE65">
        <f ca="1">IF(AND(ISNUMBER($AE$485),$B$427=1),$AE$485,HLOOKUP(INDIRECT(ADDRESS(2,COLUMN())),OFFSET($AM$2,0,0,ROW()-1,33),ROW()-1,FALSE))</f>
        <v>1024.2729999999999</v>
      </c>
      <c r="AF65">
        <f ca="1">IF(AND(ISNUMBER($AF$485),$B$427=1),$AF$485,HLOOKUP(INDIRECT(ADDRESS(2,COLUMN())),OFFSET($AM$2,0,0,ROW()-1,33),ROW()-1,FALSE))</f>
        <v>935.66</v>
      </c>
      <c r="AG65">
        <f ca="1">IF(AND(ISNUMBER($AG$485),$B$427=1),$AG$485,HLOOKUP(INDIRECT(ADDRESS(2,COLUMN())),OFFSET($AM$2,0,0,ROW()-1,33),ROW()-1,FALSE))</f>
        <v>1025.741</v>
      </c>
      <c r="AH65">
        <f ca="1">IF(AND(ISNUMBER($AH$485),$B$427=1),$AH$485,HLOOKUP(INDIRECT(ADDRESS(2,COLUMN())),OFFSET($AM$2,0,0,ROW()-1,33),ROW()-1,FALSE))</f>
        <v>438.09800000000001</v>
      </c>
      <c r="AI65">
        <f ca="1">IF(AND(ISNUMBER($AI$485),$B$427=1),$AI$485,HLOOKUP(INDIRECT(ADDRESS(2,COLUMN())),OFFSET($AM$2,0,0,ROW()-1,33),ROW()-1,FALSE))</f>
        <v>394.31099999999998</v>
      </c>
      <c r="AJ65" t="str">
        <f ca="1">IF(AND(ISNUMBER($AJ$485),$B$427=1),$AJ$485,HLOOKUP(INDIRECT(ADDRESS(2,COLUMN())),OFFSET($AM$2,0,0,ROW()-1,33),ROW()-1,FALSE))</f>
        <v/>
      </c>
      <c r="AK65" t="str">
        <f ca="1">IF(AND(ISNUMBER($AK$485),$B$427=1),$AK$485,HLOOKUP(INDIRECT(ADDRESS(2,COLUMN())),OFFSET($AM$2,0,0,ROW()-1,33),ROW()-1,FALSE))</f>
        <v/>
      </c>
      <c r="AL65" t="str">
        <f ca="1">IF(AND(ISNUMBER($AL$485),$B$427=1),$AL$485,HLOOKUP(INDIRECT(ADDRESS(2,COLUMN())),OFFSET($AM$2,0,0,ROW()-1,33),ROW()-1,FALSE))</f>
        <v/>
      </c>
      <c r="AM65">
        <f>47297</f>
        <v>47297</v>
      </c>
      <c r="AN65">
        <f>51640</f>
        <v>51640</v>
      </c>
      <c r="AO65">
        <f>54011</f>
        <v>54011</v>
      </c>
      <c r="AP65">
        <f>37468</f>
        <v>37468</v>
      </c>
      <c r="AQ65">
        <f>37767</f>
        <v>37767</v>
      </c>
      <c r="AR65">
        <f>37909</f>
        <v>37909</v>
      </c>
      <c r="AS65">
        <f>37413</f>
        <v>37413</v>
      </c>
      <c r="AT65">
        <f>38267</f>
        <v>38267</v>
      </c>
      <c r="AU65">
        <f>40646</f>
        <v>40646</v>
      </c>
      <c r="AV65">
        <f>39566</f>
        <v>39566</v>
      </c>
      <c r="AW65">
        <f>40073</f>
        <v>40073</v>
      </c>
      <c r="AX65">
        <f>39272</f>
        <v>39272</v>
      </c>
      <c r="AY65">
        <f>38194</f>
        <v>38194</v>
      </c>
      <c r="AZ65">
        <f>39292</f>
        <v>39292</v>
      </c>
      <c r="BA65">
        <f>40480</f>
        <v>40480</v>
      </c>
      <c r="BB65">
        <f>41940</f>
        <v>41940</v>
      </c>
      <c r="BC65">
        <f>32394</f>
        <v>32394</v>
      </c>
      <c r="BD65">
        <f>27626</f>
        <v>27626</v>
      </c>
      <c r="BE65">
        <f>2583</f>
        <v>2583</v>
      </c>
      <c r="BF65">
        <f>2881</f>
        <v>2881</v>
      </c>
      <c r="BG65">
        <f>2911</f>
        <v>2911</v>
      </c>
      <c r="BH65">
        <f>3119</f>
        <v>3119</v>
      </c>
      <c r="BI65">
        <f>3214</f>
        <v>3214</v>
      </c>
      <c r="BJ65">
        <f>2768</f>
        <v>2768</v>
      </c>
      <c r="BK65">
        <f>1256.761</f>
        <v>1256.761</v>
      </c>
      <c r="BL65">
        <f>1024.273</f>
        <v>1024.2729999999999</v>
      </c>
      <c r="BM65">
        <f>935.66</f>
        <v>935.66</v>
      </c>
      <c r="BN65">
        <f>1025.741</f>
        <v>1025.741</v>
      </c>
      <c r="BO65">
        <f>438.098</f>
        <v>438.09800000000001</v>
      </c>
      <c r="BP65">
        <f>394.311</f>
        <v>394.31099999999998</v>
      </c>
      <c r="BQ65" t="str">
        <f>""</f>
        <v/>
      </c>
      <c r="BR65" t="str">
        <f>""</f>
        <v/>
      </c>
      <c r="BS65" t="str">
        <f>""</f>
        <v/>
      </c>
    </row>
    <row r="66" spans="1:71" x14ac:dyDescent="0.25">
      <c r="A66" t="str">
        <f>"            Wells Fargo &amp; Co"</f>
        <v xml:space="preserve">            Wells Fargo &amp; Co</v>
      </c>
      <c r="B66" t="str">
        <f>"WFC US Equity"</f>
        <v>WFC US Equity</v>
      </c>
      <c r="C66" t="str">
        <f t="shared" si="6"/>
        <v>F0375</v>
      </c>
      <c r="D66" t="str">
        <f t="shared" si="7"/>
        <v>FED_CRE_LNS_INCL_APTS_&amp;_FRMLND</v>
      </c>
      <c r="E66" t="str">
        <f t="shared" si="8"/>
        <v>Dynamic</v>
      </c>
      <c r="F66">
        <f ca="1">IF(AND(ISNUMBER($F$486),$B$427=1),$F$486,HLOOKUP(INDIRECT(ADDRESS(2,COLUMN())),OFFSET($AM$2,0,0,ROW()-1,33),ROW()-1,FALSE))</f>
        <v>125115</v>
      </c>
      <c r="G66">
        <f ca="1">IF(AND(ISNUMBER($G$486),$B$427=1),$G$486,HLOOKUP(INDIRECT(ADDRESS(2,COLUMN())),OFFSET($AM$2,0,0,ROW()-1,33),ROW()-1,FALSE))</f>
        <v>137221</v>
      </c>
      <c r="H66">
        <f ca="1">IF(AND(ISNUMBER($H$486),$B$427=1),$H$486,HLOOKUP(INDIRECT(ADDRESS(2,COLUMN())),OFFSET($AM$2,0,0,ROW()-1,33),ROW()-1,FALSE))</f>
        <v>141380</v>
      </c>
      <c r="I66">
        <f ca="1">IF(AND(ISNUMBER($I$486),$B$427=1),$I$486,HLOOKUP(INDIRECT(ADDRESS(2,COLUMN())),OFFSET($AM$2,0,0,ROW()-1,33),ROW()-1,FALSE))</f>
        <v>134530</v>
      </c>
      <c r="J66">
        <f ca="1">IF(AND(ISNUMBER($J$486),$B$427=1),$J$486,HLOOKUP(INDIRECT(ADDRESS(2,COLUMN())),OFFSET($AM$2,0,0,ROW()-1,33),ROW()-1,FALSE))</f>
        <v>128169</v>
      </c>
      <c r="K66">
        <f ca="1">IF(AND(ISNUMBER($K$486),$B$427=1),$K$486,HLOOKUP(INDIRECT(ADDRESS(2,COLUMN())),OFFSET($AM$2,0,0,ROW()-1,33),ROW()-1,FALSE))</f>
        <v>128655</v>
      </c>
      <c r="L66">
        <f ca="1">IF(AND(ISNUMBER($L$486),$B$427=1),$L$486,HLOOKUP(INDIRECT(ADDRESS(2,COLUMN())),OFFSET($AM$2,0,0,ROW()-1,33),ROW()-1,FALSE))</f>
        <v>131335</v>
      </c>
      <c r="M66">
        <f ca="1">IF(AND(ISNUMBER($M$486),$B$427=1),$M$486,HLOOKUP(INDIRECT(ADDRESS(2,COLUMN())),OFFSET($AM$2,0,0,ROW()-1,33),ROW()-1,FALSE))</f>
        <v>140290</v>
      </c>
      <c r="N66">
        <f ca="1">IF(AND(ISNUMBER($N$486),$B$427=1),$N$486,HLOOKUP(INDIRECT(ADDRESS(2,COLUMN())),OFFSET($AM$2,0,0,ROW()-1,33),ROW()-1,FALSE))</f>
        <v>146077</v>
      </c>
      <c r="O66">
        <f ca="1">IF(AND(ISNUMBER($O$486),$B$427=1),$O$486,HLOOKUP(INDIRECT(ADDRESS(2,COLUMN())),OFFSET($AM$2,0,0,ROW()-1,33),ROW()-1,FALSE))</f>
        <v>137172</v>
      </c>
      <c r="P66">
        <f ca="1">IF(AND(ISNUMBER($P$486),$B$427=1),$P$486,HLOOKUP(INDIRECT(ADDRESS(2,COLUMN())),OFFSET($AM$2,0,0,ROW()-1,33),ROW()-1,FALSE))</f>
        <v>125182</v>
      </c>
      <c r="Q66">
        <f ca="1">IF(AND(ISNUMBER($Q$486),$B$427=1),$Q$486,HLOOKUP(INDIRECT(ADDRESS(2,COLUMN())),OFFSET($AM$2,0,0,ROW()-1,33),ROW()-1,FALSE))</f>
        <v>124020</v>
      </c>
      <c r="R66">
        <f ca="1">IF(AND(ISNUMBER($R$486),$B$427=1),$R$486,HLOOKUP(INDIRECT(ADDRESS(2,COLUMN())),OFFSET($AM$2,0,0,ROW()-1,33),ROW()-1,FALSE))</f>
        <v>125394</v>
      </c>
      <c r="S66">
        <f ca="1">IF(AND(ISNUMBER($S$486),$B$427=1),$S$486,HLOOKUP(INDIRECT(ADDRESS(2,COLUMN())),OFFSET($AM$2,0,0,ROW()-1,33),ROW()-1,FALSE))</f>
        <v>126907</v>
      </c>
      <c r="T66">
        <f ca="1">IF(AND(ISNUMBER($T$486),$B$427=1),$T$486,HLOOKUP(INDIRECT(ADDRESS(2,COLUMN())),OFFSET($AM$2,0,0,ROW()-1,33),ROW()-1,FALSE))</f>
        <v>127874</v>
      </c>
      <c r="U66">
        <f ca="1">IF(AND(ISNUMBER($U$486),$B$427=1),$U$486,HLOOKUP(INDIRECT(ADDRESS(2,COLUMN())),OFFSET($AM$2,0,0,ROW()-1,33),ROW()-1,FALSE))</f>
        <v>135529</v>
      </c>
      <c r="V66">
        <f ca="1">IF(AND(ISNUMBER($V$486),$B$427=1),$V$486,HLOOKUP(INDIRECT(ADDRESS(2,COLUMN())),OFFSET($AM$2,0,0,ROW()-1,33),ROW()-1,FALSE))</f>
        <v>138152</v>
      </c>
      <c r="W66">
        <f ca="1">IF(AND(ISNUMBER($W$486),$B$427=1),$W$486,HLOOKUP(INDIRECT(ADDRESS(2,COLUMN())),OFFSET($AM$2,0,0,ROW()-1,33),ROW()-1,FALSE))</f>
        <v>55757</v>
      </c>
      <c r="X66">
        <f ca="1">IF(AND(ISNUMBER($X$486),$B$427=1),$X$486,HLOOKUP(INDIRECT(ADDRESS(2,COLUMN())),OFFSET($AM$2,0,0,ROW()-1,33),ROW()-1,FALSE))</f>
        <v>4640</v>
      </c>
      <c r="Y66">
        <f ca="1">IF(AND(ISNUMBER($Y$486),$B$427=1),$Y$486,HLOOKUP(INDIRECT(ADDRESS(2,COLUMN())),OFFSET($AM$2,0,0,ROW()-1,33),ROW()-1,FALSE))</f>
        <v>4318</v>
      </c>
      <c r="Z66">
        <f ca="1">IF(AND(ISNUMBER($Z$486),$B$427=1),$Z$486,HLOOKUP(INDIRECT(ADDRESS(2,COLUMN())),OFFSET($AM$2,0,0,ROW()-1,33),ROW()-1,FALSE))</f>
        <v>4291</v>
      </c>
      <c r="AA66">
        <f ca="1">IF(AND(ISNUMBER($AA$486),$B$427=1),$AA$486,HLOOKUP(INDIRECT(ADDRESS(2,COLUMN())),OFFSET($AM$2,0,0,ROW()-1,33),ROW()-1,FALSE))</f>
        <v>3627</v>
      </c>
      <c r="AB66">
        <f ca="1">IF(AND(ISNUMBER($AB$486),$B$427=1),$AB$486,HLOOKUP(INDIRECT(ADDRESS(2,COLUMN())),OFFSET($AM$2,0,0,ROW()-1,33),ROW()-1,FALSE))</f>
        <v>3177</v>
      </c>
      <c r="AC66">
        <f ca="1">IF(AND(ISNUMBER($AC$486),$B$427=1),$AC$486,HLOOKUP(INDIRECT(ADDRESS(2,COLUMN())),OFFSET($AM$2,0,0,ROW()-1,33),ROW()-1,FALSE))</f>
        <v>3156</v>
      </c>
      <c r="AD66">
        <f ca="1">IF(AND(ISNUMBER($AD$486),$B$427=1),$AD$486,HLOOKUP(INDIRECT(ADDRESS(2,COLUMN())),OFFSET($AM$2,0,0,ROW()-1,33),ROW()-1,FALSE))</f>
        <v>3286.47</v>
      </c>
      <c r="AE66">
        <f ca="1">IF(AND(ISNUMBER($AE$486),$B$427=1),$AE$486,HLOOKUP(INDIRECT(ADDRESS(2,COLUMN())),OFFSET($AM$2,0,0,ROW()-1,33),ROW()-1,FALSE))</f>
        <v>2860.7510000000002</v>
      </c>
      <c r="AF66">
        <f ca="1">IF(AND(ISNUMBER($AF$486),$B$427=1),$AF$486,HLOOKUP(INDIRECT(ADDRESS(2,COLUMN())),OFFSET($AM$2,0,0,ROW()-1,33),ROW()-1,FALSE))</f>
        <v>2803.127</v>
      </c>
      <c r="AG66">
        <f ca="1">IF(AND(ISNUMBER($AG$486),$B$427=1),$AG$486,HLOOKUP(INDIRECT(ADDRESS(2,COLUMN())),OFFSET($AM$2,0,0,ROW()-1,33),ROW()-1,FALSE))</f>
        <v>1137.0920000000001</v>
      </c>
      <c r="AH66">
        <f ca="1">IF(AND(ISNUMBER($AH$486),$B$427=1),$AH$486,HLOOKUP(INDIRECT(ADDRESS(2,COLUMN())),OFFSET($AM$2,0,0,ROW()-1,33),ROW()-1,FALSE))</f>
        <v>1092.96</v>
      </c>
      <c r="AI66">
        <f ca="1">IF(AND(ISNUMBER($AI$486),$B$427=1),$AI$486,HLOOKUP(INDIRECT(ADDRESS(2,COLUMN())),OFFSET($AM$2,0,0,ROW()-1,33),ROW()-1,FALSE))</f>
        <v>858.49400000000003</v>
      </c>
      <c r="AJ66" t="str">
        <f ca="1">IF(AND(ISNUMBER($AJ$486),$B$427=1),$AJ$486,HLOOKUP(INDIRECT(ADDRESS(2,COLUMN())),OFFSET($AM$2,0,0,ROW()-1,33),ROW()-1,FALSE))</f>
        <v/>
      </c>
      <c r="AK66" t="str">
        <f ca="1">IF(AND(ISNUMBER($AK$486),$B$427=1),$AK$486,HLOOKUP(INDIRECT(ADDRESS(2,COLUMN())),OFFSET($AM$2,0,0,ROW()-1,33),ROW()-1,FALSE))</f>
        <v/>
      </c>
      <c r="AL66" t="str">
        <f ca="1">IF(AND(ISNUMBER($AL$486),$B$427=1),$AL$486,HLOOKUP(INDIRECT(ADDRESS(2,COLUMN())),OFFSET($AM$2,0,0,ROW()-1,33),ROW()-1,FALSE))</f>
        <v/>
      </c>
      <c r="AM66">
        <f>125115</f>
        <v>125115</v>
      </c>
      <c r="AN66">
        <f>137221</f>
        <v>137221</v>
      </c>
      <c r="AO66">
        <f>141380</f>
        <v>141380</v>
      </c>
      <c r="AP66">
        <f>134530</f>
        <v>134530</v>
      </c>
      <c r="AQ66">
        <f>128169</f>
        <v>128169</v>
      </c>
      <c r="AR66">
        <f>128655</f>
        <v>128655</v>
      </c>
      <c r="AS66">
        <f>131335</f>
        <v>131335</v>
      </c>
      <c r="AT66">
        <f>140290</f>
        <v>140290</v>
      </c>
      <c r="AU66">
        <f>146077</f>
        <v>146077</v>
      </c>
      <c r="AV66">
        <f>137172</f>
        <v>137172</v>
      </c>
      <c r="AW66">
        <f>125182</f>
        <v>125182</v>
      </c>
      <c r="AX66">
        <f>124020</f>
        <v>124020</v>
      </c>
      <c r="AY66">
        <f>125394</f>
        <v>125394</v>
      </c>
      <c r="AZ66">
        <f>126907</f>
        <v>126907</v>
      </c>
      <c r="BA66">
        <f>127874</f>
        <v>127874</v>
      </c>
      <c r="BB66">
        <f>135529</f>
        <v>135529</v>
      </c>
      <c r="BC66">
        <f>138152</f>
        <v>138152</v>
      </c>
      <c r="BD66">
        <f>55757</f>
        <v>55757</v>
      </c>
      <c r="BE66">
        <f>4640</f>
        <v>4640</v>
      </c>
      <c r="BF66">
        <f>4318</f>
        <v>4318</v>
      </c>
      <c r="BG66">
        <f>4291</f>
        <v>4291</v>
      </c>
      <c r="BH66">
        <f>3627</f>
        <v>3627</v>
      </c>
      <c r="BI66">
        <f>3177</f>
        <v>3177</v>
      </c>
      <c r="BJ66">
        <f>3156</f>
        <v>3156</v>
      </c>
      <c r="BK66">
        <f>3286.47</f>
        <v>3286.47</v>
      </c>
      <c r="BL66">
        <f>2860.751</f>
        <v>2860.7510000000002</v>
      </c>
      <c r="BM66">
        <f>2803.127</f>
        <v>2803.127</v>
      </c>
      <c r="BN66">
        <f>1137.092</f>
        <v>1137.0920000000001</v>
      </c>
      <c r="BO66">
        <f>1092.96</f>
        <v>1092.96</v>
      </c>
      <c r="BP66">
        <f>858.494</f>
        <v>858.49400000000003</v>
      </c>
      <c r="BQ66" t="str">
        <f>""</f>
        <v/>
      </c>
      <c r="BR66" t="str">
        <f>""</f>
        <v/>
      </c>
      <c r="BS66" t="str">
        <f>""</f>
        <v/>
      </c>
    </row>
    <row r="67" spans="1:71" x14ac:dyDescent="0.25">
      <c r="A67" t="str">
        <f>"            Western Alliance Bancorp"</f>
        <v xml:space="preserve">            Western Alliance Bancorp</v>
      </c>
      <c r="B67" t="str">
        <f>"WAL US Equity"</f>
        <v>WAL US Equity</v>
      </c>
      <c r="C67" t="str">
        <f t="shared" si="6"/>
        <v>F0375</v>
      </c>
      <c r="D67" t="str">
        <f t="shared" si="7"/>
        <v>FED_CRE_LNS_INCL_APTS_&amp;_FRMLND</v>
      </c>
      <c r="E67" t="str">
        <f t="shared" si="8"/>
        <v>Dynamic</v>
      </c>
      <c r="F67">
        <f ca="1">IF(AND(ISNUMBER($F$487),$B$427=1),$F$487,HLOOKUP(INDIRECT(ADDRESS(2,COLUMN())),OFFSET($AM$2,0,0,ROW()-1,33),ROW()-1,FALSE))</f>
        <v>15932.081</v>
      </c>
      <c r="G67">
        <f ca="1">IF(AND(ISNUMBER($G$487),$B$427=1),$G$487,HLOOKUP(INDIRECT(ADDRESS(2,COLUMN())),OFFSET($AM$2,0,0,ROW()-1,33),ROW()-1,FALSE))</f>
        <v>16094.609</v>
      </c>
      <c r="H67">
        <f ca="1">IF(AND(ISNUMBER($H$487),$B$427=1),$H$487,HLOOKUP(INDIRECT(ADDRESS(2,COLUMN())),OFFSET($AM$2,0,0,ROW()-1,33),ROW()-1,FALSE))</f>
        <v>14902.397999999999</v>
      </c>
      <c r="I67">
        <f ca="1">IF(AND(ISNUMBER($I$487),$B$427=1),$I$487,HLOOKUP(INDIRECT(ADDRESS(2,COLUMN())),OFFSET($AM$2,0,0,ROW()-1,33),ROW()-1,FALSE))</f>
        <v>11195.786</v>
      </c>
      <c r="J67">
        <f ca="1">IF(AND(ISNUMBER($J$487),$B$427=1),$J$487,HLOOKUP(INDIRECT(ADDRESS(2,COLUMN())),OFFSET($AM$2,0,0,ROW()-1,33),ROW()-1,FALSE))</f>
        <v>9930.9110000000001</v>
      </c>
      <c r="K67">
        <f ca="1">IF(AND(ISNUMBER($K$487),$B$427=1),$K$487,HLOOKUP(INDIRECT(ADDRESS(2,COLUMN())),OFFSET($AM$2,0,0,ROW()-1,33),ROW()-1,FALSE))</f>
        <v>9187.7610000000004</v>
      </c>
      <c r="L67">
        <f ca="1">IF(AND(ISNUMBER($L$487),$B$427=1),$L$487,HLOOKUP(INDIRECT(ADDRESS(2,COLUMN())),OFFSET($AM$2,0,0,ROW()-1,33),ROW()-1,FALSE))</f>
        <v>8356.07</v>
      </c>
      <c r="M67">
        <f ca="1">IF(AND(ISNUMBER($M$487),$B$427=1),$M$487,HLOOKUP(INDIRECT(ADDRESS(2,COLUMN())),OFFSET($AM$2,0,0,ROW()-1,33),ROW()-1,FALSE))</f>
        <v>7449.0950000000003</v>
      </c>
      <c r="N67">
        <f ca="1">IF(AND(ISNUMBER($N$487),$B$427=1),$N$487,HLOOKUP(INDIRECT(ADDRESS(2,COLUMN())),OFFSET($AM$2,0,0,ROW()-1,33),ROW()-1,FALSE))</f>
        <v>6785.4369999999999</v>
      </c>
      <c r="O67">
        <f ca="1">IF(AND(ISNUMBER($O$487),$B$427=1),$O$487,HLOOKUP(INDIRECT(ADDRESS(2,COLUMN())),OFFSET($AM$2,0,0,ROW()-1,33),ROW()-1,FALSE))</f>
        <v>5268.82</v>
      </c>
      <c r="P67">
        <f ca="1">IF(AND(ISNUMBER($P$487),$B$427=1),$P$487,HLOOKUP(INDIRECT(ADDRESS(2,COLUMN())),OFFSET($AM$2,0,0,ROW()-1,33),ROW()-1,FALSE))</f>
        <v>4503.5959999999995</v>
      </c>
      <c r="Q67">
        <f ca="1">IF(AND(ISNUMBER($Q$487),$B$427=1),$Q$487,HLOOKUP(INDIRECT(ADDRESS(2,COLUMN())),OFFSET($AM$2,0,0,ROW()-1,33),ROW()-1,FALSE))</f>
        <v>3926.3589999999999</v>
      </c>
      <c r="R67">
        <f ca="1">IF(AND(ISNUMBER($R$487),$B$427=1),$R$487,HLOOKUP(INDIRECT(ADDRESS(2,COLUMN())),OFFSET($AM$2,0,0,ROW()-1,33),ROW()-1,FALSE))</f>
        <v>3296.7179999999998</v>
      </c>
      <c r="S67">
        <f ca="1">IF(AND(ISNUMBER($S$487),$B$427=1),$S$487,HLOOKUP(INDIRECT(ADDRESS(2,COLUMN())),OFFSET($AM$2,0,0,ROW()-1,33),ROW()-1,FALSE))</f>
        <v>2935.03</v>
      </c>
      <c r="T67">
        <f ca="1">IF(AND(ISNUMBER($T$487),$B$427=1),$T$487,HLOOKUP(INDIRECT(ADDRESS(2,COLUMN())),OFFSET($AM$2,0,0,ROW()-1,33),ROW()-1,FALSE))</f>
        <v>2713.3420000000001</v>
      </c>
      <c r="U67">
        <f ca="1">IF(AND(ISNUMBER($U$487),$B$427=1),$U$487,HLOOKUP(INDIRECT(ADDRESS(2,COLUMN())),OFFSET($AM$2,0,0,ROW()-1,33),ROW()-1,FALSE))</f>
        <v>2647.9659999999999</v>
      </c>
      <c r="V67">
        <f ca="1">IF(AND(ISNUMBER($V$487),$B$427=1),$V$487,HLOOKUP(INDIRECT(ADDRESS(2,COLUMN())),OFFSET($AM$2,0,0,ROW()-1,33),ROW()-1,FALSE))</f>
        <v>2593.9569999999999</v>
      </c>
      <c r="W67">
        <f ca="1">IF(AND(ISNUMBER($W$487),$B$427=1),$W$487,HLOOKUP(INDIRECT(ADDRESS(2,COLUMN())),OFFSET($AM$2,0,0,ROW()-1,33),ROW()-1,FALSE))</f>
        <v>2319.7739999999999</v>
      </c>
      <c r="X67">
        <f ca="1">IF(AND(ISNUMBER($X$487),$B$427=1),$X$487,HLOOKUP(INDIRECT(ADDRESS(2,COLUMN())),OFFSET($AM$2,0,0,ROW()-1,33),ROW()-1,FALSE))</f>
        <v>33.357999999999997</v>
      </c>
      <c r="Y67">
        <f ca="1">IF(AND(ISNUMBER($Y$487),$B$427=1),$Y$487,HLOOKUP(INDIRECT(ADDRESS(2,COLUMN())),OFFSET($AM$2,0,0,ROW()-1,33),ROW()-1,FALSE))</f>
        <v>25.370999999999999</v>
      </c>
      <c r="Z67">
        <f ca="1">IF(AND(ISNUMBER($Z$487),$B$427=1),$Z$487,HLOOKUP(INDIRECT(ADDRESS(2,COLUMN())),OFFSET($AM$2,0,0,ROW()-1,33),ROW()-1,FALSE))</f>
        <v>17.314</v>
      </c>
      <c r="AA67">
        <f ca="1">IF(AND(ISNUMBER($AA$487),$B$427=1),$AA$487,HLOOKUP(INDIRECT(ADDRESS(2,COLUMN())),OFFSET($AM$2,0,0,ROW()-1,33),ROW()-1,FALSE))</f>
        <v>13.949</v>
      </c>
      <c r="AB67">
        <f ca="1">IF(AND(ISNUMBER($AB$487),$B$427=1),$AB$487,HLOOKUP(INDIRECT(ADDRESS(2,COLUMN())),OFFSET($AM$2,0,0,ROW()-1,33),ROW()-1,FALSE))</f>
        <v>4.234</v>
      </c>
      <c r="AC67">
        <f ca="1">IF(AND(ISNUMBER($AC$487),$B$427=1),$AC$487,HLOOKUP(INDIRECT(ADDRESS(2,COLUMN())),OFFSET($AM$2,0,0,ROW()-1,33),ROW()-1,FALSE))</f>
        <v>2.3420000000000001</v>
      </c>
      <c r="AD67" t="str">
        <f ca="1">IF(AND(ISNUMBER($AD$487),$B$427=1),$AD$487,HLOOKUP(INDIRECT(ADDRESS(2,COLUMN())),OFFSET($AM$2,0,0,ROW()-1,33),ROW()-1,FALSE))</f>
        <v/>
      </c>
      <c r="AE67" t="str">
        <f ca="1">IF(AND(ISNUMBER($AE$487),$B$427=1),$AE$487,HLOOKUP(INDIRECT(ADDRESS(2,COLUMN())),OFFSET($AM$2,0,0,ROW()-1,33),ROW()-1,FALSE))</f>
        <v/>
      </c>
      <c r="AF67" t="str">
        <f ca="1">IF(AND(ISNUMBER($AF$487),$B$427=1),$AF$487,HLOOKUP(INDIRECT(ADDRESS(2,COLUMN())),OFFSET($AM$2,0,0,ROW()-1,33),ROW()-1,FALSE))</f>
        <v/>
      </c>
      <c r="AG67" t="str">
        <f ca="1">IF(AND(ISNUMBER($AG$487),$B$427=1),$AG$487,HLOOKUP(INDIRECT(ADDRESS(2,COLUMN())),OFFSET($AM$2,0,0,ROW()-1,33),ROW()-1,FALSE))</f>
        <v/>
      </c>
      <c r="AH67" t="str">
        <f ca="1">IF(AND(ISNUMBER($AH$487),$B$427=1),$AH$487,HLOOKUP(INDIRECT(ADDRESS(2,COLUMN())),OFFSET($AM$2,0,0,ROW()-1,33),ROW()-1,FALSE))</f>
        <v/>
      </c>
      <c r="AI67" t="str">
        <f ca="1">IF(AND(ISNUMBER($AI$487),$B$427=1),$AI$487,HLOOKUP(INDIRECT(ADDRESS(2,COLUMN())),OFFSET($AM$2,0,0,ROW()-1,33),ROW()-1,FALSE))</f>
        <v/>
      </c>
      <c r="AJ67" t="str">
        <f ca="1">IF(AND(ISNUMBER($AJ$487),$B$427=1),$AJ$487,HLOOKUP(INDIRECT(ADDRESS(2,COLUMN())),OFFSET($AM$2,0,0,ROW()-1,33),ROW()-1,FALSE))</f>
        <v/>
      </c>
      <c r="AK67" t="str">
        <f ca="1">IF(AND(ISNUMBER($AK$487),$B$427=1),$AK$487,HLOOKUP(INDIRECT(ADDRESS(2,COLUMN())),OFFSET($AM$2,0,0,ROW()-1,33),ROW()-1,FALSE))</f>
        <v/>
      </c>
      <c r="AL67" t="str">
        <f ca="1">IF(AND(ISNUMBER($AL$487),$B$427=1),$AL$487,HLOOKUP(INDIRECT(ADDRESS(2,COLUMN())),OFFSET($AM$2,0,0,ROW()-1,33),ROW()-1,FALSE))</f>
        <v/>
      </c>
      <c r="AM67">
        <f>15932.081</f>
        <v>15932.081</v>
      </c>
      <c r="AN67">
        <f>16094.609</f>
        <v>16094.609</v>
      </c>
      <c r="AO67">
        <f>14902.398</f>
        <v>14902.397999999999</v>
      </c>
      <c r="AP67">
        <f>11195.786</f>
        <v>11195.786</v>
      </c>
      <c r="AQ67">
        <f>9930.911</f>
        <v>9930.9110000000001</v>
      </c>
      <c r="AR67">
        <f>9187.761</f>
        <v>9187.7610000000004</v>
      </c>
      <c r="AS67">
        <f>8356.07</f>
        <v>8356.07</v>
      </c>
      <c r="AT67">
        <f>7449.095</f>
        <v>7449.0950000000003</v>
      </c>
      <c r="AU67">
        <f>6785.437</f>
        <v>6785.4369999999999</v>
      </c>
      <c r="AV67">
        <f>5268.82</f>
        <v>5268.82</v>
      </c>
      <c r="AW67">
        <f>4503.596</f>
        <v>4503.5959999999995</v>
      </c>
      <c r="AX67">
        <f>3926.359</f>
        <v>3926.3589999999999</v>
      </c>
      <c r="AY67">
        <f>3296.718</f>
        <v>3296.7179999999998</v>
      </c>
      <c r="AZ67">
        <f>2935.03</f>
        <v>2935.03</v>
      </c>
      <c r="BA67">
        <f>2713.342</f>
        <v>2713.3420000000001</v>
      </c>
      <c r="BB67">
        <f>2647.966</f>
        <v>2647.9659999999999</v>
      </c>
      <c r="BC67">
        <f>2593.957</f>
        <v>2593.9569999999999</v>
      </c>
      <c r="BD67">
        <f>2319.774</f>
        <v>2319.7739999999999</v>
      </c>
      <c r="BE67">
        <f>33.358</f>
        <v>33.357999999999997</v>
      </c>
      <c r="BF67">
        <f>25.371</f>
        <v>25.370999999999999</v>
      </c>
      <c r="BG67">
        <f>17.314</f>
        <v>17.314</v>
      </c>
      <c r="BH67">
        <f>13.949</f>
        <v>13.949</v>
      </c>
      <c r="BI67">
        <f>4.234</f>
        <v>4.234</v>
      </c>
      <c r="BJ67">
        <f>2.342</f>
        <v>2.3420000000000001</v>
      </c>
      <c r="BK67" t="str">
        <f>""</f>
        <v/>
      </c>
      <c r="BL67" t="str">
        <f>""</f>
        <v/>
      </c>
      <c r="BM67" t="str">
        <f>""</f>
        <v/>
      </c>
      <c r="BN67" t="str">
        <f>""</f>
        <v/>
      </c>
      <c r="BO67" t="str">
        <f>""</f>
        <v/>
      </c>
      <c r="BP67" t="str">
        <f>""</f>
        <v/>
      </c>
      <c r="BQ67" t="str">
        <f>""</f>
        <v/>
      </c>
      <c r="BR67" t="str">
        <f>""</f>
        <v/>
      </c>
      <c r="BS67" t="str">
        <f>""</f>
        <v/>
      </c>
    </row>
    <row r="68" spans="1:71" x14ac:dyDescent="0.25">
      <c r="A68" t="str">
        <f>"            Zions Bancorp NA"</f>
        <v xml:space="preserve">            Zions Bancorp NA</v>
      </c>
      <c r="B68" t="str">
        <f>"ZION US Equity"</f>
        <v>ZION US Equity</v>
      </c>
      <c r="C68" t="str">
        <f t="shared" si="6"/>
        <v>F0375</v>
      </c>
      <c r="D68" t="str">
        <f t="shared" si="7"/>
        <v>FED_CRE_LNS_INCL_APTS_&amp;_FRMLND</v>
      </c>
      <c r="E68" t="str">
        <f t="shared" si="8"/>
        <v>Dynamic</v>
      </c>
      <c r="F68" t="str">
        <f ca="1">IF(AND(ISNUMBER($F$488),$B$427=1),$F$488,HLOOKUP(INDIRECT(ADDRESS(2,COLUMN())),OFFSET($AM$2,0,0,ROW()-1,33),ROW()-1,FALSE))</f>
        <v/>
      </c>
      <c r="G68">
        <f ca="1">IF(AND(ISNUMBER($G$488),$B$427=1),$G$488,HLOOKUP(INDIRECT(ADDRESS(2,COLUMN())),OFFSET($AM$2,0,0,ROW()-1,33),ROW()-1,FALSE))</f>
        <v>2990.797</v>
      </c>
      <c r="H68">
        <f ca="1">IF(AND(ISNUMBER($H$488),$B$427=1),$H$488,HLOOKUP(INDIRECT(ADDRESS(2,COLUMN())),OFFSET($AM$2,0,0,ROW()-1,33),ROW()-1,FALSE))</f>
        <v>2583.4470000000001</v>
      </c>
      <c r="I68">
        <f ca="1">IF(AND(ISNUMBER($I$488),$B$427=1),$I$488,HLOOKUP(INDIRECT(ADDRESS(2,COLUMN())),OFFSET($AM$2,0,0,ROW()-1,33),ROW()-1,FALSE))</f>
        <v>2220.0419999999999</v>
      </c>
      <c r="J68" t="str">
        <f ca="1">IF(AND(ISNUMBER($J$488),$B$427=1),$J$488,HLOOKUP(INDIRECT(ADDRESS(2,COLUMN())),OFFSET($AM$2,0,0,ROW()-1,33),ROW()-1,FALSE))</f>
        <v/>
      </c>
      <c r="K68" t="str">
        <f ca="1">IF(AND(ISNUMBER($K$488),$B$427=1),$K$488,HLOOKUP(INDIRECT(ADDRESS(2,COLUMN())),OFFSET($AM$2,0,0,ROW()-1,33),ROW()-1,FALSE))</f>
        <v/>
      </c>
      <c r="L68" t="str">
        <f ca="1">IF(AND(ISNUMBER($L$488),$B$427=1),$L$488,HLOOKUP(INDIRECT(ADDRESS(2,COLUMN())),OFFSET($AM$2,0,0,ROW()-1,33),ROW()-1,FALSE))</f>
        <v/>
      </c>
      <c r="M68" t="str">
        <f ca="1">IF(AND(ISNUMBER($M$488),$B$427=1),$M$488,HLOOKUP(INDIRECT(ADDRESS(2,COLUMN())),OFFSET($AM$2,0,0,ROW()-1,33),ROW()-1,FALSE))</f>
        <v/>
      </c>
      <c r="N68" t="str">
        <f ca="1">IF(AND(ISNUMBER($N$488),$B$427=1),$N$488,HLOOKUP(INDIRECT(ADDRESS(2,COLUMN())),OFFSET($AM$2,0,0,ROW()-1,33),ROW()-1,FALSE))</f>
        <v/>
      </c>
      <c r="O68" t="str">
        <f ca="1">IF(AND(ISNUMBER($O$488),$B$427=1),$O$488,HLOOKUP(INDIRECT(ADDRESS(2,COLUMN())),OFFSET($AM$2,0,0,ROW()-1,33),ROW()-1,FALSE))</f>
        <v/>
      </c>
      <c r="P68" t="str">
        <f ca="1">IF(AND(ISNUMBER($P$488),$B$427=1),$P$488,HLOOKUP(INDIRECT(ADDRESS(2,COLUMN())),OFFSET($AM$2,0,0,ROW()-1,33),ROW()-1,FALSE))</f>
        <v/>
      </c>
      <c r="Q68" t="str">
        <f ca="1">IF(AND(ISNUMBER($Q$488),$B$427=1),$Q$488,HLOOKUP(INDIRECT(ADDRESS(2,COLUMN())),OFFSET($AM$2,0,0,ROW()-1,33),ROW()-1,FALSE))</f>
        <v/>
      </c>
      <c r="R68" t="str">
        <f ca="1">IF(AND(ISNUMBER($R$488),$B$427=1),$R$488,HLOOKUP(INDIRECT(ADDRESS(2,COLUMN())),OFFSET($AM$2,0,0,ROW()-1,33),ROW()-1,FALSE))</f>
        <v/>
      </c>
      <c r="S68" t="str">
        <f ca="1">IF(AND(ISNUMBER($S$488),$B$427=1),$S$488,HLOOKUP(INDIRECT(ADDRESS(2,COLUMN())),OFFSET($AM$2,0,0,ROW()-1,33),ROW()-1,FALSE))</f>
        <v/>
      </c>
      <c r="T68" t="str">
        <f ca="1">IF(AND(ISNUMBER($T$488),$B$427=1),$T$488,HLOOKUP(INDIRECT(ADDRESS(2,COLUMN())),OFFSET($AM$2,0,0,ROW()-1,33),ROW()-1,FALSE))</f>
        <v/>
      </c>
      <c r="U68" t="str">
        <f ca="1">IF(AND(ISNUMBER($U$488),$B$427=1),$U$488,HLOOKUP(INDIRECT(ADDRESS(2,COLUMN())),OFFSET($AM$2,0,0,ROW()-1,33),ROW()-1,FALSE))</f>
        <v/>
      </c>
      <c r="V68" t="str">
        <f ca="1">IF(AND(ISNUMBER($V$488),$B$427=1),$V$488,HLOOKUP(INDIRECT(ADDRESS(2,COLUMN())),OFFSET($AM$2,0,0,ROW()-1,33),ROW()-1,FALSE))</f>
        <v/>
      </c>
      <c r="W68" t="str">
        <f ca="1">IF(AND(ISNUMBER($W$488),$B$427=1),$W$488,HLOOKUP(INDIRECT(ADDRESS(2,COLUMN())),OFFSET($AM$2,0,0,ROW()-1,33),ROW()-1,FALSE))</f>
        <v/>
      </c>
      <c r="X68" t="str">
        <f ca="1">IF(AND(ISNUMBER($X$488),$B$427=1),$X$488,HLOOKUP(INDIRECT(ADDRESS(2,COLUMN())),OFFSET($AM$2,0,0,ROW()-1,33),ROW()-1,FALSE))</f>
        <v/>
      </c>
      <c r="Y68" t="str">
        <f ca="1">IF(AND(ISNUMBER($Y$488),$B$427=1),$Y$488,HLOOKUP(INDIRECT(ADDRESS(2,COLUMN())),OFFSET($AM$2,0,0,ROW()-1,33),ROW()-1,FALSE))</f>
        <v/>
      </c>
      <c r="Z68" t="str">
        <f ca="1">IF(AND(ISNUMBER($Z$488),$B$427=1),$Z$488,HLOOKUP(INDIRECT(ADDRESS(2,COLUMN())),OFFSET($AM$2,0,0,ROW()-1,33),ROW()-1,FALSE))</f>
        <v/>
      </c>
      <c r="AA68" t="str">
        <f ca="1">IF(AND(ISNUMBER($AA$488),$B$427=1),$AA$488,HLOOKUP(INDIRECT(ADDRESS(2,COLUMN())),OFFSET($AM$2,0,0,ROW()-1,33),ROW()-1,FALSE))</f>
        <v/>
      </c>
      <c r="AB68" t="str">
        <f ca="1">IF(AND(ISNUMBER($AB$488),$B$427=1),$AB$488,HLOOKUP(INDIRECT(ADDRESS(2,COLUMN())),OFFSET($AM$2,0,0,ROW()-1,33),ROW()-1,FALSE))</f>
        <v/>
      </c>
      <c r="AC68" t="str">
        <f ca="1">IF(AND(ISNUMBER($AC$488),$B$427=1),$AC$488,HLOOKUP(INDIRECT(ADDRESS(2,COLUMN())),OFFSET($AM$2,0,0,ROW()-1,33),ROW()-1,FALSE))</f>
        <v/>
      </c>
      <c r="AD68" t="str">
        <f ca="1">IF(AND(ISNUMBER($AD$488),$B$427=1),$AD$488,HLOOKUP(INDIRECT(ADDRESS(2,COLUMN())),OFFSET($AM$2,0,0,ROW()-1,33),ROW()-1,FALSE))</f>
        <v/>
      </c>
      <c r="AE68" t="str">
        <f ca="1">IF(AND(ISNUMBER($AE$488),$B$427=1),$AE$488,HLOOKUP(INDIRECT(ADDRESS(2,COLUMN())),OFFSET($AM$2,0,0,ROW()-1,33),ROW()-1,FALSE))</f>
        <v/>
      </c>
      <c r="AF68" t="str">
        <f ca="1">IF(AND(ISNUMBER($AF$488),$B$427=1),$AF$488,HLOOKUP(INDIRECT(ADDRESS(2,COLUMN())),OFFSET($AM$2,0,0,ROW()-1,33),ROW()-1,FALSE))</f>
        <v/>
      </c>
      <c r="AG68" t="str">
        <f ca="1">IF(AND(ISNUMBER($AG$488),$B$427=1),$AG$488,HLOOKUP(INDIRECT(ADDRESS(2,COLUMN())),OFFSET($AM$2,0,0,ROW()-1,33),ROW()-1,FALSE))</f>
        <v/>
      </c>
      <c r="AH68" t="str">
        <f ca="1">IF(AND(ISNUMBER($AH$488),$B$427=1),$AH$488,HLOOKUP(INDIRECT(ADDRESS(2,COLUMN())),OFFSET($AM$2,0,0,ROW()-1,33),ROW()-1,FALSE))</f>
        <v/>
      </c>
      <c r="AI68" t="str">
        <f ca="1">IF(AND(ISNUMBER($AI$488),$B$427=1),$AI$488,HLOOKUP(INDIRECT(ADDRESS(2,COLUMN())),OFFSET($AM$2,0,0,ROW()-1,33),ROW()-1,FALSE))</f>
        <v/>
      </c>
      <c r="AJ68" t="str">
        <f ca="1">IF(AND(ISNUMBER($AJ$488),$B$427=1),$AJ$488,HLOOKUP(INDIRECT(ADDRESS(2,COLUMN())),OFFSET($AM$2,0,0,ROW()-1,33),ROW()-1,FALSE))</f>
        <v/>
      </c>
      <c r="AK68" t="str">
        <f ca="1">IF(AND(ISNUMBER($AK$488),$B$427=1),$AK$488,HLOOKUP(INDIRECT(ADDRESS(2,COLUMN())),OFFSET($AM$2,0,0,ROW()-1,33),ROW()-1,FALSE))</f>
        <v/>
      </c>
      <c r="AL68" t="str">
        <f ca="1">IF(AND(ISNUMBER($AL$488),$B$427=1),$AL$488,HLOOKUP(INDIRECT(ADDRESS(2,COLUMN())),OFFSET($AM$2,0,0,ROW()-1,33),ROW()-1,FALSE))</f>
        <v/>
      </c>
      <c r="AM68" t="str">
        <f>""</f>
        <v/>
      </c>
      <c r="AN68">
        <f>2990.797</f>
        <v>2990.797</v>
      </c>
      <c r="AO68">
        <f>2583.447</f>
        <v>2583.4470000000001</v>
      </c>
      <c r="AP68">
        <f>2220.042</f>
        <v>2220.0419999999999</v>
      </c>
      <c r="AQ68" t="str">
        <f>""</f>
        <v/>
      </c>
      <c r="AR68" t="str">
        <f>""</f>
        <v/>
      </c>
      <c r="AS68" t="str">
        <f>""</f>
        <v/>
      </c>
      <c r="AT68" t="str">
        <f>""</f>
        <v/>
      </c>
      <c r="AU68" t="str">
        <f>""</f>
        <v/>
      </c>
      <c r="AV68" t="str">
        <f>""</f>
        <v/>
      </c>
      <c r="AW68" t="str">
        <f>""</f>
        <v/>
      </c>
      <c r="AX68" t="str">
        <f>""</f>
        <v/>
      </c>
      <c r="AY68" t="str">
        <f>""</f>
        <v/>
      </c>
      <c r="AZ68" t="str">
        <f>""</f>
        <v/>
      </c>
      <c r="BA68" t="str">
        <f>""</f>
        <v/>
      </c>
      <c r="BB68" t="str">
        <f>""</f>
        <v/>
      </c>
      <c r="BC68" t="str">
        <f>""</f>
        <v/>
      </c>
      <c r="BD68" t="str">
        <f>""</f>
        <v/>
      </c>
      <c r="BE68" t="str">
        <f>""</f>
        <v/>
      </c>
      <c r="BF68" t="str">
        <f>""</f>
        <v/>
      </c>
      <c r="BG68" t="str">
        <f>""</f>
        <v/>
      </c>
      <c r="BH68" t="str">
        <f>""</f>
        <v/>
      </c>
      <c r="BI68" t="str">
        <f>""</f>
        <v/>
      </c>
      <c r="BJ68" t="str">
        <f>""</f>
        <v/>
      </c>
      <c r="BK68" t="str">
        <f>""</f>
        <v/>
      </c>
      <c r="BL68" t="str">
        <f>""</f>
        <v/>
      </c>
      <c r="BM68" t="str">
        <f>""</f>
        <v/>
      </c>
      <c r="BN68" t="str">
        <f>""</f>
        <v/>
      </c>
      <c r="BO68" t="str">
        <f>""</f>
        <v/>
      </c>
      <c r="BP68" t="str">
        <f>""</f>
        <v/>
      </c>
      <c r="BQ68" t="str">
        <f>""</f>
        <v/>
      </c>
      <c r="BR68" t="str">
        <f>""</f>
        <v/>
      </c>
      <c r="BS68" t="str">
        <f>""</f>
        <v/>
      </c>
    </row>
    <row r="69" spans="1:71" x14ac:dyDescent="0.25">
      <c r="A69" t="str">
        <f>"    US Real Estate Loans by Company"</f>
        <v xml:space="preserve">    US Real Estate Loans by Company</v>
      </c>
      <c r="B69" t="str">
        <f>""</f>
        <v/>
      </c>
      <c r="E69" t="str">
        <f>"Sum"</f>
        <v>Sum</v>
      </c>
      <c r="F69">
        <f ca="1">IF(ISERROR(IF(SUM($F$70:$F$89) = 0, "", SUM($F$70:$F$89))), "", (IF(SUM($F$70:$F$89) = 0, "", SUM($F$70:$F$89))))</f>
        <v>2100171.9139999999</v>
      </c>
      <c r="G69">
        <f ca="1">IF(ISERROR(IF(SUM($G$70:$G$89) = 0, "", SUM($G$70:$G$89))), "", (IF(SUM($G$70:$G$89) = 0, "", SUM($G$70:$G$89))))</f>
        <v>2379961.4009999996</v>
      </c>
      <c r="H69">
        <f ca="1">IF(ISERROR(IF(SUM($H$70:$H$89) = 0, "", SUM($H$70:$H$89))), "", (IF(SUM($H$70:$H$89) = 0, "", SUM($H$70:$H$89))))</f>
        <v>2242313.642</v>
      </c>
      <c r="I69">
        <f ca="1">IF(ISERROR(IF(SUM($I$70:$I$89) = 0, "", SUM($I$70:$I$89))), "", (IF(SUM($I$70:$I$89) = 0, "", SUM($I$70:$I$89))))</f>
        <v>2056044.4749999999</v>
      </c>
      <c r="J69">
        <f ca="1">IF(ISERROR(IF(SUM($J$70:$J$89) = 0, "", SUM($J$70:$J$89))), "", (IF(SUM($J$70:$J$89) = 0, "", SUM($J$70:$J$89))))</f>
        <v>2023865.5349999999</v>
      </c>
      <c r="K69">
        <f ca="1">IF(ISERROR(IF(SUM($K$70:$K$89) = 0, "", SUM($K$70:$K$89))), "", (IF(SUM($K$70:$K$89) = 0, "", SUM($K$70:$K$89))))</f>
        <v>2052977.2290000003</v>
      </c>
      <c r="L69">
        <f ca="1">IF(ISERROR(IF(SUM($L$70:$L$89) = 0, "", SUM($L$70:$L$89))), "", (IF(SUM($L$70:$L$89) = 0, "", SUM($L$70:$L$89))))</f>
        <v>1969914.825</v>
      </c>
      <c r="M69">
        <f ca="1">IF(ISERROR(IF(SUM($M$70:$M$89) = 0, "", SUM($M$70:$M$89))), "", (IF(SUM($M$70:$M$89) = 0, "", SUM($M$70:$M$89))))</f>
        <v>1998009.0160000001</v>
      </c>
      <c r="N69">
        <f ca="1">IF(ISERROR(IF(SUM($N$70:$N$89) = 0, "", SUM($N$70:$N$89))), "", (IF(SUM($N$70:$N$89) = 0, "", SUM($N$70:$N$89))))</f>
        <v>2002414.9799999997</v>
      </c>
      <c r="O69">
        <f ca="1">IF(ISERROR(IF(SUM($O$70:$O$89) = 0, "", SUM($O$70:$O$89))), "", (IF(SUM($O$70:$O$89) = 0, "", SUM($O$70:$O$89))))</f>
        <v>1934986.9600000002</v>
      </c>
      <c r="P69">
        <f ca="1">IF(ISERROR(IF(SUM($P$70:$P$89) = 0, "", SUM($P$70:$P$89))), "", (IF(SUM($P$70:$P$89) = 0, "", SUM($P$70:$P$89))))</f>
        <v>1868855.9639999999</v>
      </c>
      <c r="Q69">
        <f ca="1">IF(ISERROR(IF(SUM($Q$70:$Q$89) = 0, "", SUM($Q$70:$Q$89))), "", (IF(SUM($Q$70:$Q$89) = 0, "", SUM($Q$70:$Q$89))))</f>
        <v>1905827.2789999999</v>
      </c>
      <c r="R69">
        <f ca="1">IF(ISERROR(IF(SUM($R$70:$R$89) = 0, "", SUM($R$70:$R$89))), "", (IF(SUM($R$70:$R$89) = 0, "", SUM($R$70:$R$89))))</f>
        <v>1998711.2659999998</v>
      </c>
      <c r="S69">
        <f ca="1">IF(ISERROR(IF(SUM($S$70:$S$89) = 0, "", SUM($S$70:$S$89))), "", (IF(SUM($S$70:$S$89) = 0, "", SUM($S$70:$S$89))))</f>
        <v>2005844.8019999999</v>
      </c>
      <c r="T69">
        <f ca="1">IF(ISERROR(IF(SUM($T$70:$T$89) = 0, "", SUM($T$70:$T$89))), "", (IF(SUM($T$70:$T$89) = 0, "", SUM($T$70:$T$89))))</f>
        <v>2089854.0249999999</v>
      </c>
      <c r="U69">
        <f ca="1">IF(ISERROR(IF(SUM($U$70:$U$89) = 0, "", SUM($U$70:$U$89))), "", (IF(SUM($U$70:$U$89) = 0, "", SUM($U$70:$U$89))))</f>
        <v>2208194.7069999999</v>
      </c>
      <c r="V69">
        <f ca="1">IF(ISERROR(IF(SUM($V$70:$V$89) = 0, "", SUM($V$70:$V$89))), "", (IF(SUM($V$70:$V$89) = 0, "", SUM($V$70:$V$89))))</f>
        <v>2267005.1029999997</v>
      </c>
      <c r="W69">
        <f ca="1">IF(ISERROR(IF(SUM($W$70:$W$89) = 0, "", SUM($W$70:$W$89))), "", (IF(SUM($W$70:$W$89) = 0, "", SUM($W$70:$W$89))))</f>
        <v>1715894.3840000003</v>
      </c>
      <c r="X69">
        <f ca="1">IF(ISERROR(IF(SUM($X$70:$X$89) = 0, "", SUM($X$70:$X$89))), "", (IF(SUM($X$70:$X$89) = 0, "", SUM($X$70:$X$89))))</f>
        <v>1166896.8580000002</v>
      </c>
      <c r="Y69">
        <f ca="1">IF(ISERROR(IF(SUM($Y$70:$Y$89) = 0, "", SUM($Y$70:$Y$89))), "", (IF(SUM($Y$70:$Y$89) = 0, "", SUM($Y$70:$Y$89))))</f>
        <v>1026981.2999999999</v>
      </c>
      <c r="Z69">
        <f ca="1">IF(ISERROR(IF(SUM($Z$70:$Z$89) = 0, "", SUM($Z$70:$Z$89))), "", (IF(SUM($Z$70:$Z$89) = 0, "", SUM($Z$70:$Z$89))))</f>
        <v>928103.68999999983</v>
      </c>
      <c r="AA69">
        <f ca="1">IF(ISERROR(IF(SUM($AA$70:$AA$89) = 0, "", SUM($AA$70:$AA$89))), "", (IF(SUM($AA$70:$AA$89) = 0, "", SUM($AA$70:$AA$89))))</f>
        <v>683495.26599999995</v>
      </c>
      <c r="AB69">
        <f ca="1">IF(ISERROR(IF(SUM($AB$70:$AB$89) = 0, "", SUM($AB$70:$AB$89))), "", (IF(SUM($AB$70:$AB$89) = 0, "", SUM($AB$70:$AB$89))))</f>
        <v>593547.11499999987</v>
      </c>
      <c r="AC69">
        <f ca="1">IF(ISERROR(IF(SUM($AC$70:$AC$89) = 0, "", SUM($AC$70:$AC$89))), "", (IF(SUM($AC$70:$AC$89) = 0, "", SUM($AC$70:$AC$89))))</f>
        <v>451187.17699999997</v>
      </c>
      <c r="AD69">
        <f ca="1">IF(ISERROR(IF(SUM($AD$70:$AD$89) = 0, "", SUM($AD$70:$AD$89))), "", (IF(SUM($AD$70:$AD$89) = 0, "", SUM($AD$70:$AD$89))))</f>
        <v>205988.87099999998</v>
      </c>
      <c r="AE69">
        <f ca="1">IF(ISERROR(IF(SUM($AE$70:$AE$89) = 0, "", SUM($AE$70:$AE$89))), "", (IF(SUM($AE$70:$AE$89) = 0, "", SUM($AE$70:$AE$89))))</f>
        <v>176337.60199999998</v>
      </c>
      <c r="AF69">
        <f ca="1">IF(ISERROR(IF(SUM($AF$70:$AF$89) = 0, "", SUM($AF$70:$AF$89))), "", (IF(SUM($AF$70:$AF$89) = 0, "", SUM($AF$70:$AF$89))))</f>
        <v>172658.008</v>
      </c>
      <c r="AG69">
        <f ca="1">IF(ISERROR(IF(SUM($AG$70:$AG$89) = 0, "", SUM($AG$70:$AG$89))), "", (IF(SUM($AG$70:$AG$89) = 0, "", SUM($AG$70:$AG$89))))</f>
        <v>125620.73300000001</v>
      </c>
      <c r="AH69">
        <f ca="1">IF(ISERROR(IF(SUM($AH$70:$AH$89) = 0, "", SUM($AH$70:$AH$89))), "", (IF(SUM($AH$70:$AH$89) = 0, "", SUM($AH$70:$AH$89))))</f>
        <v>70376.448000000004</v>
      </c>
      <c r="AI69">
        <f ca="1">IF(ISERROR(IF(SUM($AI$70:$AI$89) = 0, "", SUM($AI$70:$AI$89))), "", (IF(SUM($AI$70:$AI$89) = 0, "", SUM($AI$70:$AI$89))))</f>
        <v>69439.539999999994</v>
      </c>
      <c r="AJ69">
        <f ca="1">IF(ISERROR(IF(SUM($AJ$70:$AJ$89) = 0, "", SUM($AJ$70:$AJ$89))), "", (IF(SUM($AJ$70:$AJ$89) = 0, "", SUM($AJ$70:$AJ$89))))</f>
        <v>45117.603000000003</v>
      </c>
      <c r="AK69">
        <f ca="1">IF(ISERROR(IF(SUM($AK$70:$AK$89) = 0, "", SUM($AK$70:$AK$89))), "", (IF(SUM($AK$70:$AK$89) = 0, "", SUM($AK$70:$AK$89))))</f>
        <v>33147.787000000004</v>
      </c>
      <c r="AL69">
        <f ca="1">IF(ISERROR(IF(SUM($AL$70:$AL$89) = 0, "", SUM($AL$70:$AL$89))), "", (IF(SUM($AL$70:$AL$89) = 0, "", SUM($AL$70:$AL$89))))</f>
        <v>22651.197</v>
      </c>
      <c r="AM69">
        <f>2100171.914</f>
        <v>2100171.9139999999</v>
      </c>
      <c r="AN69">
        <f>2379961.401</f>
        <v>2379961.4010000001</v>
      </c>
      <c r="AO69">
        <f>2242313.642</f>
        <v>2242313.642</v>
      </c>
      <c r="AP69">
        <f>2056044.475</f>
        <v>2056044.4750000001</v>
      </c>
      <c r="AQ69">
        <f>2023865.535</f>
        <v>2023865.5349999999</v>
      </c>
      <c r="AR69">
        <f>2052977.229</f>
        <v>2052977.2290000001</v>
      </c>
      <c r="AS69">
        <f>1969914.825</f>
        <v>1969914.825</v>
      </c>
      <c r="AT69">
        <f>1998009.016</f>
        <v>1998009.0160000001</v>
      </c>
      <c r="AU69">
        <f>2002414.98</f>
        <v>2002414.98</v>
      </c>
      <c r="AV69">
        <f>1934986.96</f>
        <v>1934986.96</v>
      </c>
      <c r="AW69">
        <f>1868855.964</f>
        <v>1868855.9639999999</v>
      </c>
      <c r="AX69">
        <f>1905827.279</f>
        <v>1905827.2790000001</v>
      </c>
      <c r="AY69">
        <f>1998711.266</f>
        <v>1998711.2660000001</v>
      </c>
      <c r="AZ69">
        <f>2005844.802</f>
        <v>2005844.8019999999</v>
      </c>
      <c r="BA69">
        <f>2089854.025</f>
        <v>2089854.0249999999</v>
      </c>
      <c r="BB69">
        <f>2208194.707</f>
        <v>2208194.7069999999</v>
      </c>
      <c r="BC69">
        <f>2267005.103</f>
        <v>2267005.1030000001</v>
      </c>
      <c r="BD69">
        <f>1715894.384</f>
        <v>1715894.3840000001</v>
      </c>
      <c r="BE69">
        <f>1166896.858</f>
        <v>1166896.858</v>
      </c>
      <c r="BF69">
        <f>1026981.3</f>
        <v>1026981.3</v>
      </c>
      <c r="BG69">
        <f>928103.69</f>
        <v>928103.69</v>
      </c>
      <c r="BH69">
        <f>683495.266</f>
        <v>683495.26599999995</v>
      </c>
      <c r="BI69">
        <f>593547.115</f>
        <v>593547.11499999999</v>
      </c>
      <c r="BJ69">
        <f>451187.177</f>
        <v>451187.17700000003</v>
      </c>
      <c r="BK69">
        <f>205988.871</f>
        <v>205988.87100000001</v>
      </c>
      <c r="BL69">
        <f>176337.602</f>
        <v>176337.60200000001</v>
      </c>
      <c r="BM69">
        <f>172658.008</f>
        <v>172658.008</v>
      </c>
      <c r="BN69">
        <f>125620.733</f>
        <v>125620.73299999999</v>
      </c>
      <c r="BO69">
        <f>70376.448</f>
        <v>70376.448000000004</v>
      </c>
      <c r="BP69">
        <f>69439.54</f>
        <v>69439.539999999994</v>
      </c>
      <c r="BQ69">
        <f>45117.603</f>
        <v>45117.603000000003</v>
      </c>
      <c r="BR69">
        <f>33147.787</f>
        <v>33147.786999999997</v>
      </c>
      <c r="BS69">
        <f>22651.197</f>
        <v>22651.197</v>
      </c>
    </row>
    <row r="70" spans="1:71" x14ac:dyDescent="0.25">
      <c r="A70" t="str">
        <f>"        Bank of America Corp"</f>
        <v xml:space="preserve">        Bank of America Corp</v>
      </c>
      <c r="B70" t="str">
        <f>"BAC US Equity"</f>
        <v>BAC US Equity</v>
      </c>
      <c r="C70" t="str">
        <f t="shared" ref="C70:C89" si="9">"F0093"</f>
        <v>F0093</v>
      </c>
      <c r="D70" t="str">
        <f t="shared" ref="D70:D89" si="10">"FED_REAL_ESTATE_LOANS_DOMESTIC"</f>
        <v>FED_REAL_ESTATE_LOANS_DOMESTIC</v>
      </c>
      <c r="E70" t="str">
        <f t="shared" ref="E70:E89" si="11">"Dynamic"</f>
        <v>Dynamic</v>
      </c>
      <c r="F70">
        <f ca="1">IF(AND(ISNUMBER($F$489),$B$427=1),$F$489,HLOOKUP(INDIRECT(ADDRESS(2,COLUMN())),OFFSET($AM$2,0,0,ROW()-1,33),ROW()-1,FALSE))</f>
        <v>331785</v>
      </c>
      <c r="G70">
        <f ca="1">IF(AND(ISNUMBER($G$489),$B$427=1),$G$489,HLOOKUP(INDIRECT(ADDRESS(2,COLUMN())),OFFSET($AM$2,0,0,ROW()-1,33),ROW()-1,FALSE))</f>
        <v>335755</v>
      </c>
      <c r="H70">
        <f ca="1">IF(AND(ISNUMBER($H$489),$B$427=1),$H$489,HLOOKUP(INDIRECT(ADDRESS(2,COLUMN())),OFFSET($AM$2,0,0,ROW()-1,33),ROW()-1,FALSE))</f>
        <v>335891</v>
      </c>
      <c r="I70">
        <f ca="1">IF(AND(ISNUMBER($I$489),$B$427=1),$I$489,HLOOKUP(INDIRECT(ADDRESS(2,COLUMN())),OFFSET($AM$2,0,0,ROW()-1,33),ROW()-1,FALSE))</f>
        <v>329906</v>
      </c>
      <c r="J70">
        <f ca="1">IF(AND(ISNUMBER($J$489),$B$427=1),$J$489,HLOOKUP(INDIRECT(ADDRESS(2,COLUMN())),OFFSET($AM$2,0,0,ROW()-1,33),ROW()-1,FALSE))</f>
        <v>334418</v>
      </c>
      <c r="K70">
        <f ca="1">IF(AND(ISNUMBER($K$489),$B$427=1),$K$489,HLOOKUP(INDIRECT(ADDRESS(2,COLUMN())),OFFSET($AM$2,0,0,ROW()-1,33),ROW()-1,FALSE))</f>
        <v>356416</v>
      </c>
      <c r="L70">
        <f ca="1">IF(AND(ISNUMBER($L$489),$B$427=1),$L$489,HLOOKUP(INDIRECT(ADDRESS(2,COLUMN())),OFFSET($AM$2,0,0,ROW()-1,33),ROW()-1,FALSE))</f>
        <v>331862</v>
      </c>
      <c r="M70">
        <f ca="1">IF(AND(ISNUMBER($M$489),$B$427=1),$M$489,HLOOKUP(INDIRECT(ADDRESS(2,COLUMN())),OFFSET($AM$2,0,0,ROW()-1,33),ROW()-1,FALSE))</f>
        <v>336900</v>
      </c>
      <c r="N70">
        <f ca="1">IF(AND(ISNUMBER($N$489),$B$427=1),$N$489,HLOOKUP(INDIRECT(ADDRESS(2,COLUMN())),OFFSET($AM$2,0,0,ROW()-1,33),ROW()-1,FALSE))</f>
        <v>335591</v>
      </c>
      <c r="O70">
        <f ca="1">IF(AND(ISNUMBER($O$489),$B$427=1),$O$489,HLOOKUP(INDIRECT(ADDRESS(2,COLUMN())),OFFSET($AM$2,0,0,ROW()-1,33),ROW()-1,FALSE))</f>
        <v>342799</v>
      </c>
      <c r="P70">
        <f ca="1">IF(AND(ISNUMBER($P$489),$B$427=1),$P$489,HLOOKUP(INDIRECT(ADDRESS(2,COLUMN())),OFFSET($AM$2,0,0,ROW()-1,33),ROW()-1,FALSE))</f>
        <v>368541</v>
      </c>
      <c r="Q70">
        <f ca="1">IF(AND(ISNUMBER($Q$489),$B$427=1),$Q$489,HLOOKUP(INDIRECT(ADDRESS(2,COLUMN())),OFFSET($AM$2,0,0,ROW()-1,33),ROW()-1,FALSE))</f>
        <v>415462</v>
      </c>
      <c r="R70">
        <f ca="1">IF(AND(ISNUMBER($R$489),$B$427=1),$R$489,HLOOKUP(INDIRECT(ADDRESS(2,COLUMN())),OFFSET($AM$2,0,0,ROW()-1,33),ROW()-1,FALSE))</f>
        <v>442394.18699999998</v>
      </c>
      <c r="S70">
        <f ca="1">IF(AND(ISNUMBER($S$489),$B$427=1),$S$489,HLOOKUP(INDIRECT(ADDRESS(2,COLUMN())),OFFSET($AM$2,0,0,ROW()-1,33),ROW()-1,FALSE))</f>
        <v>479145.065</v>
      </c>
      <c r="T70">
        <f ca="1">IF(AND(ISNUMBER($T$489),$B$427=1),$T$489,HLOOKUP(INDIRECT(ADDRESS(2,COLUMN())),OFFSET($AM$2,0,0,ROW()-1,33),ROW()-1,FALSE))</f>
        <v>511755.13199999998</v>
      </c>
      <c r="U70">
        <f ca="1">IF(AND(ISNUMBER($U$489),$B$427=1),$U$489,HLOOKUP(INDIRECT(ADDRESS(2,COLUMN())),OFFSET($AM$2,0,0,ROW()-1,33),ROW()-1,FALSE))</f>
        <v>541958.08299999998</v>
      </c>
      <c r="V70">
        <f ca="1">IF(AND(ISNUMBER($V$489),$B$427=1),$V$489,HLOOKUP(INDIRECT(ADDRESS(2,COLUMN())),OFFSET($AM$2,0,0,ROW()-1,33),ROW()-1,FALSE))</f>
        <v>533929.071</v>
      </c>
      <c r="W70">
        <f ca="1">IF(AND(ISNUMBER($W$489),$B$427=1),$W$489,HLOOKUP(INDIRECT(ADDRESS(2,COLUMN())),OFFSET($AM$2,0,0,ROW()-1,33),ROW()-1,FALSE))</f>
        <v>498377.34700000001</v>
      </c>
      <c r="X70">
        <f ca="1">IF(AND(ISNUMBER($X$489),$B$427=1),$X$489,HLOOKUP(INDIRECT(ADDRESS(2,COLUMN())),OFFSET($AM$2,0,0,ROW()-1,33),ROW()-1,FALSE))</f>
        <v>324670.72499999998</v>
      </c>
      <c r="Y70">
        <f ca="1">IF(AND(ISNUMBER($Y$489),$B$427=1),$Y$489,HLOOKUP(INDIRECT(ADDRESS(2,COLUMN())),OFFSET($AM$2,0,0,ROW()-1,33),ROW()-1,FALSE))</f>
        <v>257019.91699999999</v>
      </c>
      <c r="Z70">
        <f ca="1">IF(AND(ISNUMBER($Z$489),$B$427=1),$Z$489,HLOOKUP(INDIRECT(ADDRESS(2,COLUMN())),OFFSET($AM$2,0,0,ROW()-1,33),ROW()-1,FALSE))</f>
        <v>240031.94500000001</v>
      </c>
      <c r="AA70">
        <f ca="1">IF(AND(ISNUMBER($AA$489),$B$427=1),$AA$489,HLOOKUP(INDIRECT(ADDRESS(2,COLUMN())),OFFSET($AM$2,0,0,ROW()-1,33),ROW()-1,FALSE))</f>
        <v>174320.30499999999</v>
      </c>
      <c r="AB70">
        <f ca="1">IF(AND(ISNUMBER($AB$489),$B$427=1),$AB$489,HLOOKUP(INDIRECT(ADDRESS(2,COLUMN())),OFFSET($AM$2,0,0,ROW()-1,33),ROW()-1,FALSE))</f>
        <v>147805</v>
      </c>
      <c r="AC70">
        <f ca="1">IF(AND(ISNUMBER($AC$489),$B$427=1),$AC$489,HLOOKUP(INDIRECT(ADDRESS(2,COLUMN())),OFFSET($AM$2,0,0,ROW()-1,33),ROW()-1,FALSE))</f>
        <v>105731</v>
      </c>
      <c r="AD70" t="str">
        <f ca="1">IF(AND(ISNUMBER($AD$489),$B$427=1),$AD$489,HLOOKUP(INDIRECT(ADDRESS(2,COLUMN())),OFFSET($AM$2,0,0,ROW()-1,33),ROW()-1,FALSE))</f>
        <v/>
      </c>
      <c r="AE70" t="str">
        <f ca="1">IF(AND(ISNUMBER($AE$489),$B$427=1),$AE$489,HLOOKUP(INDIRECT(ADDRESS(2,COLUMN())),OFFSET($AM$2,0,0,ROW()-1,33),ROW()-1,FALSE))</f>
        <v/>
      </c>
      <c r="AF70" t="str">
        <f ca="1">IF(AND(ISNUMBER($AF$489),$B$427=1),$AF$489,HLOOKUP(INDIRECT(ADDRESS(2,COLUMN())),OFFSET($AM$2,0,0,ROW()-1,33),ROW()-1,FALSE))</f>
        <v/>
      </c>
      <c r="AG70" t="str">
        <f ca="1">IF(AND(ISNUMBER($AG$489),$B$427=1),$AG$489,HLOOKUP(INDIRECT(ADDRESS(2,COLUMN())),OFFSET($AM$2,0,0,ROW()-1,33),ROW()-1,FALSE))</f>
        <v/>
      </c>
      <c r="AH70" t="str">
        <f ca="1">IF(AND(ISNUMBER($AH$489),$B$427=1),$AH$489,HLOOKUP(INDIRECT(ADDRESS(2,COLUMN())),OFFSET($AM$2,0,0,ROW()-1,33),ROW()-1,FALSE))</f>
        <v/>
      </c>
      <c r="AI70" t="str">
        <f ca="1">IF(AND(ISNUMBER($AI$489),$B$427=1),$AI$489,HLOOKUP(INDIRECT(ADDRESS(2,COLUMN())),OFFSET($AM$2,0,0,ROW()-1,33),ROW()-1,FALSE))</f>
        <v/>
      </c>
      <c r="AJ70" t="str">
        <f ca="1">IF(AND(ISNUMBER($AJ$489),$B$427=1),$AJ$489,HLOOKUP(INDIRECT(ADDRESS(2,COLUMN())),OFFSET($AM$2,0,0,ROW()-1,33),ROW()-1,FALSE))</f>
        <v/>
      </c>
      <c r="AK70" t="str">
        <f ca="1">IF(AND(ISNUMBER($AK$489),$B$427=1),$AK$489,HLOOKUP(INDIRECT(ADDRESS(2,COLUMN())),OFFSET($AM$2,0,0,ROW()-1,33),ROW()-1,FALSE))</f>
        <v/>
      </c>
      <c r="AL70" t="str">
        <f ca="1">IF(AND(ISNUMBER($AL$489),$B$427=1),$AL$489,HLOOKUP(INDIRECT(ADDRESS(2,COLUMN())),OFFSET($AM$2,0,0,ROW()-1,33),ROW()-1,FALSE))</f>
        <v/>
      </c>
      <c r="AM70">
        <f>331785</f>
        <v>331785</v>
      </c>
      <c r="AN70">
        <f>335755</f>
        <v>335755</v>
      </c>
      <c r="AO70">
        <f>335891</f>
        <v>335891</v>
      </c>
      <c r="AP70">
        <f>329906</f>
        <v>329906</v>
      </c>
      <c r="AQ70">
        <f>334418</f>
        <v>334418</v>
      </c>
      <c r="AR70">
        <f>356416</f>
        <v>356416</v>
      </c>
      <c r="AS70">
        <f>331862</f>
        <v>331862</v>
      </c>
      <c r="AT70">
        <f>336900</f>
        <v>336900</v>
      </c>
      <c r="AU70">
        <f>335591</f>
        <v>335591</v>
      </c>
      <c r="AV70">
        <f>342799</f>
        <v>342799</v>
      </c>
      <c r="AW70">
        <f>368541</f>
        <v>368541</v>
      </c>
      <c r="AX70">
        <f>415462</f>
        <v>415462</v>
      </c>
      <c r="AY70">
        <f>442394.187</f>
        <v>442394.18699999998</v>
      </c>
      <c r="AZ70">
        <f>479145.065</f>
        <v>479145.065</v>
      </c>
      <c r="BA70">
        <f>511755.132</f>
        <v>511755.13199999998</v>
      </c>
      <c r="BB70">
        <f>541958.083</f>
        <v>541958.08299999998</v>
      </c>
      <c r="BC70">
        <f>533929.071</f>
        <v>533929.071</v>
      </c>
      <c r="BD70">
        <f>498377.347</f>
        <v>498377.34700000001</v>
      </c>
      <c r="BE70">
        <f>324670.725</f>
        <v>324670.72499999998</v>
      </c>
      <c r="BF70">
        <f>257019.917</f>
        <v>257019.91699999999</v>
      </c>
      <c r="BG70">
        <f>240031.945</f>
        <v>240031.94500000001</v>
      </c>
      <c r="BH70">
        <f>174320.305</f>
        <v>174320.30499999999</v>
      </c>
      <c r="BI70">
        <f>147805</f>
        <v>147805</v>
      </c>
      <c r="BJ70">
        <f>105731</f>
        <v>105731</v>
      </c>
      <c r="BK70" t="str">
        <f>""</f>
        <v/>
      </c>
      <c r="BL70" t="str">
        <f>""</f>
        <v/>
      </c>
      <c r="BM70" t="str">
        <f>""</f>
        <v/>
      </c>
      <c r="BN70" t="str">
        <f>""</f>
        <v/>
      </c>
      <c r="BO70" t="str">
        <f>""</f>
        <v/>
      </c>
      <c r="BP70" t="str">
        <f>""</f>
        <v/>
      </c>
      <c r="BQ70" t="str">
        <f>""</f>
        <v/>
      </c>
      <c r="BR70" t="str">
        <f>""</f>
        <v/>
      </c>
      <c r="BS70" t="str">
        <f>""</f>
        <v/>
      </c>
    </row>
    <row r="71" spans="1:71" x14ac:dyDescent="0.25">
      <c r="A71" t="str">
        <f>"        Citigroup Inc"</f>
        <v xml:space="preserve">        Citigroup Inc</v>
      </c>
      <c r="B71" t="str">
        <f>"C US Equity"</f>
        <v>C US Equity</v>
      </c>
      <c r="C71" t="str">
        <f t="shared" si="9"/>
        <v>F0093</v>
      </c>
      <c r="D71" t="str">
        <f t="shared" si="10"/>
        <v>FED_REAL_ESTATE_LOANS_DOMESTIC</v>
      </c>
      <c r="E71" t="str">
        <f t="shared" si="11"/>
        <v>Dynamic</v>
      </c>
      <c r="F71">
        <f ca="1">IF(AND(ISNUMBER($F$490),$B$427=1),$F$490,HLOOKUP(INDIRECT(ADDRESS(2,COLUMN())),OFFSET($AM$2,0,0,ROW()-1,33),ROW()-1,FALSE))</f>
        <v>144490</v>
      </c>
      <c r="G71">
        <f ca="1">IF(AND(ISNUMBER($G$490),$B$427=1),$G$490,HLOOKUP(INDIRECT(ADDRESS(2,COLUMN())),OFFSET($AM$2,0,0,ROW()-1,33),ROW()-1,FALSE))</f>
        <v>139627</v>
      </c>
      <c r="H71">
        <f ca="1">IF(AND(ISNUMBER($H$490),$B$427=1),$H$490,HLOOKUP(INDIRECT(ADDRESS(2,COLUMN())),OFFSET($AM$2,0,0,ROW()-1,33),ROW()-1,FALSE))</f>
        <v>128739</v>
      </c>
      <c r="I71">
        <f ca="1">IF(AND(ISNUMBER($I$490),$B$427=1),$I$490,HLOOKUP(INDIRECT(ADDRESS(2,COLUMN())),OFFSET($AM$2,0,0,ROW()-1,33),ROW()-1,FALSE))</f>
        <v>119991</v>
      </c>
      <c r="J71">
        <f ca="1">IF(AND(ISNUMBER($J$490),$B$427=1),$J$490,HLOOKUP(INDIRECT(ADDRESS(2,COLUMN())),OFFSET($AM$2,0,0,ROW()-1,33),ROW()-1,FALSE))</f>
        <v>119849</v>
      </c>
      <c r="K71">
        <f ca="1">IF(AND(ISNUMBER($K$490),$B$427=1),$K$490,HLOOKUP(INDIRECT(ADDRESS(2,COLUMN())),OFFSET($AM$2,0,0,ROW()-1,33),ROW()-1,FALSE))</f>
        <v>116021</v>
      </c>
      <c r="L71">
        <f ca="1">IF(AND(ISNUMBER($L$490),$B$427=1),$L$490,HLOOKUP(INDIRECT(ADDRESS(2,COLUMN())),OFFSET($AM$2,0,0,ROW()-1,33),ROW()-1,FALSE))</f>
        <v>113681</v>
      </c>
      <c r="M71">
        <f ca="1">IF(AND(ISNUMBER($M$490),$B$427=1),$M$490,HLOOKUP(INDIRECT(ADDRESS(2,COLUMN())),OFFSET($AM$2,0,0,ROW()-1,33),ROW()-1,FALSE))</f>
        <v>111757</v>
      </c>
      <c r="N71">
        <f ca="1">IF(AND(ISNUMBER($N$490),$B$427=1),$N$490,HLOOKUP(INDIRECT(ADDRESS(2,COLUMN())),OFFSET($AM$2,0,0,ROW()-1,33),ROW()-1,FALSE))</f>
        <v>115374</v>
      </c>
      <c r="O71">
        <f ca="1">IF(AND(ISNUMBER($O$490),$B$427=1),$O$490,HLOOKUP(INDIRECT(ADDRESS(2,COLUMN())),OFFSET($AM$2,0,0,ROW()-1,33),ROW()-1,FALSE))</f>
        <v>121033</v>
      </c>
      <c r="P71">
        <f ca="1">IF(AND(ISNUMBER($P$490),$B$427=1),$P$490,HLOOKUP(INDIRECT(ADDRESS(2,COLUMN())),OFFSET($AM$2,0,0,ROW()-1,33),ROW()-1,FALSE))</f>
        <v>128902</v>
      </c>
      <c r="Q71">
        <f ca="1">IF(AND(ISNUMBER($Q$490),$B$427=1),$Q$490,HLOOKUP(INDIRECT(ADDRESS(2,COLUMN())),OFFSET($AM$2,0,0,ROW()-1,33),ROW()-1,FALSE))</f>
        <v>137593</v>
      </c>
      <c r="R71">
        <f ca="1">IF(AND(ISNUMBER($R$490),$B$427=1),$R$490,HLOOKUP(INDIRECT(ADDRESS(2,COLUMN())),OFFSET($AM$2,0,0,ROW()-1,33),ROW()-1,FALSE))</f>
        <v>157111</v>
      </c>
      <c r="S71">
        <f ca="1">IF(AND(ISNUMBER($S$490),$B$427=1),$S$490,HLOOKUP(INDIRECT(ADDRESS(2,COLUMN())),OFFSET($AM$2,0,0,ROW()-1,33),ROW()-1,FALSE))</f>
        <v>167296</v>
      </c>
      <c r="T71">
        <f ca="1">IF(AND(ISNUMBER($T$490),$B$427=1),$T$490,HLOOKUP(INDIRECT(ADDRESS(2,COLUMN())),OFFSET($AM$2,0,0,ROW()-1,33),ROW()-1,FALSE))</f>
        <v>179800</v>
      </c>
      <c r="U71">
        <f ca="1">IF(AND(ISNUMBER($U$490),$B$427=1),$U$490,HLOOKUP(INDIRECT(ADDRESS(2,COLUMN())),OFFSET($AM$2,0,0,ROW()-1,33),ROW()-1,FALSE))</f>
        <v>212969</v>
      </c>
      <c r="V71">
        <f ca="1">IF(AND(ISNUMBER($V$490),$B$427=1),$V$490,HLOOKUP(INDIRECT(ADDRESS(2,COLUMN())),OFFSET($AM$2,0,0,ROW()-1,33),ROW()-1,FALSE))</f>
        <v>243391</v>
      </c>
      <c r="W71">
        <f ca="1">IF(AND(ISNUMBER($W$490),$B$427=1),$W$490,HLOOKUP(INDIRECT(ADDRESS(2,COLUMN())),OFFSET($AM$2,0,0,ROW()-1,33),ROW()-1,FALSE))</f>
        <v>264374</v>
      </c>
      <c r="X71">
        <f ca="1">IF(AND(ISNUMBER($X$490),$B$427=1),$X$490,HLOOKUP(INDIRECT(ADDRESS(2,COLUMN())),OFFSET($AM$2,0,0,ROW()-1,33),ROW()-1,FALSE))</f>
        <v>227981</v>
      </c>
      <c r="Y71">
        <f ca="1">IF(AND(ISNUMBER($Y$490),$B$427=1),$Y$490,HLOOKUP(INDIRECT(ADDRESS(2,COLUMN())),OFFSET($AM$2,0,0,ROW()-1,33),ROW()-1,FALSE))</f>
        <v>192064</v>
      </c>
      <c r="Z71">
        <f ca="1">IF(AND(ISNUMBER($Z$490),$B$427=1),$Z$490,HLOOKUP(INDIRECT(ADDRESS(2,COLUMN())),OFFSET($AM$2,0,0,ROW()-1,33),ROW()-1,FALSE))</f>
        <v>165437</v>
      </c>
      <c r="AA71">
        <f ca="1">IF(AND(ISNUMBER($AA$490),$B$427=1),$AA$490,HLOOKUP(INDIRECT(ADDRESS(2,COLUMN())),OFFSET($AM$2,0,0,ROW()-1,33),ROW()-1,FALSE))</f>
        <v>133606</v>
      </c>
      <c r="AB71">
        <f ca="1">IF(AND(ISNUMBER($AB$490),$B$427=1),$AB$490,HLOOKUP(INDIRECT(ADDRESS(2,COLUMN())),OFFSET($AM$2,0,0,ROW()-1,33),ROW()-1,FALSE))</f>
        <v>125904</v>
      </c>
      <c r="AC71">
        <f ca="1">IF(AND(ISNUMBER($AC$490),$B$427=1),$AC$490,HLOOKUP(INDIRECT(ADDRESS(2,COLUMN())),OFFSET($AM$2,0,0,ROW()-1,33),ROW()-1,FALSE))</f>
        <v>84500</v>
      </c>
      <c r="AD71">
        <f ca="1">IF(AND(ISNUMBER($AD$490),$B$427=1),$AD$490,HLOOKUP(INDIRECT(ADDRESS(2,COLUMN())),OFFSET($AM$2,0,0,ROW()-1,33),ROW()-1,FALSE))</f>
        <v>15103.737999999999</v>
      </c>
      <c r="AE71">
        <f ca="1">IF(AND(ISNUMBER($AE$490),$B$427=1),$AE$490,HLOOKUP(INDIRECT(ADDRESS(2,COLUMN())),OFFSET($AM$2,0,0,ROW()-1,33),ROW()-1,FALSE))</f>
        <v>12964.424999999999</v>
      </c>
      <c r="AF71">
        <f ca="1">IF(AND(ISNUMBER($AF$490),$B$427=1),$AF$490,HLOOKUP(INDIRECT(ADDRESS(2,COLUMN())),OFFSET($AM$2,0,0,ROW()-1,33),ROW()-1,FALSE))</f>
        <v>12484.91</v>
      </c>
      <c r="AG71" t="str">
        <f ca="1">IF(AND(ISNUMBER($AG$490),$B$427=1),$AG$490,HLOOKUP(INDIRECT(ADDRESS(2,COLUMN())),OFFSET($AM$2,0,0,ROW()-1,33),ROW()-1,FALSE))</f>
        <v/>
      </c>
      <c r="AH71" t="str">
        <f ca="1">IF(AND(ISNUMBER($AH$490),$B$427=1),$AH$490,HLOOKUP(INDIRECT(ADDRESS(2,COLUMN())),OFFSET($AM$2,0,0,ROW()-1,33),ROW()-1,FALSE))</f>
        <v/>
      </c>
      <c r="AI71" t="str">
        <f ca="1">IF(AND(ISNUMBER($AI$490),$B$427=1),$AI$490,HLOOKUP(INDIRECT(ADDRESS(2,COLUMN())),OFFSET($AM$2,0,0,ROW()-1,33),ROW()-1,FALSE))</f>
        <v/>
      </c>
      <c r="AJ71" t="str">
        <f ca="1">IF(AND(ISNUMBER($AJ$490),$B$427=1),$AJ$490,HLOOKUP(INDIRECT(ADDRESS(2,COLUMN())),OFFSET($AM$2,0,0,ROW()-1,33),ROW()-1,FALSE))</f>
        <v/>
      </c>
      <c r="AK71" t="str">
        <f ca="1">IF(AND(ISNUMBER($AK$490),$B$427=1),$AK$490,HLOOKUP(INDIRECT(ADDRESS(2,COLUMN())),OFFSET($AM$2,0,0,ROW()-1,33),ROW()-1,FALSE))</f>
        <v/>
      </c>
      <c r="AL71" t="str">
        <f ca="1">IF(AND(ISNUMBER($AL$490),$B$427=1),$AL$490,HLOOKUP(INDIRECT(ADDRESS(2,COLUMN())),OFFSET($AM$2,0,0,ROW()-1,33),ROW()-1,FALSE))</f>
        <v/>
      </c>
      <c r="AM71">
        <f>144490</f>
        <v>144490</v>
      </c>
      <c r="AN71">
        <f>139627</f>
        <v>139627</v>
      </c>
      <c r="AO71">
        <f>128739</f>
        <v>128739</v>
      </c>
      <c r="AP71">
        <f>119991</f>
        <v>119991</v>
      </c>
      <c r="AQ71">
        <f>119849</f>
        <v>119849</v>
      </c>
      <c r="AR71">
        <f>116021</f>
        <v>116021</v>
      </c>
      <c r="AS71">
        <f>113681</f>
        <v>113681</v>
      </c>
      <c r="AT71">
        <f>111757</f>
        <v>111757</v>
      </c>
      <c r="AU71">
        <f>115374</f>
        <v>115374</v>
      </c>
      <c r="AV71">
        <f>121033</f>
        <v>121033</v>
      </c>
      <c r="AW71">
        <f>128902</f>
        <v>128902</v>
      </c>
      <c r="AX71">
        <f>137593</f>
        <v>137593</v>
      </c>
      <c r="AY71">
        <f>157111</f>
        <v>157111</v>
      </c>
      <c r="AZ71">
        <f>167296</f>
        <v>167296</v>
      </c>
      <c r="BA71">
        <f>179800</f>
        <v>179800</v>
      </c>
      <c r="BB71">
        <f>212969</f>
        <v>212969</v>
      </c>
      <c r="BC71">
        <f>243391</f>
        <v>243391</v>
      </c>
      <c r="BD71">
        <f>264374</f>
        <v>264374</v>
      </c>
      <c r="BE71">
        <f>227981</f>
        <v>227981</v>
      </c>
      <c r="BF71">
        <f>192064</f>
        <v>192064</v>
      </c>
      <c r="BG71">
        <f>165437</f>
        <v>165437</v>
      </c>
      <c r="BH71">
        <f>133606</f>
        <v>133606</v>
      </c>
      <c r="BI71">
        <f>125904</f>
        <v>125904</v>
      </c>
      <c r="BJ71">
        <f>84500</f>
        <v>84500</v>
      </c>
      <c r="BK71">
        <f>15103.738</f>
        <v>15103.737999999999</v>
      </c>
      <c r="BL71">
        <f>12964.425</f>
        <v>12964.424999999999</v>
      </c>
      <c r="BM71">
        <f>12484.91</f>
        <v>12484.91</v>
      </c>
      <c r="BN71" t="str">
        <f>""</f>
        <v/>
      </c>
      <c r="BO71" t="str">
        <f>""</f>
        <v/>
      </c>
      <c r="BP71" t="str">
        <f>""</f>
        <v/>
      </c>
      <c r="BQ71" t="str">
        <f>""</f>
        <v/>
      </c>
      <c r="BR71" t="str">
        <f>""</f>
        <v/>
      </c>
      <c r="BS71" t="str">
        <f>""</f>
        <v/>
      </c>
    </row>
    <row r="72" spans="1:71" x14ac:dyDescent="0.25">
      <c r="A72" t="str">
        <f>"        Citizens Financial Group Inc"</f>
        <v xml:space="preserve">        Citizens Financial Group Inc</v>
      </c>
      <c r="B72" t="str">
        <f>"CFG US Equity"</f>
        <v>CFG US Equity</v>
      </c>
      <c r="C72" t="str">
        <f t="shared" si="9"/>
        <v>F0093</v>
      </c>
      <c r="D72" t="str">
        <f t="shared" si="10"/>
        <v>FED_REAL_ESTATE_LOANS_DOMESTIC</v>
      </c>
      <c r="E72" t="str">
        <f t="shared" si="11"/>
        <v>Dynamic</v>
      </c>
      <c r="F72">
        <f ca="1">IF(AND(ISNUMBER($F$491),$B$427=1),$F$491,HLOOKUP(INDIRECT(ADDRESS(2,COLUMN())),OFFSET($AM$2,0,0,ROW()-1,33),ROW()-1,FALSE))</f>
        <v>80035.12</v>
      </c>
      <c r="G72">
        <f ca="1">IF(AND(ISNUMBER($G$491),$B$427=1),$G$491,HLOOKUP(INDIRECT(ADDRESS(2,COLUMN())),OFFSET($AM$2,0,0,ROW()-1,33),ROW()-1,FALSE))</f>
        <v>79103.039999999994</v>
      </c>
      <c r="H72">
        <f ca="1">IF(AND(ISNUMBER($H$491),$B$427=1),$H$491,HLOOKUP(INDIRECT(ADDRESS(2,COLUMN())),OFFSET($AM$2,0,0,ROW()-1,33),ROW()-1,FALSE))</f>
        <v>76711.756999999998</v>
      </c>
      <c r="I72">
        <f ca="1">IF(AND(ISNUMBER($I$491),$B$427=1),$I$491,HLOOKUP(INDIRECT(ADDRESS(2,COLUMN())),OFFSET($AM$2,0,0,ROW()-1,33),ROW()-1,FALSE))</f>
        <v>53965.29</v>
      </c>
      <c r="J72">
        <f ca="1">IF(AND(ISNUMBER($J$491),$B$427=1),$J$491,HLOOKUP(INDIRECT(ADDRESS(2,COLUMN())),OFFSET($AM$2,0,0,ROW()-1,33),ROW()-1,FALSE))</f>
        <v>53656.415999999997</v>
      </c>
      <c r="K72">
        <f ca="1">IF(AND(ISNUMBER($K$491),$B$427=1),$K$491,HLOOKUP(INDIRECT(ADDRESS(2,COLUMN())),OFFSET($AM$2,0,0,ROW()-1,33),ROW()-1,FALSE))</f>
        <v>51874.55</v>
      </c>
      <c r="L72">
        <f ca="1">IF(AND(ISNUMBER($L$491),$B$427=1),$L$491,HLOOKUP(INDIRECT(ADDRESS(2,COLUMN())),OFFSET($AM$2,0,0,ROW()-1,33),ROW()-1,FALSE))</f>
        <v>50423.188000000002</v>
      </c>
      <c r="M72">
        <f ca="1">IF(AND(ISNUMBER($M$491),$B$427=1),$M$491,HLOOKUP(INDIRECT(ADDRESS(2,COLUMN())),OFFSET($AM$2,0,0,ROW()-1,33),ROW()-1,FALSE))</f>
        <v>47707.296999999999</v>
      </c>
      <c r="N72">
        <f ca="1">IF(AND(ISNUMBER($N$491),$B$427=1),$N$491,HLOOKUP(INDIRECT(ADDRESS(2,COLUMN())),OFFSET($AM$2,0,0,ROW()-1,33),ROW()-1,FALSE))</f>
        <v>45605.286</v>
      </c>
      <c r="O72">
        <f ca="1">IF(AND(ISNUMBER($O$491),$B$427=1),$O$491,HLOOKUP(INDIRECT(ADDRESS(2,COLUMN())),OFFSET($AM$2,0,0,ROW()-1,33),ROW()-1,FALSE))</f>
        <v>43759.938000000002</v>
      </c>
      <c r="P72">
        <f ca="1">IF(AND(ISNUMBER($P$491),$B$427=1),$P$491,HLOOKUP(INDIRECT(ADDRESS(2,COLUMN())),OFFSET($AM$2,0,0,ROW()-1,33),ROW()-1,FALSE))</f>
        <v>42862.741999999998</v>
      </c>
      <c r="Q72">
        <f ca="1">IF(AND(ISNUMBER($Q$491),$B$427=1),$Q$491,HLOOKUP(INDIRECT(ADDRESS(2,COLUMN())),OFFSET($AM$2,0,0,ROW()-1,33),ROW()-1,FALSE))</f>
        <v>42980.124000000003</v>
      </c>
      <c r="R72">
        <f ca="1">IF(AND(ISNUMBER($R$491),$B$427=1),$R$491,HLOOKUP(INDIRECT(ADDRESS(2,COLUMN())),OFFSET($AM$2,0,0,ROW()-1,33),ROW()-1,FALSE))</f>
        <v>46160.658000000003</v>
      </c>
      <c r="S72">
        <f ca="1">IF(AND(ISNUMBER($S$491),$B$427=1),$S$491,HLOOKUP(INDIRECT(ADDRESS(2,COLUMN())),OFFSET($AM$2,0,0,ROW()-1,33),ROW()-1,FALSE))</f>
        <v>50277.273000000001</v>
      </c>
      <c r="T72">
        <f ca="1">IF(AND(ISNUMBER($T$491),$B$427=1),$T$491,HLOOKUP(INDIRECT(ADDRESS(2,COLUMN())),OFFSET($AM$2,0,0,ROW()-1,33),ROW()-1,FALSE))</f>
        <v>52829.067000000003</v>
      </c>
      <c r="U72">
        <f ca="1">IF(AND(ISNUMBER($U$491),$B$427=1),$U$491,HLOOKUP(INDIRECT(ADDRESS(2,COLUMN())),OFFSET($AM$2,0,0,ROW()-1,33),ROW()-1,FALSE))</f>
        <v>58106.777999999998</v>
      </c>
      <c r="V72">
        <f ca="1">IF(AND(ISNUMBER($V$491),$B$427=1),$V$491,HLOOKUP(INDIRECT(ADDRESS(2,COLUMN())),OFFSET($AM$2,0,0,ROW()-1,33),ROW()-1,FALSE))</f>
        <v>65618.994000000006</v>
      </c>
      <c r="W72">
        <f ca="1">IF(AND(ISNUMBER($W$491),$B$427=1),$W$491,HLOOKUP(INDIRECT(ADDRESS(2,COLUMN())),OFFSET($AM$2,0,0,ROW()-1,33),ROW()-1,FALSE))</f>
        <v>65996.471999999994</v>
      </c>
      <c r="X72">
        <f ca="1">IF(AND(ISNUMBER($X$491),$B$427=1),$X$491,HLOOKUP(INDIRECT(ADDRESS(2,COLUMN())),OFFSET($AM$2,0,0,ROW()-1,33),ROW()-1,FALSE))</f>
        <v>54214.249000000003</v>
      </c>
      <c r="Y72">
        <f ca="1">IF(AND(ISNUMBER($Y$491),$B$427=1),$Y$491,HLOOKUP(INDIRECT(ADDRESS(2,COLUMN())),OFFSET($AM$2,0,0,ROW()-1,33),ROW()-1,FALSE))</f>
        <v>51379.504999999997</v>
      </c>
      <c r="Z72">
        <f ca="1">IF(AND(ISNUMBER($Z$491),$B$427=1),$Z$491,HLOOKUP(INDIRECT(ADDRESS(2,COLUMN())),OFFSET($AM$2,0,0,ROW()-1,33),ROW()-1,FALSE))</f>
        <v>42020.777000000002</v>
      </c>
      <c r="AA72">
        <f ca="1">IF(AND(ISNUMBER($AA$491),$B$427=1),$AA$491,HLOOKUP(INDIRECT(ADDRESS(2,COLUMN())),OFFSET($AM$2,0,0,ROW()-1,33),ROW()-1,FALSE))</f>
        <v>17673.863000000001</v>
      </c>
      <c r="AB72">
        <f ca="1">IF(AND(ISNUMBER($AB$491),$B$427=1),$AB$491,HLOOKUP(INDIRECT(ADDRESS(2,COLUMN())),OFFSET($AM$2,0,0,ROW()-1,33),ROW()-1,FALSE))</f>
        <v>9403.4860000000008</v>
      </c>
      <c r="AC72">
        <f ca="1">IF(AND(ISNUMBER($AC$491),$B$427=1),$AC$491,HLOOKUP(INDIRECT(ADDRESS(2,COLUMN())),OFFSET($AM$2,0,0,ROW()-1,33),ROW()-1,FALSE))</f>
        <v>6042.107</v>
      </c>
      <c r="AD72" t="str">
        <f ca="1">IF(AND(ISNUMBER($AD$491),$B$427=1),$AD$491,HLOOKUP(INDIRECT(ADDRESS(2,COLUMN())),OFFSET($AM$2,0,0,ROW()-1,33),ROW()-1,FALSE))</f>
        <v/>
      </c>
      <c r="AE72" t="str">
        <f ca="1">IF(AND(ISNUMBER($AE$491),$B$427=1),$AE$491,HLOOKUP(INDIRECT(ADDRESS(2,COLUMN())),OFFSET($AM$2,0,0,ROW()-1,33),ROW()-1,FALSE))</f>
        <v/>
      </c>
      <c r="AF72" t="str">
        <f ca="1">IF(AND(ISNUMBER($AF$491),$B$427=1),$AF$491,HLOOKUP(INDIRECT(ADDRESS(2,COLUMN())),OFFSET($AM$2,0,0,ROW()-1,33),ROW()-1,FALSE))</f>
        <v/>
      </c>
      <c r="AG72" t="str">
        <f ca="1">IF(AND(ISNUMBER($AG$491),$B$427=1),$AG$491,HLOOKUP(INDIRECT(ADDRESS(2,COLUMN())),OFFSET($AM$2,0,0,ROW()-1,33),ROW()-1,FALSE))</f>
        <v/>
      </c>
      <c r="AH72" t="str">
        <f ca="1">IF(AND(ISNUMBER($AH$491),$B$427=1),$AH$491,HLOOKUP(INDIRECT(ADDRESS(2,COLUMN())),OFFSET($AM$2,0,0,ROW()-1,33),ROW()-1,FALSE))</f>
        <v/>
      </c>
      <c r="AI72" t="str">
        <f ca="1">IF(AND(ISNUMBER($AI$491),$B$427=1),$AI$491,HLOOKUP(INDIRECT(ADDRESS(2,COLUMN())),OFFSET($AM$2,0,0,ROW()-1,33),ROW()-1,FALSE))</f>
        <v/>
      </c>
      <c r="AJ72" t="str">
        <f ca="1">IF(AND(ISNUMBER($AJ$491),$B$427=1),$AJ$491,HLOOKUP(INDIRECT(ADDRESS(2,COLUMN())),OFFSET($AM$2,0,0,ROW()-1,33),ROW()-1,FALSE))</f>
        <v/>
      </c>
      <c r="AK72" t="str">
        <f ca="1">IF(AND(ISNUMBER($AK$491),$B$427=1),$AK$491,HLOOKUP(INDIRECT(ADDRESS(2,COLUMN())),OFFSET($AM$2,0,0,ROW()-1,33),ROW()-1,FALSE))</f>
        <v/>
      </c>
      <c r="AL72" t="str">
        <f ca="1">IF(AND(ISNUMBER($AL$491),$B$427=1),$AL$491,HLOOKUP(INDIRECT(ADDRESS(2,COLUMN())),OFFSET($AM$2,0,0,ROW()-1,33),ROW()-1,FALSE))</f>
        <v/>
      </c>
      <c r="AM72">
        <f>80035.12</f>
        <v>80035.12</v>
      </c>
      <c r="AN72">
        <f>79103.04</f>
        <v>79103.039999999994</v>
      </c>
      <c r="AO72">
        <f>76711.757</f>
        <v>76711.756999999998</v>
      </c>
      <c r="AP72">
        <f>53965.29</f>
        <v>53965.29</v>
      </c>
      <c r="AQ72">
        <f>53656.416</f>
        <v>53656.415999999997</v>
      </c>
      <c r="AR72">
        <f>51874.55</f>
        <v>51874.55</v>
      </c>
      <c r="AS72">
        <f>50423.188</f>
        <v>50423.188000000002</v>
      </c>
      <c r="AT72">
        <f>47707.297</f>
        <v>47707.296999999999</v>
      </c>
      <c r="AU72">
        <f>45605.286</f>
        <v>45605.286</v>
      </c>
      <c r="AV72">
        <f>43759.938</f>
        <v>43759.938000000002</v>
      </c>
      <c r="AW72">
        <f>42862.742</f>
        <v>42862.741999999998</v>
      </c>
      <c r="AX72">
        <f>42980.124</f>
        <v>42980.124000000003</v>
      </c>
      <c r="AY72">
        <f>46160.658</f>
        <v>46160.658000000003</v>
      </c>
      <c r="AZ72">
        <f>50277.273</f>
        <v>50277.273000000001</v>
      </c>
      <c r="BA72">
        <f>52829.067</f>
        <v>52829.067000000003</v>
      </c>
      <c r="BB72">
        <f>58106.778</f>
        <v>58106.777999999998</v>
      </c>
      <c r="BC72">
        <f>65618.994</f>
        <v>65618.994000000006</v>
      </c>
      <c r="BD72">
        <f>65996.472</f>
        <v>65996.471999999994</v>
      </c>
      <c r="BE72">
        <f>54214.249</f>
        <v>54214.249000000003</v>
      </c>
      <c r="BF72">
        <f>51379.505</f>
        <v>51379.504999999997</v>
      </c>
      <c r="BG72">
        <f>42020.777</f>
        <v>42020.777000000002</v>
      </c>
      <c r="BH72">
        <f>17673.863</f>
        <v>17673.863000000001</v>
      </c>
      <c r="BI72">
        <f>9403.486</f>
        <v>9403.4860000000008</v>
      </c>
      <c r="BJ72">
        <f>6042.107</f>
        <v>6042.107</v>
      </c>
      <c r="BK72" t="str">
        <f>""</f>
        <v/>
      </c>
      <c r="BL72" t="str">
        <f>""</f>
        <v/>
      </c>
      <c r="BM72" t="str">
        <f>""</f>
        <v/>
      </c>
      <c r="BN72" t="str">
        <f>""</f>
        <v/>
      </c>
      <c r="BO72" t="str">
        <f>""</f>
        <v/>
      </c>
      <c r="BP72" t="str">
        <f>""</f>
        <v/>
      </c>
      <c r="BQ72" t="str">
        <f>""</f>
        <v/>
      </c>
      <c r="BR72" t="str">
        <f>""</f>
        <v/>
      </c>
      <c r="BS72" t="str">
        <f>""</f>
        <v/>
      </c>
    </row>
    <row r="73" spans="1:71" x14ac:dyDescent="0.25">
      <c r="A73" t="str">
        <f>"        Capital One Financial Corp"</f>
        <v xml:space="preserve">        Capital One Financial Corp</v>
      </c>
      <c r="B73" t="str">
        <f>"COF US Equity"</f>
        <v>COF US Equity</v>
      </c>
      <c r="C73" t="str">
        <f t="shared" si="9"/>
        <v>F0093</v>
      </c>
      <c r="D73" t="str">
        <f t="shared" si="10"/>
        <v>FED_REAL_ESTATE_LOANS_DOMESTIC</v>
      </c>
      <c r="E73" t="str">
        <f t="shared" si="11"/>
        <v>Dynamic</v>
      </c>
      <c r="F73">
        <f ca="1">IF(AND(ISNUMBER($F$492),$B$427=1),$F$492,HLOOKUP(INDIRECT(ADDRESS(2,COLUMN())),OFFSET($AM$2,0,0,ROW()-1,33),ROW()-1,FALSE))</f>
        <v>26501.798999999999</v>
      </c>
      <c r="G73">
        <f ca="1">IF(AND(ISNUMBER($G$492),$B$427=1),$G$492,HLOOKUP(INDIRECT(ADDRESS(2,COLUMN())),OFFSET($AM$2,0,0,ROW()-1,33),ROW()-1,FALSE))</f>
        <v>29079.4</v>
      </c>
      <c r="H73">
        <f ca="1">IF(AND(ISNUMBER($H$492),$B$427=1),$H$492,HLOOKUP(INDIRECT(ADDRESS(2,COLUMN())),OFFSET($AM$2,0,0,ROW()-1,33),ROW()-1,FALSE))</f>
        <v>30464.7</v>
      </c>
      <c r="I73">
        <f ca="1">IF(AND(ISNUMBER($I$492),$B$427=1),$I$492,HLOOKUP(INDIRECT(ADDRESS(2,COLUMN())),OFFSET($AM$2,0,0,ROW()-1,33),ROW()-1,FALSE))</f>
        <v>32189.448</v>
      </c>
      <c r="J73">
        <f ca="1">IF(AND(ISNUMBER($J$492),$B$427=1),$J$492,HLOOKUP(INDIRECT(ADDRESS(2,COLUMN())),OFFSET($AM$2,0,0,ROW()-1,33),ROW()-1,FALSE))</f>
        <v>32254.834999999999</v>
      </c>
      <c r="K73">
        <f ca="1">IF(AND(ISNUMBER($K$492),$B$427=1),$K$492,HLOOKUP(INDIRECT(ADDRESS(2,COLUMN())),OFFSET($AM$2,0,0,ROW()-1,33),ROW()-1,FALSE))</f>
        <v>31305.692999999999</v>
      </c>
      <c r="L73">
        <f ca="1">IF(AND(ISNUMBER($L$492),$B$427=1),$L$492,HLOOKUP(INDIRECT(ADDRESS(2,COLUMN())),OFFSET($AM$2,0,0,ROW()-1,33),ROW()-1,FALSE))</f>
        <v>31041.547999999999</v>
      </c>
      <c r="M73">
        <f ca="1">IF(AND(ISNUMBER($M$492),$B$427=1),$M$492,HLOOKUP(INDIRECT(ADDRESS(2,COLUMN())),OFFSET($AM$2,0,0,ROW()-1,33),ROW()-1,FALSE))</f>
        <v>48045.834000000003</v>
      </c>
      <c r="N73">
        <f ca="1">IF(AND(ISNUMBER($N$492),$B$427=1),$N$492,HLOOKUP(INDIRECT(ADDRESS(2,COLUMN())),OFFSET($AM$2,0,0,ROW()-1,33),ROW()-1,FALSE))</f>
        <v>52749.81</v>
      </c>
      <c r="O73">
        <f ca="1">IF(AND(ISNUMBER($O$492),$B$427=1),$O$492,HLOOKUP(INDIRECT(ADDRESS(2,COLUMN())),OFFSET($AM$2,0,0,ROW()-1,33),ROW()-1,FALSE))</f>
        <v>54394.455000000002</v>
      </c>
      <c r="P73">
        <f ca="1">IF(AND(ISNUMBER($P$492),$B$427=1),$P$492,HLOOKUP(INDIRECT(ADDRESS(2,COLUMN())),OFFSET($AM$2,0,0,ROW()-1,33),ROW()-1,FALSE))</f>
        <v>54212.781000000003</v>
      </c>
      <c r="Q73">
        <f ca="1">IF(AND(ISNUMBER($Q$492),$B$427=1),$Q$492,HLOOKUP(INDIRECT(ADDRESS(2,COLUMN())),OFFSET($AM$2,0,0,ROW()-1,33),ROW()-1,FALSE))</f>
        <v>58449.705999999998</v>
      </c>
      <c r="R73">
        <f ca="1">IF(AND(ISNUMBER($R$492),$B$427=1),$R$492,HLOOKUP(INDIRECT(ADDRESS(2,COLUMN())),OFFSET($AM$2,0,0,ROW()-1,33),ROW()-1,FALSE))</f>
        <v>65210.26</v>
      </c>
      <c r="S73">
        <f ca="1">IF(AND(ISNUMBER($S$492),$B$427=1),$S$492,HLOOKUP(INDIRECT(ADDRESS(2,COLUMN())),OFFSET($AM$2,0,0,ROW()-1,33),ROW()-1,FALSE))</f>
        <v>30985.473000000002</v>
      </c>
      <c r="T73">
        <f ca="1">IF(AND(ISNUMBER($T$492),$B$427=1),$T$492,HLOOKUP(INDIRECT(ADDRESS(2,COLUMN())),OFFSET($AM$2,0,0,ROW()-1,33),ROW()-1,FALSE))</f>
        <v>31522.41</v>
      </c>
      <c r="U73">
        <f ca="1">IF(AND(ISNUMBER($U$492),$B$427=1),$U$492,HLOOKUP(INDIRECT(ADDRESS(2,COLUMN())),OFFSET($AM$2,0,0,ROW()-1,33),ROW()-1,FALSE))</f>
        <v>35503.169000000002</v>
      </c>
      <c r="V73">
        <f ca="1">IF(AND(ISNUMBER($V$492),$B$427=1),$V$492,HLOOKUP(INDIRECT(ADDRESS(2,COLUMN())),OFFSET($AM$2,0,0,ROW()-1,33),ROW()-1,FALSE))</f>
        <v>30910.246999999999</v>
      </c>
      <c r="W73">
        <f ca="1">IF(AND(ISNUMBER($W$492),$B$427=1),$W$492,HLOOKUP(INDIRECT(ADDRESS(2,COLUMN())),OFFSET($AM$2,0,0,ROW()-1,33),ROW()-1,FALSE))</f>
        <v>32049.109</v>
      </c>
      <c r="X73">
        <f ca="1">IF(AND(ISNUMBER($X$492),$B$427=1),$X$492,HLOOKUP(INDIRECT(ADDRESS(2,COLUMN())),OFFSET($AM$2,0,0,ROW()-1,33),ROW()-1,FALSE))</f>
        <v>28923.062000000002</v>
      </c>
      <c r="Y73">
        <f ca="1">IF(AND(ISNUMBER($Y$492),$B$427=1),$Y$492,HLOOKUP(INDIRECT(ADDRESS(2,COLUMN())),OFFSET($AM$2,0,0,ROW()-1,33),ROW()-1,FALSE))</f>
        <v>6140.5320000000002</v>
      </c>
      <c r="Z73">
        <f ca="1">IF(AND(ISNUMBER($Z$492),$B$427=1),$Z$492,HLOOKUP(INDIRECT(ADDRESS(2,COLUMN())),OFFSET($AM$2,0,0,ROW()-1,33),ROW()-1,FALSE))</f>
        <v>40.158000000000001</v>
      </c>
      <c r="AA73" t="str">
        <f ca="1">IF(AND(ISNUMBER($AA$492),$B$427=1),$AA$492,HLOOKUP(INDIRECT(ADDRESS(2,COLUMN())),OFFSET($AM$2,0,0,ROW()-1,33),ROW()-1,FALSE))</f>
        <v/>
      </c>
      <c r="AB73" t="str">
        <f ca="1">IF(AND(ISNUMBER($AB$492),$B$427=1),$AB$492,HLOOKUP(INDIRECT(ADDRESS(2,COLUMN())),OFFSET($AM$2,0,0,ROW()-1,33),ROW()-1,FALSE))</f>
        <v/>
      </c>
      <c r="AC73" t="str">
        <f ca="1">IF(AND(ISNUMBER($AC$492),$B$427=1),$AC$492,HLOOKUP(INDIRECT(ADDRESS(2,COLUMN())),OFFSET($AM$2,0,0,ROW()-1,33),ROW()-1,FALSE))</f>
        <v/>
      </c>
      <c r="AD73" t="str">
        <f ca="1">IF(AND(ISNUMBER($AD$492),$B$427=1),$AD$492,HLOOKUP(INDIRECT(ADDRESS(2,COLUMN())),OFFSET($AM$2,0,0,ROW()-1,33),ROW()-1,FALSE))</f>
        <v/>
      </c>
      <c r="AE73" t="str">
        <f ca="1">IF(AND(ISNUMBER($AE$492),$B$427=1),$AE$492,HLOOKUP(INDIRECT(ADDRESS(2,COLUMN())),OFFSET($AM$2,0,0,ROW()-1,33),ROW()-1,FALSE))</f>
        <v/>
      </c>
      <c r="AF73" t="str">
        <f ca="1">IF(AND(ISNUMBER($AF$492),$B$427=1),$AF$492,HLOOKUP(INDIRECT(ADDRESS(2,COLUMN())),OFFSET($AM$2,0,0,ROW()-1,33),ROW()-1,FALSE))</f>
        <v/>
      </c>
      <c r="AG73" t="str">
        <f ca="1">IF(AND(ISNUMBER($AG$492),$B$427=1),$AG$492,HLOOKUP(INDIRECT(ADDRESS(2,COLUMN())),OFFSET($AM$2,0,0,ROW()-1,33),ROW()-1,FALSE))</f>
        <v/>
      </c>
      <c r="AH73" t="str">
        <f ca="1">IF(AND(ISNUMBER($AH$492),$B$427=1),$AH$492,HLOOKUP(INDIRECT(ADDRESS(2,COLUMN())),OFFSET($AM$2,0,0,ROW()-1,33),ROW()-1,FALSE))</f>
        <v/>
      </c>
      <c r="AI73" t="str">
        <f ca="1">IF(AND(ISNUMBER($AI$492),$B$427=1),$AI$492,HLOOKUP(INDIRECT(ADDRESS(2,COLUMN())),OFFSET($AM$2,0,0,ROW()-1,33),ROW()-1,FALSE))</f>
        <v/>
      </c>
      <c r="AJ73" t="str">
        <f ca="1">IF(AND(ISNUMBER($AJ$492),$B$427=1),$AJ$492,HLOOKUP(INDIRECT(ADDRESS(2,COLUMN())),OFFSET($AM$2,0,0,ROW()-1,33),ROW()-1,FALSE))</f>
        <v/>
      </c>
      <c r="AK73" t="str">
        <f ca="1">IF(AND(ISNUMBER($AK$492),$B$427=1),$AK$492,HLOOKUP(INDIRECT(ADDRESS(2,COLUMN())),OFFSET($AM$2,0,0,ROW()-1,33),ROW()-1,FALSE))</f>
        <v/>
      </c>
      <c r="AL73" t="str">
        <f ca="1">IF(AND(ISNUMBER($AL$492),$B$427=1),$AL$492,HLOOKUP(INDIRECT(ADDRESS(2,COLUMN())),OFFSET($AM$2,0,0,ROW()-1,33),ROW()-1,FALSE))</f>
        <v/>
      </c>
      <c r="AM73">
        <f>26501.799</f>
        <v>26501.798999999999</v>
      </c>
      <c r="AN73">
        <f>29079.4</f>
        <v>29079.4</v>
      </c>
      <c r="AO73">
        <f>30464.7</f>
        <v>30464.7</v>
      </c>
      <c r="AP73">
        <f>32189.448</f>
        <v>32189.448</v>
      </c>
      <c r="AQ73">
        <f>32254.835</f>
        <v>32254.834999999999</v>
      </c>
      <c r="AR73">
        <f>31305.693</f>
        <v>31305.692999999999</v>
      </c>
      <c r="AS73">
        <f>31041.548</f>
        <v>31041.547999999999</v>
      </c>
      <c r="AT73">
        <f>48045.834</f>
        <v>48045.834000000003</v>
      </c>
      <c r="AU73">
        <f>52749.81</f>
        <v>52749.81</v>
      </c>
      <c r="AV73">
        <f>54394.455</f>
        <v>54394.455000000002</v>
      </c>
      <c r="AW73">
        <f>54212.781</f>
        <v>54212.781000000003</v>
      </c>
      <c r="AX73">
        <f>58449.706</f>
        <v>58449.705999999998</v>
      </c>
      <c r="AY73">
        <f>65210.26</f>
        <v>65210.26</v>
      </c>
      <c r="AZ73">
        <f>30985.473</f>
        <v>30985.473000000002</v>
      </c>
      <c r="BA73">
        <f>31522.41</f>
        <v>31522.41</v>
      </c>
      <c r="BB73">
        <f>35503.169</f>
        <v>35503.169000000002</v>
      </c>
      <c r="BC73">
        <f>30910.247</f>
        <v>30910.246999999999</v>
      </c>
      <c r="BD73">
        <f>32049.109</f>
        <v>32049.109</v>
      </c>
      <c r="BE73">
        <f>28923.062</f>
        <v>28923.062000000002</v>
      </c>
      <c r="BF73">
        <f>6140.532</f>
        <v>6140.5320000000002</v>
      </c>
      <c r="BG73">
        <f>40.158</f>
        <v>40.158000000000001</v>
      </c>
      <c r="BH73" t="str">
        <f>""</f>
        <v/>
      </c>
      <c r="BI73" t="str">
        <f>""</f>
        <v/>
      </c>
      <c r="BJ73" t="str">
        <f>""</f>
        <v/>
      </c>
      <c r="BK73" t="str">
        <f>""</f>
        <v/>
      </c>
      <c r="BL73" t="str">
        <f>""</f>
        <v/>
      </c>
      <c r="BM73" t="str">
        <f>""</f>
        <v/>
      </c>
      <c r="BN73" t="str">
        <f>""</f>
        <v/>
      </c>
      <c r="BO73" t="str">
        <f>""</f>
        <v/>
      </c>
      <c r="BP73" t="str">
        <f>""</f>
        <v/>
      </c>
      <c r="BQ73" t="str">
        <f>""</f>
        <v/>
      </c>
      <c r="BR73" t="str">
        <f>""</f>
        <v/>
      </c>
      <c r="BS73" t="str">
        <f>""</f>
        <v/>
      </c>
    </row>
    <row r="74" spans="1:71" x14ac:dyDescent="0.25">
      <c r="A74" t="str">
        <f>"        Comerica Inc"</f>
        <v xml:space="preserve">        Comerica Inc</v>
      </c>
      <c r="B74" t="str">
        <f>"CMA US Equity"</f>
        <v>CMA US Equity</v>
      </c>
      <c r="C74" t="str">
        <f t="shared" si="9"/>
        <v>F0093</v>
      </c>
      <c r="D74" t="str">
        <f t="shared" si="10"/>
        <v>FED_REAL_ESTATE_LOANS_DOMESTIC</v>
      </c>
      <c r="E74" t="str">
        <f t="shared" si="11"/>
        <v>Dynamic</v>
      </c>
      <c r="F74" t="str">
        <f ca="1">IF(AND(ISNUMBER($F$493),$B$427=1),$F$493,HLOOKUP(INDIRECT(ADDRESS(2,COLUMN())),OFFSET($AM$2,0,0,ROW()-1,33),ROW()-1,FALSE))</f>
        <v/>
      </c>
      <c r="G74">
        <f ca="1">IF(AND(ISNUMBER($G$493),$B$427=1),$G$493,HLOOKUP(INDIRECT(ADDRESS(2,COLUMN())),OFFSET($AM$2,0,0,ROW()-1,33),ROW()-1,FALSE))</f>
        <v>22223</v>
      </c>
      <c r="H74">
        <f ca="1">IF(AND(ISNUMBER($H$493),$B$427=1),$H$493,HLOOKUP(INDIRECT(ADDRESS(2,COLUMN())),OFFSET($AM$2,0,0,ROW()-1,33),ROW()-1,FALSE))</f>
        <v>19676</v>
      </c>
      <c r="I74">
        <f ca="1">IF(AND(ISNUMBER($I$493),$B$427=1),$I$493,HLOOKUP(INDIRECT(ADDRESS(2,COLUMN())),OFFSET($AM$2,0,0,ROW()-1,33),ROW()-1,FALSE))</f>
        <v>17197</v>
      </c>
      <c r="J74">
        <f ca="1">IF(AND(ISNUMBER($J$493),$B$427=1),$J$493,HLOOKUP(INDIRECT(ADDRESS(2,COLUMN())),OFFSET($AM$2,0,0,ROW()-1,33),ROW()-1,FALSE))</f>
        <v>17134</v>
      </c>
      <c r="K74">
        <f ca="1">IF(AND(ISNUMBER($K$493),$B$427=1),$K$493,HLOOKUP(INDIRECT(ADDRESS(2,COLUMN())),OFFSET($AM$2,0,0,ROW()-1,33),ROW()-1,FALSE))</f>
        <v>16313</v>
      </c>
      <c r="L74">
        <f ca="1">IF(AND(ISNUMBER($L$493),$B$427=1),$L$493,HLOOKUP(INDIRECT(ADDRESS(2,COLUMN())),OFFSET($AM$2,0,0,ROW()-1,33),ROW()-1,FALSE))</f>
        <v>15722.134</v>
      </c>
      <c r="M74">
        <f ca="1">IF(AND(ISNUMBER($M$493),$B$427=1),$M$493,HLOOKUP(INDIRECT(ADDRESS(2,COLUMN())),OFFSET($AM$2,0,0,ROW()-1,33),ROW()-1,FALSE))</f>
        <v>15790.813</v>
      </c>
      <c r="N74">
        <f ca="1">IF(AND(ISNUMBER($N$493),$B$427=1),$N$493,HLOOKUP(INDIRECT(ADDRESS(2,COLUMN())),OFFSET($AM$2,0,0,ROW()-1,33),ROW()-1,FALSE))</f>
        <v>15520.5</v>
      </c>
      <c r="O74">
        <f ca="1">IF(AND(ISNUMBER($O$493),$B$427=1),$O$493,HLOOKUP(INDIRECT(ADDRESS(2,COLUMN())),OFFSET($AM$2,0,0,ROW()-1,33),ROW()-1,FALSE))</f>
        <v>14593</v>
      </c>
      <c r="P74">
        <f ca="1">IF(AND(ISNUMBER($P$493),$B$427=1),$P$493,HLOOKUP(INDIRECT(ADDRESS(2,COLUMN())),OFFSET($AM$2,0,0,ROW()-1,33),ROW()-1,FALSE))</f>
        <v>14007.195</v>
      </c>
      <c r="Q74">
        <f ca="1">IF(AND(ISNUMBER($Q$493),$B$427=1),$Q$493,HLOOKUP(INDIRECT(ADDRESS(2,COLUMN())),OFFSET($AM$2,0,0,ROW()-1,33),ROW()-1,FALSE))</f>
        <v>13657.528</v>
      </c>
      <c r="R74">
        <f ca="1">IF(AND(ISNUMBER($R$493),$B$427=1),$R$493,HLOOKUP(INDIRECT(ADDRESS(2,COLUMN())),OFFSET($AM$2,0,0,ROW()-1,33),ROW()-1,FALSE))</f>
        <v>13714.927</v>
      </c>
      <c r="S74">
        <f ca="1">IF(AND(ISNUMBER($S$493),$B$427=1),$S$493,HLOOKUP(INDIRECT(ADDRESS(2,COLUMN())),OFFSET($AM$2,0,0,ROW()-1,33),ROW()-1,FALSE))</f>
        <v>14778.312</v>
      </c>
      <c r="T74">
        <f ca="1">IF(AND(ISNUMBER($T$493),$B$427=1),$T$493,HLOOKUP(INDIRECT(ADDRESS(2,COLUMN())),OFFSET($AM$2,0,0,ROW()-1,33),ROW()-1,FALSE))</f>
        <v>15373.887000000001</v>
      </c>
      <c r="U74">
        <f ca="1">IF(AND(ISNUMBER($U$493),$B$427=1),$U$493,HLOOKUP(INDIRECT(ADDRESS(2,COLUMN())),OFFSET($AM$2,0,0,ROW()-1,33),ROW()-1,FALSE))</f>
        <v>17985.075000000001</v>
      </c>
      <c r="V74">
        <f ca="1">IF(AND(ISNUMBER($V$493),$B$427=1),$V$493,HLOOKUP(INDIRECT(ADDRESS(2,COLUMN())),OFFSET($AM$2,0,0,ROW()-1,33),ROW()-1,FALSE))</f>
        <v>21756.944</v>
      </c>
      <c r="W74">
        <f ca="1">IF(AND(ISNUMBER($W$493),$B$427=1),$W$493,HLOOKUP(INDIRECT(ADDRESS(2,COLUMN())),OFFSET($AM$2,0,0,ROW()-1,33),ROW()-1,FALSE))</f>
        <v>22065.496999999999</v>
      </c>
      <c r="X74">
        <f ca="1">IF(AND(ISNUMBER($X$493),$B$427=1),$X$493,HLOOKUP(INDIRECT(ADDRESS(2,COLUMN())),OFFSET($AM$2,0,0,ROW()-1,33),ROW()-1,FALSE))</f>
        <v>3467.2809999999999</v>
      </c>
      <c r="Y74">
        <f ca="1">IF(AND(ISNUMBER($Y$493),$B$427=1),$Y$493,HLOOKUP(INDIRECT(ADDRESS(2,COLUMN())),OFFSET($AM$2,0,0,ROW()-1,33),ROW()-1,FALSE))</f>
        <v>3446.01</v>
      </c>
      <c r="Z74">
        <f ca="1">IF(AND(ISNUMBER($Z$493),$B$427=1),$Z$493,HLOOKUP(INDIRECT(ADDRESS(2,COLUMN())),OFFSET($AM$2,0,0,ROW()-1,33),ROW()-1,FALSE))</f>
        <v>3205.393</v>
      </c>
      <c r="AA74">
        <f ca="1">IF(AND(ISNUMBER($AA$493),$B$427=1),$AA$493,HLOOKUP(INDIRECT(ADDRESS(2,COLUMN())),OFFSET($AM$2,0,0,ROW()-1,33),ROW()-1,FALSE))</f>
        <v>2987.223</v>
      </c>
      <c r="AB74">
        <f ca="1">IF(AND(ISNUMBER($AB$493),$B$427=1),$AB$493,HLOOKUP(INDIRECT(ADDRESS(2,COLUMN())),OFFSET($AM$2,0,0,ROW()-1,33),ROW()-1,FALSE))</f>
        <v>2822.9780000000001</v>
      </c>
      <c r="AC74">
        <f ca="1">IF(AND(ISNUMBER($AC$493),$B$427=1),$AC$493,HLOOKUP(INDIRECT(ADDRESS(2,COLUMN())),OFFSET($AM$2,0,0,ROW()-1,33),ROW()-1,FALSE))</f>
        <v>2570.8530000000001</v>
      </c>
      <c r="AD74">
        <f ca="1">IF(AND(ISNUMBER($AD$493),$B$427=1),$AD$493,HLOOKUP(INDIRECT(ADDRESS(2,COLUMN())),OFFSET($AM$2,0,0,ROW()-1,33),ROW()-1,FALSE))</f>
        <v>2474.9690000000001</v>
      </c>
      <c r="AE74">
        <f ca="1">IF(AND(ISNUMBER($AE$493),$B$427=1),$AE$493,HLOOKUP(INDIRECT(ADDRESS(2,COLUMN())),OFFSET($AM$2,0,0,ROW()-1,33),ROW()-1,FALSE))</f>
        <v>2419.7979999999998</v>
      </c>
      <c r="AF74">
        <f ca="1">IF(AND(ISNUMBER($AF$493),$B$427=1),$AF$493,HLOOKUP(INDIRECT(ADDRESS(2,COLUMN())),OFFSET($AM$2,0,0,ROW()-1,33),ROW()-1,FALSE))</f>
        <v>2513.7339999999999</v>
      </c>
      <c r="AG74">
        <f ca="1">IF(AND(ISNUMBER($AG$493),$B$427=1),$AG$493,HLOOKUP(INDIRECT(ADDRESS(2,COLUMN())),OFFSET($AM$2,0,0,ROW()-1,33),ROW()-1,FALSE))</f>
        <v>2828.2190000000001</v>
      </c>
      <c r="AH74">
        <f ca="1">IF(AND(ISNUMBER($AH$493),$B$427=1),$AH$493,HLOOKUP(INDIRECT(ADDRESS(2,COLUMN())),OFFSET($AM$2,0,0,ROW()-1,33),ROW()-1,FALSE))</f>
        <v>2979.5680000000002</v>
      </c>
      <c r="AI74">
        <f ca="1">IF(AND(ISNUMBER($AI$493),$B$427=1),$AI$493,HLOOKUP(INDIRECT(ADDRESS(2,COLUMN())),OFFSET($AM$2,0,0,ROW()-1,33),ROW()-1,FALSE))</f>
        <v>3526.404</v>
      </c>
      <c r="AJ74">
        <f ca="1">IF(AND(ISNUMBER($AJ$493),$B$427=1),$AJ$493,HLOOKUP(INDIRECT(ADDRESS(2,COLUMN())),OFFSET($AM$2,0,0,ROW()-1,33),ROW()-1,FALSE))</f>
        <v>3542.7020000000002</v>
      </c>
      <c r="AK74">
        <f ca="1">IF(AND(ISNUMBER($AK$493),$B$427=1),$AK$493,HLOOKUP(INDIRECT(ADDRESS(2,COLUMN())),OFFSET($AM$2,0,0,ROW()-1,33),ROW()-1,FALSE))</f>
        <v>3149.5230000000001</v>
      </c>
      <c r="AL74">
        <f ca="1">IF(AND(ISNUMBER($AL$493),$B$427=1),$AL$493,HLOOKUP(INDIRECT(ADDRESS(2,COLUMN())),OFFSET($AM$2,0,0,ROW()-1,33),ROW()-1,FALSE))</f>
        <v>3246.9560000000001</v>
      </c>
      <c r="AM74" t="str">
        <f>""</f>
        <v/>
      </c>
      <c r="AN74">
        <f>22223</f>
        <v>22223</v>
      </c>
      <c r="AO74">
        <f>19676</f>
        <v>19676</v>
      </c>
      <c r="AP74">
        <f>17197</f>
        <v>17197</v>
      </c>
      <c r="AQ74">
        <f>17134</f>
        <v>17134</v>
      </c>
      <c r="AR74">
        <f>16313</f>
        <v>16313</v>
      </c>
      <c r="AS74">
        <f>15722.134</f>
        <v>15722.134</v>
      </c>
      <c r="AT74">
        <f>15790.813</f>
        <v>15790.813</v>
      </c>
      <c r="AU74">
        <f>15520.5</f>
        <v>15520.5</v>
      </c>
      <c r="AV74">
        <f>14593</f>
        <v>14593</v>
      </c>
      <c r="AW74">
        <f>14007.195</f>
        <v>14007.195</v>
      </c>
      <c r="AX74">
        <f>13657.528</f>
        <v>13657.528</v>
      </c>
      <c r="AY74">
        <f>13714.927</f>
        <v>13714.927</v>
      </c>
      <c r="AZ74">
        <f>14778.312</f>
        <v>14778.312</v>
      </c>
      <c r="BA74">
        <f>15373.887</f>
        <v>15373.887000000001</v>
      </c>
      <c r="BB74">
        <f>17985.075</f>
        <v>17985.075000000001</v>
      </c>
      <c r="BC74">
        <f>21756.944</f>
        <v>21756.944</v>
      </c>
      <c r="BD74">
        <f>22065.497</f>
        <v>22065.496999999999</v>
      </c>
      <c r="BE74">
        <f>3467.281</f>
        <v>3467.2809999999999</v>
      </c>
      <c r="BF74">
        <f>3446.01</f>
        <v>3446.01</v>
      </c>
      <c r="BG74">
        <f>3205.393</f>
        <v>3205.393</v>
      </c>
      <c r="BH74">
        <f>2987.223</f>
        <v>2987.223</v>
      </c>
      <c r="BI74">
        <f>2822.978</f>
        <v>2822.9780000000001</v>
      </c>
      <c r="BJ74">
        <f>2570.853</f>
        <v>2570.8530000000001</v>
      </c>
      <c r="BK74">
        <f>2474.969</f>
        <v>2474.9690000000001</v>
      </c>
      <c r="BL74">
        <f>2419.798</f>
        <v>2419.7979999999998</v>
      </c>
      <c r="BM74">
        <f>2513.734</f>
        <v>2513.7339999999999</v>
      </c>
      <c r="BN74">
        <f>2828.219</f>
        <v>2828.2190000000001</v>
      </c>
      <c r="BO74">
        <f>2979.568</f>
        <v>2979.5680000000002</v>
      </c>
      <c r="BP74">
        <f>3526.404</f>
        <v>3526.404</v>
      </c>
      <c r="BQ74">
        <f>3542.702</f>
        <v>3542.7020000000002</v>
      </c>
      <c r="BR74">
        <f>3149.523</f>
        <v>3149.5230000000001</v>
      </c>
      <c r="BS74">
        <f>3246.956</f>
        <v>3246.9560000000001</v>
      </c>
    </row>
    <row r="75" spans="1:71" x14ac:dyDescent="0.25">
      <c r="A75" t="str">
        <f>"        East West Bancorp Inc"</f>
        <v xml:space="preserve">        East West Bancorp Inc</v>
      </c>
      <c r="B75" t="str">
        <f>"EWBC US Equity"</f>
        <v>EWBC US Equity</v>
      </c>
      <c r="C75" t="str">
        <f t="shared" si="9"/>
        <v>F0093</v>
      </c>
      <c r="D75" t="str">
        <f t="shared" si="10"/>
        <v>FED_REAL_ESTATE_LOANS_DOMESTIC</v>
      </c>
      <c r="E75" t="str">
        <f t="shared" si="11"/>
        <v>Dynamic</v>
      </c>
      <c r="F75" t="str">
        <f ca="1">IF(AND(ISNUMBER($F$494),$B$427=1),$F$494,HLOOKUP(INDIRECT(ADDRESS(2,COLUMN())),OFFSET($AM$2,0,0,ROW()-1,33),ROW()-1,FALSE))</f>
        <v/>
      </c>
      <c r="G75">
        <f ca="1">IF(AND(ISNUMBER($G$494),$B$427=1),$G$494,HLOOKUP(INDIRECT(ADDRESS(2,COLUMN())),OFFSET($AM$2,0,0,ROW()-1,33),ROW()-1,FALSE))</f>
        <v>36216.082999999999</v>
      </c>
      <c r="H75">
        <f ca="1">IF(AND(ISNUMBER($H$494),$B$427=1),$H$494,HLOOKUP(INDIRECT(ADDRESS(2,COLUMN())),OFFSET($AM$2,0,0,ROW()-1,33),ROW()-1,FALSE))</f>
        <v>33047.125999999997</v>
      </c>
      <c r="I75">
        <f ca="1">IF(AND(ISNUMBER($I$494),$B$427=1),$I$494,HLOOKUP(INDIRECT(ADDRESS(2,COLUMN())),OFFSET($AM$2,0,0,ROW()-1,33),ROW()-1,FALSE))</f>
        <v>28104.403999999999</v>
      </c>
      <c r="J75">
        <f ca="1">IF(AND(ISNUMBER($J$494),$B$427=1),$J$494,HLOOKUP(INDIRECT(ADDRESS(2,COLUMN())),OFFSET($AM$2,0,0,ROW()-1,33),ROW()-1,FALSE))</f>
        <v>25181.244999999999</v>
      </c>
      <c r="K75">
        <f ca="1">IF(AND(ISNUMBER($K$494),$B$427=1),$K$494,HLOOKUP(INDIRECT(ADDRESS(2,COLUMN())),OFFSET($AM$2,0,0,ROW()-1,33),ROW()-1,FALSE))</f>
        <v>22981.046999999999</v>
      </c>
      <c r="L75">
        <f ca="1">IF(AND(ISNUMBER($L$494),$B$427=1),$L$494,HLOOKUP(INDIRECT(ADDRESS(2,COLUMN())),OFFSET($AM$2,0,0,ROW()-1,33),ROW()-1,FALSE))</f>
        <v>20656.144</v>
      </c>
      <c r="M75">
        <f ca="1">IF(AND(ISNUMBER($M$494),$B$427=1),$M$494,HLOOKUP(INDIRECT(ADDRESS(2,COLUMN())),OFFSET($AM$2,0,0,ROW()-1,33),ROW()-1,FALSE))</f>
        <v>18658.221000000001</v>
      </c>
      <c r="N75">
        <f ca="1">IF(AND(ISNUMBER($N$494),$B$427=1),$N$494,HLOOKUP(INDIRECT(ADDRESS(2,COLUMN())),OFFSET($AM$2,0,0,ROW()-1,33),ROW()-1,FALSE))</f>
        <v>16090.254000000001</v>
      </c>
      <c r="O75">
        <f ca="1">IF(AND(ISNUMBER($O$494),$B$427=1),$O$494,HLOOKUP(INDIRECT(ADDRESS(2,COLUMN())),OFFSET($AM$2,0,0,ROW()-1,33),ROW()-1,FALSE))</f>
        <v>14917.67</v>
      </c>
      <c r="P75">
        <f ca="1">IF(AND(ISNUMBER($P$494),$B$427=1),$P$494,HLOOKUP(INDIRECT(ADDRESS(2,COLUMN())),OFFSET($AM$2,0,0,ROW()-1,33),ROW()-1,FALSE))</f>
        <v>13606.541999999999</v>
      </c>
      <c r="Q75">
        <f ca="1">IF(AND(ISNUMBER($Q$494),$B$427=1),$Q$494,HLOOKUP(INDIRECT(ADDRESS(2,COLUMN())),OFFSET($AM$2,0,0,ROW()-1,33),ROW()-1,FALSE))</f>
        <v>11206.550999999999</v>
      </c>
      <c r="R75">
        <f ca="1">IF(AND(ISNUMBER($R$494),$B$427=1),$R$494,HLOOKUP(INDIRECT(ADDRESS(2,COLUMN())),OFFSET($AM$2,0,0,ROW()-1,33),ROW()-1,FALSE))</f>
        <v>9608.1389999999992</v>
      </c>
      <c r="S75">
        <f ca="1">IF(AND(ISNUMBER($S$494),$B$427=1),$S$494,HLOOKUP(INDIRECT(ADDRESS(2,COLUMN())),OFFSET($AM$2,0,0,ROW()-1,33),ROW()-1,FALSE))</f>
        <v>9972.7330000000002</v>
      </c>
      <c r="T75">
        <f ca="1">IF(AND(ISNUMBER($T$494),$B$427=1),$T$494,HLOOKUP(INDIRECT(ADDRESS(2,COLUMN())),OFFSET($AM$2,0,0,ROW()-1,33),ROW()-1,FALSE))</f>
        <v>10045.353999999999</v>
      </c>
      <c r="U75">
        <f ca="1">IF(AND(ISNUMBER($U$494),$B$427=1),$U$494,HLOOKUP(INDIRECT(ADDRESS(2,COLUMN())),OFFSET($AM$2,0,0,ROW()-1,33),ROW()-1,FALSE))</f>
        <v>10936.829</v>
      </c>
      <c r="V75">
        <f ca="1">IF(AND(ISNUMBER($V$494),$B$427=1),$V$494,HLOOKUP(INDIRECT(ADDRESS(2,COLUMN())),OFFSET($AM$2,0,0,ROW()-1,33),ROW()-1,FALSE))</f>
        <v>6635.5029999999997</v>
      </c>
      <c r="W75">
        <f ca="1">IF(AND(ISNUMBER($W$494),$B$427=1),$W$494,HLOOKUP(INDIRECT(ADDRESS(2,COLUMN())),OFFSET($AM$2,0,0,ROW()-1,33),ROW()-1,FALSE))</f>
        <v>6971.94</v>
      </c>
      <c r="X75">
        <f ca="1">IF(AND(ISNUMBER($X$494),$B$427=1),$X$494,HLOOKUP(INDIRECT(ADDRESS(2,COLUMN())),OFFSET($AM$2,0,0,ROW()-1,33),ROW()-1,FALSE))</f>
        <v>2091.125</v>
      </c>
      <c r="Y75">
        <f ca="1">IF(AND(ISNUMBER($Y$494),$B$427=1),$Y$494,HLOOKUP(INDIRECT(ADDRESS(2,COLUMN())),OFFSET($AM$2,0,0,ROW()-1,33),ROW()-1,FALSE))</f>
        <v>1932.5840000000001</v>
      </c>
      <c r="Z75">
        <f ca="1">IF(AND(ISNUMBER($Z$494),$B$427=1),$Z$494,HLOOKUP(INDIRECT(ADDRESS(2,COLUMN())),OFFSET($AM$2,0,0,ROW()-1,33),ROW()-1,FALSE))</f>
        <v>1615.05</v>
      </c>
      <c r="AA75">
        <f ca="1">IF(AND(ISNUMBER($AA$494),$B$427=1),$AA$494,HLOOKUP(INDIRECT(ADDRESS(2,COLUMN())),OFFSET($AM$2,0,0,ROW()-1,33),ROW()-1,FALSE))</f>
        <v>1081.0809999999999</v>
      </c>
      <c r="AB75">
        <f ca="1">IF(AND(ISNUMBER($AB$494),$B$427=1),$AB$494,HLOOKUP(INDIRECT(ADDRESS(2,COLUMN())),OFFSET($AM$2,0,0,ROW()-1,33),ROW()-1,FALSE))</f>
        <v>826.67399999999998</v>
      </c>
      <c r="AC75">
        <f ca="1">IF(AND(ISNUMBER($AC$494),$B$427=1),$AC$494,HLOOKUP(INDIRECT(ADDRESS(2,COLUMN())),OFFSET($AM$2,0,0,ROW()-1,33),ROW()-1,FALSE))</f>
        <v>746.96100000000001</v>
      </c>
      <c r="AD75">
        <f ca="1">IF(AND(ISNUMBER($AD$494),$B$427=1),$AD$494,HLOOKUP(INDIRECT(ADDRESS(2,COLUMN())),OFFSET($AM$2,0,0,ROW()-1,33),ROW()-1,FALSE))</f>
        <v>692.95100000000002</v>
      </c>
      <c r="AE75">
        <f ca="1">IF(AND(ISNUMBER($AE$494),$B$427=1),$AE$494,HLOOKUP(INDIRECT(ADDRESS(2,COLUMN())),OFFSET($AM$2,0,0,ROW()-1,33),ROW()-1,FALSE))</f>
        <v>610.49800000000005</v>
      </c>
      <c r="AF75">
        <f ca="1">IF(AND(ISNUMBER($AF$494),$B$427=1),$AF$494,HLOOKUP(INDIRECT(ADDRESS(2,COLUMN())),OFFSET($AM$2,0,0,ROW()-1,33),ROW()-1,FALSE))</f>
        <v>449.47699999999998</v>
      </c>
      <c r="AG75" t="str">
        <f ca="1">IF(AND(ISNUMBER($AG$494),$B$427=1),$AG$494,HLOOKUP(INDIRECT(ADDRESS(2,COLUMN())),OFFSET($AM$2,0,0,ROW()-1,33),ROW()-1,FALSE))</f>
        <v/>
      </c>
      <c r="AH75" t="str">
        <f ca="1">IF(AND(ISNUMBER($AH$494),$B$427=1),$AH$494,HLOOKUP(INDIRECT(ADDRESS(2,COLUMN())),OFFSET($AM$2,0,0,ROW()-1,33),ROW()-1,FALSE))</f>
        <v/>
      </c>
      <c r="AI75" t="str">
        <f ca="1">IF(AND(ISNUMBER($AI$494),$B$427=1),$AI$494,HLOOKUP(INDIRECT(ADDRESS(2,COLUMN())),OFFSET($AM$2,0,0,ROW()-1,33),ROW()-1,FALSE))</f>
        <v/>
      </c>
      <c r="AJ75" t="str">
        <f ca="1">IF(AND(ISNUMBER($AJ$494),$B$427=1),$AJ$494,HLOOKUP(INDIRECT(ADDRESS(2,COLUMN())),OFFSET($AM$2,0,0,ROW()-1,33),ROW()-1,FALSE))</f>
        <v/>
      </c>
      <c r="AK75" t="str">
        <f ca="1">IF(AND(ISNUMBER($AK$494),$B$427=1),$AK$494,HLOOKUP(INDIRECT(ADDRESS(2,COLUMN())),OFFSET($AM$2,0,0,ROW()-1,33),ROW()-1,FALSE))</f>
        <v/>
      </c>
      <c r="AL75" t="str">
        <f ca="1">IF(AND(ISNUMBER($AL$494),$B$427=1),$AL$494,HLOOKUP(INDIRECT(ADDRESS(2,COLUMN())),OFFSET($AM$2,0,0,ROW()-1,33),ROW()-1,FALSE))</f>
        <v/>
      </c>
      <c r="AM75" t="str">
        <f>""</f>
        <v/>
      </c>
      <c r="AN75">
        <f>36216.083</f>
        <v>36216.082999999999</v>
      </c>
      <c r="AO75">
        <f>33047.126</f>
        <v>33047.125999999997</v>
      </c>
      <c r="AP75">
        <f>28104.404</f>
        <v>28104.403999999999</v>
      </c>
      <c r="AQ75">
        <f>25181.245</f>
        <v>25181.244999999999</v>
      </c>
      <c r="AR75">
        <f>22981.047</f>
        <v>22981.046999999999</v>
      </c>
      <c r="AS75">
        <f>20656.144</f>
        <v>20656.144</v>
      </c>
      <c r="AT75">
        <f>18658.221</f>
        <v>18658.221000000001</v>
      </c>
      <c r="AU75">
        <f>16090.254</f>
        <v>16090.254000000001</v>
      </c>
      <c r="AV75">
        <f>14917.67</f>
        <v>14917.67</v>
      </c>
      <c r="AW75">
        <f>13606.542</f>
        <v>13606.541999999999</v>
      </c>
      <c r="AX75">
        <f>11206.551</f>
        <v>11206.550999999999</v>
      </c>
      <c r="AY75">
        <f>9608.139</f>
        <v>9608.1389999999992</v>
      </c>
      <c r="AZ75">
        <f>9972.733</f>
        <v>9972.7330000000002</v>
      </c>
      <c r="BA75">
        <f>10045.354</f>
        <v>10045.353999999999</v>
      </c>
      <c r="BB75">
        <f>10936.829</f>
        <v>10936.829</v>
      </c>
      <c r="BC75">
        <f>6635.503</f>
        <v>6635.5029999999997</v>
      </c>
      <c r="BD75">
        <f>6971.94</f>
        <v>6971.94</v>
      </c>
      <c r="BE75">
        <f>2091.125</f>
        <v>2091.125</v>
      </c>
      <c r="BF75">
        <f>1932.584</f>
        <v>1932.5840000000001</v>
      </c>
      <c r="BG75">
        <f>1615.05</f>
        <v>1615.05</v>
      </c>
      <c r="BH75">
        <f>1081.081</f>
        <v>1081.0809999999999</v>
      </c>
      <c r="BI75">
        <f>826.674</f>
        <v>826.67399999999998</v>
      </c>
      <c r="BJ75">
        <f>746.961</f>
        <v>746.96100000000001</v>
      </c>
      <c r="BK75">
        <f>692.951</f>
        <v>692.95100000000002</v>
      </c>
      <c r="BL75">
        <f>610.498</f>
        <v>610.49800000000005</v>
      </c>
      <c r="BM75">
        <f>449.477</f>
        <v>449.47699999999998</v>
      </c>
      <c r="BN75" t="str">
        <f>""</f>
        <v/>
      </c>
      <c r="BO75" t="str">
        <f>""</f>
        <v/>
      </c>
      <c r="BP75" t="str">
        <f>""</f>
        <v/>
      </c>
      <c r="BQ75" t="str">
        <f>""</f>
        <v/>
      </c>
      <c r="BR75" t="str">
        <f>""</f>
        <v/>
      </c>
      <c r="BS75" t="str">
        <f>""</f>
        <v/>
      </c>
    </row>
    <row r="76" spans="1:71" x14ac:dyDescent="0.25">
      <c r="A76" t="str">
        <f>"        Fifth Third Bancorp"</f>
        <v xml:space="preserve">        Fifth Third Bancorp</v>
      </c>
      <c r="B76" t="str">
        <f>"FITB US Equity"</f>
        <v>FITB US Equity</v>
      </c>
      <c r="C76" t="str">
        <f t="shared" si="9"/>
        <v>F0093</v>
      </c>
      <c r="D76" t="str">
        <f t="shared" si="10"/>
        <v>FED_REAL_ESTATE_LOANS_DOMESTIC</v>
      </c>
      <c r="E76" t="str">
        <f t="shared" si="11"/>
        <v>Dynamic</v>
      </c>
      <c r="F76">
        <f ca="1">IF(AND(ISNUMBER($F$495),$B$427=1),$F$495,HLOOKUP(INDIRECT(ADDRESS(2,COLUMN())),OFFSET($AM$2,0,0,ROW()-1,33),ROW()-1,FALSE))</f>
        <v>38653</v>
      </c>
      <c r="G76">
        <f ca="1">IF(AND(ISNUMBER($G$495),$B$427=1),$G$495,HLOOKUP(INDIRECT(ADDRESS(2,COLUMN())),OFFSET($AM$2,0,0,ROW()-1,33),ROW()-1,FALSE))</f>
        <v>36955</v>
      </c>
      <c r="H76">
        <f ca="1">IF(AND(ISNUMBER($H$495),$B$427=1),$H$495,HLOOKUP(INDIRECT(ADDRESS(2,COLUMN())),OFFSET($AM$2,0,0,ROW()-1,33),ROW()-1,FALSE))</f>
        <v>37535.139000000003</v>
      </c>
      <c r="I76">
        <f ca="1">IF(AND(ISNUMBER($I$495),$B$427=1),$I$495,HLOOKUP(INDIRECT(ADDRESS(2,COLUMN())),OFFSET($AM$2,0,0,ROW()-1,33),ROW()-1,FALSE))</f>
        <v>38940.813999999998</v>
      </c>
      <c r="J76">
        <f ca="1">IF(AND(ISNUMBER($J$495),$B$427=1),$J$495,HLOOKUP(INDIRECT(ADDRESS(2,COLUMN())),OFFSET($AM$2,0,0,ROW()-1,33),ROW()-1,FALSE))</f>
        <v>40718.885999999999</v>
      </c>
      <c r="K76">
        <f ca="1">IF(AND(ISNUMBER($K$495),$B$427=1),$K$495,HLOOKUP(INDIRECT(ADDRESS(2,COLUMN())),OFFSET($AM$2,0,0,ROW()-1,33),ROW()-1,FALSE))</f>
        <v>38949.11</v>
      </c>
      <c r="L76">
        <f ca="1">IF(AND(ISNUMBER($L$495),$B$427=1),$L$495,HLOOKUP(INDIRECT(ADDRESS(2,COLUMN())),OFFSET($AM$2,0,0,ROW()-1,33),ROW()-1,FALSE))</f>
        <v>33090.364999999998</v>
      </c>
      <c r="M76">
        <f ca="1">IF(AND(ISNUMBER($M$495),$B$427=1),$M$495,HLOOKUP(INDIRECT(ADDRESS(2,COLUMN())),OFFSET($AM$2,0,0,ROW()-1,33),ROW()-1,FALSE))</f>
        <v>33328.32</v>
      </c>
      <c r="N76">
        <f ca="1">IF(AND(ISNUMBER($N$495),$B$427=1),$N$495,HLOOKUP(INDIRECT(ADDRESS(2,COLUMN())),OFFSET($AM$2,0,0,ROW()-1,33),ROW()-1,FALSE))</f>
        <v>33903.972000000002</v>
      </c>
      <c r="O76">
        <f ca="1">IF(AND(ISNUMBER($O$495),$B$427=1),$O$495,HLOOKUP(INDIRECT(ADDRESS(2,COLUMN())),OFFSET($AM$2,0,0,ROW()-1,33),ROW()-1,FALSE))</f>
        <v>32483.626</v>
      </c>
      <c r="P76">
        <f ca="1">IF(AND(ISNUMBER($P$495),$B$427=1),$P$495,HLOOKUP(INDIRECT(ADDRESS(2,COLUMN())),OFFSET($AM$2,0,0,ROW()-1,33),ROW()-1,FALSE))</f>
        <v>31617.634999999998</v>
      </c>
      <c r="Q76">
        <f ca="1">IF(AND(ISNUMBER($Q$495),$B$427=1),$Q$495,HLOOKUP(INDIRECT(ADDRESS(2,COLUMN())),OFFSET($AM$2,0,0,ROW()-1,33),ROW()-1,FALSE))</f>
        <v>31928.345000000001</v>
      </c>
      <c r="R76">
        <f ca="1">IF(AND(ISNUMBER($R$495),$B$427=1),$R$495,HLOOKUP(INDIRECT(ADDRESS(2,COLUMN())),OFFSET($AM$2,0,0,ROW()-1,33),ROW()-1,FALSE))</f>
        <v>35115.256999999998</v>
      </c>
      <c r="S76">
        <f ca="1">IF(AND(ISNUMBER($S$495),$B$427=1),$S$495,HLOOKUP(INDIRECT(ADDRESS(2,COLUMN())),OFFSET($AM$2,0,0,ROW()-1,33),ROW()-1,FALSE))</f>
        <v>36614.874000000003</v>
      </c>
      <c r="T76">
        <f ca="1">IF(AND(ISNUMBER($T$495),$B$427=1),$T$495,HLOOKUP(INDIRECT(ADDRESS(2,COLUMN())),OFFSET($AM$2,0,0,ROW()-1,33),ROW()-1,FALSE))</f>
        <v>37165.281999999999</v>
      </c>
      <c r="U76">
        <f ca="1">IF(AND(ISNUMBER($U$495),$B$427=1),$U$495,HLOOKUP(INDIRECT(ADDRESS(2,COLUMN())),OFFSET($AM$2,0,0,ROW()-1,33),ROW()-1,FALSE))</f>
        <v>39870.339</v>
      </c>
      <c r="V76">
        <f ca="1">IF(AND(ISNUMBER($V$495),$B$427=1),$V$495,HLOOKUP(INDIRECT(ADDRESS(2,COLUMN())),OFFSET($AM$2,0,0,ROW()-1,33),ROW()-1,FALSE))</f>
        <v>43531.864999999998</v>
      </c>
      <c r="W76">
        <f ca="1">IF(AND(ISNUMBER($W$495),$B$427=1),$W$495,HLOOKUP(INDIRECT(ADDRESS(2,COLUMN())),OFFSET($AM$2,0,0,ROW()-1,33),ROW()-1,FALSE))</f>
        <v>43696.567000000003</v>
      </c>
      <c r="X76">
        <f ca="1">IF(AND(ISNUMBER($X$495),$B$427=1),$X$495,HLOOKUP(INDIRECT(ADDRESS(2,COLUMN())),OFFSET($AM$2,0,0,ROW()-1,33),ROW()-1,FALSE))</f>
        <v>22533.786</v>
      </c>
      <c r="Y76">
        <f ca="1">IF(AND(ISNUMBER($Y$495),$B$427=1),$Y$495,HLOOKUP(INDIRECT(ADDRESS(2,COLUMN())),OFFSET($AM$2,0,0,ROW()-1,33),ROW()-1,FALSE))</f>
        <v>21083.331999999999</v>
      </c>
      <c r="Z76">
        <f ca="1">IF(AND(ISNUMBER($Z$495),$B$427=1),$Z$495,HLOOKUP(INDIRECT(ADDRESS(2,COLUMN())),OFFSET($AM$2,0,0,ROW()-1,33),ROW()-1,FALSE))</f>
        <v>18989.095000000001</v>
      </c>
      <c r="AA76">
        <f ca="1">IF(AND(ISNUMBER($AA$495),$B$427=1),$AA$495,HLOOKUP(INDIRECT(ADDRESS(2,COLUMN())),OFFSET($AM$2,0,0,ROW()-1,33),ROW()-1,FALSE))</f>
        <v>15378.712</v>
      </c>
      <c r="AB76">
        <f ca="1">IF(AND(ISNUMBER($AB$495),$B$427=1),$AB$495,HLOOKUP(INDIRECT(ADDRESS(2,COLUMN())),OFFSET($AM$2,0,0,ROW()-1,33),ROW()-1,FALSE))</f>
        <v>16058.701999999999</v>
      </c>
      <c r="AC76">
        <f ca="1">IF(AND(ISNUMBER($AC$495),$B$427=1),$AC$495,HLOOKUP(INDIRECT(ADDRESS(2,COLUMN())),OFFSET($AM$2,0,0,ROW()-1,33),ROW()-1,FALSE))</f>
        <v>15030.694</v>
      </c>
      <c r="AD76">
        <f ca="1">IF(AND(ISNUMBER($AD$495),$B$427=1),$AD$495,HLOOKUP(INDIRECT(ADDRESS(2,COLUMN())),OFFSET($AM$2,0,0,ROW()-1,33),ROW()-1,FALSE))</f>
        <v>8242.5630000000001</v>
      </c>
      <c r="AE76">
        <f ca="1">IF(AND(ISNUMBER($AE$495),$B$427=1),$AE$495,HLOOKUP(INDIRECT(ADDRESS(2,COLUMN())),OFFSET($AM$2,0,0,ROW()-1,33),ROW()-1,FALSE))</f>
        <v>7405.6930000000002</v>
      </c>
      <c r="AF76">
        <f ca="1">IF(AND(ISNUMBER($AF$495),$B$427=1),$AF$495,HLOOKUP(INDIRECT(ADDRESS(2,COLUMN())),OFFSET($AM$2,0,0,ROW()-1,33),ROW()-1,FALSE))</f>
        <v>5997.2539999999999</v>
      </c>
      <c r="AG76">
        <f ca="1">IF(AND(ISNUMBER($AG$495),$B$427=1),$AG$495,HLOOKUP(INDIRECT(ADDRESS(2,COLUMN())),OFFSET($AM$2,0,0,ROW()-1,33),ROW()-1,FALSE))</f>
        <v>3366.9690000000001</v>
      </c>
      <c r="AH76">
        <f ca="1">IF(AND(ISNUMBER($AH$495),$B$427=1),$AH$495,HLOOKUP(INDIRECT(ADDRESS(2,COLUMN())),OFFSET($AM$2,0,0,ROW()-1,33),ROW()-1,FALSE))</f>
        <v>3032.6759999999999</v>
      </c>
      <c r="AI76">
        <f ca="1">IF(AND(ISNUMBER($AI$495),$B$427=1),$AI$495,HLOOKUP(INDIRECT(ADDRESS(2,COLUMN())),OFFSET($AM$2,0,0,ROW()-1,33),ROW()-1,FALSE))</f>
        <v>2670.3110000000001</v>
      </c>
      <c r="AJ76">
        <f ca="1">IF(AND(ISNUMBER($AJ$495),$B$427=1),$AJ$495,HLOOKUP(INDIRECT(ADDRESS(2,COLUMN())),OFFSET($AM$2,0,0,ROW()-1,33),ROW()-1,FALSE))</f>
        <v>2845.4209999999998</v>
      </c>
      <c r="AK76">
        <f ca="1">IF(AND(ISNUMBER($AK$495),$B$427=1),$AK$495,HLOOKUP(INDIRECT(ADDRESS(2,COLUMN())),OFFSET($AM$2,0,0,ROW()-1,33),ROW()-1,FALSE))</f>
        <v>2451.8649999999998</v>
      </c>
      <c r="AL76">
        <f ca="1">IF(AND(ISNUMBER($AL$495),$B$427=1),$AL$495,HLOOKUP(INDIRECT(ADDRESS(2,COLUMN())),OFFSET($AM$2,0,0,ROW()-1,33),ROW()-1,FALSE))</f>
        <v>2223.2220000000002</v>
      </c>
      <c r="AM76">
        <f>38653</f>
        <v>38653</v>
      </c>
      <c r="AN76">
        <f>36955</f>
        <v>36955</v>
      </c>
      <c r="AO76">
        <f>37535.139</f>
        <v>37535.139000000003</v>
      </c>
      <c r="AP76">
        <f>38940.814</f>
        <v>38940.813999999998</v>
      </c>
      <c r="AQ76">
        <f>40718.886</f>
        <v>40718.885999999999</v>
      </c>
      <c r="AR76">
        <f>38949.11</f>
        <v>38949.11</v>
      </c>
      <c r="AS76">
        <f>33090.365</f>
        <v>33090.364999999998</v>
      </c>
      <c r="AT76">
        <f>33328.32</f>
        <v>33328.32</v>
      </c>
      <c r="AU76">
        <f>33903.972</f>
        <v>33903.972000000002</v>
      </c>
      <c r="AV76">
        <f>32483.626</f>
        <v>32483.626</v>
      </c>
      <c r="AW76">
        <f>31617.635</f>
        <v>31617.634999999998</v>
      </c>
      <c r="AX76">
        <f>31928.345</f>
        <v>31928.345000000001</v>
      </c>
      <c r="AY76">
        <f>35115.257</f>
        <v>35115.256999999998</v>
      </c>
      <c r="AZ76">
        <f>36614.874</f>
        <v>36614.874000000003</v>
      </c>
      <c r="BA76">
        <f>37165.282</f>
        <v>37165.281999999999</v>
      </c>
      <c r="BB76">
        <f>39870.339</f>
        <v>39870.339</v>
      </c>
      <c r="BC76">
        <f>43531.865</f>
        <v>43531.864999999998</v>
      </c>
      <c r="BD76">
        <f>43696.567</f>
        <v>43696.567000000003</v>
      </c>
      <c r="BE76">
        <f>22533.786</f>
        <v>22533.786</v>
      </c>
      <c r="BF76">
        <f>21083.332</f>
        <v>21083.331999999999</v>
      </c>
      <c r="BG76">
        <f>18989.095</f>
        <v>18989.095000000001</v>
      </c>
      <c r="BH76">
        <f>15378.712</f>
        <v>15378.712</v>
      </c>
      <c r="BI76">
        <f>16058.702</f>
        <v>16058.701999999999</v>
      </c>
      <c r="BJ76">
        <f>15030.694</f>
        <v>15030.694</v>
      </c>
      <c r="BK76">
        <f>8242.563</f>
        <v>8242.5630000000001</v>
      </c>
      <c r="BL76">
        <f>7405.693</f>
        <v>7405.6930000000002</v>
      </c>
      <c r="BM76">
        <f>5997.254</f>
        <v>5997.2539999999999</v>
      </c>
      <c r="BN76">
        <f>3366.969</f>
        <v>3366.9690000000001</v>
      </c>
      <c r="BO76">
        <f>3032.676</f>
        <v>3032.6759999999999</v>
      </c>
      <c r="BP76">
        <f>2670.311</f>
        <v>2670.3110000000001</v>
      </c>
      <c r="BQ76">
        <f>2845.421</f>
        <v>2845.4209999999998</v>
      </c>
      <c r="BR76">
        <f>2451.865</f>
        <v>2451.8649999999998</v>
      </c>
      <c r="BS76">
        <f>2223.222</f>
        <v>2223.2220000000002</v>
      </c>
    </row>
    <row r="77" spans="1:71" x14ac:dyDescent="0.25">
      <c r="A77" t="str">
        <f>"        First Citizens BancShares Inc/"</f>
        <v xml:space="preserve">        First Citizens BancShares Inc/</v>
      </c>
      <c r="B77" t="str">
        <f>"FCNCA US Equity"</f>
        <v>FCNCA US Equity</v>
      </c>
      <c r="C77" t="str">
        <f t="shared" si="9"/>
        <v>F0093</v>
      </c>
      <c r="D77" t="str">
        <f t="shared" si="10"/>
        <v>FED_REAL_ESTATE_LOANS_DOMESTIC</v>
      </c>
      <c r="E77" t="str">
        <f t="shared" si="11"/>
        <v>Dynamic</v>
      </c>
      <c r="F77">
        <f ca="1">IF(AND(ISNUMBER($F$496),$B$427=1),$F$496,HLOOKUP(INDIRECT(ADDRESS(2,COLUMN())),OFFSET($AM$2,0,0,ROW()-1,33),ROW()-1,FALSE))</f>
        <v>63920</v>
      </c>
      <c r="G77">
        <f ca="1">IF(AND(ISNUMBER($G$496),$B$427=1),$G$496,HLOOKUP(INDIRECT(ADDRESS(2,COLUMN())),OFFSET($AM$2,0,0,ROW()-1,33),ROW()-1,FALSE))</f>
        <v>59361.593999999997</v>
      </c>
      <c r="H77">
        <f ca="1">IF(AND(ISNUMBER($H$496),$B$427=1),$H$496,HLOOKUP(INDIRECT(ADDRESS(2,COLUMN())),OFFSET($AM$2,0,0,ROW()-1,33),ROW()-1,FALSE))</f>
        <v>42423.534</v>
      </c>
      <c r="I77">
        <f ca="1">IF(AND(ISNUMBER($I$496),$B$427=1),$I$496,HLOOKUP(INDIRECT(ADDRESS(2,COLUMN())),OFFSET($AM$2,0,0,ROW()-1,33),ROW()-1,FALSE))</f>
        <v>24383.14</v>
      </c>
      <c r="J77">
        <f ca="1">IF(AND(ISNUMBER($J$496),$B$427=1),$J$496,HLOOKUP(INDIRECT(ADDRESS(2,COLUMN())),OFFSET($AM$2,0,0,ROW()-1,33),ROW()-1,FALSE))</f>
        <v>23683.019</v>
      </c>
      <c r="K77">
        <f ca="1">IF(AND(ISNUMBER($K$496),$B$427=1),$K$496,HLOOKUP(INDIRECT(ADDRESS(2,COLUMN())),OFFSET($AM$2,0,0,ROW()-1,33),ROW()-1,FALSE))</f>
        <v>22445.261999999999</v>
      </c>
      <c r="L77">
        <f ca="1">IF(AND(ISNUMBER($L$496),$B$427=1),$L$496,HLOOKUP(INDIRECT(ADDRESS(2,COLUMN())),OFFSET($AM$2,0,0,ROW()-1,33),ROW()-1,FALSE))</f>
        <v>19612.580999999998</v>
      </c>
      <c r="M77">
        <f ca="1">IF(AND(ISNUMBER($M$496),$B$427=1),$M$496,HLOOKUP(INDIRECT(ADDRESS(2,COLUMN())),OFFSET($AM$2,0,0,ROW()-1,33),ROW()-1,FALSE))</f>
        <v>18149.2</v>
      </c>
      <c r="N77">
        <f ca="1">IF(AND(ISNUMBER($N$496),$B$427=1),$N$496,HLOOKUP(INDIRECT(ADDRESS(2,COLUMN())),OFFSET($AM$2,0,0,ROW()-1,33),ROW()-1,FALSE))</f>
        <v>16616.788</v>
      </c>
      <c r="O77">
        <f ca="1">IF(AND(ISNUMBER($O$496),$B$427=1),$O$496,HLOOKUP(INDIRECT(ADDRESS(2,COLUMN())),OFFSET($AM$2,0,0,ROW()-1,33),ROW()-1,FALSE))</f>
        <v>15645.904</v>
      </c>
      <c r="P77">
        <f ca="1">IF(AND(ISNUMBER($P$496),$B$427=1),$P$496,HLOOKUP(INDIRECT(ADDRESS(2,COLUMN())),OFFSET($AM$2,0,0,ROW()-1,33),ROW()-1,FALSE))</f>
        <v>14767.674999999999</v>
      </c>
      <c r="Q77">
        <f ca="1">IF(AND(ISNUMBER($Q$496),$B$427=1),$Q$496,HLOOKUP(INDIRECT(ADDRESS(2,COLUMN())),OFFSET($AM$2,0,0,ROW()-1,33),ROW()-1,FALSE))</f>
        <v>11137.316000000001</v>
      </c>
      <c r="R77">
        <f ca="1">IF(AND(ISNUMBER($R$496),$B$427=1),$R$496,HLOOKUP(INDIRECT(ADDRESS(2,COLUMN())),OFFSET($AM$2,0,0,ROW()-1,33),ROW()-1,FALSE))</f>
        <v>10787.587</v>
      </c>
      <c r="S77">
        <f ca="1">IF(AND(ISNUMBER($S$496),$B$427=1),$S$496,HLOOKUP(INDIRECT(ADDRESS(2,COLUMN())),OFFSET($AM$2,0,0,ROW()-1,33),ROW()-1,FALSE))</f>
        <v>11183.954</v>
      </c>
      <c r="T77">
        <f ca="1">IF(AND(ISNUMBER($T$496),$B$427=1),$T$496,HLOOKUP(INDIRECT(ADDRESS(2,COLUMN())),OFFSET($AM$2,0,0,ROW()-1,33),ROW()-1,FALSE))</f>
        <v>10487.344999999999</v>
      </c>
      <c r="U77">
        <f ca="1">IF(AND(ISNUMBER($U$496),$B$427=1),$U$496,HLOOKUP(INDIRECT(ADDRESS(2,COLUMN())),OFFSET($AM$2,0,0,ROW()-1,33),ROW()-1,FALSE))</f>
        <v>9498.5490000000009</v>
      </c>
      <c r="V77">
        <f ca="1">IF(AND(ISNUMBER($V$496),$B$427=1),$V$496,HLOOKUP(INDIRECT(ADDRESS(2,COLUMN())),OFFSET($AM$2,0,0,ROW()-1,33),ROW()-1,FALSE))</f>
        <v>8147.8190000000004</v>
      </c>
      <c r="W77">
        <f ca="1">IF(AND(ISNUMBER($W$496),$B$427=1),$W$496,HLOOKUP(INDIRECT(ADDRESS(2,COLUMN())),OFFSET($AM$2,0,0,ROW()-1,33),ROW()-1,FALSE))</f>
        <v>7462.3270000000002</v>
      </c>
      <c r="X77">
        <f ca="1">IF(AND(ISNUMBER($X$496),$B$427=1),$X$496,HLOOKUP(INDIRECT(ADDRESS(2,COLUMN())),OFFSET($AM$2,0,0,ROW()-1,33),ROW()-1,FALSE))</f>
        <v>2516.8609999999999</v>
      </c>
      <c r="Y77">
        <f ca="1">IF(AND(ISNUMBER($Y$496),$B$427=1),$Y$496,HLOOKUP(INDIRECT(ADDRESS(2,COLUMN())),OFFSET($AM$2,0,0,ROW()-1,33),ROW()-1,FALSE))</f>
        <v>2558.1390000000001</v>
      </c>
      <c r="Z77">
        <f ca="1">IF(AND(ISNUMBER($Z$496),$B$427=1),$Z$496,HLOOKUP(INDIRECT(ADDRESS(2,COLUMN())),OFFSET($AM$2,0,0,ROW()-1,33),ROW()-1,FALSE))</f>
        <v>2865.4009999999998</v>
      </c>
      <c r="AA77">
        <f ca="1">IF(AND(ISNUMBER($AA$496),$B$427=1),$AA$496,HLOOKUP(INDIRECT(ADDRESS(2,COLUMN())),OFFSET($AM$2,0,0,ROW()-1,33),ROW()-1,FALSE))</f>
        <v>2728.2779999999998</v>
      </c>
      <c r="AB77">
        <f ca="1">IF(AND(ISNUMBER($AB$496),$B$427=1),$AB$496,HLOOKUP(INDIRECT(ADDRESS(2,COLUMN())),OFFSET($AM$2,0,0,ROW()-1,33),ROW()-1,FALSE))</f>
        <v>2625.3690000000001</v>
      </c>
      <c r="AC77">
        <f ca="1">IF(AND(ISNUMBER($AC$496),$B$427=1),$AC$496,HLOOKUP(INDIRECT(ADDRESS(2,COLUMN())),OFFSET($AM$2,0,0,ROW()-1,33),ROW()-1,FALSE))</f>
        <v>2498.9</v>
      </c>
      <c r="AD77">
        <f ca="1">IF(AND(ISNUMBER($AD$496),$B$427=1),$AD$496,HLOOKUP(INDIRECT(ADDRESS(2,COLUMN())),OFFSET($AM$2,0,0,ROW()-1,33),ROW()-1,FALSE))</f>
        <v>2281.3939999999998</v>
      </c>
      <c r="AE77">
        <f ca="1">IF(AND(ISNUMBER($AE$496),$B$427=1),$AE$496,HLOOKUP(INDIRECT(ADDRESS(2,COLUMN())),OFFSET($AM$2,0,0,ROW()-1,33),ROW()-1,FALSE))</f>
        <v>1958.395</v>
      </c>
      <c r="AF77">
        <f ca="1">IF(AND(ISNUMBER($AF$496),$B$427=1),$AF$496,HLOOKUP(INDIRECT(ADDRESS(2,COLUMN())),OFFSET($AM$2,0,0,ROW()-1,33),ROW()-1,FALSE))</f>
        <v>1851.5419999999999</v>
      </c>
      <c r="AG77">
        <f ca="1">IF(AND(ISNUMBER($AG$496),$B$427=1),$AG$496,HLOOKUP(INDIRECT(ADDRESS(2,COLUMN())),OFFSET($AM$2,0,0,ROW()-1,33),ROW()-1,FALSE))</f>
        <v>2065.7249999999999</v>
      </c>
      <c r="AH77">
        <f ca="1">IF(AND(ISNUMBER($AH$496),$B$427=1),$AH$496,HLOOKUP(INDIRECT(ADDRESS(2,COLUMN())),OFFSET($AM$2,0,0,ROW()-1,33),ROW()-1,FALSE))</f>
        <v>2084.3159999999998</v>
      </c>
      <c r="AI77">
        <f ca="1">IF(AND(ISNUMBER($AI$496),$B$427=1),$AI$496,HLOOKUP(INDIRECT(ADDRESS(2,COLUMN())),OFFSET($AM$2,0,0,ROW()-1,33),ROW()-1,FALSE))</f>
        <v>1965.578</v>
      </c>
      <c r="AJ77">
        <f ca="1">IF(AND(ISNUMBER($AJ$496),$B$427=1),$AJ$496,HLOOKUP(INDIRECT(ADDRESS(2,COLUMN())),OFFSET($AM$2,0,0,ROW()-1,33),ROW()-1,FALSE))</f>
        <v>1753.1669999999999</v>
      </c>
      <c r="AK77">
        <f ca="1">IF(AND(ISNUMBER($AK$496),$B$427=1),$AK$496,HLOOKUP(INDIRECT(ADDRESS(2,COLUMN())),OFFSET($AM$2,0,0,ROW()-1,33),ROW()-1,FALSE))</f>
        <v>1487.4829999999999</v>
      </c>
      <c r="AL77">
        <f ca="1">IF(AND(ISNUMBER($AL$496),$B$427=1),$AL$496,HLOOKUP(INDIRECT(ADDRESS(2,COLUMN())),OFFSET($AM$2,0,0,ROW()-1,33),ROW()-1,FALSE))</f>
        <v>1364.4929999999999</v>
      </c>
      <c r="AM77">
        <f>63920</f>
        <v>63920</v>
      </c>
      <c r="AN77">
        <f>59361.594</f>
        <v>59361.593999999997</v>
      </c>
      <c r="AO77">
        <f>42423.534</f>
        <v>42423.534</v>
      </c>
      <c r="AP77">
        <f>24383.14</f>
        <v>24383.14</v>
      </c>
      <c r="AQ77">
        <f>23683.019</f>
        <v>23683.019</v>
      </c>
      <c r="AR77">
        <f>22445.262</f>
        <v>22445.261999999999</v>
      </c>
      <c r="AS77">
        <f>19612.581</f>
        <v>19612.580999999998</v>
      </c>
      <c r="AT77">
        <f>18149.2</f>
        <v>18149.2</v>
      </c>
      <c r="AU77">
        <f>16616.788</f>
        <v>16616.788</v>
      </c>
      <c r="AV77">
        <f>15645.904</f>
        <v>15645.904</v>
      </c>
      <c r="AW77">
        <f>14767.675</f>
        <v>14767.674999999999</v>
      </c>
      <c r="AX77">
        <f>11137.316</f>
        <v>11137.316000000001</v>
      </c>
      <c r="AY77">
        <f>10787.587</f>
        <v>10787.587</v>
      </c>
      <c r="AZ77">
        <f>11183.954</f>
        <v>11183.954</v>
      </c>
      <c r="BA77">
        <f>10487.345</f>
        <v>10487.344999999999</v>
      </c>
      <c r="BB77">
        <f>9498.549</f>
        <v>9498.5490000000009</v>
      </c>
      <c r="BC77">
        <f>8147.819</f>
        <v>8147.8190000000004</v>
      </c>
      <c r="BD77">
        <f>7462.327</f>
        <v>7462.3270000000002</v>
      </c>
      <c r="BE77">
        <f>2516.861</f>
        <v>2516.8609999999999</v>
      </c>
      <c r="BF77">
        <f>2558.139</f>
        <v>2558.1390000000001</v>
      </c>
      <c r="BG77">
        <f>2865.401</f>
        <v>2865.4009999999998</v>
      </c>
      <c r="BH77">
        <f>2728.278</f>
        <v>2728.2779999999998</v>
      </c>
      <c r="BI77">
        <f>2625.369</f>
        <v>2625.3690000000001</v>
      </c>
      <c r="BJ77">
        <f>2498.9</f>
        <v>2498.9</v>
      </c>
      <c r="BK77">
        <f>2281.394</f>
        <v>2281.3939999999998</v>
      </c>
      <c r="BL77">
        <f>1958.395</f>
        <v>1958.395</v>
      </c>
      <c r="BM77">
        <f>1851.542</f>
        <v>1851.5419999999999</v>
      </c>
      <c r="BN77">
        <f>2065.725</f>
        <v>2065.7249999999999</v>
      </c>
      <c r="BO77">
        <f>2084.316</f>
        <v>2084.3159999999998</v>
      </c>
      <c r="BP77">
        <f>1965.578</f>
        <v>1965.578</v>
      </c>
      <c r="BQ77">
        <f>1753.167</f>
        <v>1753.1669999999999</v>
      </c>
      <c r="BR77">
        <f>1487.483</f>
        <v>1487.4829999999999</v>
      </c>
      <c r="BS77">
        <f>1364.493</f>
        <v>1364.4929999999999</v>
      </c>
    </row>
    <row r="78" spans="1:71" x14ac:dyDescent="0.25">
      <c r="A78" t="str">
        <f>"        Flagstar Financial Inc"</f>
        <v xml:space="preserve">        Flagstar Financial Inc</v>
      </c>
      <c r="B78" t="str">
        <f>"FLG US Equity"</f>
        <v>FLG US Equity</v>
      </c>
      <c r="C78" t="str">
        <f t="shared" si="9"/>
        <v>F0093</v>
      </c>
      <c r="D78" t="str">
        <f t="shared" si="10"/>
        <v>FED_REAL_ESTATE_LOANS_DOMESTIC</v>
      </c>
      <c r="E78" t="str">
        <f t="shared" si="11"/>
        <v>Dynamic</v>
      </c>
      <c r="F78">
        <f ca="1">IF(AND(ISNUMBER($F$497),$B$427=1),$F$497,HLOOKUP(INDIRECT(ADDRESS(2,COLUMN())),OFFSET($AM$2,0,0,ROW()-1,33),ROW()-1,FALSE))</f>
        <v>53532.53</v>
      </c>
      <c r="G78">
        <f ca="1">IF(AND(ISNUMBER($G$497),$B$427=1),$G$497,HLOOKUP(INDIRECT(ADDRESS(2,COLUMN())),OFFSET($AM$2,0,0,ROW()-1,33),ROW()-1,FALSE))</f>
        <v>59102.834999999999</v>
      </c>
      <c r="H78">
        <f ca="1">IF(AND(ISNUMBER($H$497),$B$427=1),$H$497,HLOOKUP(INDIRECT(ADDRESS(2,COLUMN())),OFFSET($AM$2,0,0,ROW()-1,33),ROW()-1,FALSE))</f>
        <v>56479.502</v>
      </c>
      <c r="I78">
        <f ca="1">IF(AND(ISNUMBER($I$497),$B$427=1),$I$497,HLOOKUP(INDIRECT(ADDRESS(2,COLUMN())),OFFSET($AM$2,0,0,ROW()-1,33),ROW()-1,FALSE))</f>
        <v>41697.951999999997</v>
      </c>
      <c r="J78">
        <f ca="1">IF(AND(ISNUMBER($J$497),$B$427=1),$J$497,HLOOKUP(INDIRECT(ADDRESS(2,COLUMN())),OFFSET($AM$2,0,0,ROW()-1,33),ROW()-1,FALSE))</f>
        <v>39426.186000000002</v>
      </c>
      <c r="K78">
        <f ca="1">IF(AND(ISNUMBER($K$497),$B$427=1),$K$497,HLOOKUP(INDIRECT(ADDRESS(2,COLUMN())),OFFSET($AM$2,0,0,ROW()-1,33),ROW()-1,FALSE))</f>
        <v>38847.726000000002</v>
      </c>
      <c r="L78">
        <f ca="1">IF(AND(ISNUMBER($L$497),$B$427=1),$L$497,HLOOKUP(INDIRECT(ADDRESS(2,COLUMN())),OFFSET($AM$2,0,0,ROW()-1,33),ROW()-1,FALSE))</f>
        <v>37759.339999999997</v>
      </c>
      <c r="M78">
        <f ca="1">IF(AND(ISNUMBER($M$497),$B$427=1),$M$497,HLOOKUP(INDIRECT(ADDRESS(2,COLUMN())),OFFSET($AM$2,0,0,ROW()-1,33),ROW()-1,FALSE))</f>
        <v>36365.139000000003</v>
      </c>
      <c r="N78">
        <f ca="1">IF(AND(ISNUMBER($N$497),$B$427=1),$N$497,HLOOKUP(INDIRECT(ADDRESS(2,COLUMN())),OFFSET($AM$2,0,0,ROW()-1,33),ROW()-1,FALSE))</f>
        <v>37568.722999999998</v>
      </c>
      <c r="O78">
        <f ca="1">IF(AND(ISNUMBER($O$497),$B$427=1),$O$497,HLOOKUP(INDIRECT(ADDRESS(2,COLUMN())),OFFSET($AM$2,0,0,ROW()-1,33),ROW()-1,FALSE))</f>
        <v>36721.963000000003</v>
      </c>
      <c r="P78">
        <f ca="1">IF(AND(ISNUMBER($P$497),$B$427=1),$P$497,HLOOKUP(INDIRECT(ADDRESS(2,COLUMN())),OFFSET($AM$2,0,0,ROW()-1,33),ROW()-1,FALSE))</f>
        <v>34546.004999999997</v>
      </c>
      <c r="Q78">
        <f ca="1">IF(AND(ISNUMBER($Q$497),$B$427=1),$Q$497,HLOOKUP(INDIRECT(ADDRESS(2,COLUMN())),OFFSET($AM$2,0,0,ROW()-1,33),ROW()-1,FALSE))</f>
        <v>32091.013999999999</v>
      </c>
      <c r="R78">
        <f ca="1">IF(AND(ISNUMBER($R$497),$B$427=1),$R$497,HLOOKUP(INDIRECT(ADDRESS(2,COLUMN())),OFFSET($AM$2,0,0,ROW()-1,33),ROW()-1,FALSE))</f>
        <v>31138.721000000001</v>
      </c>
      <c r="S78">
        <f ca="1">IF(AND(ISNUMBER($S$497),$B$427=1),$S$497,HLOOKUP(INDIRECT(ADDRESS(2,COLUMN())),OFFSET($AM$2,0,0,ROW()-1,33),ROW()-1,FALSE))</f>
        <v>29646.51</v>
      </c>
      <c r="T78">
        <f ca="1">IF(AND(ISNUMBER($T$497),$B$427=1),$T$497,HLOOKUP(INDIRECT(ADDRESS(2,COLUMN())),OFFSET($AM$2,0,0,ROW()-1,33),ROW()-1,FALSE))</f>
        <v>28472.128000000001</v>
      </c>
      <c r="U78">
        <f ca="1">IF(AND(ISNUMBER($U$497),$B$427=1),$U$497,HLOOKUP(INDIRECT(ADDRESS(2,COLUMN())),OFFSET($AM$2,0,0,ROW()-1,33),ROW()-1,FALSE))</f>
        <v>27709.499</v>
      </c>
      <c r="V78">
        <f ca="1">IF(AND(ISNUMBER($V$497),$B$427=1),$V$497,HLOOKUP(INDIRECT(ADDRESS(2,COLUMN())),OFFSET($AM$2,0,0,ROW()-1,33),ROW()-1,FALSE))</f>
        <v>21448.824000000001</v>
      </c>
      <c r="W78">
        <f ca="1">IF(AND(ISNUMBER($W$497),$B$427=1),$W$497,HLOOKUP(INDIRECT(ADDRESS(2,COLUMN())),OFFSET($AM$2,0,0,ROW()-1,33),ROW()-1,FALSE))</f>
        <v>19575.513999999999</v>
      </c>
      <c r="X78">
        <f ca="1">IF(AND(ISNUMBER($X$497),$B$427=1),$X$497,HLOOKUP(INDIRECT(ADDRESS(2,COLUMN())),OFFSET($AM$2,0,0,ROW()-1,33),ROW()-1,FALSE))</f>
        <v>14777.341</v>
      </c>
      <c r="Y78">
        <f ca="1">IF(AND(ISNUMBER($Y$497),$B$427=1),$Y$497,HLOOKUP(INDIRECT(ADDRESS(2,COLUMN())),OFFSET($AM$2,0,0,ROW()-1,33),ROW()-1,FALSE))</f>
        <v>13128.787</v>
      </c>
      <c r="Z78">
        <f ca="1">IF(AND(ISNUMBER($Z$497),$B$427=1),$Z$497,HLOOKUP(INDIRECT(ADDRESS(2,COLUMN())),OFFSET($AM$2,0,0,ROW()-1,33),ROW()-1,FALSE))</f>
        <v>10354.621999999999</v>
      </c>
      <c r="AA78">
        <f ca="1">IF(AND(ISNUMBER($AA$497),$B$427=1),$AA$497,HLOOKUP(INDIRECT(ADDRESS(2,COLUMN())),OFFSET($AM$2,0,0,ROW()-1,33),ROW()-1,FALSE))</f>
        <v>8242.482</v>
      </c>
      <c r="AB78">
        <f ca="1">IF(AND(ISNUMBER($AB$497),$B$427=1),$AB$497,HLOOKUP(INDIRECT(ADDRESS(2,COLUMN())),OFFSET($AM$2,0,0,ROW()-1,33),ROW()-1,FALSE))</f>
        <v>4763.2690000000002</v>
      </c>
      <c r="AC78">
        <f ca="1">IF(AND(ISNUMBER($AC$497),$B$427=1),$AC$497,HLOOKUP(INDIRECT(ADDRESS(2,COLUMN())),OFFSET($AM$2,0,0,ROW()-1,33),ROW()-1,FALSE))</f>
        <v>4668.2740000000003</v>
      </c>
      <c r="AD78">
        <f ca="1">IF(AND(ISNUMBER($AD$497),$B$427=1),$AD$497,HLOOKUP(INDIRECT(ADDRESS(2,COLUMN())),OFFSET($AM$2,0,0,ROW()-1,33),ROW()-1,FALSE))</f>
        <v>1601.162</v>
      </c>
      <c r="AE78">
        <f ca="1">IF(AND(ISNUMBER($AE$497),$B$427=1),$AE$497,HLOOKUP(INDIRECT(ADDRESS(2,COLUMN())),OFFSET($AM$2,0,0,ROW()-1,33),ROW()-1,FALSE))</f>
        <v>1509.848</v>
      </c>
      <c r="AF78">
        <f ca="1">IF(AND(ISNUMBER($AF$497),$B$427=1),$AF$497,HLOOKUP(INDIRECT(ADDRESS(2,COLUMN())),OFFSET($AM$2,0,0,ROW()-1,33),ROW()-1,FALSE))</f>
        <v>1428.05</v>
      </c>
      <c r="AG78">
        <f ca="1">IF(AND(ISNUMBER($AG$497),$B$427=1),$AG$497,HLOOKUP(INDIRECT(ADDRESS(2,COLUMN())),OFFSET($AM$2,0,0,ROW()-1,33),ROW()-1,FALSE))</f>
        <v>1343.182</v>
      </c>
      <c r="AH78">
        <f ca="1">IF(AND(ISNUMBER($AH$497),$B$427=1),$AH$497,HLOOKUP(INDIRECT(ADDRESS(2,COLUMN())),OFFSET($AM$2,0,0,ROW()-1,33),ROW()-1,FALSE))</f>
        <v>1092.145</v>
      </c>
      <c r="AI78">
        <f ca="1">IF(AND(ISNUMBER($AI$497),$B$427=1),$AI$497,HLOOKUP(INDIRECT(ADDRESS(2,COLUMN())),OFFSET($AM$2,0,0,ROW()-1,33),ROW()-1,FALSE))</f>
        <v>944.26900000000001</v>
      </c>
      <c r="AJ78">
        <f ca="1">IF(AND(ISNUMBER($AJ$497),$B$427=1),$AJ$497,HLOOKUP(INDIRECT(ADDRESS(2,COLUMN())),OFFSET($AM$2,0,0,ROW()-1,33),ROW()-1,FALSE))</f>
        <v>881.32500000000005</v>
      </c>
      <c r="AK78">
        <f ca="1">IF(AND(ISNUMBER($AK$497),$B$427=1),$AK$497,HLOOKUP(INDIRECT(ADDRESS(2,COLUMN())),OFFSET($AM$2,0,0,ROW()-1,33),ROW()-1,FALSE))</f>
        <v>717.74300000000005</v>
      </c>
      <c r="AL78" t="str">
        <f ca="1">IF(AND(ISNUMBER($AL$497),$B$427=1),$AL$497,HLOOKUP(INDIRECT(ADDRESS(2,COLUMN())),OFFSET($AM$2,0,0,ROW()-1,33),ROW()-1,FALSE))</f>
        <v/>
      </c>
      <c r="AM78">
        <f>53532.53</f>
        <v>53532.53</v>
      </c>
      <c r="AN78">
        <f>59102.835</f>
        <v>59102.834999999999</v>
      </c>
      <c r="AO78">
        <f>56479.502</f>
        <v>56479.502</v>
      </c>
      <c r="AP78">
        <f>41697.952</f>
        <v>41697.951999999997</v>
      </c>
      <c r="AQ78">
        <f>39426.186</f>
        <v>39426.186000000002</v>
      </c>
      <c r="AR78">
        <f>38847.726</f>
        <v>38847.726000000002</v>
      </c>
      <c r="AS78">
        <f>37759.34</f>
        <v>37759.339999999997</v>
      </c>
      <c r="AT78">
        <f>36365.139</f>
        <v>36365.139000000003</v>
      </c>
      <c r="AU78">
        <f>37568.723</f>
        <v>37568.722999999998</v>
      </c>
      <c r="AV78">
        <f>36721.963</f>
        <v>36721.963000000003</v>
      </c>
      <c r="AW78">
        <f>34546.005</f>
        <v>34546.004999999997</v>
      </c>
      <c r="AX78">
        <f>32091.014</f>
        <v>32091.013999999999</v>
      </c>
      <c r="AY78">
        <f>31138.721</f>
        <v>31138.721000000001</v>
      </c>
      <c r="AZ78">
        <f>29646.51</f>
        <v>29646.51</v>
      </c>
      <c r="BA78">
        <f>28472.128</f>
        <v>28472.128000000001</v>
      </c>
      <c r="BB78">
        <f>27709.499</f>
        <v>27709.499</v>
      </c>
      <c r="BC78">
        <f>21448.824</f>
        <v>21448.824000000001</v>
      </c>
      <c r="BD78">
        <f>19575.514</f>
        <v>19575.513999999999</v>
      </c>
      <c r="BE78">
        <f>14777.341</f>
        <v>14777.341</v>
      </c>
      <c r="BF78">
        <f>13128.787</f>
        <v>13128.787</v>
      </c>
      <c r="BG78">
        <f>10354.622</f>
        <v>10354.621999999999</v>
      </c>
      <c r="BH78">
        <f>8242.482</f>
        <v>8242.482</v>
      </c>
      <c r="BI78">
        <f>4763.269</f>
        <v>4763.2690000000002</v>
      </c>
      <c r="BJ78">
        <f>4668.274</f>
        <v>4668.2740000000003</v>
      </c>
      <c r="BK78">
        <f>1601.162</f>
        <v>1601.162</v>
      </c>
      <c r="BL78">
        <f>1509.848</f>
        <v>1509.848</v>
      </c>
      <c r="BM78">
        <f>1428.05</f>
        <v>1428.05</v>
      </c>
      <c r="BN78">
        <f>1343.182</f>
        <v>1343.182</v>
      </c>
      <c r="BO78">
        <f>1092.145</f>
        <v>1092.145</v>
      </c>
      <c r="BP78">
        <f>944.269</f>
        <v>944.26900000000001</v>
      </c>
      <c r="BQ78">
        <f>881.325</f>
        <v>881.32500000000005</v>
      </c>
      <c r="BR78">
        <f>717.743</f>
        <v>717.74300000000005</v>
      </c>
      <c r="BS78" t="str">
        <f>""</f>
        <v/>
      </c>
    </row>
    <row r="79" spans="1:71" x14ac:dyDescent="0.25">
      <c r="A79" t="str">
        <f>"        Huntington Bancshares Inc/OH"</f>
        <v xml:space="preserve">        Huntington Bancshares Inc/OH</v>
      </c>
      <c r="B79" t="str">
        <f>"HBAN US Equity"</f>
        <v>HBAN US Equity</v>
      </c>
      <c r="C79" t="str">
        <f t="shared" si="9"/>
        <v>F0093</v>
      </c>
      <c r="D79" t="str">
        <f t="shared" si="10"/>
        <v>FED_REAL_ESTATE_LOANS_DOMESTIC</v>
      </c>
      <c r="E79" t="str">
        <f t="shared" si="11"/>
        <v>Dynamic</v>
      </c>
      <c r="F79">
        <f ca="1">IF(AND(ISNUMBER($F$498),$B$427=1),$F$498,HLOOKUP(INDIRECT(ADDRESS(2,COLUMN())),OFFSET($AM$2,0,0,ROW()-1,33),ROW()-1,FALSE))</f>
        <v>53483.928</v>
      </c>
      <c r="G79">
        <f ca="1">IF(AND(ISNUMBER($G$498),$B$427=1),$G$498,HLOOKUP(INDIRECT(ADDRESS(2,COLUMN())),OFFSET($AM$2,0,0,ROW()-1,33),ROW()-1,FALSE))</f>
        <v>53402.294000000002</v>
      </c>
      <c r="H79">
        <f ca="1">IF(AND(ISNUMBER($H$498),$B$427=1),$H$498,HLOOKUP(INDIRECT(ADDRESS(2,COLUMN())),OFFSET($AM$2,0,0,ROW()-1,33),ROW()-1,FALSE))</f>
        <v>53149.311000000002</v>
      </c>
      <c r="I79">
        <f ca="1">IF(AND(ISNUMBER($I$498),$B$427=1),$I$498,HLOOKUP(INDIRECT(ADDRESS(2,COLUMN())),OFFSET($AM$2,0,0,ROW()-1,33),ROW()-1,FALSE))</f>
        <v>50796.968999999997</v>
      </c>
      <c r="J79">
        <f ca="1">IF(AND(ISNUMBER($J$498),$B$427=1),$J$498,HLOOKUP(INDIRECT(ADDRESS(2,COLUMN())),OFFSET($AM$2,0,0,ROW()-1,33),ROW()-1,FALSE))</f>
        <v>32425.785</v>
      </c>
      <c r="K79">
        <f ca="1">IF(AND(ISNUMBER($K$498),$B$427=1),$K$498,HLOOKUP(INDIRECT(ADDRESS(2,COLUMN())),OFFSET($AM$2,0,0,ROW()-1,33),ROW()-1,FALSE))</f>
        <v>30923.15</v>
      </c>
      <c r="L79">
        <f ca="1">IF(AND(ISNUMBER($L$498),$B$427=1),$L$498,HLOOKUP(INDIRECT(ADDRESS(2,COLUMN())),OFFSET($AM$2,0,0,ROW()-1,33),ROW()-1,FALSE))</f>
        <v>31072.44</v>
      </c>
      <c r="M79">
        <f ca="1">IF(AND(ISNUMBER($M$498),$B$427=1),$M$498,HLOOKUP(INDIRECT(ADDRESS(2,COLUMN())),OFFSET($AM$2,0,0,ROW()-1,33),ROW()-1,FALSE))</f>
        <v>30028.988000000001</v>
      </c>
      <c r="N79">
        <f ca="1">IF(AND(ISNUMBER($N$498),$B$427=1),$N$498,HLOOKUP(INDIRECT(ADDRESS(2,COLUMN())),OFFSET($AM$2,0,0,ROW()-1,33),ROW()-1,FALSE))</f>
        <v>29780.175999999999</v>
      </c>
      <c r="O79">
        <f ca="1">IF(AND(ISNUMBER($O$498),$B$427=1),$O$498,HLOOKUP(INDIRECT(ADDRESS(2,COLUMN())),OFFSET($AM$2,0,0,ROW()-1,33),ROW()-1,FALSE))</f>
        <v>22604.331999999999</v>
      </c>
      <c r="P79">
        <f ca="1">IF(AND(ISNUMBER($P$498),$B$427=1),$P$498,HLOOKUP(INDIRECT(ADDRESS(2,COLUMN())),OFFSET($AM$2,0,0,ROW()-1,33),ROW()-1,FALSE))</f>
        <v>22923.406999999999</v>
      </c>
      <c r="Q79">
        <f ca="1">IF(AND(ISNUMBER($Q$498),$B$427=1),$Q$498,HLOOKUP(INDIRECT(ADDRESS(2,COLUMN())),OFFSET($AM$2,0,0,ROW()-1,33),ROW()-1,FALSE))</f>
        <v>21964.952000000001</v>
      </c>
      <c r="R79">
        <f ca="1">IF(AND(ISNUMBER($R$498),$B$427=1),$R$498,HLOOKUP(INDIRECT(ADDRESS(2,COLUMN())),OFFSET($AM$2,0,0,ROW()-1,33),ROW()-1,FALSE))</f>
        <v>22042.948</v>
      </c>
      <c r="S79">
        <f ca="1">IF(AND(ISNUMBER($S$498),$B$427=1),$S$498,HLOOKUP(INDIRECT(ADDRESS(2,COLUMN())),OFFSET($AM$2,0,0,ROW()-1,33),ROW()-1,FALSE))</f>
        <v>22656.348999999998</v>
      </c>
      <c r="T79">
        <f ca="1">IF(AND(ISNUMBER($T$498),$B$427=1),$T$498,HLOOKUP(INDIRECT(ADDRESS(2,COLUMN())),OFFSET($AM$2,0,0,ROW()-1,33),ROW()-1,FALSE))</f>
        <v>22806.440999999999</v>
      </c>
      <c r="U79">
        <f ca="1">IF(AND(ISNUMBER($U$498),$B$427=1),$U$498,HLOOKUP(INDIRECT(ADDRESS(2,COLUMN())),OFFSET($AM$2,0,0,ROW()-1,33),ROW()-1,FALSE))</f>
        <v>24044.321</v>
      </c>
      <c r="V79">
        <f ca="1">IF(AND(ISNUMBER($V$498),$B$427=1),$V$498,HLOOKUP(INDIRECT(ADDRESS(2,COLUMN())),OFFSET($AM$2,0,0,ROW()-1,33),ROW()-1,FALSE))</f>
        <v>25953.167000000001</v>
      </c>
      <c r="W79">
        <f ca="1">IF(AND(ISNUMBER($W$498),$B$427=1),$W$498,HLOOKUP(INDIRECT(ADDRESS(2,COLUMN())),OFFSET($AM$2,0,0,ROW()-1,33),ROW()-1,FALSE))</f>
        <v>25817.452000000001</v>
      </c>
      <c r="X79">
        <f ca="1">IF(AND(ISNUMBER($X$498),$B$427=1),$X$498,HLOOKUP(INDIRECT(ADDRESS(2,COLUMN())),OFFSET($AM$2,0,0,ROW()-1,33),ROW()-1,FALSE))</f>
        <v>10205.789000000001</v>
      </c>
      <c r="Y79">
        <f ca="1">IF(AND(ISNUMBER($Y$498),$B$427=1),$Y$498,HLOOKUP(INDIRECT(ADDRESS(2,COLUMN())),OFFSET($AM$2,0,0,ROW()-1,33),ROW()-1,FALSE))</f>
        <v>9632.85</v>
      </c>
      <c r="Z79">
        <f ca="1">IF(AND(ISNUMBER($Z$498),$B$427=1),$Z$498,HLOOKUP(INDIRECT(ADDRESS(2,COLUMN())),OFFSET($AM$2,0,0,ROW()-1,33),ROW()-1,FALSE))</f>
        <v>9223.9940000000006</v>
      </c>
      <c r="AA79">
        <f ca="1">IF(AND(ISNUMBER($AA$498),$B$427=1),$AA$498,HLOOKUP(INDIRECT(ADDRESS(2,COLUMN())),OFFSET($AM$2,0,0,ROW()-1,33),ROW()-1,FALSE))</f>
        <v>6629.6859999999997</v>
      </c>
      <c r="AB79">
        <f ca="1">IF(AND(ISNUMBER($AB$498),$B$427=1),$AB$498,HLOOKUP(INDIRECT(ADDRESS(2,COLUMN())),OFFSET($AM$2,0,0,ROW()-1,33),ROW()-1,FALSE))</f>
        <v>5757.8419999999996</v>
      </c>
      <c r="AC79">
        <f ca="1">IF(AND(ISNUMBER($AC$498),$B$427=1),$AC$498,HLOOKUP(INDIRECT(ADDRESS(2,COLUMN())),OFFSET($AM$2,0,0,ROW()-1,33),ROW()-1,FALSE))</f>
        <v>5608.2709999999997</v>
      </c>
      <c r="AD79">
        <f ca="1">IF(AND(ISNUMBER($AD$498),$B$427=1),$AD$498,HLOOKUP(INDIRECT(ADDRESS(2,COLUMN())),OFFSET($AM$2,0,0,ROW()-1,33),ROW()-1,FALSE))</f>
        <v>4693.8379999999997</v>
      </c>
      <c r="AE79">
        <f ca="1">IF(AND(ISNUMBER($AE$498),$B$427=1),$AE$498,HLOOKUP(INDIRECT(ADDRESS(2,COLUMN())),OFFSET($AM$2,0,0,ROW()-1,33),ROW()-1,FALSE))</f>
        <v>4486.9430000000002</v>
      </c>
      <c r="AF79">
        <f ca="1">IF(AND(ISNUMBER($AF$498),$B$427=1),$AF$498,HLOOKUP(INDIRECT(ADDRESS(2,COLUMN())),OFFSET($AM$2,0,0,ROW()-1,33),ROW()-1,FALSE))</f>
        <v>4501.8289999999997</v>
      </c>
      <c r="AG79">
        <f ca="1">IF(AND(ISNUMBER($AG$498),$B$427=1),$AG$498,HLOOKUP(INDIRECT(ADDRESS(2,COLUMN())),OFFSET($AM$2,0,0,ROW()-1,33),ROW()-1,FALSE))</f>
        <v>3823.2040000000002</v>
      </c>
      <c r="AH79">
        <f ca="1">IF(AND(ISNUMBER($AH$498),$B$427=1),$AH$498,HLOOKUP(INDIRECT(ADDRESS(2,COLUMN())),OFFSET($AM$2,0,0,ROW()-1,33),ROW()-1,FALSE))</f>
        <v>2896.0309999999999</v>
      </c>
      <c r="AI79">
        <f ca="1">IF(AND(ISNUMBER($AI$498),$B$427=1),$AI$498,HLOOKUP(INDIRECT(ADDRESS(2,COLUMN())),OFFSET($AM$2,0,0,ROW()-1,33),ROW()-1,FALSE))</f>
        <v>2892.154</v>
      </c>
      <c r="AJ79">
        <f ca="1">IF(AND(ISNUMBER($AJ$498),$B$427=1),$AJ$498,HLOOKUP(INDIRECT(ADDRESS(2,COLUMN())),OFFSET($AM$2,0,0,ROW()-1,33),ROW()-1,FALSE))</f>
        <v>3028.0459999999998</v>
      </c>
      <c r="AK79">
        <f ca="1">IF(AND(ISNUMBER($AK$498),$B$427=1),$AK$498,HLOOKUP(INDIRECT(ADDRESS(2,COLUMN())),OFFSET($AM$2,0,0,ROW()-1,33),ROW()-1,FALSE))</f>
        <v>3572.8580000000002</v>
      </c>
      <c r="AL79">
        <f ca="1">IF(AND(ISNUMBER($AL$498),$B$427=1),$AL$498,HLOOKUP(INDIRECT(ADDRESS(2,COLUMN())),OFFSET($AM$2,0,0,ROW()-1,33),ROW()-1,FALSE))</f>
        <v>1977.751</v>
      </c>
      <c r="AM79">
        <f>53483.928</f>
        <v>53483.928</v>
      </c>
      <c r="AN79">
        <f>53402.294</f>
        <v>53402.294000000002</v>
      </c>
      <c r="AO79">
        <f>53149.311</f>
        <v>53149.311000000002</v>
      </c>
      <c r="AP79">
        <f>50796.969</f>
        <v>50796.968999999997</v>
      </c>
      <c r="AQ79">
        <f>32425.785</f>
        <v>32425.785</v>
      </c>
      <c r="AR79">
        <f>30923.15</f>
        <v>30923.15</v>
      </c>
      <c r="AS79">
        <f>31072.44</f>
        <v>31072.44</v>
      </c>
      <c r="AT79">
        <f>30028.988</f>
        <v>30028.988000000001</v>
      </c>
      <c r="AU79">
        <f>29780.176</f>
        <v>29780.175999999999</v>
      </c>
      <c r="AV79">
        <f>22604.332</f>
        <v>22604.331999999999</v>
      </c>
      <c r="AW79">
        <f>22923.407</f>
        <v>22923.406999999999</v>
      </c>
      <c r="AX79">
        <f>21964.952</f>
        <v>21964.952000000001</v>
      </c>
      <c r="AY79">
        <f>22042.948</f>
        <v>22042.948</v>
      </c>
      <c r="AZ79">
        <f>22656.349</f>
        <v>22656.348999999998</v>
      </c>
      <c r="BA79">
        <f>22806.441</f>
        <v>22806.440999999999</v>
      </c>
      <c r="BB79">
        <f>24044.321</f>
        <v>24044.321</v>
      </c>
      <c r="BC79">
        <f>25953.167</f>
        <v>25953.167000000001</v>
      </c>
      <c r="BD79">
        <f>25817.452</f>
        <v>25817.452000000001</v>
      </c>
      <c r="BE79">
        <f>10205.789</f>
        <v>10205.789000000001</v>
      </c>
      <c r="BF79">
        <f>9632.85</f>
        <v>9632.85</v>
      </c>
      <c r="BG79">
        <f>9223.994</f>
        <v>9223.9940000000006</v>
      </c>
      <c r="BH79">
        <f>6629.686</f>
        <v>6629.6859999999997</v>
      </c>
      <c r="BI79">
        <f>5757.842</f>
        <v>5757.8419999999996</v>
      </c>
      <c r="BJ79">
        <f>5608.271</f>
        <v>5608.2709999999997</v>
      </c>
      <c r="BK79">
        <f>4693.838</f>
        <v>4693.8379999999997</v>
      </c>
      <c r="BL79">
        <f>4486.943</f>
        <v>4486.9430000000002</v>
      </c>
      <c r="BM79">
        <f>4501.829</f>
        <v>4501.8289999999997</v>
      </c>
      <c r="BN79">
        <f>3823.204</f>
        <v>3823.2040000000002</v>
      </c>
      <c r="BO79">
        <f>2896.031</f>
        <v>2896.0309999999999</v>
      </c>
      <c r="BP79">
        <f>2892.154</f>
        <v>2892.154</v>
      </c>
      <c r="BQ79">
        <f>3028.046</f>
        <v>3028.0459999999998</v>
      </c>
      <c r="BR79">
        <f>3572.858</f>
        <v>3572.8580000000002</v>
      </c>
      <c r="BS79">
        <f>1977.751</f>
        <v>1977.751</v>
      </c>
    </row>
    <row r="80" spans="1:71" x14ac:dyDescent="0.25">
      <c r="A80" t="str">
        <f>"        JPMorgan Chase &amp; Co"</f>
        <v xml:space="preserve">        JPMorgan Chase &amp; Co</v>
      </c>
      <c r="B80" t="str">
        <f>"JPM US Equity"</f>
        <v>JPM US Equity</v>
      </c>
      <c r="C80" t="str">
        <f t="shared" si="9"/>
        <v>F0093</v>
      </c>
      <c r="D80" t="str">
        <f t="shared" si="10"/>
        <v>FED_REAL_ESTATE_LOANS_DOMESTIC</v>
      </c>
      <c r="E80" t="str">
        <f t="shared" si="11"/>
        <v>Dynamic</v>
      </c>
      <c r="F80">
        <f ca="1">IF(AND(ISNUMBER($F$499),$B$427=1),$F$499,HLOOKUP(INDIRECT(ADDRESS(2,COLUMN())),OFFSET($AM$2,0,0,ROW()-1,33),ROW()-1,FALSE))</f>
        <v>491456</v>
      </c>
      <c r="G80">
        <f ca="1">IF(AND(ISNUMBER($G$499),$B$427=1),$G$499,HLOOKUP(INDIRECT(ADDRESS(2,COLUMN())),OFFSET($AM$2,0,0,ROW()-1,33),ROW()-1,FALSE))</f>
        <v>504300</v>
      </c>
      <c r="H80">
        <f ca="1">IF(AND(ISNUMBER($H$499),$B$427=1),$H$499,HLOOKUP(INDIRECT(ADDRESS(2,COLUMN())),OFFSET($AM$2,0,0,ROW()-1,33),ROW()-1,FALSE))</f>
        <v>379696</v>
      </c>
      <c r="I80">
        <f ca="1">IF(AND(ISNUMBER($I$499),$B$427=1),$I$499,HLOOKUP(INDIRECT(ADDRESS(2,COLUMN())),OFFSET($AM$2,0,0,ROW()-1,33),ROW()-1,FALSE))</f>
        <v>377412</v>
      </c>
      <c r="J80">
        <f ca="1">IF(AND(ISNUMBER($J$499),$B$427=1),$J$499,HLOOKUP(INDIRECT(ADDRESS(2,COLUMN())),OFFSET($AM$2,0,0,ROW()-1,33),ROW()-1,FALSE))</f>
        <v>367001</v>
      </c>
      <c r="K80">
        <f ca="1">IF(AND(ISNUMBER($K$499),$B$427=1),$K$499,HLOOKUP(INDIRECT(ADDRESS(2,COLUMN())),OFFSET($AM$2,0,0,ROW()-1,33),ROW()-1,FALSE))</f>
        <v>369894</v>
      </c>
      <c r="L80">
        <f ca="1">IF(AND(ISNUMBER($L$499),$B$427=1),$L$499,HLOOKUP(INDIRECT(ADDRESS(2,COLUMN())),OFFSET($AM$2,0,0,ROW()-1,33),ROW()-1,FALSE))</f>
        <v>402637</v>
      </c>
      <c r="M80">
        <f ca="1">IF(AND(ISNUMBER($M$499),$B$427=1),$M$499,HLOOKUP(INDIRECT(ADDRESS(2,COLUMN())),OFFSET($AM$2,0,0,ROW()-1,33),ROW()-1,FALSE))</f>
        <v>397029</v>
      </c>
      <c r="N80">
        <f ca="1">IF(AND(ISNUMBER($N$499),$B$427=1),$N$499,HLOOKUP(INDIRECT(ADDRESS(2,COLUMN())),OFFSET($AM$2,0,0,ROW()-1,33),ROW()-1,FALSE))</f>
        <v>376985</v>
      </c>
      <c r="O80">
        <f ca="1">IF(AND(ISNUMBER($O$499),$B$427=1),$O$499,HLOOKUP(INDIRECT(ADDRESS(2,COLUMN())),OFFSET($AM$2,0,0,ROW()-1,33),ROW()-1,FALSE))</f>
        <v>348323</v>
      </c>
      <c r="P80">
        <f ca="1">IF(AND(ISNUMBER($P$499),$B$427=1),$P$499,HLOOKUP(INDIRECT(ADDRESS(2,COLUMN())),OFFSET($AM$2,0,0,ROW()-1,33),ROW()-1,FALSE))</f>
        <v>292946</v>
      </c>
      <c r="Q80">
        <f ca="1">IF(AND(ISNUMBER($Q$499),$B$427=1),$Q$499,HLOOKUP(INDIRECT(ADDRESS(2,COLUMN())),OFFSET($AM$2,0,0,ROW()-1,33),ROW()-1,FALSE))</f>
        <v>284369</v>
      </c>
      <c r="R80">
        <f ca="1">IF(AND(ISNUMBER($R$499),$B$427=1),$R$499,HLOOKUP(INDIRECT(ADDRESS(2,COLUMN())),OFFSET($AM$2,0,0,ROW()-1,33),ROW()-1,FALSE))</f>
        <v>284335</v>
      </c>
      <c r="S80">
        <f ca="1">IF(AND(ISNUMBER($S$499),$B$427=1),$S$499,HLOOKUP(INDIRECT(ADDRESS(2,COLUMN())),OFFSET($AM$2,0,0,ROW()-1,33),ROW()-1,FALSE))</f>
        <v>294663</v>
      </c>
      <c r="T80">
        <f ca="1">IF(AND(ISNUMBER($T$499),$B$427=1),$T$499,HLOOKUP(INDIRECT(ADDRESS(2,COLUMN())),OFFSET($AM$2,0,0,ROW()-1,33),ROW()-1,FALSE))</f>
        <v>309853</v>
      </c>
      <c r="U80">
        <f ca="1">IF(AND(ISNUMBER($U$499),$B$427=1),$U$499,HLOOKUP(INDIRECT(ADDRESS(2,COLUMN())),OFFSET($AM$2,0,0,ROW()-1,33),ROW()-1,FALSE))</f>
        <v>333778</v>
      </c>
      <c r="V80">
        <f ca="1">IF(AND(ISNUMBER($V$499),$B$427=1),$V$499,HLOOKUP(INDIRECT(ADDRESS(2,COLUMN())),OFFSET($AM$2,0,0,ROW()-1,33),ROW()-1,FALSE))</f>
        <v>366455</v>
      </c>
      <c r="W80">
        <f ca="1">IF(AND(ISNUMBER($W$499),$B$427=1),$W$499,HLOOKUP(INDIRECT(ADDRESS(2,COLUMN())),OFFSET($AM$2,0,0,ROW()-1,33),ROW()-1,FALSE))</f>
        <v>197923</v>
      </c>
      <c r="X80">
        <f ca="1">IF(AND(ISNUMBER($X$499),$B$427=1),$X$499,HLOOKUP(INDIRECT(ADDRESS(2,COLUMN())),OFFSET($AM$2,0,0,ROW()-1,33),ROW()-1,FALSE))</f>
        <v>160867</v>
      </c>
      <c r="Y80">
        <f ca="1">IF(AND(ISNUMBER($Y$499),$B$427=1),$Y$499,HLOOKUP(INDIRECT(ADDRESS(2,COLUMN())),OFFSET($AM$2,0,0,ROW()-1,33),ROW()-1,FALSE))</f>
        <v>147995</v>
      </c>
      <c r="Z80">
        <f ca="1">IF(AND(ISNUMBER($Z$499),$B$427=1),$Z$499,HLOOKUP(INDIRECT(ADDRESS(2,COLUMN())),OFFSET($AM$2,0,0,ROW()-1,33),ROW()-1,FALSE))</f>
        <v>134306</v>
      </c>
      <c r="AA80">
        <f ca="1">IF(AND(ISNUMBER($AA$499),$B$427=1),$AA$499,HLOOKUP(INDIRECT(ADDRESS(2,COLUMN())),OFFSET($AM$2,0,0,ROW()-1,33),ROW()-1,FALSE))</f>
        <v>73240</v>
      </c>
      <c r="AB80">
        <f ca="1">IF(AND(ISNUMBER($AB$499),$B$427=1),$AB$499,HLOOKUP(INDIRECT(ADDRESS(2,COLUMN())),OFFSET($AM$2,0,0,ROW()-1,33),ROW()-1,FALSE))</f>
        <v>63545</v>
      </c>
      <c r="AC80">
        <f ca="1">IF(AND(ISNUMBER($AC$499),$B$427=1),$AC$499,HLOOKUP(INDIRECT(ADDRESS(2,COLUMN())),OFFSET($AM$2,0,0,ROW()-1,33),ROW()-1,FALSE))</f>
        <v>59370</v>
      </c>
      <c r="AD80">
        <f ca="1">IF(AND(ISNUMBER($AD$499),$B$427=1),$AD$499,HLOOKUP(INDIRECT(ADDRESS(2,COLUMN())),OFFSET($AM$2,0,0,ROW()-1,33),ROW()-1,FALSE))</f>
        <v>50358.603000000003</v>
      </c>
      <c r="AE80">
        <f ca="1">IF(AND(ISNUMBER($AE$499),$B$427=1),$AE$499,HLOOKUP(INDIRECT(ADDRESS(2,COLUMN())),OFFSET($AM$2,0,0,ROW()-1,33),ROW()-1,FALSE))</f>
        <v>44651.169000000002</v>
      </c>
      <c r="AF80">
        <f ca="1">IF(AND(ISNUMBER($AF$499),$B$427=1),$AF$499,HLOOKUP(INDIRECT(ADDRESS(2,COLUMN())),OFFSET($AM$2,0,0,ROW()-1,33),ROW()-1,FALSE))</f>
        <v>41975.542000000001</v>
      </c>
      <c r="AG80">
        <f ca="1">IF(AND(ISNUMBER($AG$499),$B$427=1),$AG$499,HLOOKUP(INDIRECT(ADDRESS(2,COLUMN())),OFFSET($AM$2,0,0,ROW()-1,33),ROW()-1,FALSE))</f>
        <v>38938.514000000003</v>
      </c>
      <c r="AH80" t="str">
        <f ca="1">IF(AND(ISNUMBER($AH$499),$B$427=1),$AH$499,HLOOKUP(INDIRECT(ADDRESS(2,COLUMN())),OFFSET($AM$2,0,0,ROW()-1,33),ROW()-1,FALSE))</f>
        <v/>
      </c>
      <c r="AI80" t="str">
        <f ca="1">IF(AND(ISNUMBER($AI$499),$B$427=1),$AI$499,HLOOKUP(INDIRECT(ADDRESS(2,COLUMN())),OFFSET($AM$2,0,0,ROW()-1,33),ROW()-1,FALSE))</f>
        <v/>
      </c>
      <c r="AJ80" t="str">
        <f ca="1">IF(AND(ISNUMBER($AJ$499),$B$427=1),$AJ$499,HLOOKUP(INDIRECT(ADDRESS(2,COLUMN())),OFFSET($AM$2,0,0,ROW()-1,33),ROW()-1,FALSE))</f>
        <v/>
      </c>
      <c r="AK80" t="str">
        <f ca="1">IF(AND(ISNUMBER($AK$499),$B$427=1),$AK$499,HLOOKUP(INDIRECT(ADDRESS(2,COLUMN())),OFFSET($AM$2,0,0,ROW()-1,33),ROW()-1,FALSE))</f>
        <v/>
      </c>
      <c r="AL80" t="str">
        <f ca="1">IF(AND(ISNUMBER($AL$499),$B$427=1),$AL$499,HLOOKUP(INDIRECT(ADDRESS(2,COLUMN())),OFFSET($AM$2,0,0,ROW()-1,33),ROW()-1,FALSE))</f>
        <v/>
      </c>
      <c r="AM80">
        <f>491456</f>
        <v>491456</v>
      </c>
      <c r="AN80">
        <f>504300</f>
        <v>504300</v>
      </c>
      <c r="AO80">
        <f>379696</f>
        <v>379696</v>
      </c>
      <c r="AP80">
        <f>377412</f>
        <v>377412</v>
      </c>
      <c r="AQ80">
        <f>367001</f>
        <v>367001</v>
      </c>
      <c r="AR80">
        <f>369894</f>
        <v>369894</v>
      </c>
      <c r="AS80">
        <f>402637</f>
        <v>402637</v>
      </c>
      <c r="AT80">
        <f>397029</f>
        <v>397029</v>
      </c>
      <c r="AU80">
        <f>376985</f>
        <v>376985</v>
      </c>
      <c r="AV80">
        <f>348323</f>
        <v>348323</v>
      </c>
      <c r="AW80">
        <f>292946</f>
        <v>292946</v>
      </c>
      <c r="AX80">
        <f>284369</f>
        <v>284369</v>
      </c>
      <c r="AY80">
        <f>284335</f>
        <v>284335</v>
      </c>
      <c r="AZ80">
        <f>294663</f>
        <v>294663</v>
      </c>
      <c r="BA80">
        <f>309853</f>
        <v>309853</v>
      </c>
      <c r="BB80">
        <f>333778</f>
        <v>333778</v>
      </c>
      <c r="BC80">
        <f>366455</f>
        <v>366455</v>
      </c>
      <c r="BD80">
        <f>197923</f>
        <v>197923</v>
      </c>
      <c r="BE80">
        <f>160867</f>
        <v>160867</v>
      </c>
      <c r="BF80">
        <f>147995</f>
        <v>147995</v>
      </c>
      <c r="BG80">
        <f>134306</f>
        <v>134306</v>
      </c>
      <c r="BH80">
        <f>73240</f>
        <v>73240</v>
      </c>
      <c r="BI80">
        <f>63545</f>
        <v>63545</v>
      </c>
      <c r="BJ80">
        <f>59370</f>
        <v>59370</v>
      </c>
      <c r="BK80">
        <f>50358.603</f>
        <v>50358.603000000003</v>
      </c>
      <c r="BL80">
        <f>44651.169</f>
        <v>44651.169000000002</v>
      </c>
      <c r="BM80">
        <f>41975.542</f>
        <v>41975.542000000001</v>
      </c>
      <c r="BN80">
        <f>38938.514</f>
        <v>38938.514000000003</v>
      </c>
      <c r="BO80" t="str">
        <f>""</f>
        <v/>
      </c>
      <c r="BP80" t="str">
        <f>""</f>
        <v/>
      </c>
      <c r="BQ80" t="str">
        <f>""</f>
        <v/>
      </c>
      <c r="BR80" t="str">
        <f>""</f>
        <v/>
      </c>
      <c r="BS80" t="str">
        <f>""</f>
        <v/>
      </c>
    </row>
    <row r="81" spans="1:71" x14ac:dyDescent="0.25">
      <c r="A81" t="str">
        <f>"        KeyCorp"</f>
        <v xml:space="preserve">        KeyCorp</v>
      </c>
      <c r="B81" t="str">
        <f>"KEY US Equity"</f>
        <v>KEY US Equity</v>
      </c>
      <c r="C81" t="str">
        <f t="shared" si="9"/>
        <v>F0093</v>
      </c>
      <c r="D81" t="str">
        <f t="shared" si="10"/>
        <v>FED_REAL_ESTATE_LOANS_DOMESTIC</v>
      </c>
      <c r="E81" t="str">
        <f t="shared" si="11"/>
        <v>Dynamic</v>
      </c>
      <c r="F81">
        <f ca="1">IF(AND(ISNUMBER($F$500),$B$427=1),$F$500,HLOOKUP(INDIRECT(ADDRESS(2,COLUMN())),OFFSET($AM$2,0,0,ROW()-1,33),ROW()-1,FALSE))</f>
        <v>43195.122000000003</v>
      </c>
      <c r="G81">
        <f ca="1">IF(AND(ISNUMBER($G$500),$B$427=1),$G$500,HLOOKUP(INDIRECT(ADDRESS(2,COLUMN())),OFFSET($AM$2,0,0,ROW()-1,33),ROW()-1,FALSE))</f>
        <v>46784.016000000003</v>
      </c>
      <c r="H81">
        <f ca="1">IF(AND(ISNUMBER($H$500),$B$427=1),$H$500,HLOOKUP(INDIRECT(ADDRESS(2,COLUMN())),OFFSET($AM$2,0,0,ROW()-1,33),ROW()-1,FALSE))</f>
        <v>48684.159</v>
      </c>
      <c r="I81">
        <f ca="1">IF(AND(ISNUMBER($I$500),$B$427=1),$I$500,HLOOKUP(INDIRECT(ADDRESS(2,COLUMN())),OFFSET($AM$2,0,0,ROW()-1,33),ROW()-1,FALSE))</f>
        <v>41754.89</v>
      </c>
      <c r="J81">
        <f ca="1">IF(AND(ISNUMBER($J$500),$B$427=1),$J$500,HLOOKUP(INDIRECT(ADDRESS(2,COLUMN())),OFFSET($AM$2,0,0,ROW()-1,33),ROW()-1,FALSE))</f>
        <v>34609.233</v>
      </c>
      <c r="K81">
        <f ca="1">IF(AND(ISNUMBER($K$500),$B$427=1),$K$500,HLOOKUP(INDIRECT(ADDRESS(2,COLUMN())),OFFSET($AM$2,0,0,ROW()-1,33),ROW()-1,FALSE))</f>
        <v>33258.222999999998</v>
      </c>
      <c r="L81">
        <f ca="1">IF(AND(ISNUMBER($L$500),$B$427=1),$L$500,HLOOKUP(INDIRECT(ADDRESS(2,COLUMN())),OFFSET($AM$2,0,0,ROW()-1,33),ROW()-1,FALSE))</f>
        <v>33564.197999999997</v>
      </c>
      <c r="M81">
        <f ca="1">IF(AND(ISNUMBER($M$500),$B$427=1),$M$500,HLOOKUP(INDIRECT(ADDRESS(2,COLUMN())),OFFSET($AM$2,0,0,ROW()-1,33),ROW()-1,FALSE))</f>
        <v>34527.839999999997</v>
      </c>
      <c r="N81">
        <f ca="1">IF(AND(ISNUMBER($N$500),$B$427=1),$N$500,HLOOKUP(INDIRECT(ADDRESS(2,COLUMN())),OFFSET($AM$2,0,0,ROW()-1,33),ROW()-1,FALSE))</f>
        <v>36763.455999999998</v>
      </c>
      <c r="O81">
        <f ca="1">IF(AND(ISNUMBER($O$500),$B$427=1),$O$500,HLOOKUP(INDIRECT(ADDRESS(2,COLUMN())),OFFSET($AM$2,0,0,ROW()-1,33),ROW()-1,FALSE))</f>
        <v>22138.687999999998</v>
      </c>
      <c r="P81">
        <f ca="1">IF(AND(ISNUMBER($P$500),$B$427=1),$P$500,HLOOKUP(INDIRECT(ADDRESS(2,COLUMN())),OFFSET($AM$2,0,0,ROW()-1,33),ROW()-1,FALSE))</f>
        <v>22661.379000000001</v>
      </c>
      <c r="Q81">
        <f ca="1">IF(AND(ISNUMBER($Q$500),$B$427=1),$Q$500,HLOOKUP(INDIRECT(ADDRESS(2,COLUMN())),OFFSET($AM$2,0,0,ROW()-1,33),ROW()-1,FALSE))</f>
        <v>21997.878000000001</v>
      </c>
      <c r="R81">
        <f ca="1">IF(AND(ISNUMBER($R$500),$B$427=1),$R$500,HLOOKUP(INDIRECT(ADDRESS(2,COLUMN())),OFFSET($AM$2,0,0,ROW()-1,33),ROW()-1,FALSE))</f>
        <v>21697.291000000001</v>
      </c>
      <c r="S81">
        <f ca="1">IF(AND(ISNUMBER($S$500),$B$427=1),$S$500,HLOOKUP(INDIRECT(ADDRESS(2,COLUMN())),OFFSET($AM$2,0,0,ROW()-1,33),ROW()-1,FALSE))</f>
        <v>21756.109</v>
      </c>
      <c r="T81">
        <f ca="1">IF(AND(ISNUMBER($T$500),$B$427=1),$T$500,HLOOKUP(INDIRECT(ADDRESS(2,COLUMN())),OFFSET($AM$2,0,0,ROW()-1,33),ROW()-1,FALSE))</f>
        <v>23895.46</v>
      </c>
      <c r="U81">
        <f ca="1">IF(AND(ISNUMBER($U$500),$B$427=1),$U$500,HLOOKUP(INDIRECT(ADDRESS(2,COLUMN())),OFFSET($AM$2,0,0,ROW()-1,33),ROW()-1,FALSE))</f>
        <v>28280.225999999999</v>
      </c>
      <c r="V81">
        <f ca="1">IF(AND(ISNUMBER($V$500),$B$427=1),$V$500,HLOOKUP(INDIRECT(ADDRESS(2,COLUMN())),OFFSET($AM$2,0,0,ROW()-1,33),ROW()-1,FALSE))</f>
        <v>32133.809000000001</v>
      </c>
      <c r="W81">
        <f ca="1">IF(AND(ISNUMBER($W$500),$B$427=1),$W$500,HLOOKUP(INDIRECT(ADDRESS(2,COLUMN())),OFFSET($AM$2,0,0,ROW()-1,33),ROW()-1,FALSE))</f>
        <v>31544.374</v>
      </c>
      <c r="X81">
        <f ca="1">IF(AND(ISNUMBER($X$500),$B$427=1),$X$500,HLOOKUP(INDIRECT(ADDRESS(2,COLUMN())),OFFSET($AM$2,0,0,ROW()-1,33),ROW()-1,FALSE))</f>
        <v>13314.376</v>
      </c>
      <c r="Y81">
        <f ca="1">IF(AND(ISNUMBER($Y$500),$B$427=1),$Y$500,HLOOKUP(INDIRECT(ADDRESS(2,COLUMN())),OFFSET($AM$2,0,0,ROW()-1,33),ROW()-1,FALSE))</f>
        <v>15722.591</v>
      </c>
      <c r="Z81">
        <f ca="1">IF(AND(ISNUMBER($Z$500),$B$427=1),$Z$500,HLOOKUP(INDIRECT(ADDRESS(2,COLUMN())),OFFSET($AM$2,0,0,ROW()-1,33),ROW()-1,FALSE))</f>
        <v>16276.064</v>
      </c>
      <c r="AA81">
        <f ca="1">IF(AND(ISNUMBER($AA$500),$B$427=1),$AA$500,HLOOKUP(INDIRECT(ADDRESS(2,COLUMN())),OFFSET($AM$2,0,0,ROW()-1,33),ROW()-1,FALSE))</f>
        <v>17211.903999999999</v>
      </c>
      <c r="AB81">
        <f ca="1">IF(AND(ISNUMBER($AB$500),$B$427=1),$AB$500,HLOOKUP(INDIRECT(ADDRESS(2,COLUMN())),OFFSET($AM$2,0,0,ROW()-1,33),ROW()-1,FALSE))</f>
        <v>16512.457999999999</v>
      </c>
      <c r="AC81">
        <f ca="1">IF(AND(ISNUMBER($AC$500),$B$427=1),$AC$500,HLOOKUP(INDIRECT(ADDRESS(2,COLUMN())),OFFSET($AM$2,0,0,ROW()-1,33),ROW()-1,FALSE))</f>
        <v>14102.22</v>
      </c>
      <c r="AD81">
        <f ca="1">IF(AND(ISNUMBER($AD$500),$B$427=1),$AD$500,HLOOKUP(INDIRECT(ADDRESS(2,COLUMN())),OFFSET($AM$2,0,0,ROW()-1,33),ROW()-1,FALSE))</f>
        <v>14543.914000000001</v>
      </c>
      <c r="AE81">
        <f ca="1">IF(AND(ISNUMBER($AE$500),$B$427=1),$AE$500,HLOOKUP(INDIRECT(ADDRESS(2,COLUMN())),OFFSET($AM$2,0,0,ROW()-1,33),ROW()-1,FALSE))</f>
        <v>12882.993</v>
      </c>
      <c r="AF81">
        <f ca="1">IF(AND(ISNUMBER($AF$500),$B$427=1),$AF$500,HLOOKUP(INDIRECT(ADDRESS(2,COLUMN())),OFFSET($AM$2,0,0,ROW()-1,33),ROW()-1,FALSE))</f>
        <v>12938.967000000001</v>
      </c>
      <c r="AG81">
        <f ca="1">IF(AND(ISNUMBER($AG$500),$B$427=1),$AG$500,HLOOKUP(INDIRECT(ADDRESS(2,COLUMN())),OFFSET($AM$2,0,0,ROW()-1,33),ROW()-1,FALSE))</f>
        <v>12716.216</v>
      </c>
      <c r="AH81">
        <f ca="1">IF(AND(ISNUMBER($AH$500),$B$427=1),$AH$500,HLOOKUP(INDIRECT(ADDRESS(2,COLUMN())),OFFSET($AM$2,0,0,ROW()-1,33),ROW()-1,FALSE))</f>
        <v>11725.495999999999</v>
      </c>
      <c r="AI81">
        <f ca="1">IF(AND(ISNUMBER($AI$500),$B$427=1),$AI$500,HLOOKUP(INDIRECT(ADDRESS(2,COLUMN())),OFFSET($AM$2,0,0,ROW()-1,33),ROW()-1,FALSE))</f>
        <v>12646.87</v>
      </c>
      <c r="AJ81">
        <f ca="1">IF(AND(ISNUMBER($AJ$500),$B$427=1),$AJ$500,HLOOKUP(INDIRECT(ADDRESS(2,COLUMN())),OFFSET($AM$2,0,0,ROW()-1,33),ROW()-1,FALSE))</f>
        <v>13614.911</v>
      </c>
      <c r="AK81">
        <f ca="1">IF(AND(ISNUMBER($AK$500),$B$427=1),$AK$500,HLOOKUP(INDIRECT(ADDRESS(2,COLUMN())),OFFSET($AM$2,0,0,ROW()-1,33),ROW()-1,FALSE))</f>
        <v>4348.21</v>
      </c>
      <c r="AL81">
        <f ca="1">IF(AND(ISNUMBER($AL$500),$B$427=1),$AL$500,HLOOKUP(INDIRECT(ADDRESS(2,COLUMN())),OFFSET($AM$2,0,0,ROW()-1,33),ROW()-1,FALSE))</f>
        <v>3661.7049999999999</v>
      </c>
      <c r="AM81">
        <f>43195.122</f>
        <v>43195.122000000003</v>
      </c>
      <c r="AN81">
        <f>46784.016</f>
        <v>46784.016000000003</v>
      </c>
      <c r="AO81">
        <f>48684.159</f>
        <v>48684.159</v>
      </c>
      <c r="AP81">
        <f>41754.89</f>
        <v>41754.89</v>
      </c>
      <c r="AQ81">
        <f>34609.233</f>
        <v>34609.233</v>
      </c>
      <c r="AR81">
        <f>33258.223</f>
        <v>33258.222999999998</v>
      </c>
      <c r="AS81">
        <f>33564.198</f>
        <v>33564.197999999997</v>
      </c>
      <c r="AT81">
        <f>34527.84</f>
        <v>34527.839999999997</v>
      </c>
      <c r="AU81">
        <f>36763.456</f>
        <v>36763.455999999998</v>
      </c>
      <c r="AV81">
        <f>22138.688</f>
        <v>22138.687999999998</v>
      </c>
      <c r="AW81">
        <f>22661.379</f>
        <v>22661.379000000001</v>
      </c>
      <c r="AX81">
        <f>21997.878</f>
        <v>21997.878000000001</v>
      </c>
      <c r="AY81">
        <f>21697.291</f>
        <v>21697.291000000001</v>
      </c>
      <c r="AZ81">
        <f>21756.109</f>
        <v>21756.109</v>
      </c>
      <c r="BA81">
        <f>23895.46</f>
        <v>23895.46</v>
      </c>
      <c r="BB81">
        <f>28280.226</f>
        <v>28280.225999999999</v>
      </c>
      <c r="BC81">
        <f>32133.809</f>
        <v>32133.809000000001</v>
      </c>
      <c r="BD81">
        <f>31544.374</f>
        <v>31544.374</v>
      </c>
      <c r="BE81">
        <f>13314.376</f>
        <v>13314.376</v>
      </c>
      <c r="BF81">
        <f>15722.591</f>
        <v>15722.591</v>
      </c>
      <c r="BG81">
        <f>16276.064</f>
        <v>16276.064</v>
      </c>
      <c r="BH81">
        <f>17211.904</f>
        <v>17211.903999999999</v>
      </c>
      <c r="BI81">
        <f>16512.458</f>
        <v>16512.457999999999</v>
      </c>
      <c r="BJ81">
        <f>14102.22</f>
        <v>14102.22</v>
      </c>
      <c r="BK81">
        <f>14543.914</f>
        <v>14543.914000000001</v>
      </c>
      <c r="BL81">
        <f>12882.993</f>
        <v>12882.993</v>
      </c>
      <c r="BM81">
        <f>12938.967</f>
        <v>12938.967000000001</v>
      </c>
      <c r="BN81">
        <f>12716.216</f>
        <v>12716.216</v>
      </c>
      <c r="BO81">
        <f>11725.496</f>
        <v>11725.495999999999</v>
      </c>
      <c r="BP81">
        <f>12646.87</f>
        <v>12646.87</v>
      </c>
      <c r="BQ81">
        <f>13614.911</f>
        <v>13614.911</v>
      </c>
      <c r="BR81">
        <f>4348.21</f>
        <v>4348.21</v>
      </c>
      <c r="BS81">
        <f>3661.705</f>
        <v>3661.7049999999999</v>
      </c>
    </row>
    <row r="82" spans="1:71" x14ac:dyDescent="0.25">
      <c r="A82" t="str">
        <f>"        M&amp;T Bank Corp"</f>
        <v xml:space="preserve">        M&amp;T Bank Corp</v>
      </c>
      <c r="B82" t="str">
        <f>"MTB US Equity"</f>
        <v>MTB US Equity</v>
      </c>
      <c r="C82" t="str">
        <f t="shared" si="9"/>
        <v>F0093</v>
      </c>
      <c r="D82" t="str">
        <f t="shared" si="10"/>
        <v>FED_REAL_ESTATE_LOANS_DOMESTIC</v>
      </c>
      <c r="E82" t="str">
        <f t="shared" si="11"/>
        <v>Dynamic</v>
      </c>
      <c r="F82">
        <f ca="1">IF(AND(ISNUMBER($F$501),$B$427=1),$F$501,HLOOKUP(INDIRECT(ADDRESS(2,COLUMN())),OFFSET($AM$2,0,0,ROW()-1,33),ROW()-1,FALSE))</f>
        <v>64247.144</v>
      </c>
      <c r="G82">
        <f ca="1">IF(AND(ISNUMBER($G$501),$B$427=1),$G$501,HLOOKUP(INDIRECT(ADDRESS(2,COLUMN())),OFFSET($AM$2,0,0,ROW()-1,33),ROW()-1,FALSE))</f>
        <v>69539.358999999997</v>
      </c>
      <c r="H82">
        <f ca="1">IF(AND(ISNUMBER($H$501),$B$427=1),$H$501,HLOOKUP(INDIRECT(ADDRESS(2,COLUMN())),OFFSET($AM$2,0,0,ROW()-1,33),ROW()-1,FALSE))</f>
        <v>73245.39</v>
      </c>
      <c r="I82">
        <f ca="1">IF(AND(ISNUMBER($I$501),$B$427=1),$I$501,HLOOKUP(INDIRECT(ADDRESS(2,COLUMN())),OFFSET($AM$2,0,0,ROW()-1,33),ROW()-1,FALSE))</f>
        <v>54455.887999999999</v>
      </c>
      <c r="J82">
        <f ca="1">IF(AND(ISNUMBER($J$501),$B$427=1),$J$501,HLOOKUP(INDIRECT(ADDRESS(2,COLUMN())),OFFSET($AM$2,0,0,ROW()-1,33),ROW()-1,FALSE))</f>
        <v>58299.021000000001</v>
      </c>
      <c r="K82">
        <f ca="1">IF(AND(ISNUMBER($K$501),$B$427=1),$K$501,HLOOKUP(INDIRECT(ADDRESS(2,COLUMN())),OFFSET($AM$2,0,0,ROW()-1,33),ROW()-1,FALSE))</f>
        <v>56141.053999999996</v>
      </c>
      <c r="L82">
        <f ca="1">IF(AND(ISNUMBER($L$501),$B$427=1),$L$501,HLOOKUP(INDIRECT(ADDRESS(2,COLUMN())),OFFSET($AM$2,0,0,ROW()-1,33),ROW()-1,FALSE))</f>
        <v>56355.78</v>
      </c>
      <c r="M82">
        <f ca="1">IF(AND(ISNUMBER($M$501),$B$427=1),$M$501,HLOOKUP(INDIRECT(ADDRESS(2,COLUMN())),OFFSET($AM$2,0,0,ROW()-1,33),ROW()-1,FALSE))</f>
        <v>58223.09</v>
      </c>
      <c r="N82">
        <f ca="1">IF(AND(ISNUMBER($N$501),$B$427=1),$N$501,HLOOKUP(INDIRECT(ADDRESS(2,COLUMN())),OFFSET($AM$2,0,0,ROW()-1,33),ROW()-1,FALSE))</f>
        <v>61669.374000000003</v>
      </c>
      <c r="O82">
        <f ca="1">IF(AND(ISNUMBER($O$501),$B$427=1),$O$501,HLOOKUP(INDIRECT(ADDRESS(2,COLUMN())),OFFSET($AM$2,0,0,ROW()-1,33),ROW()-1,FALSE))</f>
        <v>61379.512000000002</v>
      </c>
      <c r="P82">
        <f ca="1">IF(AND(ISNUMBER($P$501),$B$427=1),$P$501,HLOOKUP(INDIRECT(ADDRESS(2,COLUMN())),OFFSET($AM$2,0,0,ROW()-1,33),ROW()-1,FALSE))</f>
        <v>42110.892</v>
      </c>
      <c r="Q82">
        <f ca="1">IF(AND(ISNUMBER($Q$501),$B$427=1),$Q$501,HLOOKUP(INDIRECT(ADDRESS(2,COLUMN())),OFFSET($AM$2,0,0,ROW()-1,33),ROW()-1,FALSE))</f>
        <v>41175.339999999997</v>
      </c>
      <c r="R82">
        <f ca="1">IF(AND(ISNUMBER($R$501),$B$427=1),$R$501,HLOOKUP(INDIRECT(ADDRESS(2,COLUMN())),OFFSET($AM$2,0,0,ROW()-1,33),ROW()-1,FALSE))</f>
        <v>43501.32</v>
      </c>
      <c r="S82">
        <f ca="1">IF(AND(ISNUMBER($S$501),$B$427=1),$S$501,HLOOKUP(INDIRECT(ADDRESS(2,COLUMN())),OFFSET($AM$2,0,0,ROW()-1,33),ROW()-1,FALSE))</f>
        <v>38947.061999999998</v>
      </c>
      <c r="T82">
        <f ca="1">IF(AND(ISNUMBER($T$501),$B$427=1),$T$501,HLOOKUP(INDIRECT(ADDRESS(2,COLUMN())),OFFSET($AM$2,0,0,ROW()-1,33),ROW()-1,FALSE))</f>
        <v>33582.474999999999</v>
      </c>
      <c r="U82">
        <f ca="1">IF(AND(ISNUMBER($U$501),$B$427=1),$U$501,HLOOKUP(INDIRECT(ADDRESS(2,COLUMN())),OFFSET($AM$2,0,0,ROW()-1,33),ROW()-1,FALSE))</f>
        <v>33153.807000000001</v>
      </c>
      <c r="V82">
        <f ca="1">IF(AND(ISNUMBER($V$501),$B$427=1),$V$501,HLOOKUP(INDIRECT(ADDRESS(2,COLUMN())),OFFSET($AM$2,0,0,ROW()-1,33),ROW()-1,FALSE))</f>
        <v>29336.098000000002</v>
      </c>
      <c r="W82">
        <f ca="1">IF(AND(ISNUMBER($W$501),$B$427=1),$W$501,HLOOKUP(INDIRECT(ADDRESS(2,COLUMN())),OFFSET($AM$2,0,0,ROW()-1,33),ROW()-1,FALSE))</f>
        <v>29006.132000000001</v>
      </c>
      <c r="X82">
        <f ca="1">IF(AND(ISNUMBER($X$501),$B$427=1),$X$501,HLOOKUP(INDIRECT(ADDRESS(2,COLUMN())),OFFSET($AM$2,0,0,ROW()-1,33),ROW()-1,FALSE))</f>
        <v>12778.574000000001</v>
      </c>
      <c r="Y82">
        <f ca="1">IF(AND(ISNUMBER($Y$501),$B$427=1),$Y$501,HLOOKUP(INDIRECT(ADDRESS(2,COLUMN())),OFFSET($AM$2,0,0,ROW()-1,33),ROW()-1,FALSE))</f>
        <v>11385.898999999999</v>
      </c>
      <c r="Z82">
        <f ca="1">IF(AND(ISNUMBER($Z$501),$B$427=1),$Z$501,HLOOKUP(INDIRECT(ADDRESS(2,COLUMN())),OFFSET($AM$2,0,0,ROW()-1,33),ROW()-1,FALSE))</f>
        <v>10562.075000000001</v>
      </c>
      <c r="AA82">
        <f ca="1">IF(AND(ISNUMBER($AA$501),$B$427=1),$AA$501,HLOOKUP(INDIRECT(ADDRESS(2,COLUMN())),OFFSET($AM$2,0,0,ROW()-1,33),ROW()-1,FALSE))</f>
        <v>9850.1550000000007</v>
      </c>
      <c r="AB82">
        <f ca="1">IF(AND(ISNUMBER($AB$501),$B$427=1),$AB$501,HLOOKUP(INDIRECT(ADDRESS(2,COLUMN())),OFFSET($AM$2,0,0,ROW()-1,33),ROW()-1,FALSE))</f>
        <v>7611.8590000000004</v>
      </c>
      <c r="AC82">
        <f ca="1">IF(AND(ISNUMBER($AC$501),$B$427=1),$AC$501,HLOOKUP(INDIRECT(ADDRESS(2,COLUMN())),OFFSET($AM$2,0,0,ROW()-1,33),ROW()-1,FALSE))</f>
        <v>8662.4359999999997</v>
      </c>
      <c r="AD82">
        <f ca="1">IF(AND(ISNUMBER($AD$501),$B$427=1),$AD$501,HLOOKUP(INDIRECT(ADDRESS(2,COLUMN())),OFFSET($AM$2,0,0,ROW()-1,33),ROW()-1,FALSE))</f>
        <v>7928.4759999999997</v>
      </c>
      <c r="AE82">
        <f ca="1">IF(AND(ISNUMBER($AE$501),$B$427=1),$AE$501,HLOOKUP(INDIRECT(ADDRESS(2,COLUMN())),OFFSET($AM$2,0,0,ROW()-1,33),ROW()-1,FALSE))</f>
        <v>6971.6210000000001</v>
      </c>
      <c r="AF82">
        <f ca="1">IF(AND(ISNUMBER($AF$501),$B$427=1),$AF$501,HLOOKUP(INDIRECT(ADDRESS(2,COLUMN())),OFFSET($AM$2,0,0,ROW()-1,33),ROW()-1,FALSE))</f>
        <v>6595.7169999999996</v>
      </c>
      <c r="AG82">
        <f ca="1">IF(AND(ISNUMBER($AG$501),$B$427=1),$AG$501,HLOOKUP(INDIRECT(ADDRESS(2,COLUMN())),OFFSET($AM$2,0,0,ROW()-1,33),ROW()-1,FALSE))</f>
        <v>4741.9269999999997</v>
      </c>
      <c r="AH82">
        <f ca="1">IF(AND(ISNUMBER($AH$501),$B$427=1),$AH$501,HLOOKUP(INDIRECT(ADDRESS(2,COLUMN())),OFFSET($AM$2,0,0,ROW()-1,33),ROW()-1,FALSE))</f>
        <v>4411.0950000000003</v>
      </c>
      <c r="AI82">
        <f ca="1">IF(AND(ISNUMBER($AI$501),$B$427=1),$AI$501,HLOOKUP(INDIRECT(ADDRESS(2,COLUMN())),OFFSET($AM$2,0,0,ROW()-1,33),ROW()-1,FALSE))</f>
        <v>4103.92</v>
      </c>
      <c r="AJ82">
        <f ca="1">IF(AND(ISNUMBER($AJ$501),$B$427=1),$AJ$501,HLOOKUP(INDIRECT(ADDRESS(2,COLUMN())),OFFSET($AM$2,0,0,ROW()-1,33),ROW()-1,FALSE))</f>
        <v>3672.982</v>
      </c>
      <c r="AK82">
        <f ca="1">IF(AND(ISNUMBER($AK$501),$B$427=1),$AK$501,HLOOKUP(INDIRECT(ADDRESS(2,COLUMN())),OFFSET($AM$2,0,0,ROW()-1,33),ROW()-1,FALSE))</f>
        <v>3372.002</v>
      </c>
      <c r="AL82">
        <f ca="1">IF(AND(ISNUMBER($AL$501),$B$427=1),$AL$501,HLOOKUP(INDIRECT(ADDRESS(2,COLUMN())),OFFSET($AM$2,0,0,ROW()-1,33),ROW()-1,FALSE))</f>
        <v>3264.4650000000001</v>
      </c>
      <c r="AM82">
        <f>64247.144</f>
        <v>64247.144</v>
      </c>
      <c r="AN82">
        <f>69539.359</f>
        <v>69539.358999999997</v>
      </c>
      <c r="AO82">
        <f>73245.39</f>
        <v>73245.39</v>
      </c>
      <c r="AP82">
        <f>54455.888</f>
        <v>54455.887999999999</v>
      </c>
      <c r="AQ82">
        <f>58299.021</f>
        <v>58299.021000000001</v>
      </c>
      <c r="AR82">
        <f>56141.054</f>
        <v>56141.053999999996</v>
      </c>
      <c r="AS82">
        <f>56355.78</f>
        <v>56355.78</v>
      </c>
      <c r="AT82">
        <f>58223.09</f>
        <v>58223.09</v>
      </c>
      <c r="AU82">
        <f>61669.374</f>
        <v>61669.374000000003</v>
      </c>
      <c r="AV82">
        <f>61379.512</f>
        <v>61379.512000000002</v>
      </c>
      <c r="AW82">
        <f>42110.892</f>
        <v>42110.892</v>
      </c>
      <c r="AX82">
        <f>41175.34</f>
        <v>41175.339999999997</v>
      </c>
      <c r="AY82">
        <f>43501.32</f>
        <v>43501.32</v>
      </c>
      <c r="AZ82">
        <f>38947.062</f>
        <v>38947.061999999998</v>
      </c>
      <c r="BA82">
        <f>33582.475</f>
        <v>33582.474999999999</v>
      </c>
      <c r="BB82">
        <f>33153.807</f>
        <v>33153.807000000001</v>
      </c>
      <c r="BC82">
        <f>29336.098</f>
        <v>29336.098000000002</v>
      </c>
      <c r="BD82">
        <f>29006.132</f>
        <v>29006.132000000001</v>
      </c>
      <c r="BE82">
        <f>12778.574</f>
        <v>12778.574000000001</v>
      </c>
      <c r="BF82">
        <f>11385.899</f>
        <v>11385.898999999999</v>
      </c>
      <c r="BG82">
        <f>10562.075</f>
        <v>10562.075000000001</v>
      </c>
      <c r="BH82">
        <f>9850.155</f>
        <v>9850.1550000000007</v>
      </c>
      <c r="BI82">
        <f>7611.859</f>
        <v>7611.8590000000004</v>
      </c>
      <c r="BJ82">
        <f>8662.436</f>
        <v>8662.4359999999997</v>
      </c>
      <c r="BK82">
        <f>7928.476</f>
        <v>7928.4759999999997</v>
      </c>
      <c r="BL82">
        <f>6971.621</f>
        <v>6971.6210000000001</v>
      </c>
      <c r="BM82">
        <f>6595.717</f>
        <v>6595.7169999999996</v>
      </c>
      <c r="BN82">
        <f>4741.927</f>
        <v>4741.9269999999997</v>
      </c>
      <c r="BO82">
        <f>4411.095</f>
        <v>4411.0950000000003</v>
      </c>
      <c r="BP82">
        <f>4103.92</f>
        <v>4103.92</v>
      </c>
      <c r="BQ82">
        <f>3672.982</f>
        <v>3672.982</v>
      </c>
      <c r="BR82">
        <f>3372.002</f>
        <v>3372.002</v>
      </c>
      <c r="BS82">
        <f>3264.465</f>
        <v>3264.4650000000001</v>
      </c>
    </row>
    <row r="83" spans="1:71" x14ac:dyDescent="0.25">
      <c r="A83" t="str">
        <f>"        PNC Financial Services Group I"</f>
        <v xml:space="preserve">        PNC Financial Services Group I</v>
      </c>
      <c r="B83" t="str">
        <f>"PNC US Equity"</f>
        <v>PNC US Equity</v>
      </c>
      <c r="C83" t="str">
        <f t="shared" si="9"/>
        <v>F0093</v>
      </c>
      <c r="D83" t="str">
        <f t="shared" si="10"/>
        <v>FED_REAL_ESTATE_LOANS_DOMESTIC</v>
      </c>
      <c r="E83" t="str">
        <f t="shared" si="11"/>
        <v>Dynamic</v>
      </c>
      <c r="F83" t="str">
        <f ca="1">IF(AND(ISNUMBER($F$502),$B$427=1),$F$502,HLOOKUP(INDIRECT(ADDRESS(2,COLUMN())),OFFSET($AM$2,0,0,ROW()-1,33),ROW()-1,FALSE))</f>
        <v/>
      </c>
      <c r="G83">
        <f ca="1">IF(AND(ISNUMBER($G$502),$B$427=1),$G$502,HLOOKUP(INDIRECT(ADDRESS(2,COLUMN())),OFFSET($AM$2,0,0,ROW()-1,33),ROW()-1,FALSE))</f>
        <v>119265.054</v>
      </c>
      <c r="H83">
        <f ca="1">IF(AND(ISNUMBER($H$502),$B$427=1),$H$502,HLOOKUP(INDIRECT(ADDRESS(2,COLUMN())),OFFSET($AM$2,0,0,ROW()-1,33),ROW()-1,FALSE))</f>
        <v>119192.599</v>
      </c>
      <c r="I83">
        <f ca="1">IF(AND(ISNUMBER($I$502),$B$427=1),$I$502,HLOOKUP(INDIRECT(ADDRESS(2,COLUMN())),OFFSET($AM$2,0,0,ROW()-1,33),ROW()-1,FALSE))</f>
        <v>110788.52099999999</v>
      </c>
      <c r="J83">
        <f ca="1">IF(AND(ISNUMBER($J$502),$B$427=1),$J$502,HLOOKUP(INDIRECT(ADDRESS(2,COLUMN())),OFFSET($AM$2,0,0,ROW()-1,33),ROW()-1,FALSE))</f>
        <v>83798.402000000002</v>
      </c>
      <c r="K83">
        <f ca="1">IF(AND(ISNUMBER($K$502),$B$427=1),$K$502,HLOOKUP(INDIRECT(ADDRESS(2,COLUMN())),OFFSET($AM$2,0,0,ROW()-1,33),ROW()-1,FALSE))</f>
        <v>83195.989000000001</v>
      </c>
      <c r="L83">
        <f ca="1">IF(AND(ISNUMBER($L$502),$B$427=1),$L$502,HLOOKUP(INDIRECT(ADDRESS(2,COLUMN())),OFFSET($AM$2,0,0,ROW()-1,33),ROW()-1,FALSE))</f>
        <v>80097.259000000005</v>
      </c>
      <c r="M83">
        <f ca="1">IF(AND(ISNUMBER($M$502),$B$427=1),$M$502,HLOOKUP(INDIRECT(ADDRESS(2,COLUMN())),OFFSET($AM$2,0,0,ROW()-1,33),ROW()-1,FALSE))</f>
        <v>83024.191000000006</v>
      </c>
      <c r="N83">
        <f ca="1">IF(AND(ISNUMBER($N$502),$B$427=1),$N$502,HLOOKUP(INDIRECT(ADDRESS(2,COLUMN())),OFFSET($AM$2,0,0,ROW()-1,33),ROW()-1,FALSE))</f>
        <v>83714.548999999999</v>
      </c>
      <c r="O83">
        <f ca="1">IF(AND(ISNUMBER($O$502),$B$427=1),$O$502,HLOOKUP(INDIRECT(ADDRESS(2,COLUMN())),OFFSET($AM$2,0,0,ROW()-1,33),ROW()-1,FALSE))</f>
        <v>83083.456000000006</v>
      </c>
      <c r="P83">
        <f ca="1">IF(AND(ISNUMBER($P$502),$B$427=1),$P$502,HLOOKUP(INDIRECT(ADDRESS(2,COLUMN())),OFFSET($AM$2,0,0,ROW()-1,33),ROW()-1,FALSE))</f>
        <v>83997.111999999994</v>
      </c>
      <c r="Q83">
        <f ca="1">IF(AND(ISNUMBER($Q$502),$B$427=1),$Q$502,HLOOKUP(INDIRECT(ADDRESS(2,COLUMN())),OFFSET($AM$2,0,0,ROW()-1,33),ROW()-1,FALSE))</f>
        <v>85555.926999999996</v>
      </c>
      <c r="R83">
        <f ca="1">IF(AND(ISNUMBER($R$502),$B$427=1),$R$502,HLOOKUP(INDIRECT(ADDRESS(2,COLUMN())),OFFSET($AM$2,0,0,ROW()-1,33),ROW()-1,FALSE))</f>
        <v>84756.592999999993</v>
      </c>
      <c r="S83">
        <f ca="1">IF(AND(ISNUMBER($S$502),$B$427=1),$S$502,HLOOKUP(INDIRECT(ADDRESS(2,COLUMN())),OFFSET($AM$2,0,0,ROW()-1,33),ROW()-1,FALSE))</f>
        <v>76276.744999999995</v>
      </c>
      <c r="T83">
        <f ca="1">IF(AND(ISNUMBER($T$502),$B$427=1),$T$502,HLOOKUP(INDIRECT(ADDRESS(2,COLUMN())),OFFSET($AM$2,0,0,ROW()-1,33),ROW()-1,FALSE))</f>
        <v>80529.710000000006</v>
      </c>
      <c r="U83">
        <f ca="1">IF(AND(ISNUMBER($U$502),$B$427=1),$U$502,HLOOKUP(INDIRECT(ADDRESS(2,COLUMN())),OFFSET($AM$2,0,0,ROW()-1,33),ROW()-1,FALSE))</f>
        <v>90381.811000000002</v>
      </c>
      <c r="V83">
        <f ca="1">IF(AND(ISNUMBER($V$502),$B$427=1),$V$502,HLOOKUP(INDIRECT(ADDRESS(2,COLUMN())),OFFSET($AM$2,0,0,ROW()-1,33),ROW()-1,FALSE))</f>
        <v>99656.517000000007</v>
      </c>
      <c r="W83">
        <f ca="1">IF(AND(ISNUMBER($W$502),$B$427=1),$W$502,HLOOKUP(INDIRECT(ADDRESS(2,COLUMN())),OFFSET($AM$2,0,0,ROW()-1,33),ROW()-1,FALSE))</f>
        <v>39903.447999999997</v>
      </c>
      <c r="X83">
        <f ca="1">IF(AND(ISNUMBER($X$502),$B$427=1),$X$502,HLOOKUP(INDIRECT(ADDRESS(2,COLUMN())),OFFSET($AM$2,0,0,ROW()-1,33),ROW()-1,FALSE))</f>
        <v>20877.456999999999</v>
      </c>
      <c r="Y83">
        <f ca="1">IF(AND(ISNUMBER($Y$502),$B$427=1),$Y$502,HLOOKUP(INDIRECT(ADDRESS(2,COLUMN())),OFFSET($AM$2,0,0,ROW()-1,33),ROW()-1,FALSE))</f>
        <v>21893.742999999999</v>
      </c>
      <c r="Z83">
        <f ca="1">IF(AND(ISNUMBER($Z$502),$B$427=1),$Z$502,HLOOKUP(INDIRECT(ADDRESS(2,COLUMN())),OFFSET($AM$2,0,0,ROW()-1,33),ROW()-1,FALSE))</f>
        <v>18093.47</v>
      </c>
      <c r="AA83">
        <f ca="1">IF(AND(ISNUMBER($AA$502),$B$427=1),$AA$502,HLOOKUP(INDIRECT(ADDRESS(2,COLUMN())),OFFSET($AM$2,0,0,ROW()-1,33),ROW()-1,FALSE))</f>
        <v>13122.532999999999</v>
      </c>
      <c r="AB83">
        <f ca="1">IF(AND(ISNUMBER($AB$502),$B$427=1),$AB$502,HLOOKUP(INDIRECT(ADDRESS(2,COLUMN())),OFFSET($AM$2,0,0,ROW()-1,33),ROW()-1,FALSE))</f>
        <v>12494.893</v>
      </c>
      <c r="AC83">
        <f ca="1">IF(AND(ISNUMBER($AC$502),$B$427=1),$AC$502,HLOOKUP(INDIRECT(ADDRESS(2,COLUMN())),OFFSET($AM$2,0,0,ROW()-1,33),ROW()-1,FALSE))</f>
        <v>14075.532999999999</v>
      </c>
      <c r="AD83">
        <f ca="1">IF(AND(ISNUMBER($AD$502),$B$427=1),$AD$502,HLOOKUP(INDIRECT(ADDRESS(2,COLUMN())),OFFSET($AM$2,0,0,ROW()-1,33),ROW()-1,FALSE))</f>
        <v>20417.026000000002</v>
      </c>
      <c r="AE83">
        <f ca="1">IF(AND(ISNUMBER($AE$502),$B$427=1),$AE$502,HLOOKUP(INDIRECT(ADDRESS(2,COLUMN())),OFFSET($AM$2,0,0,ROW()-1,33),ROW()-1,FALSE))</f>
        <v>21397.769</v>
      </c>
      <c r="AF83">
        <f ca="1">IF(AND(ISNUMBER($AF$502),$B$427=1),$AF$502,HLOOKUP(INDIRECT(ADDRESS(2,COLUMN())),OFFSET($AM$2,0,0,ROW()-1,33),ROW()-1,FALSE))</f>
        <v>21105.499</v>
      </c>
      <c r="AG83">
        <f ca="1">IF(AND(ISNUMBER($AG$502),$B$427=1),$AG$502,HLOOKUP(INDIRECT(ADDRESS(2,COLUMN())),OFFSET($AM$2,0,0,ROW()-1,33),ROW()-1,FALSE))</f>
        <v>20495.452000000001</v>
      </c>
      <c r="AH83">
        <f ca="1">IF(AND(ISNUMBER($AH$502),$B$427=1),$AH$502,HLOOKUP(INDIRECT(ADDRESS(2,COLUMN())),OFFSET($AM$2,0,0,ROW()-1,33),ROW()-1,FALSE))</f>
        <v>18845.596000000001</v>
      </c>
      <c r="AI83">
        <f ca="1">IF(AND(ISNUMBER($AI$502),$B$427=1),$AI$502,HLOOKUP(INDIRECT(ADDRESS(2,COLUMN())),OFFSET($AM$2,0,0,ROW()-1,33),ROW()-1,FALSE))</f>
        <v>17659.780999999999</v>
      </c>
      <c r="AJ83">
        <f ca="1">IF(AND(ISNUMBER($AJ$502),$B$427=1),$AJ$502,HLOOKUP(INDIRECT(ADDRESS(2,COLUMN())),OFFSET($AM$2,0,0,ROW()-1,33),ROW()-1,FALSE))</f>
        <v>13215.736000000001</v>
      </c>
      <c r="AK83">
        <f ca="1">IF(AND(ISNUMBER($AK$502),$B$427=1),$AK$502,HLOOKUP(INDIRECT(ADDRESS(2,COLUMN())),OFFSET($AM$2,0,0,ROW()-1,33),ROW()-1,FALSE))</f>
        <v>12638.64</v>
      </c>
      <c r="AL83">
        <f ca="1">IF(AND(ISNUMBER($AL$502),$B$427=1),$AL$502,HLOOKUP(INDIRECT(ADDRESS(2,COLUMN())),OFFSET($AM$2,0,0,ROW()-1,33),ROW()-1,FALSE))</f>
        <v>5920.3280000000004</v>
      </c>
      <c r="AM83" t="str">
        <f>""</f>
        <v/>
      </c>
      <c r="AN83">
        <f>119265.054</f>
        <v>119265.054</v>
      </c>
      <c r="AO83">
        <f>119192.599</f>
        <v>119192.599</v>
      </c>
      <c r="AP83">
        <f>110788.521</f>
        <v>110788.52099999999</v>
      </c>
      <c r="AQ83">
        <f>83798.402</f>
        <v>83798.402000000002</v>
      </c>
      <c r="AR83">
        <f>83195.989</f>
        <v>83195.989000000001</v>
      </c>
      <c r="AS83">
        <f>80097.259</f>
        <v>80097.259000000005</v>
      </c>
      <c r="AT83">
        <f>83024.191</f>
        <v>83024.191000000006</v>
      </c>
      <c r="AU83">
        <f>83714.549</f>
        <v>83714.548999999999</v>
      </c>
      <c r="AV83">
        <f>83083.456</f>
        <v>83083.456000000006</v>
      </c>
      <c r="AW83">
        <f>83997.112</f>
        <v>83997.111999999994</v>
      </c>
      <c r="AX83">
        <f>85555.927</f>
        <v>85555.926999999996</v>
      </c>
      <c r="AY83">
        <f>84756.593</f>
        <v>84756.592999999993</v>
      </c>
      <c r="AZ83">
        <f>76276.745</f>
        <v>76276.744999999995</v>
      </c>
      <c r="BA83">
        <f>80529.71</f>
        <v>80529.710000000006</v>
      </c>
      <c r="BB83">
        <f>90381.811</f>
        <v>90381.811000000002</v>
      </c>
      <c r="BC83">
        <f>99656.517</f>
        <v>99656.517000000007</v>
      </c>
      <c r="BD83">
        <f>39903.448</f>
        <v>39903.447999999997</v>
      </c>
      <c r="BE83">
        <f>20877.457</f>
        <v>20877.456999999999</v>
      </c>
      <c r="BF83">
        <f>21893.743</f>
        <v>21893.742999999999</v>
      </c>
      <c r="BG83">
        <f>18093.47</f>
        <v>18093.47</v>
      </c>
      <c r="BH83">
        <f>13122.533</f>
        <v>13122.532999999999</v>
      </c>
      <c r="BI83">
        <f>12494.893</f>
        <v>12494.893</v>
      </c>
      <c r="BJ83">
        <f>14075.533</f>
        <v>14075.532999999999</v>
      </c>
      <c r="BK83">
        <f>20417.026</f>
        <v>20417.026000000002</v>
      </c>
      <c r="BL83">
        <f>21397.769</f>
        <v>21397.769</v>
      </c>
      <c r="BM83">
        <f>21105.499</f>
        <v>21105.499</v>
      </c>
      <c r="BN83">
        <f>20495.452</f>
        <v>20495.452000000001</v>
      </c>
      <c r="BO83">
        <f>18845.596</f>
        <v>18845.596000000001</v>
      </c>
      <c r="BP83">
        <f>17659.781</f>
        <v>17659.780999999999</v>
      </c>
      <c r="BQ83">
        <f>13215.736</f>
        <v>13215.736000000001</v>
      </c>
      <c r="BR83">
        <f>12638.64</f>
        <v>12638.64</v>
      </c>
      <c r="BS83">
        <f>5920.328</f>
        <v>5920.3280000000004</v>
      </c>
    </row>
    <row r="84" spans="1:71" x14ac:dyDescent="0.25">
      <c r="A84" t="str">
        <f>"        Regions Financial Corp"</f>
        <v xml:space="preserve">        Regions Financial Corp</v>
      </c>
      <c r="B84" t="str">
        <f>"RF US Equity"</f>
        <v>RF US Equity</v>
      </c>
      <c r="C84" t="str">
        <f t="shared" si="9"/>
        <v>F0093</v>
      </c>
      <c r="D84" t="str">
        <f t="shared" si="10"/>
        <v>FED_REAL_ESTATE_LOANS_DOMESTIC</v>
      </c>
      <c r="E84" t="str">
        <f t="shared" si="11"/>
        <v>Dynamic</v>
      </c>
      <c r="F84" t="str">
        <f ca="1">IF(AND(ISNUMBER($F$503),$B$427=1),$F$503,HLOOKUP(INDIRECT(ADDRESS(2,COLUMN())),OFFSET($AM$2,0,0,ROW()-1,33),ROW()-1,FALSE))</f>
        <v/>
      </c>
      <c r="G84">
        <f ca="1">IF(AND(ISNUMBER($G$503),$B$427=1),$G$503,HLOOKUP(INDIRECT(ADDRESS(2,COLUMN())),OFFSET($AM$2,0,0,ROW()-1,33),ROW()-1,FALSE))</f>
        <v>40671</v>
      </c>
      <c r="H84">
        <f ca="1">IF(AND(ISNUMBER($H$503),$B$427=1),$H$503,HLOOKUP(INDIRECT(ADDRESS(2,COLUMN())),OFFSET($AM$2,0,0,ROW()-1,33),ROW()-1,FALSE))</f>
        <v>39268</v>
      </c>
      <c r="I84">
        <f ca="1">IF(AND(ISNUMBER($I$503),$B$427=1),$I$503,HLOOKUP(INDIRECT(ADDRESS(2,COLUMN())),OFFSET($AM$2,0,0,ROW()-1,33),ROW()-1,FALSE))</f>
        <v>37707</v>
      </c>
      <c r="J84">
        <f ca="1">IF(AND(ISNUMBER($J$503),$B$427=1),$J$503,HLOOKUP(INDIRECT(ADDRESS(2,COLUMN())),OFFSET($AM$2,0,0,ROW()-1,33),ROW()-1,FALSE))</f>
        <v>39142</v>
      </c>
      <c r="K84">
        <f ca="1">IF(AND(ISNUMBER($K$503),$B$427=1),$K$503,HLOOKUP(INDIRECT(ADDRESS(2,COLUMN())),OFFSET($AM$2,0,0,ROW()-1,33),ROW()-1,FALSE))</f>
        <v>36747</v>
      </c>
      <c r="L84">
        <f ca="1">IF(AND(ISNUMBER($L$503),$B$427=1),$L$503,HLOOKUP(INDIRECT(ADDRESS(2,COLUMN())),OFFSET($AM$2,0,0,ROW()-1,33),ROW()-1,FALSE))</f>
        <v>36881.423000000003</v>
      </c>
      <c r="M84">
        <f ca="1">IF(AND(ISNUMBER($M$503),$B$427=1),$M$503,HLOOKUP(INDIRECT(ADDRESS(2,COLUMN())),OFFSET($AM$2,0,0,ROW()-1,33),ROW()-1,FALSE))</f>
        <v>37489.048000000003</v>
      </c>
      <c r="N84">
        <f ca="1">IF(AND(ISNUMBER($N$503),$B$427=1),$N$503,HLOOKUP(INDIRECT(ADDRESS(2,COLUMN())),OFFSET($AM$2,0,0,ROW()-1,33),ROW()-1,FALSE))</f>
        <v>39104.290999999997</v>
      </c>
      <c r="O84">
        <f ca="1">IF(AND(ISNUMBER($O$503),$B$427=1),$O$503,HLOOKUP(INDIRECT(ADDRESS(2,COLUMN())),OFFSET($AM$2,0,0,ROW()-1,33),ROW()-1,FALSE))</f>
        <v>39601.752999999997</v>
      </c>
      <c r="P84">
        <f ca="1">IF(AND(ISNUMBER($P$503),$B$427=1),$P$503,HLOOKUP(INDIRECT(ADDRESS(2,COLUMN())),OFFSET($AM$2,0,0,ROW()-1,33),ROW()-1,FALSE))</f>
        <v>39401.288999999997</v>
      </c>
      <c r="Q84">
        <f ca="1">IF(AND(ISNUMBER($Q$503),$B$427=1),$Q$503,HLOOKUP(INDIRECT(ADDRESS(2,COLUMN())),OFFSET($AM$2,0,0,ROW()-1,33),ROW()-1,FALSE))</f>
        <v>41201.898999999998</v>
      </c>
      <c r="R84">
        <f ca="1">IF(AND(ISNUMBER($R$503),$B$427=1),$R$503,HLOOKUP(INDIRECT(ADDRESS(2,COLUMN())),OFFSET($AM$2,0,0,ROW()-1,33),ROW()-1,FALSE))</f>
        <v>44630.841</v>
      </c>
      <c r="S84">
        <f ca="1">IF(AND(ISNUMBER($S$503),$B$427=1),$S$503,HLOOKUP(INDIRECT(ADDRESS(2,COLUMN())),OFFSET($AM$2,0,0,ROW()-1,33),ROW()-1,FALSE))</f>
        <v>50769.66</v>
      </c>
      <c r="T84">
        <f ca="1">IF(AND(ISNUMBER($T$503),$B$427=1),$T$503,HLOOKUP(INDIRECT(ADDRESS(2,COLUMN())),OFFSET($AM$2,0,0,ROW()-1,33),ROW()-1,FALSE))</f>
        <v>59478.061999999998</v>
      </c>
      <c r="U84">
        <f ca="1">IF(AND(ISNUMBER($U$503),$B$427=1),$U$503,HLOOKUP(INDIRECT(ADDRESS(2,COLUMN())),OFFSET($AM$2,0,0,ROW()-1,33),ROW()-1,FALSE))</f>
        <v>61699.188999999998</v>
      </c>
      <c r="V84">
        <f ca="1">IF(AND(ISNUMBER($V$503),$B$427=1),$V$503,HLOOKUP(INDIRECT(ADDRESS(2,COLUMN())),OFFSET($AM$2,0,0,ROW()-1,33),ROW()-1,FALSE))</f>
        <v>64634.612999999998</v>
      </c>
      <c r="W84">
        <f ca="1">IF(AND(ISNUMBER($W$503),$B$427=1),$W$503,HLOOKUP(INDIRECT(ADDRESS(2,COLUMN())),OFFSET($AM$2,0,0,ROW()-1,33),ROW()-1,FALSE))</f>
        <v>64138.472999999998</v>
      </c>
      <c r="X84">
        <f ca="1">IF(AND(ISNUMBER($X$503),$B$427=1),$X$503,HLOOKUP(INDIRECT(ADDRESS(2,COLUMN())),OFFSET($AM$2,0,0,ROW()-1,33),ROW()-1,FALSE))</f>
        <v>36423.379999999997</v>
      </c>
      <c r="Y84">
        <f ca="1">IF(AND(ISNUMBER($Y$503),$B$427=1),$Y$503,HLOOKUP(INDIRECT(ADDRESS(2,COLUMN())),OFFSET($AM$2,0,0,ROW()-1,33),ROW()-1,FALSE))</f>
        <v>20990.516</v>
      </c>
      <c r="Z84">
        <f ca="1">IF(AND(ISNUMBER($Z$503),$B$427=1),$Z$503,HLOOKUP(INDIRECT(ADDRESS(2,COLUMN())),OFFSET($AM$2,0,0,ROW()-1,33),ROW()-1,FALSE))</f>
        <v>20878.945</v>
      </c>
      <c r="AA84" t="str">
        <f ca="1">IF(AND(ISNUMBER($AA$503),$B$427=1),$AA$503,HLOOKUP(INDIRECT(ADDRESS(2,COLUMN())),OFFSET($AM$2,0,0,ROW()-1,33),ROW()-1,FALSE))</f>
        <v/>
      </c>
      <c r="AB84" t="str">
        <f ca="1">IF(AND(ISNUMBER($AB$503),$B$427=1),$AB$503,HLOOKUP(INDIRECT(ADDRESS(2,COLUMN())),OFFSET($AM$2,0,0,ROW()-1,33),ROW()-1,FALSE))</f>
        <v/>
      </c>
      <c r="AC84" t="str">
        <f ca="1">IF(AND(ISNUMBER($AC$503),$B$427=1),$AC$503,HLOOKUP(INDIRECT(ADDRESS(2,COLUMN())),OFFSET($AM$2,0,0,ROW()-1,33),ROW()-1,FALSE))</f>
        <v/>
      </c>
      <c r="AD84" t="str">
        <f ca="1">IF(AND(ISNUMBER($AD$503),$B$427=1),$AD$503,HLOOKUP(INDIRECT(ADDRESS(2,COLUMN())),OFFSET($AM$2,0,0,ROW()-1,33),ROW()-1,FALSE))</f>
        <v/>
      </c>
      <c r="AE84" t="str">
        <f ca="1">IF(AND(ISNUMBER($AE$503),$B$427=1),$AE$503,HLOOKUP(INDIRECT(ADDRESS(2,COLUMN())),OFFSET($AM$2,0,0,ROW()-1,33),ROW()-1,FALSE))</f>
        <v/>
      </c>
      <c r="AF84" t="str">
        <f ca="1">IF(AND(ISNUMBER($AF$503),$B$427=1),$AF$503,HLOOKUP(INDIRECT(ADDRESS(2,COLUMN())),OFFSET($AM$2,0,0,ROW()-1,33),ROW()-1,FALSE))</f>
        <v/>
      </c>
      <c r="AG84" t="str">
        <f ca="1">IF(AND(ISNUMBER($AG$503),$B$427=1),$AG$503,HLOOKUP(INDIRECT(ADDRESS(2,COLUMN())),OFFSET($AM$2,0,0,ROW()-1,33),ROW()-1,FALSE))</f>
        <v/>
      </c>
      <c r="AH84" t="str">
        <f ca="1">IF(AND(ISNUMBER($AH$503),$B$427=1),$AH$503,HLOOKUP(INDIRECT(ADDRESS(2,COLUMN())),OFFSET($AM$2,0,0,ROW()-1,33),ROW()-1,FALSE))</f>
        <v/>
      </c>
      <c r="AI84" t="str">
        <f ca="1">IF(AND(ISNUMBER($AI$503),$B$427=1),$AI$503,HLOOKUP(INDIRECT(ADDRESS(2,COLUMN())),OFFSET($AM$2,0,0,ROW()-1,33),ROW()-1,FALSE))</f>
        <v/>
      </c>
      <c r="AJ84" t="str">
        <f ca="1">IF(AND(ISNUMBER($AJ$503),$B$427=1),$AJ$503,HLOOKUP(INDIRECT(ADDRESS(2,COLUMN())),OFFSET($AM$2,0,0,ROW()-1,33),ROW()-1,FALSE))</f>
        <v/>
      </c>
      <c r="AK84" t="str">
        <f ca="1">IF(AND(ISNUMBER($AK$503),$B$427=1),$AK$503,HLOOKUP(INDIRECT(ADDRESS(2,COLUMN())),OFFSET($AM$2,0,0,ROW()-1,33),ROW()-1,FALSE))</f>
        <v/>
      </c>
      <c r="AL84" t="str">
        <f ca="1">IF(AND(ISNUMBER($AL$503),$B$427=1),$AL$503,HLOOKUP(INDIRECT(ADDRESS(2,COLUMN())),OFFSET($AM$2,0,0,ROW()-1,33),ROW()-1,FALSE))</f>
        <v/>
      </c>
      <c r="AM84" t="str">
        <f>""</f>
        <v/>
      </c>
      <c r="AN84">
        <f>40671</f>
        <v>40671</v>
      </c>
      <c r="AO84">
        <f>39268</f>
        <v>39268</v>
      </c>
      <c r="AP84">
        <f>37707</f>
        <v>37707</v>
      </c>
      <c r="AQ84">
        <f>39142</f>
        <v>39142</v>
      </c>
      <c r="AR84">
        <f>36747</f>
        <v>36747</v>
      </c>
      <c r="AS84">
        <f>36881.423</f>
        <v>36881.423000000003</v>
      </c>
      <c r="AT84">
        <f>37489.048</f>
        <v>37489.048000000003</v>
      </c>
      <c r="AU84">
        <f>39104.291</f>
        <v>39104.290999999997</v>
      </c>
      <c r="AV84">
        <f>39601.753</f>
        <v>39601.752999999997</v>
      </c>
      <c r="AW84">
        <f>39401.289</f>
        <v>39401.288999999997</v>
      </c>
      <c r="AX84">
        <f>41201.899</f>
        <v>41201.898999999998</v>
      </c>
      <c r="AY84">
        <f>44630.841</f>
        <v>44630.841</v>
      </c>
      <c r="AZ84">
        <f>50769.66</f>
        <v>50769.66</v>
      </c>
      <c r="BA84">
        <f>59478.062</f>
        <v>59478.061999999998</v>
      </c>
      <c r="BB84">
        <f>61699.189</f>
        <v>61699.188999999998</v>
      </c>
      <c r="BC84">
        <f>64634.613</f>
        <v>64634.612999999998</v>
      </c>
      <c r="BD84">
        <f>64138.473</f>
        <v>64138.472999999998</v>
      </c>
      <c r="BE84">
        <f>36423.38</f>
        <v>36423.379999999997</v>
      </c>
      <c r="BF84">
        <f>20990.516</f>
        <v>20990.516</v>
      </c>
      <c r="BG84">
        <f>20878.945</f>
        <v>20878.945</v>
      </c>
      <c r="BH84" t="str">
        <f>""</f>
        <v/>
      </c>
      <c r="BI84" t="str">
        <f>""</f>
        <v/>
      </c>
      <c r="BJ84" t="str">
        <f>""</f>
        <v/>
      </c>
      <c r="BK84" t="str">
        <f>""</f>
        <v/>
      </c>
      <c r="BL84" t="str">
        <f>""</f>
        <v/>
      </c>
      <c r="BM84" t="str">
        <f>""</f>
        <v/>
      </c>
      <c r="BN84" t="str">
        <f>""</f>
        <v/>
      </c>
      <c r="BO84" t="str">
        <f>""</f>
        <v/>
      </c>
      <c r="BP84" t="str">
        <f>""</f>
        <v/>
      </c>
      <c r="BQ84" t="str">
        <f>""</f>
        <v/>
      </c>
      <c r="BR84" t="str">
        <f>""</f>
        <v/>
      </c>
      <c r="BS84" t="str">
        <f>""</f>
        <v/>
      </c>
    </row>
    <row r="85" spans="1:71" x14ac:dyDescent="0.25">
      <c r="A85" t="str">
        <f>"        Truist Financial Corp"</f>
        <v xml:space="preserve">        Truist Financial Corp</v>
      </c>
      <c r="B85" t="str">
        <f>"TFC US Equity"</f>
        <v>TFC US Equity</v>
      </c>
      <c r="C85" t="str">
        <f t="shared" si="9"/>
        <v>F0093</v>
      </c>
      <c r="D85" t="str">
        <f t="shared" si="10"/>
        <v>FED_REAL_ESTATE_LOANS_DOMESTIC</v>
      </c>
      <c r="E85" t="str">
        <f t="shared" si="11"/>
        <v>Dynamic</v>
      </c>
      <c r="F85">
        <f ca="1">IF(AND(ISNUMBER($F$504),$B$427=1),$F$504,HLOOKUP(INDIRECT(ADDRESS(2,COLUMN())),OFFSET($AM$2,0,0,ROW()-1,33),ROW()-1,FALSE))</f>
        <v>116725</v>
      </c>
      <c r="G85">
        <f ca="1">IF(AND(ISNUMBER($G$504),$B$427=1),$G$504,HLOOKUP(INDIRECT(ADDRESS(2,COLUMN())),OFFSET($AM$2,0,0,ROW()-1,33),ROW()-1,FALSE))</f>
        <v>119152</v>
      </c>
      <c r="H85">
        <f ca="1">IF(AND(ISNUMBER($H$504),$B$427=1),$H$504,HLOOKUP(INDIRECT(ADDRESS(2,COLUMN())),OFFSET($AM$2,0,0,ROW()-1,33),ROW()-1,FALSE))</f>
        <v>122649</v>
      </c>
      <c r="I85">
        <f ca="1">IF(AND(ISNUMBER($I$504),$B$427=1),$I$504,HLOOKUP(INDIRECT(ADDRESS(2,COLUMN())),OFFSET($AM$2,0,0,ROW()-1,33),ROW()-1,FALSE))</f>
        <v>117113</v>
      </c>
      <c r="J85">
        <f ca="1">IF(AND(ISNUMBER($J$504),$B$427=1),$J$504,HLOOKUP(INDIRECT(ADDRESS(2,COLUMN())),OFFSET($AM$2,0,0,ROW()-1,33),ROW()-1,FALSE))</f>
        <v>123433</v>
      </c>
      <c r="K85">
        <f ca="1">IF(AND(ISNUMBER($K$504),$B$427=1),$K$504,HLOOKUP(INDIRECT(ADDRESS(2,COLUMN())),OFFSET($AM$2,0,0,ROW()-1,33),ROW()-1,FALSE))</f>
        <v>134332</v>
      </c>
      <c r="L85">
        <f ca="1">IF(AND(ISNUMBER($L$504),$B$427=1),$L$504,HLOOKUP(INDIRECT(ADDRESS(2,COLUMN())),OFFSET($AM$2,0,0,ROW()-1,33),ROW()-1,FALSE))</f>
        <v>77824</v>
      </c>
      <c r="M85">
        <f ca="1">IF(AND(ISNUMBER($M$504),$B$427=1),$M$504,HLOOKUP(INDIRECT(ADDRESS(2,COLUMN())),OFFSET($AM$2,0,0,ROW()-1,33),ROW()-1,FALSE))</f>
        <v>76939</v>
      </c>
      <c r="N85">
        <f ca="1">IF(AND(ISNUMBER($N$504),$B$427=1),$N$504,HLOOKUP(INDIRECT(ADDRESS(2,COLUMN())),OFFSET($AM$2,0,0,ROW()-1,33),ROW()-1,FALSE))</f>
        <v>79401.933000000005</v>
      </c>
      <c r="O85">
        <f ca="1">IF(AND(ISNUMBER($O$504),$B$427=1),$O$504,HLOOKUP(INDIRECT(ADDRESS(2,COLUMN())),OFFSET($AM$2,0,0,ROW()-1,33),ROW()-1,FALSE))</f>
        <v>76978.904999999999</v>
      </c>
      <c r="P85">
        <f ca="1">IF(AND(ISNUMBER($P$504),$B$427=1),$P$504,HLOOKUP(INDIRECT(ADDRESS(2,COLUMN())),OFFSET($AM$2,0,0,ROW()-1,33),ROW()-1,FALSE))</f>
        <v>69622.312000000005</v>
      </c>
      <c r="Q85">
        <f ca="1">IF(AND(ISNUMBER($Q$504),$B$427=1),$Q$504,HLOOKUP(INDIRECT(ADDRESS(2,COLUMN())),OFFSET($AM$2,0,0,ROW()-1,33),ROW()-1,FALSE))</f>
        <v>71337.027000000002</v>
      </c>
      <c r="R85">
        <f ca="1">IF(AND(ISNUMBER($R$504),$B$427=1),$R$504,HLOOKUP(INDIRECT(ADDRESS(2,COLUMN())),OFFSET($AM$2,0,0,ROW()-1,33),ROW()-1,FALSE))</f>
        <v>75420.884000000005</v>
      </c>
      <c r="S85">
        <f ca="1">IF(AND(ISNUMBER($S$504),$B$427=1),$S$504,HLOOKUP(INDIRECT(ADDRESS(2,COLUMN())),OFFSET($AM$2,0,0,ROW()-1,33),ROW()-1,FALSE))</f>
        <v>72271.634000000005</v>
      </c>
      <c r="T85">
        <f ca="1">IF(AND(ISNUMBER($T$504),$B$427=1),$T$504,HLOOKUP(INDIRECT(ADDRESS(2,COLUMN())),OFFSET($AM$2,0,0,ROW()-1,33),ROW()-1,FALSE))</f>
        <v>72061.862999999998</v>
      </c>
      <c r="U85">
        <f ca="1">IF(AND(ISNUMBER($U$504),$B$427=1),$U$504,HLOOKUP(INDIRECT(ADDRESS(2,COLUMN())),OFFSET($AM$2,0,0,ROW()-1,33),ROW()-1,FALSE))</f>
        <v>73575.870999999999</v>
      </c>
      <c r="V85">
        <f ca="1">IF(AND(ISNUMBER($V$504),$B$427=1),$V$504,HLOOKUP(INDIRECT(ADDRESS(2,COLUMN())),OFFSET($AM$2,0,0,ROW()-1,33),ROW()-1,FALSE))</f>
        <v>68155.979000000007</v>
      </c>
      <c r="W85">
        <f ca="1">IF(AND(ISNUMBER($W$504),$B$427=1),$W$504,HLOOKUP(INDIRECT(ADDRESS(2,COLUMN())),OFFSET($AM$2,0,0,ROW()-1,33),ROW()-1,FALSE))</f>
        <v>64939.644</v>
      </c>
      <c r="X85">
        <f ca="1">IF(AND(ISNUMBER($X$504),$B$427=1),$X$504,HLOOKUP(INDIRECT(ADDRESS(2,COLUMN())),OFFSET($AM$2,0,0,ROW()-1,33),ROW()-1,FALSE))</f>
        <v>30319.383999999998</v>
      </c>
      <c r="Y85">
        <f ca="1">IF(AND(ISNUMBER($Y$504),$B$427=1),$Y$504,HLOOKUP(INDIRECT(ADDRESS(2,COLUMN())),OFFSET($AM$2,0,0,ROW()-1,33),ROW()-1,FALSE))</f>
        <v>28550.663</v>
      </c>
      <c r="Z85">
        <f ca="1">IF(AND(ISNUMBER($Z$504),$B$427=1),$Z$504,HLOOKUP(INDIRECT(ADDRESS(2,COLUMN())),OFFSET($AM$2,0,0,ROW()-1,33),ROW()-1,FALSE))</f>
        <v>26054.026999999998</v>
      </c>
      <c r="AA85">
        <f ca="1">IF(AND(ISNUMBER($AA$504),$B$427=1),$AA$504,HLOOKUP(INDIRECT(ADDRESS(2,COLUMN())),OFFSET($AM$2,0,0,ROW()-1,33),ROW()-1,FALSE))</f>
        <v>23801.323</v>
      </c>
      <c r="AB85">
        <f ca="1">IF(AND(ISNUMBER($AB$504),$B$427=1),$AB$504,HLOOKUP(INDIRECT(ADDRESS(2,COLUMN())),OFFSET($AM$2,0,0,ROW()-1,33),ROW()-1,FALSE))</f>
        <v>20234.457999999999</v>
      </c>
      <c r="AC85">
        <f ca="1">IF(AND(ISNUMBER($AC$504),$B$427=1),$AC$504,HLOOKUP(INDIRECT(ADDRESS(2,COLUMN())),OFFSET($AM$2,0,0,ROW()-1,33),ROW()-1,FALSE))</f>
        <v>17323.862000000001</v>
      </c>
      <c r="AD85">
        <f ca="1">IF(AND(ISNUMBER($AD$504),$B$427=1),$AD$504,HLOOKUP(INDIRECT(ADDRESS(2,COLUMN())),OFFSET($AM$2,0,0,ROW()-1,33),ROW()-1,FALSE))</f>
        <v>15088.682000000001</v>
      </c>
      <c r="AE85">
        <f ca="1">IF(AND(ISNUMBER($AE$504),$B$427=1),$AE$504,HLOOKUP(INDIRECT(ADDRESS(2,COLUMN())),OFFSET($AM$2,0,0,ROW()-1,33),ROW()-1,FALSE))</f>
        <v>10494.084999999999</v>
      </c>
      <c r="AF85">
        <f ca="1">IF(AND(ISNUMBER($AF$504),$B$427=1),$AF$504,HLOOKUP(INDIRECT(ADDRESS(2,COLUMN())),OFFSET($AM$2,0,0,ROW()-1,33),ROW()-1,FALSE))</f>
        <v>10279.924999999999</v>
      </c>
      <c r="AG85">
        <f ca="1">IF(AND(ISNUMBER($AG$504),$B$427=1),$AG$504,HLOOKUP(INDIRECT(ADDRESS(2,COLUMN())),OFFSET($AM$2,0,0,ROW()-1,33),ROW()-1,FALSE))</f>
        <v>7966.4809999999998</v>
      </c>
      <c r="AH85">
        <f ca="1">IF(AND(ISNUMBER($AH$504),$B$427=1),$AH$504,HLOOKUP(INDIRECT(ADDRESS(2,COLUMN())),OFFSET($AM$2,0,0,ROW()-1,33),ROW()-1,FALSE))</f>
        <v>6121.8819999999996</v>
      </c>
      <c r="AI85">
        <f ca="1">IF(AND(ISNUMBER($AI$504),$B$427=1),$AI$504,HLOOKUP(INDIRECT(ADDRESS(2,COLUMN())),OFFSET($AM$2,0,0,ROW()-1,33),ROW()-1,FALSE))</f>
        <v>6340.1329999999998</v>
      </c>
      <c r="AJ85">
        <f ca="1">IF(AND(ISNUMBER($AJ$504),$B$427=1),$AJ$504,HLOOKUP(INDIRECT(ADDRESS(2,COLUMN())),OFFSET($AM$2,0,0,ROW()-1,33),ROW()-1,FALSE))</f>
        <v>2563.3130000000001</v>
      </c>
      <c r="AK85">
        <f ca="1">IF(AND(ISNUMBER($AK$504),$B$427=1),$AK$504,HLOOKUP(INDIRECT(ADDRESS(2,COLUMN())),OFFSET($AM$2,0,0,ROW()-1,33),ROW()-1,FALSE))</f>
        <v>1409.463</v>
      </c>
      <c r="AL85">
        <f ca="1">IF(AND(ISNUMBER($AL$504),$B$427=1),$AL$504,HLOOKUP(INDIRECT(ADDRESS(2,COLUMN())),OFFSET($AM$2,0,0,ROW()-1,33),ROW()-1,FALSE))</f>
        <v>992.27700000000004</v>
      </c>
      <c r="AM85">
        <f>116725</f>
        <v>116725</v>
      </c>
      <c r="AN85">
        <f>119152</f>
        <v>119152</v>
      </c>
      <c r="AO85">
        <f>122649</f>
        <v>122649</v>
      </c>
      <c r="AP85">
        <f>117113</f>
        <v>117113</v>
      </c>
      <c r="AQ85">
        <f>123433</f>
        <v>123433</v>
      </c>
      <c r="AR85">
        <f>134332</f>
        <v>134332</v>
      </c>
      <c r="AS85">
        <f>77824</f>
        <v>77824</v>
      </c>
      <c r="AT85">
        <f>76939</f>
        <v>76939</v>
      </c>
      <c r="AU85">
        <f>79401.933</f>
        <v>79401.933000000005</v>
      </c>
      <c r="AV85">
        <f>76978.905</f>
        <v>76978.904999999999</v>
      </c>
      <c r="AW85">
        <f>69622.312</f>
        <v>69622.312000000005</v>
      </c>
      <c r="AX85">
        <f>71337.027</f>
        <v>71337.027000000002</v>
      </c>
      <c r="AY85">
        <f>75420.884</f>
        <v>75420.884000000005</v>
      </c>
      <c r="AZ85">
        <f>72271.634</f>
        <v>72271.634000000005</v>
      </c>
      <c r="BA85">
        <f>72061.863</f>
        <v>72061.862999999998</v>
      </c>
      <c r="BB85">
        <f>73575.871</f>
        <v>73575.870999999999</v>
      </c>
      <c r="BC85">
        <f>68155.979</f>
        <v>68155.979000000007</v>
      </c>
      <c r="BD85">
        <f>64939.644</f>
        <v>64939.644</v>
      </c>
      <c r="BE85">
        <f>30319.384</f>
        <v>30319.383999999998</v>
      </c>
      <c r="BF85">
        <f>28550.663</f>
        <v>28550.663</v>
      </c>
      <c r="BG85">
        <f>26054.027</f>
        <v>26054.026999999998</v>
      </c>
      <c r="BH85">
        <f>23801.323</f>
        <v>23801.323</v>
      </c>
      <c r="BI85">
        <f>20234.458</f>
        <v>20234.457999999999</v>
      </c>
      <c r="BJ85">
        <f>17323.862</f>
        <v>17323.862000000001</v>
      </c>
      <c r="BK85">
        <f>15088.682</f>
        <v>15088.682000000001</v>
      </c>
      <c r="BL85">
        <f>10494.085</f>
        <v>10494.084999999999</v>
      </c>
      <c r="BM85">
        <f>10279.925</f>
        <v>10279.924999999999</v>
      </c>
      <c r="BN85">
        <f>7966.481</f>
        <v>7966.4809999999998</v>
      </c>
      <c r="BO85">
        <f>6121.882</f>
        <v>6121.8819999999996</v>
      </c>
      <c r="BP85">
        <f>6340.133</f>
        <v>6340.1329999999998</v>
      </c>
      <c r="BQ85">
        <f>2563.313</f>
        <v>2563.3130000000001</v>
      </c>
      <c r="BR85">
        <f>1409.463</f>
        <v>1409.463</v>
      </c>
      <c r="BS85">
        <f>992.277</f>
        <v>992.27700000000004</v>
      </c>
    </row>
    <row r="86" spans="1:71" x14ac:dyDescent="0.25">
      <c r="A86" t="str">
        <f>"        US Bancorp"</f>
        <v xml:space="preserve">        US Bancorp</v>
      </c>
      <c r="B86" t="str">
        <f>"USB US Equity"</f>
        <v>USB US Equity</v>
      </c>
      <c r="C86" t="str">
        <f t="shared" si="9"/>
        <v>F0093</v>
      </c>
      <c r="D86" t="str">
        <f t="shared" si="10"/>
        <v>FED_REAL_ESTATE_LOANS_DOMESTIC</v>
      </c>
      <c r="E86" t="str">
        <f t="shared" si="11"/>
        <v>Dynamic</v>
      </c>
      <c r="F86">
        <f ca="1">IF(AND(ISNUMBER($F$505),$B$427=1),$F$505,HLOOKUP(INDIRECT(ADDRESS(2,COLUMN())),OFFSET($AM$2,0,0,ROW()-1,33),ROW()-1,FALSE))</f>
        <v>181875</v>
      </c>
      <c r="G86">
        <f ca="1">IF(AND(ISNUMBER($G$505),$B$427=1),$G$505,HLOOKUP(INDIRECT(ADDRESS(2,COLUMN())),OFFSET($AM$2,0,0,ROW()-1,33),ROW()-1,FALSE))</f>
        <v>182234</v>
      </c>
      <c r="H86">
        <f ca="1">IF(AND(ISNUMBER($H$505),$B$427=1),$H$505,HLOOKUP(INDIRECT(ADDRESS(2,COLUMN())),OFFSET($AM$2,0,0,ROW()-1,33),ROW()-1,FALSE))</f>
        <v>184586</v>
      </c>
      <c r="I86">
        <f ca="1">IF(AND(ISNUMBER($I$505),$B$427=1),$I$505,HLOOKUP(INDIRECT(ADDRESS(2,COLUMN())),OFFSET($AM$2,0,0,ROW()-1,33),ROW()-1,FALSE))</f>
        <v>131024</v>
      </c>
      <c r="J86">
        <f ca="1">IF(AND(ISNUMBER($J$505),$B$427=1),$J$505,HLOOKUP(INDIRECT(ADDRESS(2,COLUMN())),OFFSET($AM$2,0,0,ROW()-1,33),ROW()-1,FALSE))</f>
        <v>134911</v>
      </c>
      <c r="K86">
        <f ca="1">IF(AND(ISNUMBER($K$505),$B$427=1),$K$505,HLOOKUP(INDIRECT(ADDRESS(2,COLUMN())),OFFSET($AM$2,0,0,ROW()-1,33),ROW()-1,FALSE))</f>
        <v>129085</v>
      </c>
      <c r="L86">
        <f ca="1">IF(AND(ISNUMBER($L$505),$B$427=1),$L$505,HLOOKUP(INDIRECT(ADDRESS(2,COLUMN())),OFFSET($AM$2,0,0,ROW()-1,33),ROW()-1,FALSE))</f>
        <v>120599</v>
      </c>
      <c r="M86">
        <f ca="1">IF(AND(ISNUMBER($M$505),$B$427=1),$M$505,HLOOKUP(INDIRECT(ADDRESS(2,COLUMN())),OFFSET($AM$2,0,0,ROW()-1,33),ROW()-1,FALSE))</f>
        <v>120465</v>
      </c>
      <c r="N86">
        <f ca="1">IF(AND(ISNUMBER($N$505),$B$427=1),$N$505,HLOOKUP(INDIRECT(ADDRESS(2,COLUMN())),OFFSET($AM$2,0,0,ROW()-1,33),ROW()-1,FALSE))</f>
        <v>122126</v>
      </c>
      <c r="O86">
        <f ca="1">IF(AND(ISNUMBER($O$505),$B$427=1),$O$505,HLOOKUP(INDIRECT(ADDRESS(2,COLUMN())),OFFSET($AM$2,0,0,ROW()-1,33),ROW()-1,FALSE))</f>
        <v>116114</v>
      </c>
      <c r="P86">
        <f ca="1">IF(AND(ISNUMBER($P$505),$B$427=1),$P$505,HLOOKUP(INDIRECT(ADDRESS(2,COLUMN())),OFFSET($AM$2,0,0,ROW()-1,33),ROW()-1,FALSE))</f>
        <v>116486</v>
      </c>
      <c r="Q86">
        <f ca="1">IF(AND(ISNUMBER($Q$505),$B$427=1),$Q$505,HLOOKUP(INDIRECT(ADDRESS(2,COLUMN())),OFFSET($AM$2,0,0,ROW()-1,33),ROW()-1,FALSE))</f>
        <v>113719</v>
      </c>
      <c r="R86">
        <f ca="1">IF(AND(ISNUMBER($R$505),$B$427=1),$R$505,HLOOKUP(INDIRECT(ADDRESS(2,COLUMN())),OFFSET($AM$2,0,0,ROW()-1,33),ROW()-1,FALSE))</f>
        <v>112748</v>
      </c>
      <c r="S86">
        <f ca="1">IF(AND(ISNUMBER($S$505),$B$427=1),$S$505,HLOOKUP(INDIRECT(ADDRESS(2,COLUMN())),OFFSET($AM$2,0,0,ROW()-1,33),ROW()-1,FALSE))</f>
        <v>107472</v>
      </c>
      <c r="T86">
        <f ca="1">IF(AND(ISNUMBER($T$505),$B$427=1),$T$505,HLOOKUP(INDIRECT(ADDRESS(2,COLUMN())),OFFSET($AM$2,0,0,ROW()-1,33),ROW()-1,FALSE))</f>
        <v>104602</v>
      </c>
      <c r="U86">
        <f ca="1">IF(AND(ISNUMBER($U$505),$B$427=1),$U$505,HLOOKUP(INDIRECT(ADDRESS(2,COLUMN())),OFFSET($AM$2,0,0,ROW()-1,33),ROW()-1,FALSE))</f>
        <v>99388</v>
      </c>
      <c r="V86">
        <f ca="1">IF(AND(ISNUMBER($V$505),$B$427=1),$V$505,HLOOKUP(INDIRECT(ADDRESS(2,COLUMN())),OFFSET($AM$2,0,0,ROW()-1,33),ROW()-1,FALSE))</f>
        <v>85668</v>
      </c>
      <c r="W86">
        <f ca="1">IF(AND(ISNUMBER($W$505),$B$427=1),$W$505,HLOOKUP(INDIRECT(ADDRESS(2,COLUMN())),OFFSET($AM$2,0,0,ROW()-1,33),ROW()-1,FALSE))</f>
        <v>70122</v>
      </c>
      <c r="X86">
        <f ca="1">IF(AND(ISNUMBER($X$505),$B$427=1),$X$505,HLOOKUP(INDIRECT(ADDRESS(2,COLUMN())),OFFSET($AM$2,0,0,ROW()-1,33),ROW()-1,FALSE))</f>
        <v>41149</v>
      </c>
      <c r="Y86">
        <f ca="1">IF(AND(ISNUMBER($Y$505),$B$427=1),$Y$505,HLOOKUP(INDIRECT(ADDRESS(2,COLUMN())),OFFSET($AM$2,0,0,ROW()-1,33),ROW()-1,FALSE))</f>
        <v>40263</v>
      </c>
      <c r="Z86">
        <f ca="1">IF(AND(ISNUMBER($Z$505),$B$427=1),$Z$505,HLOOKUP(INDIRECT(ADDRESS(2,COLUMN())),OFFSET($AM$2,0,0,ROW()-1,33),ROW()-1,FALSE))</f>
        <v>34552</v>
      </c>
      <c r="AA86">
        <f ca="1">IF(AND(ISNUMBER($AA$505),$B$427=1),$AA$505,HLOOKUP(INDIRECT(ADDRESS(2,COLUMN())),OFFSET($AM$2,0,0,ROW()-1,33),ROW()-1,FALSE))</f>
        <v>31195</v>
      </c>
      <c r="AB86">
        <f ca="1">IF(AND(ISNUMBER($AB$505),$B$427=1),$AB$505,HLOOKUP(INDIRECT(ADDRESS(2,COLUMN())),OFFSET($AM$2,0,0,ROW()-1,33),ROW()-1,FALSE))</f>
        <v>30666</v>
      </c>
      <c r="AC86">
        <f ca="1">IF(AND(ISNUMBER($AC$505),$B$427=1),$AC$505,HLOOKUP(INDIRECT(ADDRESS(2,COLUMN())),OFFSET($AM$2,0,0,ROW()-1,33),ROW()-1,FALSE))</f>
        <v>25618</v>
      </c>
      <c r="AD86">
        <f ca="1">IF(AND(ISNUMBER($AD$505),$B$427=1),$AD$505,HLOOKUP(INDIRECT(ADDRESS(2,COLUMN())),OFFSET($AM$2,0,0,ROW()-1,33),ROW()-1,FALSE))</f>
        <v>13205.823</v>
      </c>
      <c r="AE86">
        <f ca="1">IF(AND(ISNUMBER($AE$505),$B$427=1),$AE$505,HLOOKUP(INDIRECT(ADDRESS(2,COLUMN())),OFFSET($AM$2,0,0,ROW()-1,33),ROW()-1,FALSE))</f>
        <v>12399.78</v>
      </c>
      <c r="AF86">
        <f ca="1">IF(AND(ISNUMBER($AF$505),$B$427=1),$AF$505,HLOOKUP(INDIRECT(ADDRESS(2,COLUMN())),OFFSET($AM$2,0,0,ROW()-1,33),ROW()-1,FALSE))</f>
        <v>11601.200999999999</v>
      </c>
      <c r="AG86">
        <f ca="1">IF(AND(ISNUMBER($AG$505),$B$427=1),$AG$505,HLOOKUP(INDIRECT(ADDRESS(2,COLUMN())),OFFSET($AM$2,0,0,ROW()-1,33),ROW()-1,FALSE))</f>
        <v>11152.512000000001</v>
      </c>
      <c r="AH86">
        <f ca="1">IF(AND(ISNUMBER($AH$505),$B$427=1),$AH$505,HLOOKUP(INDIRECT(ADDRESS(2,COLUMN())),OFFSET($AM$2,0,0,ROW()-1,33),ROW()-1,FALSE))</f>
        <v>5176.6350000000002</v>
      </c>
      <c r="AI86">
        <f ca="1">IF(AND(ISNUMBER($AI$505),$B$427=1),$AI$505,HLOOKUP(INDIRECT(ADDRESS(2,COLUMN())),OFFSET($AM$2,0,0,ROW()-1,33),ROW()-1,FALSE))</f>
        <v>5392.2290000000003</v>
      </c>
      <c r="AJ86" t="str">
        <f ca="1">IF(AND(ISNUMBER($AJ$505),$B$427=1),$AJ$505,HLOOKUP(INDIRECT(ADDRESS(2,COLUMN())),OFFSET($AM$2,0,0,ROW()-1,33),ROW()-1,FALSE))</f>
        <v/>
      </c>
      <c r="AK86" t="str">
        <f ca="1">IF(AND(ISNUMBER($AK$505),$B$427=1),$AK$505,HLOOKUP(INDIRECT(ADDRESS(2,COLUMN())),OFFSET($AM$2,0,0,ROW()-1,33),ROW()-1,FALSE))</f>
        <v/>
      </c>
      <c r="AL86" t="str">
        <f ca="1">IF(AND(ISNUMBER($AL$505),$B$427=1),$AL$505,HLOOKUP(INDIRECT(ADDRESS(2,COLUMN())),OFFSET($AM$2,0,0,ROW()-1,33),ROW()-1,FALSE))</f>
        <v/>
      </c>
      <c r="AM86">
        <f>181875</f>
        <v>181875</v>
      </c>
      <c r="AN86">
        <f>182234</f>
        <v>182234</v>
      </c>
      <c r="AO86">
        <f>184586</f>
        <v>184586</v>
      </c>
      <c r="AP86">
        <f>131024</f>
        <v>131024</v>
      </c>
      <c r="AQ86">
        <f>134911</f>
        <v>134911</v>
      </c>
      <c r="AR86">
        <f>129085</f>
        <v>129085</v>
      </c>
      <c r="AS86">
        <f>120599</f>
        <v>120599</v>
      </c>
      <c r="AT86">
        <f>120465</f>
        <v>120465</v>
      </c>
      <c r="AU86">
        <f>122126</f>
        <v>122126</v>
      </c>
      <c r="AV86">
        <f>116114</f>
        <v>116114</v>
      </c>
      <c r="AW86">
        <f>116486</f>
        <v>116486</v>
      </c>
      <c r="AX86">
        <f>113719</f>
        <v>113719</v>
      </c>
      <c r="AY86">
        <f>112748</f>
        <v>112748</v>
      </c>
      <c r="AZ86">
        <f>107472</f>
        <v>107472</v>
      </c>
      <c r="BA86">
        <f>104602</f>
        <v>104602</v>
      </c>
      <c r="BB86">
        <f>99388</f>
        <v>99388</v>
      </c>
      <c r="BC86">
        <f>85668</f>
        <v>85668</v>
      </c>
      <c r="BD86">
        <f>70122</f>
        <v>70122</v>
      </c>
      <c r="BE86">
        <f>41149</f>
        <v>41149</v>
      </c>
      <c r="BF86">
        <f>40263</f>
        <v>40263</v>
      </c>
      <c r="BG86">
        <f>34552</f>
        <v>34552</v>
      </c>
      <c r="BH86">
        <f>31195</f>
        <v>31195</v>
      </c>
      <c r="BI86">
        <f>30666</f>
        <v>30666</v>
      </c>
      <c r="BJ86">
        <f>25618</f>
        <v>25618</v>
      </c>
      <c r="BK86">
        <f>13205.823</f>
        <v>13205.823</v>
      </c>
      <c r="BL86">
        <f>12399.78</f>
        <v>12399.78</v>
      </c>
      <c r="BM86">
        <f>11601.201</f>
        <v>11601.200999999999</v>
      </c>
      <c r="BN86">
        <f>11152.512</f>
        <v>11152.512000000001</v>
      </c>
      <c r="BO86">
        <f>5176.635</f>
        <v>5176.6350000000002</v>
      </c>
      <c r="BP86">
        <f>5392.229</f>
        <v>5392.2290000000003</v>
      </c>
      <c r="BQ86" t="str">
        <f>""</f>
        <v/>
      </c>
      <c r="BR86" t="str">
        <f>""</f>
        <v/>
      </c>
      <c r="BS86" t="str">
        <f>""</f>
        <v/>
      </c>
    </row>
    <row r="87" spans="1:71" x14ac:dyDescent="0.25">
      <c r="A87" t="str">
        <f>"        Wells Fargo &amp; Co"</f>
        <v xml:space="preserve">        Wells Fargo &amp; Co</v>
      </c>
      <c r="B87" t="str">
        <f>"WFC US Equity"</f>
        <v>WFC US Equity</v>
      </c>
      <c r="C87" t="str">
        <f t="shared" si="9"/>
        <v>F0093</v>
      </c>
      <c r="D87" t="str">
        <f t="shared" si="10"/>
        <v>FED_REAL_ESTATE_LOANS_DOMESTIC</v>
      </c>
      <c r="E87" t="str">
        <f t="shared" si="11"/>
        <v>Dynamic</v>
      </c>
      <c r="F87">
        <f ca="1">IF(AND(ISNUMBER($F$506),$B$427=1),$F$506,HLOOKUP(INDIRECT(ADDRESS(2,COLUMN())),OFFSET($AM$2,0,0,ROW()-1,33),ROW()-1,FALSE))</f>
        <v>377333</v>
      </c>
      <c r="G87">
        <f ca="1">IF(AND(ISNUMBER($G$506),$B$427=1),$G$506,HLOOKUP(INDIRECT(ADDRESS(2,COLUMN())),OFFSET($AM$2,0,0,ROW()-1,33),ROW()-1,FALSE))</f>
        <v>399548</v>
      </c>
      <c r="H87">
        <f ca="1">IF(AND(ISNUMBER($H$506),$B$427=1),$H$506,HLOOKUP(INDIRECT(ADDRESS(2,COLUMN())),OFFSET($AM$2,0,0,ROW()-1,33),ROW()-1,FALSE))</f>
        <v>414664</v>
      </c>
      <c r="I87">
        <f ca="1">IF(AND(ISNUMBER($I$506),$B$427=1),$I$506,HLOOKUP(INDIRECT(ADDRESS(2,COLUMN())),OFFSET($AM$2,0,0,ROW()-1,33),ROW()-1,FALSE))</f>
        <v>410796</v>
      </c>
      <c r="J87">
        <f ca="1">IF(AND(ISNUMBER($J$506),$B$427=1),$J$506,HLOOKUP(INDIRECT(ADDRESS(2,COLUMN())),OFFSET($AM$2,0,0,ROW()-1,33),ROW()-1,FALSE))</f>
        <v>451559</v>
      </c>
      <c r="K87">
        <f ca="1">IF(AND(ISNUMBER($K$506),$B$427=1),$K$506,HLOOKUP(INDIRECT(ADDRESS(2,COLUMN())),OFFSET($AM$2,0,0,ROW()-1,33),ROW()-1,FALSE))</f>
        <v>472912</v>
      </c>
      <c r="L87">
        <f ca="1">IF(AND(ISNUMBER($L$506),$B$427=1),$L$506,HLOOKUP(INDIRECT(ADDRESS(2,COLUMN())),OFFSET($AM$2,0,0,ROW()-1,33),ROW()-1,FALSE))</f>
        <v>467475</v>
      </c>
      <c r="M87">
        <f ca="1">IF(AND(ISNUMBER($M$506),$B$427=1),$M$506,HLOOKUP(INDIRECT(ADDRESS(2,COLUMN())),OFFSET($AM$2,0,0,ROW()-1,33),ROW()-1,FALSE))</f>
        <v>485706</v>
      </c>
      <c r="N87">
        <f ca="1">IF(AND(ISNUMBER($N$506),$B$427=1),$N$506,HLOOKUP(INDIRECT(ADDRESS(2,COLUMN())),OFFSET($AM$2,0,0,ROW()-1,33),ROW()-1,FALSE))</f>
        <v>496805</v>
      </c>
      <c r="O87">
        <f ca="1">IF(AND(ISNUMBER($O$506),$B$427=1),$O$506,HLOOKUP(INDIRECT(ADDRESS(2,COLUMN())),OFFSET($AM$2,0,0,ROW()-1,33),ROW()-1,FALSE))</f>
        <v>482823</v>
      </c>
      <c r="P87">
        <f ca="1">IF(AND(ISNUMBER($P$506),$B$427=1),$P$506,HLOOKUP(INDIRECT(ADDRESS(2,COLUMN())),OFFSET($AM$2,0,0,ROW()-1,33),ROW()-1,FALSE))</f>
        <v>470841</v>
      </c>
      <c r="Q87">
        <f ca="1">IF(AND(ISNUMBER($Q$506),$B$427=1),$Q$506,HLOOKUP(INDIRECT(ADDRESS(2,COLUMN())),OFFSET($AM$2,0,0,ROW()-1,33),ROW()-1,FALSE))</f>
        <v>465724</v>
      </c>
      <c r="R87">
        <f ca="1">IF(AND(ISNUMBER($R$506),$B$427=1),$R$506,HLOOKUP(INDIRECT(ADDRESS(2,COLUMN())),OFFSET($AM$2,0,0,ROW()-1,33),ROW()-1,FALSE))</f>
        <v>494633</v>
      </c>
      <c r="S87">
        <f ca="1">IF(AND(ISNUMBER($S$506),$B$427=1),$S$506,HLOOKUP(INDIRECT(ADDRESS(2,COLUMN())),OFFSET($AM$2,0,0,ROW()-1,33),ROW()-1,FALSE))</f>
        <v>487754</v>
      </c>
      <c r="T87">
        <f ca="1">IF(AND(ISNUMBER($T$506),$B$427=1),$T$506,HLOOKUP(INDIRECT(ADDRESS(2,COLUMN())),OFFSET($AM$2,0,0,ROW()-1,33),ROW()-1,FALSE))</f>
        <v>502354</v>
      </c>
      <c r="U87">
        <f ca="1">IF(AND(ISNUMBER($U$506),$B$427=1),$U$506,HLOOKUP(INDIRECT(ADDRESS(2,COLUMN())),OFFSET($AM$2,0,0,ROW()-1,33),ROW()-1,FALSE))</f>
        <v>506140</v>
      </c>
      <c r="V87">
        <f ca="1">IF(AND(ISNUMBER($V$506),$B$427=1),$V$506,HLOOKUP(INDIRECT(ADDRESS(2,COLUMN())),OFFSET($AM$2,0,0,ROW()-1,33),ROW()-1,FALSE))</f>
        <v>516467</v>
      </c>
      <c r="W87">
        <f ca="1">IF(AND(ISNUMBER($W$506),$B$427=1),$W$506,HLOOKUP(INDIRECT(ADDRESS(2,COLUMN())),OFFSET($AM$2,0,0,ROW()-1,33),ROW()-1,FALSE))</f>
        <v>229117</v>
      </c>
      <c r="X87">
        <f ca="1">IF(AND(ISNUMBER($X$506),$B$427=1),$X$506,HLOOKUP(INDIRECT(ADDRESS(2,COLUMN())),OFFSET($AM$2,0,0,ROW()-1,33),ROW()-1,FALSE))</f>
        <v>159369</v>
      </c>
      <c r="Y87">
        <f ca="1">IF(AND(ISNUMBER($Y$506),$B$427=1),$Y$506,HLOOKUP(INDIRECT(ADDRESS(2,COLUMN())),OFFSET($AM$2,0,0,ROW()-1,33),ROW()-1,FALSE))</f>
        <v>181496</v>
      </c>
      <c r="Z87">
        <f ca="1">IF(AND(ISNUMBER($Z$506),$B$427=1),$Z$506,HLOOKUP(INDIRECT(ADDRESS(2,COLUMN())),OFFSET($AM$2,0,0,ROW()-1,33),ROW()-1,FALSE))</f>
        <v>173464</v>
      </c>
      <c r="AA87">
        <f ca="1">IF(AND(ISNUMBER($AA$506),$B$427=1),$AA$506,HLOOKUP(INDIRECT(ADDRESS(2,COLUMN())),OFFSET($AM$2,0,0,ROW()-1,33),ROW()-1,FALSE))</f>
        <v>152370</v>
      </c>
      <c r="AB87">
        <f ca="1">IF(AND(ISNUMBER($AB$506),$B$427=1),$AB$506,HLOOKUP(INDIRECT(ADDRESS(2,COLUMN())),OFFSET($AM$2,0,0,ROW()-1,33),ROW()-1,FALSE))</f>
        <v>126489</v>
      </c>
      <c r="AC87">
        <f ca="1">IF(AND(ISNUMBER($AC$506),$B$427=1),$AC$506,HLOOKUP(INDIRECT(ADDRESS(2,COLUMN())),OFFSET($AM$2,0,0,ROW()-1,33),ROW()-1,FALSE))</f>
        <v>84620</v>
      </c>
      <c r="AD87">
        <f ca="1">IF(AND(ISNUMBER($AD$506),$B$427=1),$AD$506,HLOOKUP(INDIRECT(ADDRESS(2,COLUMN())),OFFSET($AM$2,0,0,ROW()-1,33),ROW()-1,FALSE))</f>
        <v>49355.732000000004</v>
      </c>
      <c r="AE87">
        <f ca="1">IF(AND(ISNUMBER($AE$506),$B$427=1),$AE$506,HLOOKUP(INDIRECT(ADDRESS(2,COLUMN())),OFFSET($AM$2,0,0,ROW()-1,33),ROW()-1,FALSE))</f>
        <v>36184.584999999999</v>
      </c>
      <c r="AF87">
        <f ca="1">IF(AND(ISNUMBER($AF$506),$B$427=1),$AF$506,HLOOKUP(INDIRECT(ADDRESS(2,COLUMN())),OFFSET($AM$2,0,0,ROW()-1,33),ROW()-1,FALSE))</f>
        <v>38934.360999999997</v>
      </c>
      <c r="AG87">
        <f ca="1">IF(AND(ISNUMBER($AG$506),$B$427=1),$AG$506,HLOOKUP(INDIRECT(ADDRESS(2,COLUMN())),OFFSET($AM$2,0,0,ROW()-1,33),ROW()-1,FALSE))</f>
        <v>16182.332</v>
      </c>
      <c r="AH87">
        <f ca="1">IF(AND(ISNUMBER($AH$506),$B$427=1),$AH$506,HLOOKUP(INDIRECT(ADDRESS(2,COLUMN())),OFFSET($AM$2,0,0,ROW()-1,33),ROW()-1,FALSE))</f>
        <v>12011.008</v>
      </c>
      <c r="AI87">
        <f ca="1">IF(AND(ISNUMBER($AI$506),$B$427=1),$AI$506,HLOOKUP(INDIRECT(ADDRESS(2,COLUMN())),OFFSET($AM$2,0,0,ROW()-1,33),ROW()-1,FALSE))</f>
        <v>11297.891</v>
      </c>
      <c r="AJ87" t="str">
        <f ca="1">IF(AND(ISNUMBER($AJ$506),$B$427=1),$AJ$506,HLOOKUP(INDIRECT(ADDRESS(2,COLUMN())),OFFSET($AM$2,0,0,ROW()-1,33),ROW()-1,FALSE))</f>
        <v/>
      </c>
      <c r="AK87" t="str">
        <f ca="1">IF(AND(ISNUMBER($AK$506),$B$427=1),$AK$506,HLOOKUP(INDIRECT(ADDRESS(2,COLUMN())),OFFSET($AM$2,0,0,ROW()-1,33),ROW()-1,FALSE))</f>
        <v/>
      </c>
      <c r="AL87" t="str">
        <f ca="1">IF(AND(ISNUMBER($AL$506),$B$427=1),$AL$506,HLOOKUP(INDIRECT(ADDRESS(2,COLUMN())),OFFSET($AM$2,0,0,ROW()-1,33),ROW()-1,FALSE))</f>
        <v/>
      </c>
      <c r="AM87">
        <f>377333</f>
        <v>377333</v>
      </c>
      <c r="AN87">
        <f>399548</f>
        <v>399548</v>
      </c>
      <c r="AO87">
        <f>414664</f>
        <v>414664</v>
      </c>
      <c r="AP87">
        <f>410796</f>
        <v>410796</v>
      </c>
      <c r="AQ87">
        <f>451559</f>
        <v>451559</v>
      </c>
      <c r="AR87">
        <f>472912</f>
        <v>472912</v>
      </c>
      <c r="AS87">
        <f>467475</f>
        <v>467475</v>
      </c>
      <c r="AT87">
        <f>485706</f>
        <v>485706</v>
      </c>
      <c r="AU87">
        <f>496805</f>
        <v>496805</v>
      </c>
      <c r="AV87">
        <f>482823</f>
        <v>482823</v>
      </c>
      <c r="AW87">
        <f>470841</f>
        <v>470841</v>
      </c>
      <c r="AX87">
        <f>465724</f>
        <v>465724</v>
      </c>
      <c r="AY87">
        <f>494633</f>
        <v>494633</v>
      </c>
      <c r="AZ87">
        <f>487754</f>
        <v>487754</v>
      </c>
      <c r="BA87">
        <f>502354</f>
        <v>502354</v>
      </c>
      <c r="BB87">
        <f>506140</f>
        <v>506140</v>
      </c>
      <c r="BC87">
        <f>516467</f>
        <v>516467</v>
      </c>
      <c r="BD87">
        <f>229117</f>
        <v>229117</v>
      </c>
      <c r="BE87">
        <f>159369</f>
        <v>159369</v>
      </c>
      <c r="BF87">
        <f>181496</f>
        <v>181496</v>
      </c>
      <c r="BG87">
        <f>173464</f>
        <v>173464</v>
      </c>
      <c r="BH87">
        <f>152370</f>
        <v>152370</v>
      </c>
      <c r="BI87">
        <f>126489</f>
        <v>126489</v>
      </c>
      <c r="BJ87">
        <f>84620</f>
        <v>84620</v>
      </c>
      <c r="BK87">
        <f>49355.732</f>
        <v>49355.732000000004</v>
      </c>
      <c r="BL87">
        <f>36184.585</f>
        <v>36184.584999999999</v>
      </c>
      <c r="BM87">
        <f>38934.361</f>
        <v>38934.360999999997</v>
      </c>
      <c r="BN87">
        <f>16182.332</f>
        <v>16182.332</v>
      </c>
      <c r="BO87">
        <f>12011.008</f>
        <v>12011.008</v>
      </c>
      <c r="BP87">
        <f>11297.891</f>
        <v>11297.891</v>
      </c>
      <c r="BQ87" t="str">
        <f>""</f>
        <v/>
      </c>
      <c r="BR87" t="str">
        <f>""</f>
        <v/>
      </c>
      <c r="BS87" t="str">
        <f>""</f>
        <v/>
      </c>
    </row>
    <row r="88" spans="1:71" x14ac:dyDescent="0.25">
      <c r="A88" t="str">
        <f>"        Western Alliance Bancorp"</f>
        <v xml:space="preserve">        Western Alliance Bancorp</v>
      </c>
      <c r="B88" t="str">
        <f>"WAL US Equity"</f>
        <v>WAL US Equity</v>
      </c>
      <c r="C88" t="str">
        <f t="shared" si="9"/>
        <v>F0093</v>
      </c>
      <c r="D88" t="str">
        <f t="shared" si="10"/>
        <v>FED_REAL_ESTATE_LOANS_DOMESTIC</v>
      </c>
      <c r="E88" t="str">
        <f t="shared" si="11"/>
        <v>Dynamic</v>
      </c>
      <c r="F88">
        <f ca="1">IF(AND(ISNUMBER($F$507),$B$427=1),$F$507,HLOOKUP(INDIRECT(ADDRESS(2,COLUMN())),OFFSET($AM$2,0,0,ROW()-1,33),ROW()-1,FALSE))</f>
        <v>32939.271000000001</v>
      </c>
      <c r="G88">
        <f ca="1">IF(AND(ISNUMBER($G$507),$B$427=1),$G$507,HLOOKUP(INDIRECT(ADDRESS(2,COLUMN())),OFFSET($AM$2,0,0,ROW()-1,33),ROW()-1,FALSE))</f>
        <v>32458.218000000001</v>
      </c>
      <c r="H88">
        <f ca="1">IF(AND(ISNUMBER($H$507),$B$427=1),$H$507,HLOOKUP(INDIRECT(ADDRESS(2,COLUMN())),OFFSET($AM$2,0,0,ROW()-1,33),ROW()-1,FALSE))</f>
        <v>32538.631000000001</v>
      </c>
      <c r="I88">
        <f ca="1">IF(AND(ISNUMBER($I$507),$B$427=1),$I$507,HLOOKUP(INDIRECT(ADDRESS(2,COLUMN())),OFFSET($AM$2,0,0,ROW()-1,33),ROW()-1,FALSE))</f>
        <v>26118.821</v>
      </c>
      <c r="J88">
        <f ca="1">IF(AND(ISNUMBER($J$507),$B$427=1),$J$507,HLOOKUP(INDIRECT(ADDRESS(2,COLUMN())),OFFSET($AM$2,0,0,ROW()-1,33),ROW()-1,FALSE))</f>
        <v>12365.507</v>
      </c>
      <c r="K88">
        <f ca="1">IF(AND(ISNUMBER($K$507),$B$427=1),$K$507,HLOOKUP(INDIRECT(ADDRESS(2,COLUMN())),OFFSET($AM$2,0,0,ROW()-1,33),ROW()-1,FALSE))</f>
        <v>11335.424999999999</v>
      </c>
      <c r="L88">
        <f ca="1">IF(AND(ISNUMBER($L$507),$B$427=1),$L$507,HLOOKUP(INDIRECT(ADDRESS(2,COLUMN())),OFFSET($AM$2,0,0,ROW()-1,33),ROW()-1,FALSE))</f>
        <v>9560.4249999999993</v>
      </c>
      <c r="M88">
        <f ca="1">IF(AND(ISNUMBER($M$507),$B$427=1),$M$507,HLOOKUP(INDIRECT(ADDRESS(2,COLUMN())),OFFSET($AM$2,0,0,ROW()-1,33),ROW()-1,FALSE))</f>
        <v>7875.0349999999999</v>
      </c>
      <c r="N88">
        <f ca="1">IF(AND(ISNUMBER($N$507),$B$427=1),$N$507,HLOOKUP(INDIRECT(ADDRESS(2,COLUMN())),OFFSET($AM$2,0,0,ROW()-1,33),ROW()-1,FALSE))</f>
        <v>7044.8680000000004</v>
      </c>
      <c r="O88">
        <f ca="1">IF(AND(ISNUMBER($O$507),$B$427=1),$O$507,HLOOKUP(INDIRECT(ADDRESS(2,COLUMN())),OFFSET($AM$2,0,0,ROW()-1,33),ROW()-1,FALSE))</f>
        <v>5591.7579999999998</v>
      </c>
      <c r="P88">
        <f ca="1">IF(AND(ISNUMBER($P$507),$B$427=1),$P$507,HLOOKUP(INDIRECT(ADDRESS(2,COLUMN())),OFFSET($AM$2,0,0,ROW()-1,33),ROW()-1,FALSE))</f>
        <v>4802.9979999999996</v>
      </c>
      <c r="Q88">
        <f ca="1">IF(AND(ISNUMBER($Q$507),$B$427=1),$Q$507,HLOOKUP(INDIRECT(ADDRESS(2,COLUMN())),OFFSET($AM$2,0,0,ROW()-1,33),ROW()-1,FALSE))</f>
        <v>4276.6719999999996</v>
      </c>
      <c r="R88">
        <f ca="1">IF(AND(ISNUMBER($R$507),$B$427=1),$R$507,HLOOKUP(INDIRECT(ADDRESS(2,COLUMN())),OFFSET($AM$2,0,0,ROW()-1,33),ROW()-1,FALSE))</f>
        <v>3704.6529999999998</v>
      </c>
      <c r="S88">
        <f ca="1">IF(AND(ISNUMBER($S$507),$B$427=1),$S$507,HLOOKUP(INDIRECT(ADDRESS(2,COLUMN())),OFFSET($AM$2,0,0,ROW()-1,33),ROW()-1,FALSE))</f>
        <v>3378.049</v>
      </c>
      <c r="T88">
        <f ca="1">IF(AND(ISNUMBER($T$507),$B$427=1),$T$507,HLOOKUP(INDIRECT(ADDRESS(2,COLUMN())),OFFSET($AM$2,0,0,ROW()-1,33),ROW()-1,FALSE))</f>
        <v>3240.4090000000001</v>
      </c>
      <c r="U88">
        <f ca="1">IF(AND(ISNUMBER($U$507),$B$427=1),$U$507,HLOOKUP(INDIRECT(ADDRESS(2,COLUMN())),OFFSET($AM$2,0,0,ROW()-1,33),ROW()-1,FALSE))</f>
        <v>3216.1610000000001</v>
      </c>
      <c r="V88">
        <f ca="1">IF(AND(ISNUMBER($V$507),$B$427=1),$V$507,HLOOKUP(INDIRECT(ADDRESS(2,COLUMN())),OFFSET($AM$2,0,0,ROW()-1,33),ROW()-1,FALSE))</f>
        <v>3174.6529999999998</v>
      </c>
      <c r="W88">
        <f ca="1">IF(AND(ISNUMBER($W$507),$B$427=1),$W$507,HLOOKUP(INDIRECT(ADDRESS(2,COLUMN())),OFFSET($AM$2,0,0,ROW()-1,33),ROW()-1,FALSE))</f>
        <v>2814.0880000000002</v>
      </c>
      <c r="X88">
        <f ca="1">IF(AND(ISNUMBER($X$507),$B$427=1),$X$507,HLOOKUP(INDIRECT(ADDRESS(2,COLUMN())),OFFSET($AM$2,0,0,ROW()-1,33),ROW()-1,FALSE))</f>
        <v>417.46800000000002</v>
      </c>
      <c r="Y88">
        <f ca="1">IF(AND(ISNUMBER($Y$507),$B$427=1),$Y$507,HLOOKUP(INDIRECT(ADDRESS(2,COLUMN())),OFFSET($AM$2,0,0,ROW()-1,33),ROW()-1,FALSE))</f>
        <v>298.23200000000003</v>
      </c>
      <c r="Z88">
        <f ca="1">IF(AND(ISNUMBER($Z$507),$B$427=1),$Z$507,HLOOKUP(INDIRECT(ADDRESS(2,COLUMN())),OFFSET($AM$2,0,0,ROW()-1,33),ROW()-1,FALSE))</f>
        <v>133.67400000000001</v>
      </c>
      <c r="AA88">
        <f ca="1">IF(AND(ISNUMBER($AA$507),$B$427=1),$AA$507,HLOOKUP(INDIRECT(ADDRESS(2,COLUMN())),OFFSET($AM$2,0,0,ROW()-1,33),ROW()-1,FALSE))</f>
        <v>56.720999999999997</v>
      </c>
      <c r="AB88">
        <f ca="1">IF(AND(ISNUMBER($AB$507),$B$427=1),$AB$507,HLOOKUP(INDIRECT(ADDRESS(2,COLUMN())),OFFSET($AM$2,0,0,ROW()-1,33),ROW()-1,FALSE))</f>
        <v>26.126999999999999</v>
      </c>
      <c r="AC88">
        <f ca="1">IF(AND(ISNUMBER($AC$507),$B$427=1),$AC$507,HLOOKUP(INDIRECT(ADDRESS(2,COLUMN())),OFFSET($AM$2,0,0,ROW()-1,33),ROW()-1,FALSE))</f>
        <v>18.065999999999999</v>
      </c>
      <c r="AD88" t="str">
        <f ca="1">IF(AND(ISNUMBER($AD$507),$B$427=1),$AD$507,HLOOKUP(INDIRECT(ADDRESS(2,COLUMN())),OFFSET($AM$2,0,0,ROW()-1,33),ROW()-1,FALSE))</f>
        <v/>
      </c>
      <c r="AE88" t="str">
        <f ca="1">IF(AND(ISNUMBER($AE$507),$B$427=1),$AE$507,HLOOKUP(INDIRECT(ADDRESS(2,COLUMN())),OFFSET($AM$2,0,0,ROW()-1,33),ROW()-1,FALSE))</f>
        <v/>
      </c>
      <c r="AF88" t="str">
        <f ca="1">IF(AND(ISNUMBER($AF$507),$B$427=1),$AF$507,HLOOKUP(INDIRECT(ADDRESS(2,COLUMN())),OFFSET($AM$2,0,0,ROW()-1,33),ROW()-1,FALSE))</f>
        <v/>
      </c>
      <c r="AG88" t="str">
        <f ca="1">IF(AND(ISNUMBER($AG$507),$B$427=1),$AG$507,HLOOKUP(INDIRECT(ADDRESS(2,COLUMN())),OFFSET($AM$2,0,0,ROW()-1,33),ROW()-1,FALSE))</f>
        <v/>
      </c>
      <c r="AH88" t="str">
        <f ca="1">IF(AND(ISNUMBER($AH$507),$B$427=1),$AH$507,HLOOKUP(INDIRECT(ADDRESS(2,COLUMN())),OFFSET($AM$2,0,0,ROW()-1,33),ROW()-1,FALSE))</f>
        <v/>
      </c>
      <c r="AI88" t="str">
        <f ca="1">IF(AND(ISNUMBER($AI$507),$B$427=1),$AI$507,HLOOKUP(INDIRECT(ADDRESS(2,COLUMN())),OFFSET($AM$2,0,0,ROW()-1,33),ROW()-1,FALSE))</f>
        <v/>
      </c>
      <c r="AJ88" t="str">
        <f ca="1">IF(AND(ISNUMBER($AJ$507),$B$427=1),$AJ$507,HLOOKUP(INDIRECT(ADDRESS(2,COLUMN())),OFFSET($AM$2,0,0,ROW()-1,33),ROW()-1,FALSE))</f>
        <v/>
      </c>
      <c r="AK88" t="str">
        <f ca="1">IF(AND(ISNUMBER($AK$507),$B$427=1),$AK$507,HLOOKUP(INDIRECT(ADDRESS(2,COLUMN())),OFFSET($AM$2,0,0,ROW()-1,33),ROW()-1,FALSE))</f>
        <v/>
      </c>
      <c r="AL88" t="str">
        <f ca="1">IF(AND(ISNUMBER($AL$507),$B$427=1),$AL$507,HLOOKUP(INDIRECT(ADDRESS(2,COLUMN())),OFFSET($AM$2,0,0,ROW()-1,33),ROW()-1,FALSE))</f>
        <v/>
      </c>
      <c r="AM88">
        <f>32939.271</f>
        <v>32939.271000000001</v>
      </c>
      <c r="AN88">
        <f>32458.218</f>
        <v>32458.218000000001</v>
      </c>
      <c r="AO88">
        <f>32538.631</f>
        <v>32538.631000000001</v>
      </c>
      <c r="AP88">
        <f>26118.821</f>
        <v>26118.821</v>
      </c>
      <c r="AQ88">
        <f>12365.507</f>
        <v>12365.507</v>
      </c>
      <c r="AR88">
        <f>11335.425</f>
        <v>11335.424999999999</v>
      </c>
      <c r="AS88">
        <f>9560.425</f>
        <v>9560.4249999999993</v>
      </c>
      <c r="AT88">
        <f>7875.035</f>
        <v>7875.0349999999999</v>
      </c>
      <c r="AU88">
        <f>7044.868</f>
        <v>7044.8680000000004</v>
      </c>
      <c r="AV88">
        <f>5591.758</f>
        <v>5591.7579999999998</v>
      </c>
      <c r="AW88">
        <f>4802.998</f>
        <v>4802.9979999999996</v>
      </c>
      <c r="AX88">
        <f>4276.672</f>
        <v>4276.6719999999996</v>
      </c>
      <c r="AY88">
        <f>3704.653</f>
        <v>3704.6529999999998</v>
      </c>
      <c r="AZ88">
        <f>3378.049</f>
        <v>3378.049</v>
      </c>
      <c r="BA88">
        <f>3240.409</f>
        <v>3240.4090000000001</v>
      </c>
      <c r="BB88">
        <f>3216.161</f>
        <v>3216.1610000000001</v>
      </c>
      <c r="BC88">
        <f>3174.653</f>
        <v>3174.6529999999998</v>
      </c>
      <c r="BD88">
        <f>2814.088</f>
        <v>2814.0880000000002</v>
      </c>
      <c r="BE88">
        <f>417.468</f>
        <v>417.46800000000002</v>
      </c>
      <c r="BF88">
        <f>298.232</f>
        <v>298.23200000000003</v>
      </c>
      <c r="BG88">
        <f>133.674</f>
        <v>133.67400000000001</v>
      </c>
      <c r="BH88">
        <f>56.721</f>
        <v>56.720999999999997</v>
      </c>
      <c r="BI88">
        <f>26.127</f>
        <v>26.126999999999999</v>
      </c>
      <c r="BJ88">
        <f>18.066</f>
        <v>18.065999999999999</v>
      </c>
      <c r="BK88" t="str">
        <f>""</f>
        <v/>
      </c>
      <c r="BL88" t="str">
        <f>""</f>
        <v/>
      </c>
      <c r="BM88" t="str">
        <f>""</f>
        <v/>
      </c>
      <c r="BN88" t="str">
        <f>""</f>
        <v/>
      </c>
      <c r="BO88" t="str">
        <f>""</f>
        <v/>
      </c>
      <c r="BP88" t="str">
        <f>""</f>
        <v/>
      </c>
      <c r="BQ88" t="str">
        <f>""</f>
        <v/>
      </c>
      <c r="BR88" t="str">
        <f>""</f>
        <v/>
      </c>
      <c r="BS88" t="str">
        <f>""</f>
        <v/>
      </c>
    </row>
    <row r="89" spans="1:71" x14ac:dyDescent="0.25">
      <c r="A89" t="str">
        <f>"        Zions Bancorp NA"</f>
        <v xml:space="preserve">        Zions Bancorp NA</v>
      </c>
      <c r="B89" t="str">
        <f>"ZION US Equity"</f>
        <v>ZION US Equity</v>
      </c>
      <c r="C89" t="str">
        <f t="shared" si="9"/>
        <v>F0093</v>
      </c>
      <c r="D89" t="str">
        <f t="shared" si="10"/>
        <v>FED_REAL_ESTATE_LOANS_DOMESTIC</v>
      </c>
      <c r="E89" t="str">
        <f t="shared" si="11"/>
        <v>Dynamic</v>
      </c>
      <c r="F89" t="str">
        <f ca="1">IF(AND(ISNUMBER($F$508),$B$427=1),$F$508,HLOOKUP(INDIRECT(ADDRESS(2,COLUMN())),OFFSET($AM$2,0,0,ROW()-1,33),ROW()-1,FALSE))</f>
        <v/>
      </c>
      <c r="G89">
        <f ca="1">IF(AND(ISNUMBER($G$508),$B$427=1),$G$508,HLOOKUP(INDIRECT(ADDRESS(2,COLUMN())),OFFSET($AM$2,0,0,ROW()-1,33),ROW()-1,FALSE))</f>
        <v>15184.508</v>
      </c>
      <c r="H89">
        <f ca="1">IF(AND(ISNUMBER($H$508),$B$427=1),$H$508,HLOOKUP(INDIRECT(ADDRESS(2,COLUMN())),OFFSET($AM$2,0,0,ROW()-1,33),ROW()-1,FALSE))</f>
        <v>13672.794</v>
      </c>
      <c r="I89">
        <f ca="1">IF(AND(ISNUMBER($I$508),$B$427=1),$I$508,HLOOKUP(INDIRECT(ADDRESS(2,COLUMN())),OFFSET($AM$2,0,0,ROW()-1,33),ROW()-1,FALSE))</f>
        <v>11702.338</v>
      </c>
      <c r="J89" t="str">
        <f ca="1">IF(AND(ISNUMBER($J$508),$B$427=1),$J$508,HLOOKUP(INDIRECT(ADDRESS(2,COLUMN())),OFFSET($AM$2,0,0,ROW()-1,33),ROW()-1,FALSE))</f>
        <v/>
      </c>
      <c r="K89" t="str">
        <f ca="1">IF(AND(ISNUMBER($K$508),$B$427=1),$K$508,HLOOKUP(INDIRECT(ADDRESS(2,COLUMN())),OFFSET($AM$2,0,0,ROW()-1,33),ROW()-1,FALSE))</f>
        <v/>
      </c>
      <c r="L89" t="str">
        <f ca="1">IF(AND(ISNUMBER($L$508),$B$427=1),$L$508,HLOOKUP(INDIRECT(ADDRESS(2,COLUMN())),OFFSET($AM$2,0,0,ROW()-1,33),ROW()-1,FALSE))</f>
        <v/>
      </c>
      <c r="M89" t="str">
        <f ca="1">IF(AND(ISNUMBER($M$508),$B$427=1),$M$508,HLOOKUP(INDIRECT(ADDRESS(2,COLUMN())),OFFSET($AM$2,0,0,ROW()-1,33),ROW()-1,FALSE))</f>
        <v/>
      </c>
      <c r="N89" t="str">
        <f ca="1">IF(AND(ISNUMBER($N$508),$B$427=1),$N$508,HLOOKUP(INDIRECT(ADDRESS(2,COLUMN())),OFFSET($AM$2,0,0,ROW()-1,33),ROW()-1,FALSE))</f>
        <v/>
      </c>
      <c r="O89" t="str">
        <f ca="1">IF(AND(ISNUMBER($O$508),$B$427=1),$O$508,HLOOKUP(INDIRECT(ADDRESS(2,COLUMN())),OFFSET($AM$2,0,0,ROW()-1,33),ROW()-1,FALSE))</f>
        <v/>
      </c>
      <c r="P89" t="str">
        <f ca="1">IF(AND(ISNUMBER($P$508),$B$427=1),$P$508,HLOOKUP(INDIRECT(ADDRESS(2,COLUMN())),OFFSET($AM$2,0,0,ROW()-1,33),ROW()-1,FALSE))</f>
        <v/>
      </c>
      <c r="Q89" t="str">
        <f ca="1">IF(AND(ISNUMBER($Q$508),$B$427=1),$Q$508,HLOOKUP(INDIRECT(ADDRESS(2,COLUMN())),OFFSET($AM$2,0,0,ROW()-1,33),ROW()-1,FALSE))</f>
        <v/>
      </c>
      <c r="R89" t="str">
        <f ca="1">IF(AND(ISNUMBER($R$508),$B$427=1),$R$508,HLOOKUP(INDIRECT(ADDRESS(2,COLUMN())),OFFSET($AM$2,0,0,ROW()-1,33),ROW()-1,FALSE))</f>
        <v/>
      </c>
      <c r="S89" t="str">
        <f ca="1">IF(AND(ISNUMBER($S$508),$B$427=1),$S$508,HLOOKUP(INDIRECT(ADDRESS(2,COLUMN())),OFFSET($AM$2,0,0,ROW()-1,33),ROW()-1,FALSE))</f>
        <v/>
      </c>
      <c r="T89" t="str">
        <f ca="1">IF(AND(ISNUMBER($T$508),$B$427=1),$T$508,HLOOKUP(INDIRECT(ADDRESS(2,COLUMN())),OFFSET($AM$2,0,0,ROW()-1,33),ROW()-1,FALSE))</f>
        <v/>
      </c>
      <c r="U89" t="str">
        <f ca="1">IF(AND(ISNUMBER($U$508),$B$427=1),$U$508,HLOOKUP(INDIRECT(ADDRESS(2,COLUMN())),OFFSET($AM$2,0,0,ROW()-1,33),ROW()-1,FALSE))</f>
        <v/>
      </c>
      <c r="V89" t="str">
        <f ca="1">IF(AND(ISNUMBER($V$508),$B$427=1),$V$508,HLOOKUP(INDIRECT(ADDRESS(2,COLUMN())),OFFSET($AM$2,0,0,ROW()-1,33),ROW()-1,FALSE))</f>
        <v/>
      </c>
      <c r="W89" t="str">
        <f ca="1">IF(AND(ISNUMBER($W$508),$B$427=1),$W$508,HLOOKUP(INDIRECT(ADDRESS(2,COLUMN())),OFFSET($AM$2,0,0,ROW()-1,33),ROW()-1,FALSE))</f>
        <v/>
      </c>
      <c r="X89" t="str">
        <f ca="1">IF(AND(ISNUMBER($X$508),$B$427=1),$X$508,HLOOKUP(INDIRECT(ADDRESS(2,COLUMN())),OFFSET($AM$2,0,0,ROW()-1,33),ROW()-1,FALSE))</f>
        <v/>
      </c>
      <c r="Y89" t="str">
        <f ca="1">IF(AND(ISNUMBER($Y$508),$B$427=1),$Y$508,HLOOKUP(INDIRECT(ADDRESS(2,COLUMN())),OFFSET($AM$2,0,0,ROW()-1,33),ROW()-1,FALSE))</f>
        <v/>
      </c>
      <c r="Z89" t="str">
        <f ca="1">IF(AND(ISNUMBER($Z$508),$B$427=1),$Z$508,HLOOKUP(INDIRECT(ADDRESS(2,COLUMN())),OFFSET($AM$2,0,0,ROW()-1,33),ROW()-1,FALSE))</f>
        <v/>
      </c>
      <c r="AA89" t="str">
        <f ca="1">IF(AND(ISNUMBER($AA$508),$B$427=1),$AA$508,HLOOKUP(INDIRECT(ADDRESS(2,COLUMN())),OFFSET($AM$2,0,0,ROW()-1,33),ROW()-1,FALSE))</f>
        <v/>
      </c>
      <c r="AB89" t="str">
        <f ca="1">IF(AND(ISNUMBER($AB$508),$B$427=1),$AB$508,HLOOKUP(INDIRECT(ADDRESS(2,COLUMN())),OFFSET($AM$2,0,0,ROW()-1,33),ROW()-1,FALSE))</f>
        <v/>
      </c>
      <c r="AC89" t="str">
        <f ca="1">IF(AND(ISNUMBER($AC$508),$B$427=1),$AC$508,HLOOKUP(INDIRECT(ADDRESS(2,COLUMN())),OFFSET($AM$2,0,0,ROW()-1,33),ROW()-1,FALSE))</f>
        <v/>
      </c>
      <c r="AD89" t="str">
        <f ca="1">IF(AND(ISNUMBER($AD$508),$B$427=1),$AD$508,HLOOKUP(INDIRECT(ADDRESS(2,COLUMN())),OFFSET($AM$2,0,0,ROW()-1,33),ROW()-1,FALSE))</f>
        <v/>
      </c>
      <c r="AE89" t="str">
        <f ca="1">IF(AND(ISNUMBER($AE$508),$B$427=1),$AE$508,HLOOKUP(INDIRECT(ADDRESS(2,COLUMN())),OFFSET($AM$2,0,0,ROW()-1,33),ROW()-1,FALSE))</f>
        <v/>
      </c>
      <c r="AF89" t="str">
        <f ca="1">IF(AND(ISNUMBER($AF$508),$B$427=1),$AF$508,HLOOKUP(INDIRECT(ADDRESS(2,COLUMN())),OFFSET($AM$2,0,0,ROW()-1,33),ROW()-1,FALSE))</f>
        <v/>
      </c>
      <c r="AG89" t="str">
        <f ca="1">IF(AND(ISNUMBER($AG$508),$B$427=1),$AG$508,HLOOKUP(INDIRECT(ADDRESS(2,COLUMN())),OFFSET($AM$2,0,0,ROW()-1,33),ROW()-1,FALSE))</f>
        <v/>
      </c>
      <c r="AH89" t="str">
        <f ca="1">IF(AND(ISNUMBER($AH$508),$B$427=1),$AH$508,HLOOKUP(INDIRECT(ADDRESS(2,COLUMN())),OFFSET($AM$2,0,0,ROW()-1,33),ROW()-1,FALSE))</f>
        <v/>
      </c>
      <c r="AI89" t="str">
        <f ca="1">IF(AND(ISNUMBER($AI$508),$B$427=1),$AI$508,HLOOKUP(INDIRECT(ADDRESS(2,COLUMN())),OFFSET($AM$2,0,0,ROW()-1,33),ROW()-1,FALSE))</f>
        <v/>
      </c>
      <c r="AJ89" t="str">
        <f ca="1">IF(AND(ISNUMBER($AJ$508),$B$427=1),$AJ$508,HLOOKUP(INDIRECT(ADDRESS(2,COLUMN())),OFFSET($AM$2,0,0,ROW()-1,33),ROW()-1,FALSE))</f>
        <v/>
      </c>
      <c r="AK89" t="str">
        <f ca="1">IF(AND(ISNUMBER($AK$508),$B$427=1),$AK$508,HLOOKUP(INDIRECT(ADDRESS(2,COLUMN())),OFFSET($AM$2,0,0,ROW()-1,33),ROW()-1,FALSE))</f>
        <v/>
      </c>
      <c r="AL89" t="str">
        <f ca="1">IF(AND(ISNUMBER($AL$508),$B$427=1),$AL$508,HLOOKUP(INDIRECT(ADDRESS(2,COLUMN())),OFFSET($AM$2,0,0,ROW()-1,33),ROW()-1,FALSE))</f>
        <v/>
      </c>
      <c r="AM89" t="str">
        <f>""</f>
        <v/>
      </c>
      <c r="AN89">
        <f>15184.508</f>
        <v>15184.508</v>
      </c>
      <c r="AO89">
        <f>13672.794</f>
        <v>13672.794</v>
      </c>
      <c r="AP89">
        <f>11702.338</f>
        <v>11702.338</v>
      </c>
      <c r="AQ89" t="str">
        <f>""</f>
        <v/>
      </c>
      <c r="AR89" t="str">
        <f>""</f>
        <v/>
      </c>
      <c r="AS89" t="str">
        <f>""</f>
        <v/>
      </c>
      <c r="AT89" t="str">
        <f>""</f>
        <v/>
      </c>
      <c r="AU89" t="str">
        <f>""</f>
        <v/>
      </c>
      <c r="AV89" t="str">
        <f>""</f>
        <v/>
      </c>
      <c r="AW89" t="str">
        <f>""</f>
        <v/>
      </c>
      <c r="AX89" t="str">
        <f>""</f>
        <v/>
      </c>
      <c r="AY89" t="str">
        <f>""</f>
        <v/>
      </c>
      <c r="AZ89" t="str">
        <f>""</f>
        <v/>
      </c>
      <c r="BA89" t="str">
        <f>""</f>
        <v/>
      </c>
      <c r="BB89" t="str">
        <f>""</f>
        <v/>
      </c>
      <c r="BC89" t="str">
        <f>""</f>
        <v/>
      </c>
      <c r="BD89" t="str">
        <f>""</f>
        <v/>
      </c>
      <c r="BE89" t="str">
        <f>""</f>
        <v/>
      </c>
      <c r="BF89" t="str">
        <f>""</f>
        <v/>
      </c>
      <c r="BG89" t="str">
        <f>""</f>
        <v/>
      </c>
      <c r="BH89" t="str">
        <f>""</f>
        <v/>
      </c>
      <c r="BI89" t="str">
        <f>""</f>
        <v/>
      </c>
      <c r="BJ89" t="str">
        <f>""</f>
        <v/>
      </c>
      <c r="BK89" t="str">
        <f>""</f>
        <v/>
      </c>
      <c r="BL89" t="str">
        <f>""</f>
        <v/>
      </c>
      <c r="BM89" t="str">
        <f>""</f>
        <v/>
      </c>
      <c r="BN89" t="str">
        <f>""</f>
        <v/>
      </c>
      <c r="BO89" t="str">
        <f>""</f>
        <v/>
      </c>
      <c r="BP89" t="str">
        <f>""</f>
        <v/>
      </c>
      <c r="BQ89" t="str">
        <f>""</f>
        <v/>
      </c>
      <c r="BR89" t="str">
        <f>""</f>
        <v/>
      </c>
      <c r="BS89" t="str">
        <f>""</f>
        <v/>
      </c>
    </row>
    <row r="90" spans="1:71" x14ac:dyDescent="0.25">
      <c r="A90" t="str">
        <f>"C&amp;I loans"</f>
        <v>C&amp;I loans</v>
      </c>
      <c r="B90" t="str">
        <f>""</f>
        <v/>
      </c>
      <c r="E90" t="str">
        <f>"Expression"</f>
        <v>Expression</v>
      </c>
      <c r="F90">
        <f ca="1">IF(AND($B$427=1,LEN($F$133)&gt;0),$F$133,HLOOKUP(INDIRECT(ADDRESS(2,COLUMN())),OFFSET($AM$2,0,0,ROW()-1,33),ROW()-1,FALSE))</f>
        <v>1319202.9620000001</v>
      </c>
      <c r="G90">
        <f ca="1">IF(AND($B$427=1,LEN($G$133)&gt;0),$G$133,HLOOKUP(INDIRECT(ADDRESS(2,COLUMN())),OFFSET($AM$2,0,0,ROW()-1,33),ROW()-1,FALSE))</f>
        <v>1552466.875</v>
      </c>
      <c r="H90">
        <f ca="1">IF(AND($B$427=1,LEN($H$133)&gt;0),$H$133,HLOOKUP(INDIRECT(ADDRESS(2,COLUMN())),OFFSET($AM$2,0,0,ROW()-1,33),ROW()-1,FALSE))</f>
        <v>1565602.754</v>
      </c>
      <c r="I90">
        <f ca="1">IF(AND($B$427=1,LEN($I$133)&gt;0),$I$133,HLOOKUP(INDIRECT(ADDRESS(2,COLUMN())),OFFSET($AM$2,0,0,ROW()-1,33),ROW()-1,FALSE))</f>
        <v>1360535.1540000001</v>
      </c>
      <c r="J90">
        <f ca="1">IF(AND($B$427=1,LEN($J$133)&gt;0),$J$133,HLOOKUP(INDIRECT(ADDRESS(2,COLUMN())),OFFSET($AM$2,0,0,ROW()-1,33),ROW()-1,FALSE))</f>
        <v>1352373.561</v>
      </c>
      <c r="K90">
        <f ca="1">IF(AND($B$427=1,LEN($K$133)&gt;0),$K$133,HLOOKUP(INDIRECT(ADDRESS(2,COLUMN())),OFFSET($AM$2,0,0,ROW()-1,33),ROW()-1,FALSE))</f>
        <v>1347599.638</v>
      </c>
      <c r="L90">
        <f ca="1">IF(AND($B$427=1,LEN($L$133)&gt;0),$L$133,HLOOKUP(INDIRECT(ADDRESS(2,COLUMN())),OFFSET($AM$2,0,0,ROW()-1,33),ROW()-1,FALSE))</f>
        <v>1288551.925</v>
      </c>
      <c r="M90">
        <f ca="1">IF(AND($B$427=1,LEN($M$133)&gt;0),$M$133,HLOOKUP(INDIRECT(ADDRESS(2,COLUMN())),OFFSET($AM$2,0,0,ROW()-1,33),ROW()-1,FALSE))</f>
        <v>1204755.6540000001</v>
      </c>
      <c r="N90">
        <f ca="1">IF(AND($B$427=1,LEN($N$133)&gt;0),$N$133,HLOOKUP(INDIRECT(ADDRESS(2,COLUMN())),OFFSET($AM$2,0,0,ROW()-1,33),ROW()-1,FALSE))</f>
        <v>1147677.9550000001</v>
      </c>
      <c r="O90">
        <f ca="1">IF(AND($B$427=1,LEN($O$133)&gt;0),$O$133,HLOOKUP(INDIRECT(ADDRESS(2,COLUMN())),OFFSET($AM$2,0,0,ROW()-1,33),ROW()-1,FALSE))</f>
        <v>1066677.2590000001</v>
      </c>
      <c r="P90">
        <f ca="1">IF(AND($B$427=1,LEN($P$133)&gt;0),$P$133,HLOOKUP(INDIRECT(ADDRESS(2,COLUMN())),OFFSET($AM$2,0,0,ROW()-1,33),ROW()-1,FALSE))</f>
        <v>1001362.525</v>
      </c>
      <c r="Q90">
        <f ca="1">IF(AND($B$427=1,LEN($Q$133)&gt;0),$Q$133,HLOOKUP(INDIRECT(ADDRESS(2,COLUMN())),OFFSET($AM$2,0,0,ROW()-1,33),ROW()-1,FALSE))</f>
        <v>972730.19499999995</v>
      </c>
      <c r="R90">
        <f ca="1">IF(AND($B$427=1,LEN($R$133)&gt;0),$R$133,HLOOKUP(INDIRECT(ADDRESS(2,COLUMN())),OFFSET($AM$2,0,0,ROW()-1,33),ROW()-1,FALSE))</f>
        <v>934719.35100000002</v>
      </c>
      <c r="S90">
        <f ca="1">IF(AND($B$427=1,LEN($S$133)&gt;0),$S$133,HLOOKUP(INDIRECT(ADDRESS(2,COLUMN())),OFFSET($AM$2,0,0,ROW()-1,33),ROW()-1,FALSE))</f>
        <v>835969.06099999999</v>
      </c>
      <c r="T90">
        <f ca="1">IF(AND($B$427=1,LEN($T$133)&gt;0),$T$133,HLOOKUP(INDIRECT(ADDRESS(2,COLUMN())),OFFSET($AM$2,0,0,ROW()-1,33),ROW()-1,FALSE))</f>
        <v>713996.14500000002</v>
      </c>
      <c r="U90">
        <f ca="1">IF(AND($B$427=1,LEN($U$133)&gt;0),$U$133,HLOOKUP(INDIRECT(ADDRESS(2,COLUMN())),OFFSET($AM$2,0,0,ROW()-1,33),ROW()-1,FALSE))</f>
        <v>744072.02399999998</v>
      </c>
      <c r="V90">
        <f ca="1">IF(AND($B$427=1,LEN($V$133)&gt;0),$V$133,HLOOKUP(INDIRECT(ADDRESS(2,COLUMN())),OFFSET($AM$2,0,0,ROW()-1,33),ROW()-1,FALSE))</f>
        <v>932563.52300000004</v>
      </c>
      <c r="W90">
        <f ca="1">IF(AND($B$427=1,LEN($W$133)&gt;0),$W$133,HLOOKUP(INDIRECT(ADDRESS(2,COLUMN())),OFFSET($AM$2,0,0,ROW()-1,33),ROW()-1,FALSE))</f>
        <v>814802.1</v>
      </c>
      <c r="X90">
        <f ca="1">IF(AND($B$427=1,LEN($X$133)&gt;0),$X$133,HLOOKUP(INDIRECT(ADDRESS(2,COLUMN())),OFFSET($AM$2,0,0,ROW()-1,33),ROW()-1,FALSE))</f>
        <v>626892.70200000005</v>
      </c>
      <c r="Y90">
        <f ca="1">IF(AND($B$427=1,LEN($Y$133)&gt;0),$Y$133,HLOOKUP(INDIRECT(ADDRESS(2,COLUMN())),OFFSET($AM$2,0,0,ROW()-1,33),ROW()-1,FALSE))</f>
        <v>547286.576</v>
      </c>
      <c r="Z90">
        <f ca="1">IF(AND($B$427=1,LEN($Z$133)&gt;0),$Z$133,HLOOKUP(INDIRECT(ADDRESS(2,COLUMN())),OFFSET($AM$2,0,0,ROW()-1,33),ROW()-1,FALSE))</f>
        <v>472336.03</v>
      </c>
      <c r="AA90">
        <f ca="1">IF(AND($B$427=1,LEN($AA$133)&gt;0),$AA$133,HLOOKUP(INDIRECT(ADDRESS(2,COLUMN())),OFFSET($AM$2,0,0,ROW()-1,33),ROW()-1,FALSE))</f>
        <v>374664.43300000002</v>
      </c>
      <c r="AB90">
        <f ca="1">IF(AND($B$427=1,LEN($AB$133)&gt;0),$AB$133,HLOOKUP(INDIRECT(ADDRESS(2,COLUMN())),OFFSET($AM$2,0,0,ROW()-1,33),ROW()-1,FALSE))</f>
        <v>404380.20199999999</v>
      </c>
      <c r="AC90">
        <f ca="1">IF(AND($B$427=1,LEN($AC$133)&gt;0),$AC$133,HLOOKUP(INDIRECT(ADDRESS(2,COLUMN())),OFFSET($AM$2,0,0,ROW()-1,33),ROW()-1,FALSE))</f>
        <v>448792.29300000001</v>
      </c>
      <c r="AD90" t="str">
        <f ca="1">IF(AND($B$427=1,LEN($AD$133)&gt;0),$AD$133,HLOOKUP(INDIRECT(ADDRESS(2,COLUMN())),OFFSET($AM$2,0,0,ROW()-1,33),ROW()-1,FALSE))</f>
        <v/>
      </c>
      <c r="AE90" t="str">
        <f ca="1">IF(AND($B$427=1,LEN($AE$133)&gt;0),$AE$133,HLOOKUP(INDIRECT(ADDRESS(2,COLUMN())),OFFSET($AM$2,0,0,ROW()-1,33),ROW()-1,FALSE))</f>
        <v/>
      </c>
      <c r="AF90" t="str">
        <f ca="1">IF(AND($B$427=1,LEN($AF$133)&gt;0),$AF$133,HLOOKUP(INDIRECT(ADDRESS(2,COLUMN())),OFFSET($AM$2,0,0,ROW()-1,33),ROW()-1,FALSE))</f>
        <v/>
      </c>
      <c r="AG90" t="str">
        <f ca="1">IF(AND($B$427=1,LEN($AG$133)&gt;0),$AG$133,HLOOKUP(INDIRECT(ADDRESS(2,COLUMN())),OFFSET($AM$2,0,0,ROW()-1,33),ROW()-1,FALSE))</f>
        <v/>
      </c>
      <c r="AH90" t="str">
        <f ca="1">IF(AND($B$427=1,LEN($AH$133)&gt;0),$AH$133,HLOOKUP(INDIRECT(ADDRESS(2,COLUMN())),OFFSET($AM$2,0,0,ROW()-1,33),ROW()-1,FALSE))</f>
        <v/>
      </c>
      <c r="AI90" t="str">
        <f ca="1">IF(AND($B$427=1,LEN($AI$133)&gt;0),$AI$133,HLOOKUP(INDIRECT(ADDRESS(2,COLUMN())),OFFSET($AM$2,0,0,ROW()-1,33),ROW()-1,FALSE))</f>
        <v/>
      </c>
      <c r="AJ90" t="str">
        <f ca="1">IF(AND($B$427=1,LEN($AJ$133)&gt;0),$AJ$133,HLOOKUP(INDIRECT(ADDRESS(2,COLUMN())),OFFSET($AM$2,0,0,ROW()-1,33),ROW()-1,FALSE))</f>
        <v/>
      </c>
      <c r="AK90" t="str">
        <f ca="1">IF(AND($B$427=1,LEN($AK$133)&gt;0),$AK$133,HLOOKUP(INDIRECT(ADDRESS(2,COLUMN())),OFFSET($AM$2,0,0,ROW()-1,33),ROW()-1,FALSE))</f>
        <v/>
      </c>
      <c r="AL90" t="str">
        <f ca="1">IF(AND($B$427=1,LEN($AL$133)&gt;0),$AL$133,HLOOKUP(INDIRECT(ADDRESS(2,COLUMN())),OFFSET($AM$2,0,0,ROW()-1,33),ROW()-1,FALSE))</f>
        <v/>
      </c>
      <c r="AM90">
        <f>1319202.962</f>
        <v>1319202.9620000001</v>
      </c>
      <c r="AN90">
        <f>1552466.875</f>
        <v>1552466.875</v>
      </c>
      <c r="AO90">
        <f>1565602.754</f>
        <v>1565602.754</v>
      </c>
      <c r="AP90">
        <f>1360535.154</f>
        <v>1360535.1540000001</v>
      </c>
      <c r="AQ90">
        <f>1352373.561</f>
        <v>1352373.561</v>
      </c>
      <c r="AR90">
        <f>1347599.638</f>
        <v>1347599.638</v>
      </c>
      <c r="AS90">
        <f>1288551.925</f>
        <v>1288551.925</v>
      </c>
      <c r="AT90">
        <f>1204755.654</f>
        <v>1204755.6540000001</v>
      </c>
      <c r="AU90">
        <f>1147677.955</f>
        <v>1147677.9550000001</v>
      </c>
      <c r="AV90">
        <f>1066677.259</f>
        <v>1066677.2590000001</v>
      </c>
      <c r="AW90">
        <f>1001362.525</f>
        <v>1001362.525</v>
      </c>
      <c r="AX90">
        <f>972730.195</f>
        <v>972730.19499999995</v>
      </c>
      <c r="AY90">
        <f>934719.351</f>
        <v>934719.35100000002</v>
      </c>
      <c r="AZ90">
        <f>835969.061</f>
        <v>835969.06099999999</v>
      </c>
      <c r="BA90">
        <f>713996.145</f>
        <v>713996.14500000002</v>
      </c>
      <c r="BB90">
        <f>744072.024</f>
        <v>744072.02399999998</v>
      </c>
      <c r="BC90">
        <f>932563.523</f>
        <v>932563.52300000004</v>
      </c>
      <c r="BD90">
        <f>814802.1</f>
        <v>814802.1</v>
      </c>
      <c r="BE90">
        <f>626892.702</f>
        <v>626892.70200000005</v>
      </c>
      <c r="BF90">
        <f>547286.576</f>
        <v>547286.576</v>
      </c>
      <c r="BG90">
        <f>472336.03</f>
        <v>472336.03</v>
      </c>
      <c r="BH90">
        <f>374664.433</f>
        <v>374664.43300000002</v>
      </c>
      <c r="BI90">
        <f>404380.202</f>
        <v>404380.20199999999</v>
      </c>
      <c r="BJ90">
        <f>448792.293</f>
        <v>448792.29300000001</v>
      </c>
      <c r="BK90" t="str">
        <f>""</f>
        <v/>
      </c>
      <c r="BL90" t="str">
        <f>""</f>
        <v/>
      </c>
      <c r="BM90" t="str">
        <f>""</f>
        <v/>
      </c>
      <c r="BN90" t="str">
        <f>""</f>
        <v/>
      </c>
      <c r="BO90" t="str">
        <f>""</f>
        <v/>
      </c>
      <c r="BP90" t="str">
        <f>""</f>
        <v/>
      </c>
      <c r="BQ90" t="str">
        <f>""</f>
        <v/>
      </c>
      <c r="BR90" t="str">
        <f>""</f>
        <v/>
      </c>
      <c r="BS90" t="str">
        <f>""</f>
        <v/>
      </c>
    </row>
    <row r="91" spans="1:71" x14ac:dyDescent="0.25">
      <c r="A91" t="str">
        <f>"    US"</f>
        <v xml:space="preserve">    US</v>
      </c>
      <c r="B91" t="str">
        <f>""</f>
        <v/>
      </c>
      <c r="E91" t="str">
        <f>"Sum"</f>
        <v>Sum</v>
      </c>
      <c r="F91">
        <f ca="1">IF(ISERROR(IF(SUM($F$92:$F$111) = 0, "", SUM($F$92:$F$111))), "", (IF(SUM($F$92:$F$111) = 0, "", SUM($F$92:$F$111))))</f>
        <v>1082046.2120000001</v>
      </c>
      <c r="G91">
        <f ca="1">IF(ISERROR(IF(SUM($G$92:$G$111) = 0, "", SUM($G$92:$G$111))), "", (IF(SUM($G$92:$G$111) = 0, "", SUM($G$92:$G$111))))</f>
        <v>1287023.2050000001</v>
      </c>
      <c r="H91">
        <f ca="1">IF(ISERROR(IF(SUM($H$92:$H$111) = 0, "", SUM($H$92:$H$111))), "", (IF(SUM($H$92:$H$111) = 0, "", SUM($H$92:$H$111))))</f>
        <v>1286590.875</v>
      </c>
      <c r="I91">
        <f ca="1">IF(ISERROR(IF(SUM($I$92:$I$111) = 0, "", SUM($I$92:$I$111))), "", (IF(SUM($I$92:$I$111) = 0, "", SUM($I$92:$I$111))))</f>
        <v>1092523.6360000002</v>
      </c>
      <c r="J91">
        <f ca="1">IF(ISERROR(IF(SUM($J$92:$J$111) = 0, "", SUM($J$92:$J$111))), "", (IF(SUM($J$92:$J$111) = 0, "", SUM($J$92:$J$111))))</f>
        <v>1101070.7119999998</v>
      </c>
      <c r="K91">
        <f ca="1">IF(ISERROR(IF(SUM($K$92:$K$111) = 0, "", SUM($K$92:$K$111))), "", (IF(SUM($K$92:$K$111) = 0, "", SUM($K$92:$K$111))))</f>
        <v>1081399.821</v>
      </c>
      <c r="L91">
        <f ca="1">IF(ISERROR(IF(SUM($L$92:$L$111) = 0, "", SUM($L$92:$L$111))), "", (IF(SUM($L$92:$L$111) = 0, "", SUM($L$92:$L$111))))</f>
        <v>1034464.9989999998</v>
      </c>
      <c r="M91">
        <f ca="1">IF(ISERROR(IF(SUM($M$92:$M$111) = 0, "", SUM($M$92:$M$111))), "", (IF(SUM($M$92:$M$111) = 0, "", SUM($M$92:$M$111))))</f>
        <v>955438.16399999987</v>
      </c>
      <c r="N91">
        <f ca="1">IF(ISERROR(IF(SUM($N$92:$N$111) = 0, "", SUM($N$92:$N$111))), "", (IF(SUM($N$92:$N$111) = 0, "", SUM($N$92:$N$111))))</f>
        <v>918799.37500000012</v>
      </c>
      <c r="O91">
        <f ca="1">IF(ISERROR(IF(SUM($O$92:$O$111) = 0, "", SUM($O$92:$O$111))), "", (IF(SUM($O$92:$O$111) = 0, "", SUM($O$92:$O$111))))</f>
        <v>846127.12099999993</v>
      </c>
      <c r="P91">
        <f ca="1">IF(ISERROR(IF(SUM($P$92:$P$111) = 0, "", SUM($P$92:$P$111))), "", (IF(SUM($P$92:$P$111) = 0, "", SUM($P$92:$P$111))))</f>
        <v>782065.79</v>
      </c>
      <c r="Q91">
        <f ca="1">IF(ISERROR(IF(SUM($Q$92:$Q$111) = 0, "", SUM($Q$92:$Q$111))), "", (IF(SUM($Q$92:$Q$111) = 0, "", SUM($Q$92:$Q$111))))</f>
        <v>744460.98999999987</v>
      </c>
      <c r="R91">
        <f ca="1">IF(ISERROR(IF(SUM($R$92:$R$111) = 0, "", SUM($R$92:$R$111))), "", (IF(SUM($R$92:$R$111) = 0, "", SUM($R$92:$R$111))))</f>
        <v>712698.04500000004</v>
      </c>
      <c r="S91">
        <f ca="1">IF(ISERROR(IF(SUM($S$92:$S$111) = 0, "", SUM($S$92:$S$111))), "", (IF(SUM($S$92:$S$111) = 0, "", SUM($S$92:$S$111))))</f>
        <v>637408.91200000013</v>
      </c>
      <c r="T91">
        <f ca="1">IF(ISERROR(IF(SUM($T$92:$T$111) = 0, "", SUM($T$92:$T$111))), "", (IF(SUM($T$92:$T$111) = 0, "", SUM($T$92:$T$111))))</f>
        <v>561484.62899999996</v>
      </c>
      <c r="U91">
        <f ca="1">IF(ISERROR(IF(SUM($U$92:$U$111) = 0, "", SUM($U$92:$U$111))), "", (IF(SUM($U$92:$U$111) = 0, "", SUM($U$92:$U$111))))</f>
        <v>589627.8060000001</v>
      </c>
      <c r="V91">
        <f ca="1">IF(ISERROR(IF(SUM($V$92:$V$111) = 0, "", SUM($V$92:$V$111))), "", (IF(SUM($V$92:$V$111) = 0, "", SUM($V$92:$V$111))))</f>
        <v>737411.86399999994</v>
      </c>
      <c r="W91">
        <f ca="1">IF(ISERROR(IF(SUM($W$92:$W$111) = 0, "", SUM($W$92:$W$111))), "", (IF(SUM($W$92:$W$111) = 0, "", SUM($W$92:$W$111))))</f>
        <v>603348.92700000003</v>
      </c>
      <c r="X91">
        <f ca="1">IF(ISERROR(IF(SUM($X$92:$X$111) = 0, "", SUM($X$92:$X$111))), "", (IF(SUM($X$92:$X$111) = 0, "", SUM($X$92:$X$111))))</f>
        <v>462835.08199999994</v>
      </c>
      <c r="Y91">
        <f ca="1">IF(ISERROR(IF(SUM($Y$92:$Y$111) = 0, "", SUM($Y$92:$Y$111))), "", (IF(SUM($Y$92:$Y$111) = 0, "", SUM($Y$92:$Y$111))))</f>
        <v>417109.98200000008</v>
      </c>
      <c r="Z91">
        <f ca="1">IF(ISERROR(IF(SUM($Z$92:$Z$111) = 0, "", SUM($Z$92:$Z$111))), "", (IF(SUM($Z$92:$Z$111) = 0, "", SUM($Z$92:$Z$111))))</f>
        <v>354610.39900000009</v>
      </c>
      <c r="AA91">
        <f ca="1">IF(ISERROR(IF(SUM($AA$92:$AA$111) = 0, "", SUM($AA$92:$AA$111))), "", (IF(SUM($AA$92:$AA$111) = 0, "", SUM($AA$92:$AA$111))))</f>
        <v>278077.63900000008</v>
      </c>
      <c r="AB91">
        <f ca="1">IF(ISERROR(IF(SUM($AB$92:$AB$111) = 0, "", SUM($AB$92:$AB$111))), "", (IF(SUM($AB$92:$AB$111) = 0, "", SUM($AB$92:$AB$111))))</f>
        <v>297261.78600000002</v>
      </c>
      <c r="AC91">
        <f ca="1">IF(ISERROR(IF(SUM($AC$92:$AC$111) = 0, "", SUM($AC$92:$AC$111))), "", (IF(SUM($AC$92:$AC$111) = 0, "", SUM($AC$92:$AC$111))))</f>
        <v>328963.10800000001</v>
      </c>
      <c r="AD91" t="str">
        <f ca="1">IF(ISERROR(IF(SUM($AD$92:$AD$111) = 0, "", SUM($AD$92:$AD$111))), "", (IF(SUM($AD$92:$AD$111) = 0, "", SUM($AD$92:$AD$111))))</f>
        <v/>
      </c>
      <c r="AE91" t="str">
        <f ca="1">IF(ISERROR(IF(SUM($AE$92:$AE$111) = 0, "", SUM($AE$92:$AE$111))), "", (IF(SUM($AE$92:$AE$111) = 0, "", SUM($AE$92:$AE$111))))</f>
        <v/>
      </c>
      <c r="AF91" t="str">
        <f ca="1">IF(ISERROR(IF(SUM($AF$92:$AF$111) = 0, "", SUM($AF$92:$AF$111))), "", (IF(SUM($AF$92:$AF$111) = 0, "", SUM($AF$92:$AF$111))))</f>
        <v/>
      </c>
      <c r="AG91" t="str">
        <f ca="1">IF(ISERROR(IF(SUM($AG$92:$AG$111) = 0, "", SUM($AG$92:$AG$111))), "", (IF(SUM($AG$92:$AG$111) = 0, "", SUM($AG$92:$AG$111))))</f>
        <v/>
      </c>
      <c r="AH91" t="str">
        <f ca="1">IF(ISERROR(IF(SUM($AH$92:$AH$111) = 0, "", SUM($AH$92:$AH$111))), "", (IF(SUM($AH$92:$AH$111) = 0, "", SUM($AH$92:$AH$111))))</f>
        <v/>
      </c>
      <c r="AI91" t="str">
        <f ca="1">IF(ISERROR(IF(SUM($AI$92:$AI$111) = 0, "", SUM($AI$92:$AI$111))), "", (IF(SUM($AI$92:$AI$111) = 0, "", SUM($AI$92:$AI$111))))</f>
        <v/>
      </c>
      <c r="AJ91" t="str">
        <f ca="1">IF(ISERROR(IF(SUM($AJ$92:$AJ$111) = 0, "", SUM($AJ$92:$AJ$111))), "", (IF(SUM($AJ$92:$AJ$111) = 0, "", SUM($AJ$92:$AJ$111))))</f>
        <v/>
      </c>
      <c r="AK91" t="str">
        <f ca="1">IF(ISERROR(IF(SUM($AK$92:$AK$111) = 0, "", SUM($AK$92:$AK$111))), "", (IF(SUM($AK$92:$AK$111) = 0, "", SUM($AK$92:$AK$111))))</f>
        <v/>
      </c>
      <c r="AL91" t="str">
        <f ca="1">IF(ISERROR(IF(SUM($AL$92:$AL$111) = 0, "", SUM($AL$92:$AL$111))), "", (IF(SUM($AL$92:$AL$111) = 0, "", SUM($AL$92:$AL$111))))</f>
        <v/>
      </c>
      <c r="AM91">
        <f>1082046.212</f>
        <v>1082046.2120000001</v>
      </c>
      <c r="AN91">
        <f>1287023.205</f>
        <v>1287023.2050000001</v>
      </c>
      <c r="AO91">
        <f>1286590.875</f>
        <v>1286590.875</v>
      </c>
      <c r="AP91">
        <f>1092523.636</f>
        <v>1092523.6359999999</v>
      </c>
      <c r="AQ91">
        <f>1101070.712</f>
        <v>1101070.7120000001</v>
      </c>
      <c r="AR91">
        <f>1081399.821</f>
        <v>1081399.821</v>
      </c>
      <c r="AS91">
        <f>1034464.999</f>
        <v>1034464.999</v>
      </c>
      <c r="AT91">
        <f>955438.164</f>
        <v>955438.16399999999</v>
      </c>
      <c r="AU91">
        <f>918799.375</f>
        <v>918799.375</v>
      </c>
      <c r="AV91">
        <f>846127.121</f>
        <v>846127.12100000004</v>
      </c>
      <c r="AW91">
        <f>782065.79</f>
        <v>782065.79</v>
      </c>
      <c r="AX91">
        <f>744460.99</f>
        <v>744460.99</v>
      </c>
      <c r="AY91">
        <f>712698.045</f>
        <v>712698.04500000004</v>
      </c>
      <c r="AZ91">
        <f>637408.912</f>
        <v>637408.91200000001</v>
      </c>
      <c r="BA91">
        <f>561484.629</f>
        <v>561484.62899999996</v>
      </c>
      <c r="BB91">
        <f>589627.806</f>
        <v>589627.80599999998</v>
      </c>
      <c r="BC91">
        <f>737411.864</f>
        <v>737411.86399999994</v>
      </c>
      <c r="BD91">
        <f>603348.927</f>
        <v>603348.92700000003</v>
      </c>
      <c r="BE91">
        <f>462835.082</f>
        <v>462835.08199999999</v>
      </c>
      <c r="BF91">
        <f>417109.982</f>
        <v>417109.98200000002</v>
      </c>
      <c r="BG91">
        <f>354610.399</f>
        <v>354610.39899999998</v>
      </c>
      <c r="BH91">
        <f>278077.639</f>
        <v>278077.63900000002</v>
      </c>
      <c r="BI91">
        <f>297261.786</f>
        <v>297261.78600000002</v>
      </c>
      <c r="BJ91">
        <f>328963.108</f>
        <v>328963.10800000001</v>
      </c>
      <c r="BK91" t="str">
        <f>""</f>
        <v/>
      </c>
      <c r="BL91" t="str">
        <f>""</f>
        <v/>
      </c>
      <c r="BM91" t="str">
        <f>""</f>
        <v/>
      </c>
      <c r="BN91" t="str">
        <f>""</f>
        <v/>
      </c>
      <c r="BO91" t="str">
        <f>""</f>
        <v/>
      </c>
      <c r="BP91" t="str">
        <f>""</f>
        <v/>
      </c>
      <c r="BQ91" t="str">
        <f>""</f>
        <v/>
      </c>
      <c r="BR91" t="str">
        <f>""</f>
        <v/>
      </c>
      <c r="BS91" t="str">
        <f>""</f>
        <v/>
      </c>
    </row>
    <row r="92" spans="1:71" x14ac:dyDescent="0.25">
      <c r="A92" t="str">
        <f>"        Bank of America Corp"</f>
        <v xml:space="preserve">        Bank of America Corp</v>
      </c>
      <c r="B92" t="str">
        <f>"BAC US Equity"</f>
        <v>BAC US Equity</v>
      </c>
      <c r="C92" t="str">
        <f t="shared" ref="C92:C111" si="12">"FR011"</f>
        <v>FR011</v>
      </c>
      <c r="D92" t="str">
        <f t="shared" ref="D92:D111" si="13">"FED_C&amp;I_LOANS_US_ADDRESS"</f>
        <v>FED_C&amp;I_LOANS_US_ADDRESS</v>
      </c>
      <c r="E92" t="str">
        <f t="shared" ref="E92:E111" si="14">"Dynamic"</f>
        <v>Dynamic</v>
      </c>
      <c r="F92">
        <f ca="1">IF(AND(ISNUMBER($F$509),$B$427=1),$F$509,HLOOKUP(INDIRECT(ADDRESS(2,COLUMN())),OFFSET($AM$2,0,0,ROW()-1,33),ROW()-1,FALSE))</f>
        <v>259807</v>
      </c>
      <c r="G92">
        <f ca="1">IF(AND(ISNUMBER($G$509),$B$427=1),$G$509,HLOOKUP(INDIRECT(ADDRESS(2,COLUMN())),OFFSET($AM$2,0,0,ROW()-1,33),ROW()-1,FALSE))</f>
        <v>246357</v>
      </c>
      <c r="H92">
        <f ca="1">IF(AND(ISNUMBER($H$509),$B$427=1),$H$509,HLOOKUP(INDIRECT(ADDRESS(2,COLUMN())),OFFSET($AM$2,0,0,ROW()-1,33),ROW()-1,FALSE))</f>
        <v>251353</v>
      </c>
      <c r="I92">
        <f ca="1">IF(AND(ISNUMBER($I$509),$B$427=1),$I$509,HLOOKUP(INDIRECT(ADDRESS(2,COLUMN())),OFFSET($AM$2,0,0,ROW()-1,33),ROW()-1,FALSE))</f>
        <v>226334</v>
      </c>
      <c r="J92">
        <f ca="1">IF(AND(ISNUMBER($J$509),$B$427=1),$J$509,HLOOKUP(INDIRECT(ADDRESS(2,COLUMN())),OFFSET($AM$2,0,0,ROW()-1,33),ROW()-1,FALSE))</f>
        <v>227080</v>
      </c>
      <c r="K92">
        <f ca="1">IF(AND(ISNUMBER($K$509),$B$427=1),$K$509,HLOOKUP(INDIRECT(ADDRESS(2,COLUMN())),OFFSET($AM$2,0,0,ROW()-1,33),ROW()-1,FALSE))</f>
        <v>222079</v>
      </c>
      <c r="L92">
        <f ca="1">IF(AND(ISNUMBER($L$509),$B$427=1),$L$509,HLOOKUP(INDIRECT(ADDRESS(2,COLUMN())),OFFSET($AM$2,0,0,ROW()-1,33),ROW()-1,FALSE))</f>
        <v>212365</v>
      </c>
      <c r="M92">
        <f ca="1">IF(AND(ISNUMBER($M$509),$B$427=1),$M$509,HLOOKUP(INDIRECT(ADDRESS(2,COLUMN())),OFFSET($AM$2,0,0,ROW()-1,33),ROW()-1,FALSE))</f>
        <v>204807</v>
      </c>
      <c r="N92">
        <f ca="1">IF(AND(ISNUMBER($N$509),$B$427=1),$N$509,HLOOKUP(INDIRECT(ADDRESS(2,COLUMN())),OFFSET($AM$2,0,0,ROW()-1,33),ROW()-1,FALSE))</f>
        <v>192902</v>
      </c>
      <c r="O92">
        <f ca="1">IF(AND(ISNUMBER($O$509),$B$427=1),$O$509,HLOOKUP(INDIRECT(ADDRESS(2,COLUMN())),OFFSET($AM$2,0,0,ROW()-1,33),ROW()-1,FALSE))</f>
        <v>175679</v>
      </c>
      <c r="P92">
        <f ca="1">IF(AND(ISNUMBER($P$509),$B$427=1),$P$509,HLOOKUP(INDIRECT(ADDRESS(2,COLUMN())),OFFSET($AM$2,0,0,ROW()-1,33),ROW()-1,FALSE))</f>
        <v>158461</v>
      </c>
      <c r="Q92">
        <f ca="1">IF(AND(ISNUMBER($Q$509),$B$427=1),$Q$509,HLOOKUP(INDIRECT(ADDRESS(2,COLUMN())),OFFSET($AM$2,0,0,ROW()-1,33),ROW()-1,FALSE))</f>
        <v>163750</v>
      </c>
      <c r="R92">
        <f ca="1">IF(AND(ISNUMBER($R$509),$B$427=1),$R$509,HLOOKUP(INDIRECT(ADDRESS(2,COLUMN())),OFFSET($AM$2,0,0,ROW()-1,33),ROW()-1,FALSE))</f>
        <v>150764.85999999999</v>
      </c>
      <c r="S92">
        <f ca="1">IF(AND(ISNUMBER($S$509),$B$427=1),$S$509,HLOOKUP(INDIRECT(ADDRESS(2,COLUMN())),OFFSET($AM$2,0,0,ROW()-1,33),ROW()-1,FALSE))</f>
        <v>131761.60699999999</v>
      </c>
      <c r="T92">
        <f ca="1">IF(AND(ISNUMBER($T$509),$B$427=1),$T$509,HLOOKUP(INDIRECT(ADDRESS(2,COLUMN())),OFFSET($AM$2,0,0,ROW()-1,33),ROW()-1,FALSE))</f>
        <v>122807.376</v>
      </c>
      <c r="U92">
        <f ca="1">IF(AND(ISNUMBER($U$509),$B$427=1),$U$509,HLOOKUP(INDIRECT(ADDRESS(2,COLUMN())),OFFSET($AM$2,0,0,ROW()-1,33),ROW()-1,FALSE))</f>
        <v>131723.85</v>
      </c>
      <c r="V92">
        <f ca="1">IF(AND(ISNUMBER($V$509),$B$427=1),$V$509,HLOOKUP(INDIRECT(ADDRESS(2,COLUMN())),OFFSET($AM$2,0,0,ROW()-1,33),ROW()-1,FALSE))</f>
        <v>158991.44899999999</v>
      </c>
      <c r="W92">
        <f ca="1">IF(AND(ISNUMBER($W$509),$B$427=1),$W$509,HLOOKUP(INDIRECT(ADDRESS(2,COLUMN())),OFFSET($AM$2,0,0,ROW()-1,33),ROW()-1,FALSE))</f>
        <v>151697.174</v>
      </c>
      <c r="X92">
        <f ca="1">IF(AND(ISNUMBER($X$509),$B$427=1),$X$509,HLOOKUP(INDIRECT(ADDRESS(2,COLUMN())),OFFSET($AM$2,0,0,ROW()-1,33),ROW()-1,FALSE))</f>
        <v>105414.92</v>
      </c>
      <c r="Y92">
        <f ca="1">IF(AND(ISNUMBER($Y$509),$B$427=1),$Y$509,HLOOKUP(INDIRECT(ADDRESS(2,COLUMN())),OFFSET($AM$2,0,0,ROW()-1,33),ROW()-1,FALSE))</f>
        <v>93077.101999999999</v>
      </c>
      <c r="Z92">
        <f ca="1">IF(AND(ISNUMBER($Z$509),$B$427=1),$Z$509,HLOOKUP(INDIRECT(ADDRESS(2,COLUMN())),OFFSET($AM$2,0,0,ROW()-1,33),ROW()-1,FALSE))</f>
        <v>77996.86</v>
      </c>
      <c r="AA92">
        <f ca="1">IF(AND(ISNUMBER($AA$509),$B$427=1),$AA$509,HLOOKUP(INDIRECT(ADDRESS(2,COLUMN())),OFFSET($AM$2,0,0,ROW()-1,33),ROW()-1,FALSE))</f>
        <v>60868.847999999998</v>
      </c>
      <c r="AB92">
        <f ca="1">IF(AND(ISNUMBER($AB$509),$B$427=1),$AB$509,HLOOKUP(INDIRECT(ADDRESS(2,COLUMN())),OFFSET($AM$2,0,0,ROW()-1,33),ROW()-1,FALSE))</f>
        <v>71701</v>
      </c>
      <c r="AC92">
        <f ca="1">IF(AND(ISNUMBER($AC$509),$B$427=1),$AC$509,HLOOKUP(INDIRECT(ADDRESS(2,COLUMN())),OFFSET($AM$2,0,0,ROW()-1,33),ROW()-1,FALSE))</f>
        <v>88263</v>
      </c>
      <c r="AD92" t="str">
        <f ca="1">IF(AND(ISNUMBER($AD$509),$B$427=1),$AD$509,HLOOKUP(INDIRECT(ADDRESS(2,COLUMN())),OFFSET($AM$2,0,0,ROW()-1,33),ROW()-1,FALSE))</f>
        <v/>
      </c>
      <c r="AE92" t="str">
        <f ca="1">IF(AND(ISNUMBER($AE$509),$B$427=1),$AE$509,HLOOKUP(INDIRECT(ADDRESS(2,COLUMN())),OFFSET($AM$2,0,0,ROW()-1,33),ROW()-1,FALSE))</f>
        <v/>
      </c>
      <c r="AF92" t="str">
        <f ca="1">IF(AND(ISNUMBER($AF$509),$B$427=1),$AF$509,HLOOKUP(INDIRECT(ADDRESS(2,COLUMN())),OFFSET($AM$2,0,0,ROW()-1,33),ROW()-1,FALSE))</f>
        <v/>
      </c>
      <c r="AG92" t="str">
        <f ca="1">IF(AND(ISNUMBER($AG$509),$B$427=1),$AG$509,HLOOKUP(INDIRECT(ADDRESS(2,COLUMN())),OFFSET($AM$2,0,0,ROW()-1,33),ROW()-1,FALSE))</f>
        <v/>
      </c>
      <c r="AH92" t="str">
        <f ca="1">IF(AND(ISNUMBER($AH$509),$B$427=1),$AH$509,HLOOKUP(INDIRECT(ADDRESS(2,COLUMN())),OFFSET($AM$2,0,0,ROW()-1,33),ROW()-1,FALSE))</f>
        <v/>
      </c>
      <c r="AI92" t="str">
        <f ca="1">IF(AND(ISNUMBER($AI$509),$B$427=1),$AI$509,HLOOKUP(INDIRECT(ADDRESS(2,COLUMN())),OFFSET($AM$2,0,0,ROW()-1,33),ROW()-1,FALSE))</f>
        <v/>
      </c>
      <c r="AJ92" t="str">
        <f ca="1">IF(AND(ISNUMBER($AJ$509),$B$427=1),$AJ$509,HLOOKUP(INDIRECT(ADDRESS(2,COLUMN())),OFFSET($AM$2,0,0,ROW()-1,33),ROW()-1,FALSE))</f>
        <v/>
      </c>
      <c r="AK92" t="str">
        <f ca="1">IF(AND(ISNUMBER($AK$509),$B$427=1),$AK$509,HLOOKUP(INDIRECT(ADDRESS(2,COLUMN())),OFFSET($AM$2,0,0,ROW()-1,33),ROW()-1,FALSE))</f>
        <v/>
      </c>
      <c r="AL92" t="str">
        <f ca="1">IF(AND(ISNUMBER($AL$509),$B$427=1),$AL$509,HLOOKUP(INDIRECT(ADDRESS(2,COLUMN())),OFFSET($AM$2,0,0,ROW()-1,33),ROW()-1,FALSE))</f>
        <v/>
      </c>
      <c r="AM92">
        <f>259807</f>
        <v>259807</v>
      </c>
      <c r="AN92">
        <f>246357</f>
        <v>246357</v>
      </c>
      <c r="AO92">
        <f>251353</f>
        <v>251353</v>
      </c>
      <c r="AP92">
        <f>226334</f>
        <v>226334</v>
      </c>
      <c r="AQ92">
        <f>227080</f>
        <v>227080</v>
      </c>
      <c r="AR92">
        <f>222079</f>
        <v>222079</v>
      </c>
      <c r="AS92">
        <f>212365</f>
        <v>212365</v>
      </c>
      <c r="AT92">
        <f>204807</f>
        <v>204807</v>
      </c>
      <c r="AU92">
        <f>192902</f>
        <v>192902</v>
      </c>
      <c r="AV92">
        <f>175679</f>
        <v>175679</v>
      </c>
      <c r="AW92">
        <f>158461</f>
        <v>158461</v>
      </c>
      <c r="AX92">
        <f>163750</f>
        <v>163750</v>
      </c>
      <c r="AY92">
        <f>150764.86</f>
        <v>150764.85999999999</v>
      </c>
      <c r="AZ92">
        <f>131761.607</f>
        <v>131761.60699999999</v>
      </c>
      <c r="BA92">
        <f>122807.376</f>
        <v>122807.376</v>
      </c>
      <c r="BB92">
        <f>131723.85</f>
        <v>131723.85</v>
      </c>
      <c r="BC92">
        <f>158991.449</f>
        <v>158991.44899999999</v>
      </c>
      <c r="BD92">
        <f>151697.174</f>
        <v>151697.174</v>
      </c>
      <c r="BE92">
        <f>105414.92</f>
        <v>105414.92</v>
      </c>
      <c r="BF92">
        <f>93077.102</f>
        <v>93077.101999999999</v>
      </c>
      <c r="BG92">
        <f>77996.86</f>
        <v>77996.86</v>
      </c>
      <c r="BH92">
        <f>60868.848</f>
        <v>60868.847999999998</v>
      </c>
      <c r="BI92">
        <f>71701</f>
        <v>71701</v>
      </c>
      <c r="BJ92">
        <f>88263</f>
        <v>88263</v>
      </c>
      <c r="BK92" t="str">
        <f>""</f>
        <v/>
      </c>
      <c r="BL92" t="str">
        <f>""</f>
        <v/>
      </c>
      <c r="BM92" t="str">
        <f>""</f>
        <v/>
      </c>
      <c r="BN92" t="str">
        <f>""</f>
        <v/>
      </c>
      <c r="BO92" t="str">
        <f>""</f>
        <v/>
      </c>
      <c r="BP92" t="str">
        <f>""</f>
        <v/>
      </c>
      <c r="BQ92" t="str">
        <f>""</f>
        <v/>
      </c>
      <c r="BR92" t="str">
        <f>""</f>
        <v/>
      </c>
      <c r="BS92" t="str">
        <f>""</f>
        <v/>
      </c>
    </row>
    <row r="93" spans="1:71" x14ac:dyDescent="0.25">
      <c r="A93" t="str">
        <f>"        Citigroup Inc"</f>
        <v xml:space="preserve">        Citigroup Inc</v>
      </c>
      <c r="B93" t="str">
        <f>"C US Equity"</f>
        <v>C US Equity</v>
      </c>
      <c r="C93" t="str">
        <f t="shared" si="12"/>
        <v>FR011</v>
      </c>
      <c r="D93" t="str">
        <f t="shared" si="13"/>
        <v>FED_C&amp;I_LOANS_US_ADDRESS</v>
      </c>
      <c r="E93" t="str">
        <f t="shared" si="14"/>
        <v>Dynamic</v>
      </c>
      <c r="F93">
        <f ca="1">IF(AND(ISNUMBER($F$510),$B$427=1),$F$510,HLOOKUP(INDIRECT(ADDRESS(2,COLUMN())),OFFSET($AM$2,0,0,ROW()-1,33),ROW()-1,FALSE))</f>
        <v>57909</v>
      </c>
      <c r="G93">
        <f ca="1">IF(AND(ISNUMBER($G$510),$B$427=1),$G$510,HLOOKUP(INDIRECT(ADDRESS(2,COLUMN())),OFFSET($AM$2,0,0,ROW()-1,33),ROW()-1,FALSE))</f>
        <v>60846</v>
      </c>
      <c r="H93">
        <f ca="1">IF(AND(ISNUMBER($H$510),$B$427=1),$H$510,HLOOKUP(INDIRECT(ADDRESS(2,COLUMN())),OFFSET($AM$2,0,0,ROW()-1,33),ROW()-1,FALSE))</f>
        <v>54453</v>
      </c>
      <c r="I93">
        <f ca="1">IF(AND(ISNUMBER($I$510),$B$427=1),$I$510,HLOOKUP(INDIRECT(ADDRESS(2,COLUMN())),OFFSET($AM$2,0,0,ROW()-1,33),ROW()-1,FALSE))</f>
        <v>49374</v>
      </c>
      <c r="J93">
        <f ca="1">IF(AND(ISNUMBER($J$510),$B$427=1),$J$510,HLOOKUP(INDIRECT(ADDRESS(2,COLUMN())),OFFSET($AM$2,0,0,ROW()-1,33),ROW()-1,FALSE))</f>
        <v>58000</v>
      </c>
      <c r="K93">
        <f ca="1">IF(AND(ISNUMBER($K$510),$B$427=1),$K$510,HLOOKUP(INDIRECT(ADDRESS(2,COLUMN())),OFFSET($AM$2,0,0,ROW()-1,33),ROW()-1,FALSE))</f>
        <v>57443</v>
      </c>
      <c r="L93">
        <f ca="1">IF(AND(ISNUMBER($L$510),$B$427=1),$L$510,HLOOKUP(INDIRECT(ADDRESS(2,COLUMN())),OFFSET($AM$2,0,0,ROW()-1,33),ROW()-1,FALSE))</f>
        <v>58254</v>
      </c>
      <c r="M93">
        <f ca="1">IF(AND(ISNUMBER($M$510),$B$427=1),$M$510,HLOOKUP(INDIRECT(ADDRESS(2,COLUMN())),OFFSET($AM$2,0,0,ROW()-1,33),ROW()-1,FALSE))</f>
        <v>54594</v>
      </c>
      <c r="N93">
        <f ca="1">IF(AND(ISNUMBER($N$510),$B$427=1),$N$510,HLOOKUP(INDIRECT(ADDRESS(2,COLUMN())),OFFSET($AM$2,0,0,ROW()-1,33),ROW()-1,FALSE))</f>
        <v>49443</v>
      </c>
      <c r="O93">
        <f ca="1">IF(AND(ISNUMBER($O$510),$B$427=1),$O$510,HLOOKUP(INDIRECT(ADDRESS(2,COLUMN())),OFFSET($AM$2,0,0,ROW()-1,33),ROW()-1,FALSE))</f>
        <v>47278</v>
      </c>
      <c r="P93">
        <f ca="1">IF(AND(ISNUMBER($P$510),$B$427=1),$P$510,HLOOKUP(INDIRECT(ADDRESS(2,COLUMN())),OFFSET($AM$2,0,0,ROW()-1,33),ROW()-1,FALSE))</f>
        <v>41542</v>
      </c>
      <c r="Q93">
        <f ca="1">IF(AND(ISNUMBER($Q$510),$B$427=1),$Q$510,HLOOKUP(INDIRECT(ADDRESS(2,COLUMN())),OFFSET($AM$2,0,0,ROW()-1,33),ROW()-1,FALSE))</f>
        <v>38658</v>
      </c>
      <c r="R93">
        <f ca="1">IF(AND(ISNUMBER($R$510),$B$427=1),$R$510,HLOOKUP(INDIRECT(ADDRESS(2,COLUMN())),OFFSET($AM$2,0,0,ROW()-1,33),ROW()-1,FALSE))</f>
        <v>32778</v>
      </c>
      <c r="S93">
        <f ca="1">IF(AND(ISNUMBER($S$510),$B$427=1),$S$510,HLOOKUP(INDIRECT(ADDRESS(2,COLUMN())),OFFSET($AM$2,0,0,ROW()-1,33),ROW()-1,FALSE))</f>
        <v>29197</v>
      </c>
      <c r="T93">
        <f ca="1">IF(AND(ISNUMBER($T$510),$B$427=1),$T$510,HLOOKUP(INDIRECT(ADDRESS(2,COLUMN())),OFFSET($AM$2,0,0,ROW()-1,33),ROW()-1,FALSE))</f>
        <v>25662</v>
      </c>
      <c r="U93">
        <f ca="1">IF(AND(ISNUMBER($U$510),$B$427=1),$U$510,HLOOKUP(INDIRECT(ADDRESS(2,COLUMN())),OFFSET($AM$2,0,0,ROW()-1,33),ROW()-1,FALSE))</f>
        <v>32371</v>
      </c>
      <c r="V93">
        <f ca="1">IF(AND(ISNUMBER($V$510),$B$427=1),$V$510,HLOOKUP(INDIRECT(ADDRESS(2,COLUMN())),OFFSET($AM$2,0,0,ROW()-1,33),ROW()-1,FALSE))</f>
        <v>45317</v>
      </c>
      <c r="W93">
        <f ca="1">IF(AND(ISNUMBER($W$510),$B$427=1),$W$510,HLOOKUP(INDIRECT(ADDRESS(2,COLUMN())),OFFSET($AM$2,0,0,ROW()-1,33),ROW()-1,FALSE))</f>
        <v>66445</v>
      </c>
      <c r="X93">
        <f ca="1">IF(AND(ISNUMBER($X$510),$B$427=1),$X$510,HLOOKUP(INDIRECT(ADDRESS(2,COLUMN())),OFFSET($AM$2,0,0,ROW()-1,33),ROW()-1,FALSE))</f>
        <v>46448</v>
      </c>
      <c r="Y93">
        <f ca="1">IF(AND(ISNUMBER($Y$510),$B$427=1),$Y$510,HLOOKUP(INDIRECT(ADDRESS(2,COLUMN())),OFFSET($AM$2,0,0,ROW()-1,33),ROW()-1,FALSE))</f>
        <v>40425</v>
      </c>
      <c r="Z93">
        <f ca="1">IF(AND(ISNUMBER($Z$510),$B$427=1),$Z$510,HLOOKUP(INDIRECT(ADDRESS(2,COLUMN())),OFFSET($AM$2,0,0,ROW()-1,33),ROW()-1,FALSE))</f>
        <v>31987</v>
      </c>
      <c r="AA93">
        <f ca="1">IF(AND(ISNUMBER($AA$510),$B$427=1),$AA$510,HLOOKUP(INDIRECT(ADDRESS(2,COLUMN())),OFFSET($AM$2,0,0,ROW()-1,33),ROW()-1,FALSE))</f>
        <v>29346</v>
      </c>
      <c r="AB93">
        <f ca="1">IF(AND(ISNUMBER($AB$510),$B$427=1),$AB$510,HLOOKUP(INDIRECT(ADDRESS(2,COLUMN())),OFFSET($AM$2,0,0,ROW()-1,33),ROW()-1,FALSE))</f>
        <v>35980</v>
      </c>
      <c r="AC93">
        <f ca="1">IF(AND(ISNUMBER($AC$510),$B$427=1),$AC$510,HLOOKUP(INDIRECT(ADDRESS(2,COLUMN())),OFFSET($AM$2,0,0,ROW()-1,33),ROW()-1,FALSE))</f>
        <v>40230</v>
      </c>
      <c r="AD93" t="str">
        <f ca="1">IF(AND(ISNUMBER($AD$510),$B$427=1),$AD$510,HLOOKUP(INDIRECT(ADDRESS(2,COLUMN())),OFFSET($AM$2,0,0,ROW()-1,33),ROW()-1,FALSE))</f>
        <v/>
      </c>
      <c r="AE93" t="str">
        <f ca="1">IF(AND(ISNUMBER($AE$510),$B$427=1),$AE$510,HLOOKUP(INDIRECT(ADDRESS(2,COLUMN())),OFFSET($AM$2,0,0,ROW()-1,33),ROW()-1,FALSE))</f>
        <v/>
      </c>
      <c r="AF93" t="str">
        <f ca="1">IF(AND(ISNUMBER($AF$510),$B$427=1),$AF$510,HLOOKUP(INDIRECT(ADDRESS(2,COLUMN())),OFFSET($AM$2,0,0,ROW()-1,33),ROW()-1,FALSE))</f>
        <v/>
      </c>
      <c r="AG93" t="str">
        <f ca="1">IF(AND(ISNUMBER($AG$510),$B$427=1),$AG$510,HLOOKUP(INDIRECT(ADDRESS(2,COLUMN())),OFFSET($AM$2,0,0,ROW()-1,33),ROW()-1,FALSE))</f>
        <v/>
      </c>
      <c r="AH93" t="str">
        <f ca="1">IF(AND(ISNUMBER($AH$510),$B$427=1),$AH$510,HLOOKUP(INDIRECT(ADDRESS(2,COLUMN())),OFFSET($AM$2,0,0,ROW()-1,33),ROW()-1,FALSE))</f>
        <v/>
      </c>
      <c r="AI93" t="str">
        <f ca="1">IF(AND(ISNUMBER($AI$510),$B$427=1),$AI$510,HLOOKUP(INDIRECT(ADDRESS(2,COLUMN())),OFFSET($AM$2,0,0,ROW()-1,33),ROW()-1,FALSE))</f>
        <v/>
      </c>
      <c r="AJ93" t="str">
        <f ca="1">IF(AND(ISNUMBER($AJ$510),$B$427=1),$AJ$510,HLOOKUP(INDIRECT(ADDRESS(2,COLUMN())),OFFSET($AM$2,0,0,ROW()-1,33),ROW()-1,FALSE))</f>
        <v/>
      </c>
      <c r="AK93" t="str">
        <f ca="1">IF(AND(ISNUMBER($AK$510),$B$427=1),$AK$510,HLOOKUP(INDIRECT(ADDRESS(2,COLUMN())),OFFSET($AM$2,0,0,ROW()-1,33),ROW()-1,FALSE))</f>
        <v/>
      </c>
      <c r="AL93" t="str">
        <f ca="1">IF(AND(ISNUMBER($AL$510),$B$427=1),$AL$510,HLOOKUP(INDIRECT(ADDRESS(2,COLUMN())),OFFSET($AM$2,0,0,ROW()-1,33),ROW()-1,FALSE))</f>
        <v/>
      </c>
      <c r="AM93">
        <f>57909</f>
        <v>57909</v>
      </c>
      <c r="AN93">
        <f>60846</f>
        <v>60846</v>
      </c>
      <c r="AO93">
        <f>54453</f>
        <v>54453</v>
      </c>
      <c r="AP93">
        <f>49374</f>
        <v>49374</v>
      </c>
      <c r="AQ93">
        <f>58000</f>
        <v>58000</v>
      </c>
      <c r="AR93">
        <f>57443</f>
        <v>57443</v>
      </c>
      <c r="AS93">
        <f>58254</f>
        <v>58254</v>
      </c>
      <c r="AT93">
        <f>54594</f>
        <v>54594</v>
      </c>
      <c r="AU93">
        <f>49443</f>
        <v>49443</v>
      </c>
      <c r="AV93">
        <f>47278</f>
        <v>47278</v>
      </c>
      <c r="AW93">
        <f>41542</f>
        <v>41542</v>
      </c>
      <c r="AX93">
        <f>38658</f>
        <v>38658</v>
      </c>
      <c r="AY93">
        <f>32778</f>
        <v>32778</v>
      </c>
      <c r="AZ93">
        <f>29197</f>
        <v>29197</v>
      </c>
      <c r="BA93">
        <f>25662</f>
        <v>25662</v>
      </c>
      <c r="BB93">
        <f>32371</f>
        <v>32371</v>
      </c>
      <c r="BC93">
        <f>45317</f>
        <v>45317</v>
      </c>
      <c r="BD93">
        <f>66445</f>
        <v>66445</v>
      </c>
      <c r="BE93">
        <f>46448</f>
        <v>46448</v>
      </c>
      <c r="BF93">
        <f>40425</f>
        <v>40425</v>
      </c>
      <c r="BG93">
        <f>31987</f>
        <v>31987</v>
      </c>
      <c r="BH93">
        <f>29346</f>
        <v>29346</v>
      </c>
      <c r="BI93">
        <f>35980</f>
        <v>35980</v>
      </c>
      <c r="BJ93">
        <f>40230</f>
        <v>40230</v>
      </c>
      <c r="BK93" t="str">
        <f>""</f>
        <v/>
      </c>
      <c r="BL93" t="str">
        <f>""</f>
        <v/>
      </c>
      <c r="BM93" t="str">
        <f>""</f>
        <v/>
      </c>
      <c r="BN93" t="str">
        <f>""</f>
        <v/>
      </c>
      <c r="BO93" t="str">
        <f>""</f>
        <v/>
      </c>
      <c r="BP93" t="str">
        <f>""</f>
        <v/>
      </c>
      <c r="BQ93" t="str">
        <f>""</f>
        <v/>
      </c>
      <c r="BR93" t="str">
        <f>""</f>
        <v/>
      </c>
      <c r="BS93" t="str">
        <f>""</f>
        <v/>
      </c>
    </row>
    <row r="94" spans="1:71" x14ac:dyDescent="0.25">
      <c r="A94" t="str">
        <f>"        Citizens Financial Group Inc"</f>
        <v xml:space="preserve">        Citizens Financial Group Inc</v>
      </c>
      <c r="B94" t="str">
        <f>"CFG US Equity"</f>
        <v>CFG US Equity</v>
      </c>
      <c r="C94" t="str">
        <f t="shared" si="12"/>
        <v>FR011</v>
      </c>
      <c r="D94" t="str">
        <f t="shared" si="13"/>
        <v>FED_C&amp;I_LOANS_US_ADDRESS</v>
      </c>
      <c r="E94" t="str">
        <f t="shared" si="14"/>
        <v>Dynamic</v>
      </c>
      <c r="F94">
        <f ca="1">IF(AND(ISNUMBER($F$511),$B$427=1),$F$511,HLOOKUP(INDIRECT(ADDRESS(2,COLUMN())),OFFSET($AM$2,0,0,ROW()-1,33),ROW()-1,FALSE))</f>
        <v>24760.656999999999</v>
      </c>
      <c r="G94">
        <f ca="1">IF(AND(ISNUMBER($G$511),$B$427=1),$G$511,HLOOKUP(INDIRECT(ADDRESS(2,COLUMN())),OFFSET($AM$2,0,0,ROW()-1,33),ROW()-1,FALSE))</f>
        <v>36720.19</v>
      </c>
      <c r="H94">
        <f ca="1">IF(AND(ISNUMBER($H$511),$B$427=1),$H$511,HLOOKUP(INDIRECT(ADDRESS(2,COLUMN())),OFFSET($AM$2,0,0,ROW()-1,33),ROW()-1,FALSE))</f>
        <v>44042.211000000003</v>
      </c>
      <c r="I94">
        <f ca="1">IF(AND(ISNUMBER($I$511),$B$427=1),$I$511,HLOOKUP(INDIRECT(ADDRESS(2,COLUMN())),OFFSET($AM$2,0,0,ROW()-1,33),ROW()-1,FALSE))</f>
        <v>39862.752999999997</v>
      </c>
      <c r="J94">
        <f ca="1">IF(AND(ISNUMBER($J$511),$B$427=1),$J$511,HLOOKUP(INDIRECT(ADDRESS(2,COLUMN())),OFFSET($AM$2,0,0,ROW()-1,33),ROW()-1,FALSE))</f>
        <v>38862.6</v>
      </c>
      <c r="K94">
        <f ca="1">IF(AND(ISNUMBER($K$511),$B$427=1),$K$511,HLOOKUP(INDIRECT(ADDRESS(2,COLUMN())),OFFSET($AM$2,0,0,ROW()-1,33),ROW()-1,FALSE))</f>
        <v>35583.330999999998</v>
      </c>
      <c r="L94">
        <f ca="1">IF(AND(ISNUMBER($L$511),$B$427=1),$L$511,HLOOKUP(INDIRECT(ADDRESS(2,COLUMN())),OFFSET($AM$2,0,0,ROW()-1,33),ROW()-1,FALSE))</f>
        <v>34946.69</v>
      </c>
      <c r="M94">
        <f ca="1">IF(AND(ISNUMBER($M$511),$B$427=1),$M$511,HLOOKUP(INDIRECT(ADDRESS(2,COLUMN())),OFFSET($AM$2,0,0,ROW()-1,33),ROW()-1,FALSE))</f>
        <v>31192.701000000001</v>
      </c>
      <c r="N94">
        <f ca="1">IF(AND(ISNUMBER($N$511),$B$427=1),$N$511,HLOOKUP(INDIRECT(ADDRESS(2,COLUMN())),OFFSET($AM$2,0,0,ROW()-1,33),ROW()-1,FALSE))</f>
        <v>30775.691999999999</v>
      </c>
      <c r="O94">
        <f ca="1">IF(AND(ISNUMBER($O$511),$B$427=1),$O$511,HLOOKUP(INDIRECT(ADDRESS(2,COLUMN())),OFFSET($AM$2,0,0,ROW()-1,33),ROW()-1,FALSE))</f>
        <v>26887.003000000001</v>
      </c>
      <c r="P94">
        <f ca="1">IF(AND(ISNUMBER($P$511),$B$427=1),$P$511,HLOOKUP(INDIRECT(ADDRESS(2,COLUMN())),OFFSET($AM$2,0,0,ROW()-1,33),ROW()-1,FALSE))</f>
        <v>24814.531999999999</v>
      </c>
      <c r="Q94">
        <f ca="1">IF(AND(ISNUMBER($Q$511),$B$427=1),$Q$511,HLOOKUP(INDIRECT(ADDRESS(2,COLUMN())),OFFSET($AM$2,0,0,ROW()-1,33),ROW()-1,FALSE))</f>
        <v>22642.248</v>
      </c>
      <c r="R94">
        <f ca="1">IF(AND(ISNUMBER($R$511),$B$427=1),$R$511,HLOOKUP(INDIRECT(ADDRESS(2,COLUMN())),OFFSET($AM$2,0,0,ROW()-1,33),ROW()-1,FALSE))</f>
        <v>21471.280999999999</v>
      </c>
      <c r="S94">
        <f ca="1">IF(AND(ISNUMBER($S$511),$B$427=1),$S$511,HLOOKUP(INDIRECT(ADDRESS(2,COLUMN())),OFFSET($AM$2,0,0,ROW()-1,33),ROW()-1,FALSE))</f>
        <v>18801.773000000001</v>
      </c>
      <c r="T94">
        <f ca="1">IF(AND(ISNUMBER($T$511),$B$427=1),$T$511,HLOOKUP(INDIRECT(ADDRESS(2,COLUMN())),OFFSET($AM$2,0,0,ROW()-1,33),ROW()-1,FALSE))</f>
        <v>15511.886</v>
      </c>
      <c r="U94">
        <f ca="1">IF(AND(ISNUMBER($U$511),$B$427=1),$U$511,HLOOKUP(INDIRECT(ADDRESS(2,COLUMN())),OFFSET($AM$2,0,0,ROW()-1,33),ROW()-1,FALSE))</f>
        <v>15103.662</v>
      </c>
      <c r="V94">
        <f ca="1">IF(AND(ISNUMBER($V$511),$B$427=1),$V$511,HLOOKUP(INDIRECT(ADDRESS(2,COLUMN())),OFFSET($AM$2,0,0,ROW()-1,33),ROW()-1,FALSE))</f>
        <v>19407.844000000001</v>
      </c>
      <c r="W94">
        <f ca="1">IF(AND(ISNUMBER($W$511),$B$427=1),$W$511,HLOOKUP(INDIRECT(ADDRESS(2,COLUMN())),OFFSET($AM$2,0,0,ROW()-1,33),ROW()-1,FALSE))</f>
        <v>20420.476999999999</v>
      </c>
      <c r="X94">
        <f ca="1">IF(AND(ISNUMBER($X$511),$B$427=1),$X$511,HLOOKUP(INDIRECT(ADDRESS(2,COLUMN())),OFFSET($AM$2,0,0,ROW()-1,33),ROW()-1,FALSE))</f>
        <v>16186.24</v>
      </c>
      <c r="Y94">
        <f ca="1">IF(AND(ISNUMBER($Y$511),$B$427=1),$Y$511,HLOOKUP(INDIRECT(ADDRESS(2,COLUMN())),OFFSET($AM$2,0,0,ROW()-1,33),ROW()-1,FALSE))</f>
        <v>11974.531000000001</v>
      </c>
      <c r="Z94">
        <f ca="1">IF(AND(ISNUMBER($Z$511),$B$427=1),$Z$511,HLOOKUP(INDIRECT(ADDRESS(2,COLUMN())),OFFSET($AM$2,0,0,ROW()-1,33),ROW()-1,FALSE))</f>
        <v>10496.62</v>
      </c>
      <c r="AA94">
        <f ca="1">IF(AND(ISNUMBER($AA$511),$B$427=1),$AA$511,HLOOKUP(INDIRECT(ADDRESS(2,COLUMN())),OFFSET($AM$2,0,0,ROW()-1,33),ROW()-1,FALSE))</f>
        <v>8740.0810000000001</v>
      </c>
      <c r="AB94">
        <f ca="1">IF(AND(ISNUMBER($AB$511),$B$427=1),$AB$511,HLOOKUP(INDIRECT(ADDRESS(2,COLUMN())),OFFSET($AM$2,0,0,ROW()-1,33),ROW()-1,FALSE))</f>
        <v>8229.5949999999993</v>
      </c>
      <c r="AC94">
        <f ca="1">IF(AND(ISNUMBER($AC$511),$B$427=1),$AC$511,HLOOKUP(INDIRECT(ADDRESS(2,COLUMN())),OFFSET($AM$2,0,0,ROW()-1,33),ROW()-1,FALSE))</f>
        <v>8657.6260000000002</v>
      </c>
      <c r="AD94" t="str">
        <f ca="1">IF(AND(ISNUMBER($AD$511),$B$427=1),$AD$511,HLOOKUP(INDIRECT(ADDRESS(2,COLUMN())),OFFSET($AM$2,0,0,ROW()-1,33),ROW()-1,FALSE))</f>
        <v/>
      </c>
      <c r="AE94" t="str">
        <f ca="1">IF(AND(ISNUMBER($AE$511),$B$427=1),$AE$511,HLOOKUP(INDIRECT(ADDRESS(2,COLUMN())),OFFSET($AM$2,0,0,ROW()-1,33),ROW()-1,FALSE))</f>
        <v/>
      </c>
      <c r="AF94" t="str">
        <f ca="1">IF(AND(ISNUMBER($AF$511),$B$427=1),$AF$511,HLOOKUP(INDIRECT(ADDRESS(2,COLUMN())),OFFSET($AM$2,0,0,ROW()-1,33),ROW()-1,FALSE))</f>
        <v/>
      </c>
      <c r="AG94" t="str">
        <f ca="1">IF(AND(ISNUMBER($AG$511),$B$427=1),$AG$511,HLOOKUP(INDIRECT(ADDRESS(2,COLUMN())),OFFSET($AM$2,0,0,ROW()-1,33),ROW()-1,FALSE))</f>
        <v/>
      </c>
      <c r="AH94" t="str">
        <f ca="1">IF(AND(ISNUMBER($AH$511),$B$427=1),$AH$511,HLOOKUP(INDIRECT(ADDRESS(2,COLUMN())),OFFSET($AM$2,0,0,ROW()-1,33),ROW()-1,FALSE))</f>
        <v/>
      </c>
      <c r="AI94" t="str">
        <f ca="1">IF(AND(ISNUMBER($AI$511),$B$427=1),$AI$511,HLOOKUP(INDIRECT(ADDRESS(2,COLUMN())),OFFSET($AM$2,0,0,ROW()-1,33),ROW()-1,FALSE))</f>
        <v/>
      </c>
      <c r="AJ94" t="str">
        <f ca="1">IF(AND(ISNUMBER($AJ$511),$B$427=1),$AJ$511,HLOOKUP(INDIRECT(ADDRESS(2,COLUMN())),OFFSET($AM$2,0,0,ROW()-1,33),ROW()-1,FALSE))</f>
        <v/>
      </c>
      <c r="AK94" t="str">
        <f ca="1">IF(AND(ISNUMBER($AK$511),$B$427=1),$AK$511,HLOOKUP(INDIRECT(ADDRESS(2,COLUMN())),OFFSET($AM$2,0,0,ROW()-1,33),ROW()-1,FALSE))</f>
        <v/>
      </c>
      <c r="AL94" t="str">
        <f ca="1">IF(AND(ISNUMBER($AL$511),$B$427=1),$AL$511,HLOOKUP(INDIRECT(ADDRESS(2,COLUMN())),OFFSET($AM$2,0,0,ROW()-1,33),ROW()-1,FALSE))</f>
        <v/>
      </c>
      <c r="AM94">
        <f>24760.657</f>
        <v>24760.656999999999</v>
      </c>
      <c r="AN94">
        <f>36720.19</f>
        <v>36720.19</v>
      </c>
      <c r="AO94">
        <f>44042.211</f>
        <v>44042.211000000003</v>
      </c>
      <c r="AP94">
        <f>39862.753</f>
        <v>39862.752999999997</v>
      </c>
      <c r="AQ94">
        <f>38862.6</f>
        <v>38862.6</v>
      </c>
      <c r="AR94">
        <f>35583.331</f>
        <v>35583.330999999998</v>
      </c>
      <c r="AS94">
        <f>34946.69</f>
        <v>34946.69</v>
      </c>
      <c r="AT94">
        <f>31192.701</f>
        <v>31192.701000000001</v>
      </c>
      <c r="AU94">
        <f>30775.692</f>
        <v>30775.691999999999</v>
      </c>
      <c r="AV94">
        <f>26887.003</f>
        <v>26887.003000000001</v>
      </c>
      <c r="AW94">
        <f>24814.532</f>
        <v>24814.531999999999</v>
      </c>
      <c r="AX94">
        <f>22642.248</f>
        <v>22642.248</v>
      </c>
      <c r="AY94">
        <f>21471.281</f>
        <v>21471.280999999999</v>
      </c>
      <c r="AZ94">
        <f>18801.773</f>
        <v>18801.773000000001</v>
      </c>
      <c r="BA94">
        <f>15511.886</f>
        <v>15511.886</v>
      </c>
      <c r="BB94">
        <f>15103.662</f>
        <v>15103.662</v>
      </c>
      <c r="BC94">
        <f>19407.844</f>
        <v>19407.844000000001</v>
      </c>
      <c r="BD94">
        <f>20420.477</f>
        <v>20420.476999999999</v>
      </c>
      <c r="BE94">
        <f>16186.24</f>
        <v>16186.24</v>
      </c>
      <c r="BF94">
        <f>11974.531</f>
        <v>11974.531000000001</v>
      </c>
      <c r="BG94">
        <f>10496.62</f>
        <v>10496.62</v>
      </c>
      <c r="BH94">
        <f>8740.081</f>
        <v>8740.0810000000001</v>
      </c>
      <c r="BI94">
        <f>8229.595</f>
        <v>8229.5949999999993</v>
      </c>
      <c r="BJ94">
        <f>8657.626</f>
        <v>8657.6260000000002</v>
      </c>
      <c r="BK94" t="str">
        <f>""</f>
        <v/>
      </c>
      <c r="BL94" t="str">
        <f>""</f>
        <v/>
      </c>
      <c r="BM94" t="str">
        <f>""</f>
        <v/>
      </c>
      <c r="BN94" t="str">
        <f>""</f>
        <v/>
      </c>
      <c r="BO94" t="str">
        <f>""</f>
        <v/>
      </c>
      <c r="BP94" t="str">
        <f>""</f>
        <v/>
      </c>
      <c r="BQ94" t="str">
        <f>""</f>
        <v/>
      </c>
      <c r="BR94" t="str">
        <f>""</f>
        <v/>
      </c>
      <c r="BS94" t="str">
        <f>""</f>
        <v/>
      </c>
    </row>
    <row r="95" spans="1:71" x14ac:dyDescent="0.25">
      <c r="A95" t="str">
        <f>"        Capital One Financial Corp"</f>
        <v xml:space="preserve">        Capital One Financial Corp</v>
      </c>
      <c r="B95" t="str">
        <f>"COF US Equity"</f>
        <v>COF US Equity</v>
      </c>
      <c r="C95" t="str">
        <f t="shared" si="12"/>
        <v>FR011</v>
      </c>
      <c r="D95" t="str">
        <f t="shared" si="13"/>
        <v>FED_C&amp;I_LOANS_US_ADDRESS</v>
      </c>
      <c r="E95" t="str">
        <f t="shared" si="14"/>
        <v>Dynamic</v>
      </c>
      <c r="F95">
        <f ca="1">IF(AND(ISNUMBER($F$512),$B$427=1),$F$512,HLOOKUP(INDIRECT(ADDRESS(2,COLUMN())),OFFSET($AM$2,0,0,ROW()-1,33),ROW()-1,FALSE))</f>
        <v>44382.421000000002</v>
      </c>
      <c r="G95">
        <f ca="1">IF(AND(ISNUMBER($G$512),$B$427=1),$G$512,HLOOKUP(INDIRECT(ADDRESS(2,COLUMN())),OFFSET($AM$2,0,0,ROW()-1,33),ROW()-1,FALSE))</f>
        <v>45606.461000000003</v>
      </c>
      <c r="H95">
        <f ca="1">IF(AND(ISNUMBER($H$512),$B$427=1),$H$512,HLOOKUP(INDIRECT(ADDRESS(2,COLUMN())),OFFSET($AM$2,0,0,ROW()-1,33),ROW()-1,FALSE))</f>
        <v>46765.928999999996</v>
      </c>
      <c r="I95">
        <f ca="1">IF(AND(ISNUMBER($I$512),$B$427=1),$I$512,HLOOKUP(INDIRECT(ADDRESS(2,COLUMN())),OFFSET($AM$2,0,0,ROW()-1,33),ROW()-1,FALSE))</f>
        <v>39631.216999999997</v>
      </c>
      <c r="J95">
        <f ca="1">IF(AND(ISNUMBER($J$512),$B$427=1),$J$512,HLOOKUP(INDIRECT(ADDRESS(2,COLUMN())),OFFSET($AM$2,0,0,ROW()-1,33),ROW()-1,FALSE))</f>
        <v>34550.311000000002</v>
      </c>
      <c r="K95">
        <f ca="1">IF(AND(ISNUMBER($K$512),$B$427=1),$K$512,HLOOKUP(INDIRECT(ADDRESS(2,COLUMN())),OFFSET($AM$2,0,0,ROW()-1,33),ROW()-1,FALSE))</f>
        <v>36833.805999999997</v>
      </c>
      <c r="L95">
        <f ca="1">IF(AND(ISNUMBER($L$512),$B$427=1),$L$512,HLOOKUP(INDIRECT(ADDRESS(2,COLUMN())),OFFSET($AM$2,0,0,ROW()-1,33),ROW()-1,FALSE))</f>
        <v>33425.294999999998</v>
      </c>
      <c r="M95">
        <f ca="1">IF(AND(ISNUMBER($M$512),$B$427=1),$M$512,HLOOKUP(INDIRECT(ADDRESS(2,COLUMN())),OFFSET($AM$2,0,0,ROW()-1,33),ROW()-1,FALSE))</f>
        <v>28971.728999999999</v>
      </c>
      <c r="N95">
        <f ca="1">IF(AND(ISNUMBER($N$512),$B$427=1),$N$512,HLOOKUP(INDIRECT(ADDRESS(2,COLUMN())),OFFSET($AM$2,0,0,ROW()-1,33),ROW()-1,FALSE))</f>
        <v>29320.767</v>
      </c>
      <c r="O95">
        <f ca="1">IF(AND(ISNUMBER($O$512),$B$427=1),$O$512,HLOOKUP(INDIRECT(ADDRESS(2,COLUMN())),OFFSET($AM$2,0,0,ROW()-1,33),ROW()-1,FALSE))</f>
        <v>26806.574000000001</v>
      </c>
      <c r="P95">
        <f ca="1">IF(AND(ISNUMBER($P$512),$B$427=1),$P$512,HLOOKUP(INDIRECT(ADDRESS(2,COLUMN())),OFFSET($AM$2,0,0,ROW()-1,33),ROW()-1,FALSE))</f>
        <v>22170.227999999999</v>
      </c>
      <c r="Q95">
        <f ca="1">IF(AND(ISNUMBER($Q$512),$B$427=1),$Q$512,HLOOKUP(INDIRECT(ADDRESS(2,COLUMN())),OFFSET($AM$2,0,0,ROW()-1,33),ROW()-1,FALSE))</f>
        <v>19171.498</v>
      </c>
      <c r="R95">
        <f ca="1">IF(AND(ISNUMBER($R$512),$B$427=1),$R$512,HLOOKUP(INDIRECT(ADDRESS(2,COLUMN())),OFFSET($AM$2,0,0,ROW()-1,33),ROW()-1,FALSE))</f>
        <v>17976.173999999999</v>
      </c>
      <c r="S95">
        <f ca="1">IF(AND(ISNUMBER($S$512),$B$427=1),$S$512,HLOOKUP(INDIRECT(ADDRESS(2,COLUMN())),OFFSET($AM$2,0,0,ROW()-1,33),ROW()-1,FALSE))</f>
        <v>17269.212</v>
      </c>
      <c r="T95">
        <f ca="1">IF(AND(ISNUMBER($T$512),$B$427=1),$T$512,HLOOKUP(INDIRECT(ADDRESS(2,COLUMN())),OFFSET($AM$2,0,0,ROW()-1,33),ROW()-1,FALSE))</f>
        <v>16030.956</v>
      </c>
      <c r="U95">
        <f ca="1">IF(AND(ISNUMBER($U$512),$B$427=1),$U$512,HLOOKUP(INDIRECT(ADDRESS(2,COLUMN())),OFFSET($AM$2,0,0,ROW()-1,33),ROW()-1,FALSE))</f>
        <v>12551.272999999999</v>
      </c>
      <c r="V95">
        <f ca="1">IF(AND(ISNUMBER($V$512),$B$427=1),$V$512,HLOOKUP(INDIRECT(ADDRESS(2,COLUMN())),OFFSET($AM$2,0,0,ROW()-1,33),ROW()-1,FALSE))</f>
        <v>15633.806</v>
      </c>
      <c r="W95">
        <f ca="1">IF(AND(ISNUMBER($W$512),$B$427=1),$W$512,HLOOKUP(INDIRECT(ADDRESS(2,COLUMN())),OFFSET($AM$2,0,0,ROW()-1,33),ROW()-1,FALSE))</f>
        <v>16430.423999999999</v>
      </c>
      <c r="X95">
        <f ca="1">IF(AND(ISNUMBER($X$512),$B$427=1),$X$512,HLOOKUP(INDIRECT(ADDRESS(2,COLUMN())),OFFSET($AM$2,0,0,ROW()-1,33),ROW()-1,FALSE))</f>
        <v>11447.718999999999</v>
      </c>
      <c r="Y95">
        <f ca="1">IF(AND(ISNUMBER($Y$512),$B$427=1),$Y$512,HLOOKUP(INDIRECT(ADDRESS(2,COLUMN())),OFFSET($AM$2,0,0,ROW()-1,33),ROW()-1,FALSE))</f>
        <v>5636.4110000000001</v>
      </c>
      <c r="Z95">
        <f ca="1">IF(AND(ISNUMBER($Z$512),$B$427=1),$Z$512,HLOOKUP(INDIRECT(ADDRESS(2,COLUMN())),OFFSET($AM$2,0,0,ROW()-1,33),ROW()-1,FALSE))</f>
        <v>2692.8270000000002</v>
      </c>
      <c r="AA95" t="str">
        <f ca="1">IF(AND(ISNUMBER($AA$512),$B$427=1),$AA$512,HLOOKUP(INDIRECT(ADDRESS(2,COLUMN())),OFFSET($AM$2,0,0,ROW()-1,33),ROW()-1,FALSE))</f>
        <v/>
      </c>
      <c r="AB95" t="str">
        <f ca="1">IF(AND(ISNUMBER($AB$512),$B$427=1),$AB$512,HLOOKUP(INDIRECT(ADDRESS(2,COLUMN())),OFFSET($AM$2,0,0,ROW()-1,33),ROW()-1,FALSE))</f>
        <v/>
      </c>
      <c r="AC95" t="str">
        <f ca="1">IF(AND(ISNUMBER($AC$512),$B$427=1),$AC$512,HLOOKUP(INDIRECT(ADDRESS(2,COLUMN())),OFFSET($AM$2,0,0,ROW()-1,33),ROW()-1,FALSE))</f>
        <v/>
      </c>
      <c r="AD95" t="str">
        <f ca="1">IF(AND(ISNUMBER($AD$512),$B$427=1),$AD$512,HLOOKUP(INDIRECT(ADDRESS(2,COLUMN())),OFFSET($AM$2,0,0,ROW()-1,33),ROW()-1,FALSE))</f>
        <v/>
      </c>
      <c r="AE95" t="str">
        <f ca="1">IF(AND(ISNUMBER($AE$512),$B$427=1),$AE$512,HLOOKUP(INDIRECT(ADDRESS(2,COLUMN())),OFFSET($AM$2,0,0,ROW()-1,33),ROW()-1,FALSE))</f>
        <v/>
      </c>
      <c r="AF95" t="str">
        <f ca="1">IF(AND(ISNUMBER($AF$512),$B$427=1),$AF$512,HLOOKUP(INDIRECT(ADDRESS(2,COLUMN())),OFFSET($AM$2,0,0,ROW()-1,33),ROW()-1,FALSE))</f>
        <v/>
      </c>
      <c r="AG95" t="str">
        <f ca="1">IF(AND(ISNUMBER($AG$512),$B$427=1),$AG$512,HLOOKUP(INDIRECT(ADDRESS(2,COLUMN())),OFFSET($AM$2,0,0,ROW()-1,33),ROW()-1,FALSE))</f>
        <v/>
      </c>
      <c r="AH95" t="str">
        <f ca="1">IF(AND(ISNUMBER($AH$512),$B$427=1),$AH$512,HLOOKUP(INDIRECT(ADDRESS(2,COLUMN())),OFFSET($AM$2,0,0,ROW()-1,33),ROW()-1,FALSE))</f>
        <v/>
      </c>
      <c r="AI95" t="str">
        <f ca="1">IF(AND(ISNUMBER($AI$512),$B$427=1),$AI$512,HLOOKUP(INDIRECT(ADDRESS(2,COLUMN())),OFFSET($AM$2,0,0,ROW()-1,33),ROW()-1,FALSE))</f>
        <v/>
      </c>
      <c r="AJ95" t="str">
        <f ca="1">IF(AND(ISNUMBER($AJ$512),$B$427=1),$AJ$512,HLOOKUP(INDIRECT(ADDRESS(2,COLUMN())),OFFSET($AM$2,0,0,ROW()-1,33),ROW()-1,FALSE))</f>
        <v/>
      </c>
      <c r="AK95" t="str">
        <f ca="1">IF(AND(ISNUMBER($AK$512),$B$427=1),$AK$512,HLOOKUP(INDIRECT(ADDRESS(2,COLUMN())),OFFSET($AM$2,0,0,ROW()-1,33),ROW()-1,FALSE))</f>
        <v/>
      </c>
      <c r="AL95" t="str">
        <f ca="1">IF(AND(ISNUMBER($AL$512),$B$427=1),$AL$512,HLOOKUP(INDIRECT(ADDRESS(2,COLUMN())),OFFSET($AM$2,0,0,ROW()-1,33),ROW()-1,FALSE))</f>
        <v/>
      </c>
      <c r="AM95">
        <f>44382.421</f>
        <v>44382.421000000002</v>
      </c>
      <c r="AN95">
        <f>45606.461</f>
        <v>45606.461000000003</v>
      </c>
      <c r="AO95">
        <f>46765.929</f>
        <v>46765.928999999996</v>
      </c>
      <c r="AP95">
        <f>39631.217</f>
        <v>39631.216999999997</v>
      </c>
      <c r="AQ95">
        <f>34550.311</f>
        <v>34550.311000000002</v>
      </c>
      <c r="AR95">
        <f>36833.806</f>
        <v>36833.805999999997</v>
      </c>
      <c r="AS95">
        <f>33425.295</f>
        <v>33425.294999999998</v>
      </c>
      <c r="AT95">
        <f>28971.729</f>
        <v>28971.728999999999</v>
      </c>
      <c r="AU95">
        <f>29320.767</f>
        <v>29320.767</v>
      </c>
      <c r="AV95">
        <f>26806.574</f>
        <v>26806.574000000001</v>
      </c>
      <c r="AW95">
        <f>22170.228</f>
        <v>22170.227999999999</v>
      </c>
      <c r="AX95">
        <f>19171.498</f>
        <v>19171.498</v>
      </c>
      <c r="AY95">
        <f>17976.174</f>
        <v>17976.173999999999</v>
      </c>
      <c r="AZ95">
        <f>17269.212</f>
        <v>17269.212</v>
      </c>
      <c r="BA95">
        <f>16030.956</f>
        <v>16030.956</v>
      </c>
      <c r="BB95">
        <f>12551.273</f>
        <v>12551.272999999999</v>
      </c>
      <c r="BC95">
        <f>15633.806</f>
        <v>15633.806</v>
      </c>
      <c r="BD95">
        <f>16430.424</f>
        <v>16430.423999999999</v>
      </c>
      <c r="BE95">
        <f>11447.719</f>
        <v>11447.718999999999</v>
      </c>
      <c r="BF95">
        <f>5636.411</f>
        <v>5636.4110000000001</v>
      </c>
      <c r="BG95">
        <f>2692.827</f>
        <v>2692.8270000000002</v>
      </c>
      <c r="BH95" t="str">
        <f>""</f>
        <v/>
      </c>
      <c r="BI95" t="str">
        <f>""</f>
        <v/>
      </c>
      <c r="BJ95" t="str">
        <f>""</f>
        <v/>
      </c>
      <c r="BK95" t="str">
        <f>""</f>
        <v/>
      </c>
      <c r="BL95" t="str">
        <f>""</f>
        <v/>
      </c>
      <c r="BM95" t="str">
        <f>""</f>
        <v/>
      </c>
      <c r="BN95" t="str">
        <f>""</f>
        <v/>
      </c>
      <c r="BO95" t="str">
        <f>""</f>
        <v/>
      </c>
      <c r="BP95" t="str">
        <f>""</f>
        <v/>
      </c>
      <c r="BQ95" t="str">
        <f>""</f>
        <v/>
      </c>
      <c r="BR95" t="str">
        <f>""</f>
        <v/>
      </c>
      <c r="BS95" t="str">
        <f>""</f>
        <v/>
      </c>
    </row>
    <row r="96" spans="1:71" x14ac:dyDescent="0.25">
      <c r="A96" t="str">
        <f>"        Comerica Inc"</f>
        <v xml:space="preserve">        Comerica Inc</v>
      </c>
      <c r="B96" t="str">
        <f>"CMA US Equity"</f>
        <v>CMA US Equity</v>
      </c>
      <c r="C96" t="str">
        <f t="shared" si="12"/>
        <v>FR011</v>
      </c>
      <c r="D96" t="str">
        <f t="shared" si="13"/>
        <v>FED_C&amp;I_LOANS_US_ADDRESS</v>
      </c>
      <c r="E96" t="str">
        <f t="shared" si="14"/>
        <v>Dynamic</v>
      </c>
      <c r="F96" t="str">
        <f ca="1">IF(AND(ISNUMBER($F$513),$B$427=1),$F$513,HLOOKUP(INDIRECT(ADDRESS(2,COLUMN())),OFFSET($AM$2,0,0,ROW()-1,33),ROW()-1,FALSE))</f>
        <v/>
      </c>
      <c r="G96">
        <f ca="1">IF(AND(ISNUMBER($G$513),$B$427=1),$G$513,HLOOKUP(INDIRECT(ADDRESS(2,COLUMN())),OFFSET($AM$2,0,0,ROW()-1,33),ROW()-1,FALSE))</f>
        <v>23695</v>
      </c>
      <c r="H96">
        <f ca="1">IF(AND(ISNUMBER($H$513),$B$427=1),$H$513,HLOOKUP(INDIRECT(ADDRESS(2,COLUMN())),OFFSET($AM$2,0,0,ROW()-1,33),ROW()-1,FALSE))</f>
        <v>24471</v>
      </c>
      <c r="I96">
        <f ca="1">IF(AND(ISNUMBER($I$513),$B$427=1),$I$513,HLOOKUP(INDIRECT(ADDRESS(2,COLUMN())),OFFSET($AM$2,0,0,ROW()-1,33),ROW()-1,FALSE))</f>
        <v>21785</v>
      </c>
      <c r="J96">
        <f ca="1">IF(AND(ISNUMBER($J$513),$B$427=1),$J$513,HLOOKUP(INDIRECT(ADDRESS(2,COLUMN())),OFFSET($AM$2,0,0,ROW()-1,33),ROW()-1,FALSE))</f>
        <v>24402</v>
      </c>
      <c r="K96">
        <f ca="1">IF(AND(ISNUMBER($K$513),$B$427=1),$K$513,HLOOKUP(INDIRECT(ADDRESS(2,COLUMN())),OFFSET($AM$2,0,0,ROW()-1,33),ROW()-1,FALSE))</f>
        <v>24893</v>
      </c>
      <c r="L96">
        <f ca="1">IF(AND(ISNUMBER($L$513),$B$427=1),$L$513,HLOOKUP(INDIRECT(ADDRESS(2,COLUMN())),OFFSET($AM$2,0,0,ROW()-1,33),ROW()-1,FALSE))</f>
        <v>25984.683000000001</v>
      </c>
      <c r="M96">
        <f ca="1">IF(AND(ISNUMBER($M$513),$B$427=1),$M$513,HLOOKUP(INDIRECT(ADDRESS(2,COLUMN())),OFFSET($AM$2,0,0,ROW()-1,33),ROW()-1,FALSE))</f>
        <v>25904.143</v>
      </c>
      <c r="N96">
        <f ca="1">IF(AND(ISNUMBER($N$513),$B$427=1),$N$513,HLOOKUP(INDIRECT(ADDRESS(2,COLUMN())),OFFSET($AM$2,0,0,ROW()-1,33),ROW()-1,FALSE))</f>
        <v>25315.249</v>
      </c>
      <c r="O96">
        <f ca="1">IF(AND(ISNUMBER($O$513),$B$427=1),$O$513,HLOOKUP(INDIRECT(ADDRESS(2,COLUMN())),OFFSET($AM$2,0,0,ROW()-1,33),ROW()-1,FALSE))</f>
        <v>26003.333999999999</v>
      </c>
      <c r="P96">
        <f ca="1">IF(AND(ISNUMBER($P$513),$B$427=1),$P$513,HLOOKUP(INDIRECT(ADDRESS(2,COLUMN())),OFFSET($AM$2,0,0,ROW()-1,33),ROW()-1,FALSE))</f>
        <v>27096.754000000001</v>
      </c>
      <c r="Q96">
        <f ca="1">IF(AND(ISNUMBER($Q$513),$B$427=1),$Q$513,HLOOKUP(INDIRECT(ADDRESS(2,COLUMN())),OFFSET($AM$2,0,0,ROW()-1,33),ROW()-1,FALSE))</f>
        <v>25171.499</v>
      </c>
      <c r="R96">
        <f ca="1">IF(AND(ISNUMBER($R$513),$B$427=1),$R$513,HLOOKUP(INDIRECT(ADDRESS(2,COLUMN())),OFFSET($AM$2,0,0,ROW()-1,33),ROW()-1,FALSE))</f>
        <v>24717.940999999999</v>
      </c>
      <c r="S96">
        <f ca="1">IF(AND(ISNUMBER($S$513),$B$427=1),$S$513,HLOOKUP(INDIRECT(ADDRESS(2,COLUMN())),OFFSET($AM$2,0,0,ROW()-1,33),ROW()-1,FALSE))</f>
        <v>22244.768</v>
      </c>
      <c r="T96">
        <f ca="1">IF(AND(ISNUMBER($T$513),$B$427=1),$T$513,HLOOKUP(INDIRECT(ADDRESS(2,COLUMN())),OFFSET($AM$2,0,0,ROW()-1,33),ROW()-1,FALSE))</f>
        <v>20174.775000000001</v>
      </c>
      <c r="U96">
        <f ca="1">IF(AND(ISNUMBER($U$513),$B$427=1),$U$513,HLOOKUP(INDIRECT(ADDRESS(2,COLUMN())),OFFSET($AM$2,0,0,ROW()-1,33),ROW()-1,FALSE))</f>
        <v>19454.466</v>
      </c>
      <c r="V96">
        <f ca="1">IF(AND(ISNUMBER($V$513),$B$427=1),$V$513,HLOOKUP(INDIRECT(ADDRESS(2,COLUMN())),OFFSET($AM$2,0,0,ROW()-1,33),ROW()-1,FALSE))</f>
        <v>22954.455000000002</v>
      </c>
      <c r="W96">
        <f ca="1">IF(AND(ISNUMBER($W$513),$B$427=1),$W$513,HLOOKUP(INDIRECT(ADDRESS(2,COLUMN())),OFFSET($AM$2,0,0,ROW()-1,33),ROW()-1,FALSE))</f>
        <v>23241.85</v>
      </c>
      <c r="X96">
        <f ca="1">IF(AND(ISNUMBER($X$513),$B$427=1),$X$513,HLOOKUP(INDIRECT(ADDRESS(2,COLUMN())),OFFSET($AM$2,0,0,ROW()-1,33),ROW()-1,FALSE))</f>
        <v>21783.366000000002</v>
      </c>
      <c r="Y96">
        <f ca="1">IF(AND(ISNUMBER($Y$513),$B$427=1),$Y$513,HLOOKUP(INDIRECT(ADDRESS(2,COLUMN())),OFFSET($AM$2,0,0,ROW()-1,33),ROW()-1,FALSE))</f>
        <v>19205.512999999999</v>
      </c>
      <c r="Z96">
        <f ca="1">IF(AND(ISNUMBER($Z$513),$B$427=1),$Z$513,HLOOKUP(INDIRECT(ADDRESS(2,COLUMN())),OFFSET($AM$2,0,0,ROW()-1,33),ROW()-1,FALSE))</f>
        <v>19992.382000000001</v>
      </c>
      <c r="AA96">
        <f ca="1">IF(AND(ISNUMBER($AA$513),$B$427=1),$AA$513,HLOOKUP(INDIRECT(ADDRESS(2,COLUMN())),OFFSET($AM$2,0,0,ROW()-1,33),ROW()-1,FALSE))</f>
        <v>20261.708999999999</v>
      </c>
      <c r="AB96">
        <f ca="1">IF(AND(ISNUMBER($AB$513),$B$427=1),$AB$513,HLOOKUP(INDIRECT(ADDRESS(2,COLUMN())),OFFSET($AM$2,0,0,ROW()-1,33),ROW()-1,FALSE))</f>
        <v>21938.214</v>
      </c>
      <c r="AC96">
        <f ca="1">IF(AND(ISNUMBER($AC$513),$B$427=1),$AC$513,HLOOKUP(INDIRECT(ADDRESS(2,COLUMN())),OFFSET($AM$2,0,0,ROW()-1,33),ROW()-1,FALSE))</f>
        <v>22098.384999999998</v>
      </c>
      <c r="AD96" t="str">
        <f ca="1">IF(AND(ISNUMBER($AD$513),$B$427=1),$AD$513,HLOOKUP(INDIRECT(ADDRESS(2,COLUMN())),OFFSET($AM$2,0,0,ROW()-1,33),ROW()-1,FALSE))</f>
        <v/>
      </c>
      <c r="AE96" t="str">
        <f ca="1">IF(AND(ISNUMBER($AE$513),$B$427=1),$AE$513,HLOOKUP(INDIRECT(ADDRESS(2,COLUMN())),OFFSET($AM$2,0,0,ROW()-1,33),ROW()-1,FALSE))</f>
        <v/>
      </c>
      <c r="AF96" t="str">
        <f ca="1">IF(AND(ISNUMBER($AF$513),$B$427=1),$AF$513,HLOOKUP(INDIRECT(ADDRESS(2,COLUMN())),OFFSET($AM$2,0,0,ROW()-1,33),ROW()-1,FALSE))</f>
        <v/>
      </c>
      <c r="AG96" t="str">
        <f ca="1">IF(AND(ISNUMBER($AG$513),$B$427=1),$AG$513,HLOOKUP(INDIRECT(ADDRESS(2,COLUMN())),OFFSET($AM$2,0,0,ROW()-1,33),ROW()-1,FALSE))</f>
        <v/>
      </c>
      <c r="AH96" t="str">
        <f ca="1">IF(AND(ISNUMBER($AH$513),$B$427=1),$AH$513,HLOOKUP(INDIRECT(ADDRESS(2,COLUMN())),OFFSET($AM$2,0,0,ROW()-1,33),ROW()-1,FALSE))</f>
        <v/>
      </c>
      <c r="AI96" t="str">
        <f ca="1">IF(AND(ISNUMBER($AI$513),$B$427=1),$AI$513,HLOOKUP(INDIRECT(ADDRESS(2,COLUMN())),OFFSET($AM$2,0,0,ROW()-1,33),ROW()-1,FALSE))</f>
        <v/>
      </c>
      <c r="AJ96" t="str">
        <f ca="1">IF(AND(ISNUMBER($AJ$513),$B$427=1),$AJ$513,HLOOKUP(INDIRECT(ADDRESS(2,COLUMN())),OFFSET($AM$2,0,0,ROW()-1,33),ROW()-1,FALSE))</f>
        <v/>
      </c>
      <c r="AK96" t="str">
        <f ca="1">IF(AND(ISNUMBER($AK$513),$B$427=1),$AK$513,HLOOKUP(INDIRECT(ADDRESS(2,COLUMN())),OFFSET($AM$2,0,0,ROW()-1,33),ROW()-1,FALSE))</f>
        <v/>
      </c>
      <c r="AL96" t="str">
        <f ca="1">IF(AND(ISNUMBER($AL$513),$B$427=1),$AL$513,HLOOKUP(INDIRECT(ADDRESS(2,COLUMN())),OFFSET($AM$2,0,0,ROW()-1,33),ROW()-1,FALSE))</f>
        <v/>
      </c>
      <c r="AM96" t="str">
        <f>""</f>
        <v/>
      </c>
      <c r="AN96">
        <f>23695</f>
        <v>23695</v>
      </c>
      <c r="AO96">
        <f>24471</f>
        <v>24471</v>
      </c>
      <c r="AP96">
        <f>21785</f>
        <v>21785</v>
      </c>
      <c r="AQ96">
        <f>24402</f>
        <v>24402</v>
      </c>
      <c r="AR96">
        <f>24893</f>
        <v>24893</v>
      </c>
      <c r="AS96">
        <f>25984.683</f>
        <v>25984.683000000001</v>
      </c>
      <c r="AT96">
        <f>25904.143</f>
        <v>25904.143</v>
      </c>
      <c r="AU96">
        <f>25315.249</f>
        <v>25315.249</v>
      </c>
      <c r="AV96">
        <f>26003.334</f>
        <v>26003.333999999999</v>
      </c>
      <c r="AW96">
        <f>27096.754</f>
        <v>27096.754000000001</v>
      </c>
      <c r="AX96">
        <f>25171.499</f>
        <v>25171.499</v>
      </c>
      <c r="AY96">
        <f>24717.941</f>
        <v>24717.940999999999</v>
      </c>
      <c r="AZ96">
        <f>22244.768</f>
        <v>22244.768</v>
      </c>
      <c r="BA96">
        <f>20174.775</f>
        <v>20174.775000000001</v>
      </c>
      <c r="BB96">
        <f>19454.466</f>
        <v>19454.466</v>
      </c>
      <c r="BC96">
        <f>22954.455</f>
        <v>22954.455000000002</v>
      </c>
      <c r="BD96">
        <f>23241.85</f>
        <v>23241.85</v>
      </c>
      <c r="BE96">
        <f>21783.366</f>
        <v>21783.366000000002</v>
      </c>
      <c r="BF96">
        <f>19205.513</f>
        <v>19205.512999999999</v>
      </c>
      <c r="BG96">
        <f>19992.382</f>
        <v>19992.382000000001</v>
      </c>
      <c r="BH96">
        <f>20261.709</f>
        <v>20261.708999999999</v>
      </c>
      <c r="BI96">
        <f>21938.214</f>
        <v>21938.214</v>
      </c>
      <c r="BJ96">
        <f>22098.385</f>
        <v>22098.384999999998</v>
      </c>
      <c r="BK96" t="str">
        <f>""</f>
        <v/>
      </c>
      <c r="BL96" t="str">
        <f>""</f>
        <v/>
      </c>
      <c r="BM96" t="str">
        <f>""</f>
        <v/>
      </c>
      <c r="BN96" t="str">
        <f>""</f>
        <v/>
      </c>
      <c r="BO96" t="str">
        <f>""</f>
        <v/>
      </c>
      <c r="BP96" t="str">
        <f>""</f>
        <v/>
      </c>
      <c r="BQ96" t="str">
        <f>""</f>
        <v/>
      </c>
      <c r="BR96" t="str">
        <f>""</f>
        <v/>
      </c>
      <c r="BS96" t="str">
        <f>""</f>
        <v/>
      </c>
    </row>
    <row r="97" spans="1:71" x14ac:dyDescent="0.25">
      <c r="A97" t="str">
        <f>"        East West Bancorp Inc"</f>
        <v xml:space="preserve">        East West Bancorp Inc</v>
      </c>
      <c r="B97" t="str">
        <f>"EWBC US Equity"</f>
        <v>EWBC US Equity</v>
      </c>
      <c r="C97" t="str">
        <f t="shared" si="12"/>
        <v>FR011</v>
      </c>
      <c r="D97" t="str">
        <f t="shared" si="13"/>
        <v>FED_C&amp;I_LOANS_US_ADDRESS</v>
      </c>
      <c r="E97" t="str">
        <f t="shared" si="14"/>
        <v>Dynamic</v>
      </c>
      <c r="F97" t="str">
        <f ca="1">IF(AND(ISNUMBER($F$514),$B$427=1),$F$514,HLOOKUP(INDIRECT(ADDRESS(2,COLUMN())),OFFSET($AM$2,0,0,ROW()-1,33),ROW()-1,FALSE))</f>
        <v/>
      </c>
      <c r="G97">
        <f ca="1">IF(AND(ISNUMBER($G$514),$B$427=1),$G$514,HLOOKUP(INDIRECT(ADDRESS(2,COLUMN())),OFFSET($AM$2,0,0,ROW()-1,33),ROW()-1,FALSE))</f>
        <v>8127.6509999999998</v>
      </c>
      <c r="H97">
        <f ca="1">IF(AND(ISNUMBER($H$514),$B$427=1),$H$514,HLOOKUP(INDIRECT(ADDRESS(2,COLUMN())),OFFSET($AM$2,0,0,ROW()-1,33),ROW()-1,FALSE))</f>
        <v>8008.2560000000003</v>
      </c>
      <c r="I97">
        <f ca="1">IF(AND(ISNUMBER($I$514),$B$427=1),$I$514,HLOOKUP(INDIRECT(ADDRESS(2,COLUMN())),OFFSET($AM$2,0,0,ROW()-1,33),ROW()-1,FALSE))</f>
        <v>7764.509</v>
      </c>
      <c r="J97">
        <f ca="1">IF(AND(ISNUMBER($J$514),$B$427=1),$J$514,HLOOKUP(INDIRECT(ADDRESS(2,COLUMN())),OFFSET($AM$2,0,0,ROW()-1,33),ROW()-1,FALSE))</f>
        <v>8717.0249999999996</v>
      </c>
      <c r="K97">
        <f ca="1">IF(AND(ISNUMBER($K$514),$B$427=1),$K$514,HLOOKUP(INDIRECT(ADDRESS(2,COLUMN())),OFFSET($AM$2,0,0,ROW()-1,33),ROW()-1,FALSE))</f>
        <v>8337.7880000000005</v>
      </c>
      <c r="L97">
        <f ca="1">IF(AND(ISNUMBER($L$514),$B$427=1),$L$514,HLOOKUP(INDIRECT(ADDRESS(2,COLUMN())),OFFSET($AM$2,0,0,ROW()-1,33),ROW()-1,FALSE))</f>
        <v>8170.8370000000004</v>
      </c>
      <c r="M97">
        <f ca="1">IF(AND(ISNUMBER($M$514),$B$427=1),$M$514,HLOOKUP(INDIRECT(ADDRESS(2,COLUMN())),OFFSET($AM$2,0,0,ROW()-1,33),ROW()-1,FALSE))</f>
        <v>7611.0829999999996</v>
      </c>
      <c r="N97">
        <f ca="1">IF(AND(ISNUMBER($N$514),$B$427=1),$N$514,HLOOKUP(INDIRECT(ADDRESS(2,COLUMN())),OFFSET($AM$2,0,0,ROW()-1,33),ROW()-1,FALSE))</f>
        <v>6710.85</v>
      </c>
      <c r="O97">
        <f ca="1">IF(AND(ISNUMBER($O$514),$B$427=1),$O$514,HLOOKUP(INDIRECT(ADDRESS(2,COLUMN())),OFFSET($AM$2,0,0,ROW()-1,33),ROW()-1,FALSE))</f>
        <v>6467.4769999999999</v>
      </c>
      <c r="P97">
        <f ca="1">IF(AND(ISNUMBER($P$514),$B$427=1),$P$514,HLOOKUP(INDIRECT(ADDRESS(2,COLUMN())),OFFSET($AM$2,0,0,ROW()-1,33),ROW()-1,FALSE))</f>
        <v>6431.9530000000004</v>
      </c>
      <c r="Q97">
        <f ca="1">IF(AND(ISNUMBER($Q$514),$B$427=1),$Q$514,HLOOKUP(INDIRECT(ADDRESS(2,COLUMN())),OFFSET($AM$2,0,0,ROW()-1,33),ROW()-1,FALSE))</f>
        <v>5128.5519999999997</v>
      </c>
      <c r="R97">
        <f ca="1">IF(AND(ISNUMBER($R$514),$B$427=1),$R$514,HLOOKUP(INDIRECT(ADDRESS(2,COLUMN())),OFFSET($AM$2,0,0,ROW()-1,33),ROW()-1,FALSE))</f>
        <v>4438.8370000000004</v>
      </c>
      <c r="S97">
        <f ca="1">IF(AND(ISNUMBER($S$514),$B$427=1),$S$514,HLOOKUP(INDIRECT(ADDRESS(2,COLUMN())),OFFSET($AM$2,0,0,ROW()-1,33),ROW()-1,FALSE))</f>
        <v>3326.7579999999998</v>
      </c>
      <c r="T97">
        <f ca="1">IF(AND(ISNUMBER($T$514),$B$427=1),$T$514,HLOOKUP(INDIRECT(ADDRESS(2,COLUMN())),OFFSET($AM$2,0,0,ROW()-1,33),ROW()-1,FALSE))</f>
        <v>2597.9380000000001</v>
      </c>
      <c r="U97">
        <f ca="1">IF(AND(ISNUMBER($U$514),$B$427=1),$U$514,HLOOKUP(INDIRECT(ADDRESS(2,COLUMN())),OFFSET($AM$2,0,0,ROW()-1,33),ROW()-1,FALSE))</f>
        <v>2103.2280000000001</v>
      </c>
      <c r="V97">
        <f ca="1">IF(AND(ISNUMBER($V$514),$B$427=1),$V$514,HLOOKUP(INDIRECT(ADDRESS(2,COLUMN())),OFFSET($AM$2,0,0,ROW()-1,33),ROW()-1,FALSE))</f>
        <v>1490.895</v>
      </c>
      <c r="W97">
        <f ca="1">IF(AND(ISNUMBER($W$514),$B$427=1),$W$514,HLOOKUP(INDIRECT(ADDRESS(2,COLUMN())),OFFSET($AM$2,0,0,ROW()-1,33),ROW()-1,FALSE))</f>
        <v>1751.7940000000001</v>
      </c>
      <c r="X97">
        <f ca="1">IF(AND(ISNUMBER($X$514),$B$427=1),$X$514,HLOOKUP(INDIRECT(ADDRESS(2,COLUMN())),OFFSET($AM$2,0,0,ROW()-1,33),ROW()-1,FALSE))</f>
        <v>1232.1969999999999</v>
      </c>
      <c r="Y97">
        <f ca="1">IF(AND(ISNUMBER($Y$514),$B$427=1),$Y$514,HLOOKUP(INDIRECT(ADDRESS(2,COLUMN())),OFFSET($AM$2,0,0,ROW()-1,33),ROW()-1,FALSE))</f>
        <v>869.10400000000004</v>
      </c>
      <c r="Z97">
        <f ca="1">IF(AND(ISNUMBER($Z$514),$B$427=1),$Z$514,HLOOKUP(INDIRECT(ADDRESS(2,COLUMN())),OFFSET($AM$2,0,0,ROW()-1,33),ROW()-1,FALSE))</f>
        <v>588.38599999999997</v>
      </c>
      <c r="AA97">
        <f ca="1">IF(AND(ISNUMBER($AA$514),$B$427=1),$AA$514,HLOOKUP(INDIRECT(ADDRESS(2,COLUMN())),OFFSET($AM$2,0,0,ROW()-1,33),ROW()-1,FALSE))</f>
        <v>424.46499999999997</v>
      </c>
      <c r="AB97">
        <f ca="1">IF(AND(ISNUMBER($AB$514),$B$427=1),$AB$514,HLOOKUP(INDIRECT(ADDRESS(2,COLUMN())),OFFSET($AM$2,0,0,ROW()-1,33),ROW()-1,FALSE))</f>
        <v>328.209</v>
      </c>
      <c r="AC97">
        <f ca="1">IF(AND(ISNUMBER($AC$514),$B$427=1),$AC$514,HLOOKUP(INDIRECT(ADDRESS(2,COLUMN())),OFFSET($AM$2,0,0,ROW()-1,33),ROW()-1,FALSE))</f>
        <v>355.08699999999999</v>
      </c>
      <c r="AD97" t="str">
        <f ca="1">IF(AND(ISNUMBER($AD$514),$B$427=1),$AD$514,HLOOKUP(INDIRECT(ADDRESS(2,COLUMN())),OFFSET($AM$2,0,0,ROW()-1,33),ROW()-1,FALSE))</f>
        <v/>
      </c>
      <c r="AE97" t="str">
        <f ca="1">IF(AND(ISNUMBER($AE$514),$B$427=1),$AE$514,HLOOKUP(INDIRECT(ADDRESS(2,COLUMN())),OFFSET($AM$2,0,0,ROW()-1,33),ROW()-1,FALSE))</f>
        <v/>
      </c>
      <c r="AF97" t="str">
        <f ca="1">IF(AND(ISNUMBER($AF$514),$B$427=1),$AF$514,HLOOKUP(INDIRECT(ADDRESS(2,COLUMN())),OFFSET($AM$2,0,0,ROW()-1,33),ROW()-1,FALSE))</f>
        <v/>
      </c>
      <c r="AG97" t="str">
        <f ca="1">IF(AND(ISNUMBER($AG$514),$B$427=1),$AG$514,HLOOKUP(INDIRECT(ADDRESS(2,COLUMN())),OFFSET($AM$2,0,0,ROW()-1,33),ROW()-1,FALSE))</f>
        <v/>
      </c>
      <c r="AH97" t="str">
        <f ca="1">IF(AND(ISNUMBER($AH$514),$B$427=1),$AH$514,HLOOKUP(INDIRECT(ADDRESS(2,COLUMN())),OFFSET($AM$2,0,0,ROW()-1,33),ROW()-1,FALSE))</f>
        <v/>
      </c>
      <c r="AI97" t="str">
        <f ca="1">IF(AND(ISNUMBER($AI$514),$B$427=1),$AI$514,HLOOKUP(INDIRECT(ADDRESS(2,COLUMN())),OFFSET($AM$2,0,0,ROW()-1,33),ROW()-1,FALSE))</f>
        <v/>
      </c>
      <c r="AJ97" t="str">
        <f ca="1">IF(AND(ISNUMBER($AJ$514),$B$427=1),$AJ$514,HLOOKUP(INDIRECT(ADDRESS(2,COLUMN())),OFFSET($AM$2,0,0,ROW()-1,33),ROW()-1,FALSE))</f>
        <v/>
      </c>
      <c r="AK97" t="str">
        <f ca="1">IF(AND(ISNUMBER($AK$514),$B$427=1),$AK$514,HLOOKUP(INDIRECT(ADDRESS(2,COLUMN())),OFFSET($AM$2,0,0,ROW()-1,33),ROW()-1,FALSE))</f>
        <v/>
      </c>
      <c r="AL97" t="str">
        <f ca="1">IF(AND(ISNUMBER($AL$514),$B$427=1),$AL$514,HLOOKUP(INDIRECT(ADDRESS(2,COLUMN())),OFFSET($AM$2,0,0,ROW()-1,33),ROW()-1,FALSE))</f>
        <v/>
      </c>
      <c r="AM97" t="str">
        <f>""</f>
        <v/>
      </c>
      <c r="AN97">
        <f>8127.651</f>
        <v>8127.6509999999998</v>
      </c>
      <c r="AO97">
        <f>8008.256</f>
        <v>8008.2560000000003</v>
      </c>
      <c r="AP97">
        <f>7764.509</f>
        <v>7764.509</v>
      </c>
      <c r="AQ97">
        <f>8717.025</f>
        <v>8717.0249999999996</v>
      </c>
      <c r="AR97">
        <f>8337.788</f>
        <v>8337.7880000000005</v>
      </c>
      <c r="AS97">
        <f>8170.837</f>
        <v>8170.8370000000004</v>
      </c>
      <c r="AT97">
        <f>7611.083</f>
        <v>7611.0829999999996</v>
      </c>
      <c r="AU97">
        <f>6710.85</f>
        <v>6710.85</v>
      </c>
      <c r="AV97">
        <f>6467.477</f>
        <v>6467.4769999999999</v>
      </c>
      <c r="AW97">
        <f>6431.953</f>
        <v>6431.9530000000004</v>
      </c>
      <c r="AX97">
        <f>5128.552</f>
        <v>5128.5519999999997</v>
      </c>
      <c r="AY97">
        <f>4438.837</f>
        <v>4438.8370000000004</v>
      </c>
      <c r="AZ97">
        <f>3326.758</f>
        <v>3326.7579999999998</v>
      </c>
      <c r="BA97">
        <f>2597.938</f>
        <v>2597.9380000000001</v>
      </c>
      <c r="BB97">
        <f>2103.228</f>
        <v>2103.2280000000001</v>
      </c>
      <c r="BC97">
        <f>1490.895</f>
        <v>1490.895</v>
      </c>
      <c r="BD97">
        <f>1751.794</f>
        <v>1751.7940000000001</v>
      </c>
      <c r="BE97">
        <f>1232.197</f>
        <v>1232.1969999999999</v>
      </c>
      <c r="BF97">
        <f>869.104</f>
        <v>869.10400000000004</v>
      </c>
      <c r="BG97">
        <f>588.386</f>
        <v>588.38599999999997</v>
      </c>
      <c r="BH97">
        <f>424.465</f>
        <v>424.46499999999997</v>
      </c>
      <c r="BI97">
        <f>328.209</f>
        <v>328.209</v>
      </c>
      <c r="BJ97">
        <f>355.087</f>
        <v>355.08699999999999</v>
      </c>
      <c r="BK97" t="str">
        <f>""</f>
        <v/>
      </c>
      <c r="BL97" t="str">
        <f>""</f>
        <v/>
      </c>
      <c r="BM97" t="str">
        <f>""</f>
        <v/>
      </c>
      <c r="BN97" t="str">
        <f>""</f>
        <v/>
      </c>
      <c r="BO97" t="str">
        <f>""</f>
        <v/>
      </c>
      <c r="BP97" t="str">
        <f>""</f>
        <v/>
      </c>
      <c r="BQ97" t="str">
        <f>""</f>
        <v/>
      </c>
      <c r="BR97" t="str">
        <f>""</f>
        <v/>
      </c>
      <c r="BS97" t="str">
        <f>""</f>
        <v/>
      </c>
    </row>
    <row r="98" spans="1:71" x14ac:dyDescent="0.25">
      <c r="A98" t="str">
        <f>"        Fifth Third Bancorp"</f>
        <v xml:space="preserve">        Fifth Third Bancorp</v>
      </c>
      <c r="B98" t="str">
        <f>"FITB US Equity"</f>
        <v>FITB US Equity</v>
      </c>
      <c r="C98" t="str">
        <f t="shared" si="12"/>
        <v>FR011</v>
      </c>
      <c r="D98" t="str">
        <f t="shared" si="13"/>
        <v>FED_C&amp;I_LOANS_US_ADDRESS</v>
      </c>
      <c r="E98" t="str">
        <f t="shared" si="14"/>
        <v>Dynamic</v>
      </c>
      <c r="F98">
        <f ca="1">IF(AND(ISNUMBER($F$515),$B$427=1),$F$515,HLOOKUP(INDIRECT(ADDRESS(2,COLUMN())),OFFSET($AM$2,0,0,ROW()-1,33),ROW()-1,FALSE))</f>
        <v>41172</v>
      </c>
      <c r="G98">
        <f ca="1">IF(AND(ISNUMBER($G$515),$B$427=1),$G$515,HLOOKUP(INDIRECT(ADDRESS(2,COLUMN())),OFFSET($AM$2,0,0,ROW()-1,33),ROW()-1,FALSE))</f>
        <v>41876</v>
      </c>
      <c r="H98">
        <f ca="1">IF(AND(ISNUMBER($H$515),$B$427=1),$H$515,HLOOKUP(INDIRECT(ADDRESS(2,COLUMN())),OFFSET($AM$2,0,0,ROW()-1,33),ROW()-1,FALSE))</f>
        <v>46011.267</v>
      </c>
      <c r="I98">
        <f ca="1">IF(AND(ISNUMBER($I$515),$B$427=1),$I$515,HLOOKUP(INDIRECT(ADDRESS(2,COLUMN())),OFFSET($AM$2,0,0,ROW()-1,33),ROW()-1,FALSE))</f>
        <v>40762.673000000003</v>
      </c>
      <c r="J98">
        <f ca="1">IF(AND(ISNUMBER($J$515),$B$427=1),$J$515,HLOOKUP(INDIRECT(ADDRESS(2,COLUMN())),OFFSET($AM$2,0,0,ROW()-1,33),ROW()-1,FALSE))</f>
        <v>42222.947999999997</v>
      </c>
      <c r="K98">
        <f ca="1">IF(AND(ISNUMBER($K$515),$B$427=1),$K$515,HLOOKUP(INDIRECT(ADDRESS(2,COLUMN())),OFFSET($AM$2,0,0,ROW()-1,33),ROW()-1,FALSE))</f>
        <v>42969.771000000001</v>
      </c>
      <c r="L98">
        <f ca="1">IF(AND(ISNUMBER($L$515),$B$427=1),$L$515,HLOOKUP(INDIRECT(ADDRESS(2,COLUMN())),OFFSET($AM$2,0,0,ROW()-1,33),ROW()-1,FALSE))</f>
        <v>36195.118000000002</v>
      </c>
      <c r="M98">
        <f ca="1">IF(AND(ISNUMBER($M$515),$B$427=1),$M$515,HLOOKUP(INDIRECT(ADDRESS(2,COLUMN())),OFFSET($AM$2,0,0,ROW()-1,33),ROW()-1,FALSE))</f>
        <v>34053.671999999999</v>
      </c>
      <c r="N98">
        <f ca="1">IF(AND(ISNUMBER($N$515),$B$427=1),$N$515,HLOOKUP(INDIRECT(ADDRESS(2,COLUMN())),OFFSET($AM$2,0,0,ROW()-1,33),ROW()-1,FALSE))</f>
        <v>34275.152999999998</v>
      </c>
      <c r="O98">
        <f ca="1">IF(AND(ISNUMBER($O$515),$B$427=1),$O$515,HLOOKUP(INDIRECT(ADDRESS(2,COLUMN())),OFFSET($AM$2,0,0,ROW()-1,33),ROW()-1,FALSE))</f>
        <v>34329.864999999998</v>
      </c>
      <c r="P98">
        <f ca="1">IF(AND(ISNUMBER($P$515),$B$427=1),$P$515,HLOOKUP(INDIRECT(ADDRESS(2,COLUMN())),OFFSET($AM$2,0,0,ROW()-1,33),ROW()-1,FALSE))</f>
        <v>32622.453000000001</v>
      </c>
      <c r="Q98">
        <f ca="1">IF(AND(ISNUMBER($Q$515),$B$427=1),$Q$515,HLOOKUP(INDIRECT(ADDRESS(2,COLUMN())),OFFSET($AM$2,0,0,ROW()-1,33),ROW()-1,FALSE))</f>
        <v>32129.559000000001</v>
      </c>
      <c r="R98">
        <f ca="1">IF(AND(ISNUMBER($R$515),$B$427=1),$R$515,HLOOKUP(INDIRECT(ADDRESS(2,COLUMN())),OFFSET($AM$2,0,0,ROW()-1,33),ROW()-1,FALSE))</f>
        <v>30177.59</v>
      </c>
      <c r="S98">
        <f ca="1">IF(AND(ISNUMBER($S$515),$B$427=1),$S$515,HLOOKUP(INDIRECT(ADDRESS(2,COLUMN())),OFFSET($AM$2,0,0,ROW()-1,33),ROW()-1,FALSE))</f>
        <v>24878.082999999999</v>
      </c>
      <c r="T98">
        <f ca="1">IF(AND(ISNUMBER($T$515),$B$427=1),$T$515,HLOOKUP(INDIRECT(ADDRESS(2,COLUMN())),OFFSET($AM$2,0,0,ROW()-1,33),ROW()-1,FALSE))</f>
        <v>21742.472000000002</v>
      </c>
      <c r="U98">
        <f ca="1">IF(AND(ISNUMBER($U$515),$B$427=1),$U$515,HLOOKUP(INDIRECT(ADDRESS(2,COLUMN())),OFFSET($AM$2,0,0,ROW()-1,33),ROW()-1,FALSE))</f>
        <v>21562.482</v>
      </c>
      <c r="V98">
        <f ca="1">IF(AND(ISNUMBER($V$515),$B$427=1),$V$515,HLOOKUP(INDIRECT(ADDRESS(2,COLUMN())),OFFSET($AM$2,0,0,ROW()-1,33),ROW()-1,FALSE))</f>
        <v>24547.674999999999</v>
      </c>
      <c r="W98">
        <f ca="1">IF(AND(ISNUMBER($W$515),$B$427=1),$W$515,HLOOKUP(INDIRECT(ADDRESS(2,COLUMN())),OFFSET($AM$2,0,0,ROW()-1,33),ROW()-1,FALSE))</f>
        <v>21432.001</v>
      </c>
      <c r="X98">
        <f ca="1">IF(AND(ISNUMBER($X$515),$B$427=1),$X$515,HLOOKUP(INDIRECT(ADDRESS(2,COLUMN())),OFFSET($AM$2,0,0,ROW()-1,33),ROW()-1,FALSE))</f>
        <v>16020.589</v>
      </c>
      <c r="Y98">
        <f ca="1">IF(AND(ISNUMBER($Y$515),$B$427=1),$Y$515,HLOOKUP(INDIRECT(ADDRESS(2,COLUMN())),OFFSET($AM$2,0,0,ROW()-1,33),ROW()-1,FALSE))</f>
        <v>20776.422999999999</v>
      </c>
      <c r="Z98">
        <f ca="1">IF(AND(ISNUMBER($Z$515),$B$427=1),$Z$515,HLOOKUP(INDIRECT(ADDRESS(2,COLUMN())),OFFSET($AM$2,0,0,ROW()-1,33),ROW()-1,FALSE))</f>
        <v>16644.635999999999</v>
      </c>
      <c r="AA98">
        <f ca="1">IF(AND(ISNUMBER($AA$515),$B$427=1),$AA$515,HLOOKUP(INDIRECT(ADDRESS(2,COLUMN())),OFFSET($AM$2,0,0,ROW()-1,33),ROW()-1,FALSE))</f>
        <v>13324.904</v>
      </c>
      <c r="AB98">
        <f ca="1">IF(AND(ISNUMBER($AB$515),$B$427=1),$AB$515,HLOOKUP(INDIRECT(ADDRESS(2,COLUMN())),OFFSET($AM$2,0,0,ROW()-1,33),ROW()-1,FALSE))</f>
        <v>11277.380999999999</v>
      </c>
      <c r="AC98">
        <f ca="1">IF(AND(ISNUMBER($AC$515),$B$427=1),$AC$515,HLOOKUP(INDIRECT(ADDRESS(2,COLUMN())),OFFSET($AM$2,0,0,ROW()-1,33),ROW()-1,FALSE))</f>
        <v>9294.0020000000004</v>
      </c>
      <c r="AD98" t="str">
        <f ca="1">IF(AND(ISNUMBER($AD$515),$B$427=1),$AD$515,HLOOKUP(INDIRECT(ADDRESS(2,COLUMN())),OFFSET($AM$2,0,0,ROW()-1,33),ROW()-1,FALSE))</f>
        <v/>
      </c>
      <c r="AE98" t="str">
        <f ca="1">IF(AND(ISNUMBER($AE$515),$B$427=1),$AE$515,HLOOKUP(INDIRECT(ADDRESS(2,COLUMN())),OFFSET($AM$2,0,0,ROW()-1,33),ROW()-1,FALSE))</f>
        <v/>
      </c>
      <c r="AF98" t="str">
        <f ca="1">IF(AND(ISNUMBER($AF$515),$B$427=1),$AF$515,HLOOKUP(INDIRECT(ADDRESS(2,COLUMN())),OFFSET($AM$2,0,0,ROW()-1,33),ROW()-1,FALSE))</f>
        <v/>
      </c>
      <c r="AG98" t="str">
        <f ca="1">IF(AND(ISNUMBER($AG$515),$B$427=1),$AG$515,HLOOKUP(INDIRECT(ADDRESS(2,COLUMN())),OFFSET($AM$2,0,0,ROW()-1,33),ROW()-1,FALSE))</f>
        <v/>
      </c>
      <c r="AH98" t="str">
        <f ca="1">IF(AND(ISNUMBER($AH$515),$B$427=1),$AH$515,HLOOKUP(INDIRECT(ADDRESS(2,COLUMN())),OFFSET($AM$2,0,0,ROW()-1,33),ROW()-1,FALSE))</f>
        <v/>
      </c>
      <c r="AI98" t="str">
        <f ca="1">IF(AND(ISNUMBER($AI$515),$B$427=1),$AI$515,HLOOKUP(INDIRECT(ADDRESS(2,COLUMN())),OFFSET($AM$2,0,0,ROW()-1,33),ROW()-1,FALSE))</f>
        <v/>
      </c>
      <c r="AJ98" t="str">
        <f ca="1">IF(AND(ISNUMBER($AJ$515),$B$427=1),$AJ$515,HLOOKUP(INDIRECT(ADDRESS(2,COLUMN())),OFFSET($AM$2,0,0,ROW()-1,33),ROW()-1,FALSE))</f>
        <v/>
      </c>
      <c r="AK98" t="str">
        <f ca="1">IF(AND(ISNUMBER($AK$515),$B$427=1),$AK$515,HLOOKUP(INDIRECT(ADDRESS(2,COLUMN())),OFFSET($AM$2,0,0,ROW()-1,33),ROW()-1,FALSE))</f>
        <v/>
      </c>
      <c r="AL98" t="str">
        <f ca="1">IF(AND(ISNUMBER($AL$515),$B$427=1),$AL$515,HLOOKUP(INDIRECT(ADDRESS(2,COLUMN())),OFFSET($AM$2,0,0,ROW()-1,33),ROW()-1,FALSE))</f>
        <v/>
      </c>
      <c r="AM98">
        <f>41172</f>
        <v>41172</v>
      </c>
      <c r="AN98">
        <f>41876</f>
        <v>41876</v>
      </c>
      <c r="AO98">
        <f>46011.267</f>
        <v>46011.267</v>
      </c>
      <c r="AP98">
        <f>40762.673</f>
        <v>40762.673000000003</v>
      </c>
      <c r="AQ98">
        <f>42222.948</f>
        <v>42222.947999999997</v>
      </c>
      <c r="AR98">
        <f>42969.771</f>
        <v>42969.771000000001</v>
      </c>
      <c r="AS98">
        <f>36195.118</f>
        <v>36195.118000000002</v>
      </c>
      <c r="AT98">
        <f>34053.672</f>
        <v>34053.671999999999</v>
      </c>
      <c r="AU98">
        <f>34275.153</f>
        <v>34275.152999999998</v>
      </c>
      <c r="AV98">
        <f>34329.865</f>
        <v>34329.864999999998</v>
      </c>
      <c r="AW98">
        <f>32622.453</f>
        <v>32622.453000000001</v>
      </c>
      <c r="AX98">
        <f>32129.559</f>
        <v>32129.559000000001</v>
      </c>
      <c r="AY98">
        <f>30177.59</f>
        <v>30177.59</v>
      </c>
      <c r="AZ98">
        <f>24878.083</f>
        <v>24878.082999999999</v>
      </c>
      <c r="BA98">
        <f>21742.472</f>
        <v>21742.472000000002</v>
      </c>
      <c r="BB98">
        <f>21562.482</f>
        <v>21562.482</v>
      </c>
      <c r="BC98">
        <f>24547.675</f>
        <v>24547.674999999999</v>
      </c>
      <c r="BD98">
        <f>21432.001</f>
        <v>21432.001</v>
      </c>
      <c r="BE98">
        <f>16020.589</f>
        <v>16020.589</v>
      </c>
      <c r="BF98">
        <f>20776.423</f>
        <v>20776.422999999999</v>
      </c>
      <c r="BG98">
        <f>16644.636</f>
        <v>16644.635999999999</v>
      </c>
      <c r="BH98">
        <f>13324.904</f>
        <v>13324.904</v>
      </c>
      <c r="BI98">
        <f>11277.381</f>
        <v>11277.380999999999</v>
      </c>
      <c r="BJ98">
        <f>9294.002</f>
        <v>9294.0020000000004</v>
      </c>
      <c r="BK98" t="str">
        <f>""</f>
        <v/>
      </c>
      <c r="BL98" t="str">
        <f>""</f>
        <v/>
      </c>
      <c r="BM98" t="str">
        <f>""</f>
        <v/>
      </c>
      <c r="BN98" t="str">
        <f>""</f>
        <v/>
      </c>
      <c r="BO98" t="str">
        <f>""</f>
        <v/>
      </c>
      <c r="BP98" t="str">
        <f>""</f>
        <v/>
      </c>
      <c r="BQ98" t="str">
        <f>""</f>
        <v/>
      </c>
      <c r="BR98" t="str">
        <f>""</f>
        <v/>
      </c>
      <c r="BS98" t="str">
        <f>""</f>
        <v/>
      </c>
    </row>
    <row r="99" spans="1:71" x14ac:dyDescent="0.25">
      <c r="A99" t="str">
        <f>"        First Citizens BancShares Inc/"</f>
        <v xml:space="preserve">        First Citizens BancShares Inc/</v>
      </c>
      <c r="B99" t="str">
        <f>"FCNCA US Equity"</f>
        <v>FCNCA US Equity</v>
      </c>
      <c r="C99" t="str">
        <f t="shared" si="12"/>
        <v>FR011</v>
      </c>
      <c r="D99" t="str">
        <f t="shared" si="13"/>
        <v>FED_C&amp;I_LOANS_US_ADDRESS</v>
      </c>
      <c r="E99" t="str">
        <f t="shared" si="14"/>
        <v>Dynamic</v>
      </c>
      <c r="F99">
        <f ca="1">IF(AND(ISNUMBER($F$516),$B$427=1),$F$516,HLOOKUP(INDIRECT(ADDRESS(2,COLUMN())),OFFSET($AM$2,0,0,ROW()-1,33),ROW()-1,FALSE))</f>
        <v>35564</v>
      </c>
      <c r="G99">
        <f ca="1">IF(AND(ISNUMBER($G$516),$B$427=1),$G$516,HLOOKUP(INDIRECT(ADDRESS(2,COLUMN())),OFFSET($AM$2,0,0,ROW()-1,33),ROW()-1,FALSE))</f>
        <v>36102.396000000001</v>
      </c>
      <c r="H99">
        <f ca="1">IF(AND(ISNUMBER($H$516),$B$427=1),$H$516,HLOOKUP(INDIRECT(ADDRESS(2,COLUMN())),OFFSET($AM$2,0,0,ROW()-1,33),ROW()-1,FALSE))</f>
        <v>19378.618999999999</v>
      </c>
      <c r="I99">
        <f ca="1">IF(AND(ISNUMBER($I$516),$B$427=1),$I$516,HLOOKUP(INDIRECT(ADDRESS(2,COLUMN())),OFFSET($AM$2,0,0,ROW()-1,33),ROW()-1,FALSE))</f>
        <v>4960.9650000000001</v>
      </c>
      <c r="J99">
        <f ca="1">IF(AND(ISNUMBER($J$516),$B$427=1),$J$516,HLOOKUP(INDIRECT(ADDRESS(2,COLUMN())),OFFSET($AM$2,0,0,ROW()-1,33),ROW()-1,FALSE))</f>
        <v>6164.8919999999998</v>
      </c>
      <c r="K99">
        <f ca="1">IF(AND(ISNUMBER($K$516),$B$427=1),$K$516,HLOOKUP(INDIRECT(ADDRESS(2,COLUMN())),OFFSET($AM$2,0,0,ROW()-1,33),ROW()-1,FALSE))</f>
        <v>3461.8989999999999</v>
      </c>
      <c r="L99">
        <f ca="1">IF(AND(ISNUMBER($L$516),$B$427=1),$L$516,HLOOKUP(INDIRECT(ADDRESS(2,COLUMN())),OFFSET($AM$2,0,0,ROW()-1,33),ROW()-1,FALSE))</f>
        <v>2867.4810000000002</v>
      </c>
      <c r="M99">
        <f ca="1">IF(AND(ISNUMBER($M$516),$B$427=1),$M$516,HLOOKUP(INDIRECT(ADDRESS(2,COLUMN())),OFFSET($AM$2,0,0,ROW()-1,33),ROW()-1,FALSE))</f>
        <v>2303.0500000000002</v>
      </c>
      <c r="N99">
        <f ca="1">IF(AND(ISNUMBER($N$516),$B$427=1),$N$516,HLOOKUP(INDIRECT(ADDRESS(2,COLUMN())),OFFSET($AM$2,0,0,ROW()-1,33),ROW()-1,FALSE))</f>
        <v>2168.393</v>
      </c>
      <c r="O99">
        <f ca="1">IF(AND(ISNUMBER($O$516),$B$427=1),$O$516,HLOOKUP(INDIRECT(ADDRESS(2,COLUMN())),OFFSET($AM$2,0,0,ROW()-1,33),ROW()-1,FALSE))</f>
        <v>1973.0930000000001</v>
      </c>
      <c r="P99">
        <f ca="1">IF(AND(ISNUMBER($P$516),$B$427=1),$P$516,HLOOKUP(INDIRECT(ADDRESS(2,COLUMN())),OFFSET($AM$2,0,0,ROW()-1,33),ROW()-1,FALSE))</f>
        <v>1650.8320000000001</v>
      </c>
      <c r="Q99">
        <f ca="1">IF(AND(ISNUMBER($Q$516),$B$427=1),$Q$516,HLOOKUP(INDIRECT(ADDRESS(2,COLUMN())),OFFSET($AM$2,0,0,ROW()-1,33),ROW()-1,FALSE))</f>
        <v>966.49099999999999</v>
      </c>
      <c r="R99">
        <f ca="1">IF(AND(ISNUMBER($R$516),$B$427=1),$R$516,HLOOKUP(INDIRECT(ADDRESS(2,COLUMN())),OFFSET($AM$2,0,0,ROW()-1,33),ROW()-1,FALSE))</f>
        <v>1701.5419999999999</v>
      </c>
      <c r="S99">
        <f ca="1">IF(AND(ISNUMBER($S$516),$B$427=1),$S$516,HLOOKUP(INDIRECT(ADDRESS(2,COLUMN())),OFFSET($AM$2,0,0,ROW()-1,33),ROW()-1,FALSE))</f>
        <v>1758.124</v>
      </c>
      <c r="T99">
        <f ca="1">IF(AND(ISNUMBER($T$516),$B$427=1),$T$516,HLOOKUP(INDIRECT(ADDRESS(2,COLUMN())),OFFSET($AM$2,0,0,ROW()-1,33),ROW()-1,FALSE))</f>
        <v>1800.2249999999999</v>
      </c>
      <c r="U99">
        <f ca="1">IF(AND(ISNUMBER($U$516),$B$427=1),$U$516,HLOOKUP(INDIRECT(ADDRESS(2,COLUMN())),OFFSET($AM$2,0,0,ROW()-1,33),ROW()-1,FALSE))</f>
        <v>1730.212</v>
      </c>
      <c r="V99">
        <f ca="1">IF(AND(ISNUMBER($V$516),$B$427=1),$V$516,HLOOKUP(INDIRECT(ADDRESS(2,COLUMN())),OFFSET($AM$2,0,0,ROW()-1,33),ROW()-1,FALSE))</f>
        <v>1695.9739999999999</v>
      </c>
      <c r="W99">
        <f ca="1">IF(AND(ISNUMBER($W$516),$B$427=1),$W$516,HLOOKUP(INDIRECT(ADDRESS(2,COLUMN())),OFFSET($AM$2,0,0,ROW()-1,33),ROW()-1,FALSE))</f>
        <v>1490.4960000000001</v>
      </c>
      <c r="X99">
        <f ca="1">IF(AND(ISNUMBER($X$516),$B$427=1),$X$516,HLOOKUP(INDIRECT(ADDRESS(2,COLUMN())),OFFSET($AM$2,0,0,ROW()-1,33),ROW()-1,FALSE))</f>
        <v>1275.7550000000001</v>
      </c>
      <c r="Y99">
        <f ca="1">IF(AND(ISNUMBER($Y$516),$B$427=1),$Y$516,HLOOKUP(INDIRECT(ADDRESS(2,COLUMN())),OFFSET($AM$2,0,0,ROW()-1,33),ROW()-1,FALSE))</f>
        <v>1047.2950000000001</v>
      </c>
      <c r="Z99">
        <f ca="1">IF(AND(ISNUMBER($Z$516),$B$427=1),$Z$516,HLOOKUP(INDIRECT(ADDRESS(2,COLUMN())),OFFSET($AM$2,0,0,ROW()-1,33),ROW()-1,FALSE))</f>
        <v>900.58299999999997</v>
      </c>
      <c r="AA99">
        <f ca="1">IF(AND(ISNUMBER($AA$516),$B$427=1),$AA$516,HLOOKUP(INDIRECT(ADDRESS(2,COLUMN())),OFFSET($AM$2,0,0,ROW()-1,33),ROW()-1,FALSE))</f>
        <v>862.37</v>
      </c>
      <c r="AB99">
        <f ca="1">IF(AND(ISNUMBER($AB$516),$B$427=1),$AB$516,HLOOKUP(INDIRECT(ADDRESS(2,COLUMN())),OFFSET($AM$2,0,0,ROW()-1,33),ROW()-1,FALSE))</f>
        <v>857.26499999999999</v>
      </c>
      <c r="AC99">
        <f ca="1">IF(AND(ISNUMBER($AC$516),$B$427=1),$AC$516,HLOOKUP(INDIRECT(ADDRESS(2,COLUMN())),OFFSET($AM$2,0,0,ROW()-1,33),ROW()-1,FALSE))</f>
        <v>854.32600000000002</v>
      </c>
      <c r="AD99" t="str">
        <f ca="1">IF(AND(ISNUMBER($AD$516),$B$427=1),$AD$516,HLOOKUP(INDIRECT(ADDRESS(2,COLUMN())),OFFSET($AM$2,0,0,ROW()-1,33),ROW()-1,FALSE))</f>
        <v/>
      </c>
      <c r="AE99" t="str">
        <f ca="1">IF(AND(ISNUMBER($AE$516),$B$427=1),$AE$516,HLOOKUP(INDIRECT(ADDRESS(2,COLUMN())),OFFSET($AM$2,0,0,ROW()-1,33),ROW()-1,FALSE))</f>
        <v/>
      </c>
      <c r="AF99" t="str">
        <f ca="1">IF(AND(ISNUMBER($AF$516),$B$427=1),$AF$516,HLOOKUP(INDIRECT(ADDRESS(2,COLUMN())),OFFSET($AM$2,0,0,ROW()-1,33),ROW()-1,FALSE))</f>
        <v/>
      </c>
      <c r="AG99" t="str">
        <f ca="1">IF(AND(ISNUMBER($AG$516),$B$427=1),$AG$516,HLOOKUP(INDIRECT(ADDRESS(2,COLUMN())),OFFSET($AM$2,0,0,ROW()-1,33),ROW()-1,FALSE))</f>
        <v/>
      </c>
      <c r="AH99" t="str">
        <f ca="1">IF(AND(ISNUMBER($AH$516),$B$427=1),$AH$516,HLOOKUP(INDIRECT(ADDRESS(2,COLUMN())),OFFSET($AM$2,0,0,ROW()-1,33),ROW()-1,FALSE))</f>
        <v/>
      </c>
      <c r="AI99" t="str">
        <f ca="1">IF(AND(ISNUMBER($AI$516),$B$427=1),$AI$516,HLOOKUP(INDIRECT(ADDRESS(2,COLUMN())),OFFSET($AM$2,0,0,ROW()-1,33),ROW()-1,FALSE))</f>
        <v/>
      </c>
      <c r="AJ99" t="str">
        <f ca="1">IF(AND(ISNUMBER($AJ$516),$B$427=1),$AJ$516,HLOOKUP(INDIRECT(ADDRESS(2,COLUMN())),OFFSET($AM$2,0,0,ROW()-1,33),ROW()-1,FALSE))</f>
        <v/>
      </c>
      <c r="AK99" t="str">
        <f ca="1">IF(AND(ISNUMBER($AK$516),$B$427=1),$AK$516,HLOOKUP(INDIRECT(ADDRESS(2,COLUMN())),OFFSET($AM$2,0,0,ROW()-1,33),ROW()-1,FALSE))</f>
        <v/>
      </c>
      <c r="AL99" t="str">
        <f ca="1">IF(AND(ISNUMBER($AL$516),$B$427=1),$AL$516,HLOOKUP(INDIRECT(ADDRESS(2,COLUMN())),OFFSET($AM$2,0,0,ROW()-1,33),ROW()-1,FALSE))</f>
        <v/>
      </c>
      <c r="AM99">
        <f>35564</f>
        <v>35564</v>
      </c>
      <c r="AN99">
        <f>36102.396</f>
        <v>36102.396000000001</v>
      </c>
      <c r="AO99">
        <f>19378.619</f>
        <v>19378.618999999999</v>
      </c>
      <c r="AP99">
        <f>4960.965</f>
        <v>4960.9650000000001</v>
      </c>
      <c r="AQ99">
        <f>6164.892</f>
        <v>6164.8919999999998</v>
      </c>
      <c r="AR99">
        <f>3461.899</f>
        <v>3461.8989999999999</v>
      </c>
      <c r="AS99">
        <f>2867.481</f>
        <v>2867.4810000000002</v>
      </c>
      <c r="AT99">
        <f>2303.05</f>
        <v>2303.0500000000002</v>
      </c>
      <c r="AU99">
        <f>2168.393</f>
        <v>2168.393</v>
      </c>
      <c r="AV99">
        <f>1973.093</f>
        <v>1973.0930000000001</v>
      </c>
      <c r="AW99">
        <f>1650.832</f>
        <v>1650.8320000000001</v>
      </c>
      <c r="AX99">
        <f>966.491</f>
        <v>966.49099999999999</v>
      </c>
      <c r="AY99">
        <f>1701.542</f>
        <v>1701.5419999999999</v>
      </c>
      <c r="AZ99">
        <f>1758.124</f>
        <v>1758.124</v>
      </c>
      <c r="BA99">
        <f>1800.225</f>
        <v>1800.2249999999999</v>
      </c>
      <c r="BB99">
        <f>1730.212</f>
        <v>1730.212</v>
      </c>
      <c r="BC99">
        <f>1695.974</f>
        <v>1695.9739999999999</v>
      </c>
      <c r="BD99">
        <f>1490.496</f>
        <v>1490.4960000000001</v>
      </c>
      <c r="BE99">
        <f>1275.755</f>
        <v>1275.7550000000001</v>
      </c>
      <c r="BF99">
        <f>1047.295</f>
        <v>1047.2950000000001</v>
      </c>
      <c r="BG99">
        <f>900.583</f>
        <v>900.58299999999997</v>
      </c>
      <c r="BH99">
        <f>862.37</f>
        <v>862.37</v>
      </c>
      <c r="BI99">
        <f>857.265</f>
        <v>857.26499999999999</v>
      </c>
      <c r="BJ99">
        <f>854.326</f>
        <v>854.32600000000002</v>
      </c>
      <c r="BK99" t="str">
        <f>""</f>
        <v/>
      </c>
      <c r="BL99" t="str">
        <f>""</f>
        <v/>
      </c>
      <c r="BM99" t="str">
        <f>""</f>
        <v/>
      </c>
      <c r="BN99" t="str">
        <f>""</f>
        <v/>
      </c>
      <c r="BO99" t="str">
        <f>""</f>
        <v/>
      </c>
      <c r="BP99" t="str">
        <f>""</f>
        <v/>
      </c>
      <c r="BQ99" t="str">
        <f>""</f>
        <v/>
      </c>
      <c r="BR99" t="str">
        <f>""</f>
        <v/>
      </c>
      <c r="BS99" t="str">
        <f>""</f>
        <v/>
      </c>
    </row>
    <row r="100" spans="1:71" x14ac:dyDescent="0.25">
      <c r="A100" t="str">
        <f>"        Flagstar Financial Inc"</f>
        <v xml:space="preserve">        Flagstar Financial Inc</v>
      </c>
      <c r="B100" t="str">
        <f>"FLG US Equity"</f>
        <v>FLG US Equity</v>
      </c>
      <c r="C100" t="str">
        <f t="shared" si="12"/>
        <v>FR011</v>
      </c>
      <c r="D100" t="str">
        <f t="shared" si="13"/>
        <v>FED_C&amp;I_LOANS_US_ADDRESS</v>
      </c>
      <c r="E100" t="str">
        <f t="shared" si="14"/>
        <v>Dynamic</v>
      </c>
      <c r="F100">
        <f ca="1">IF(AND(ISNUMBER($F$517),$B$427=1),$F$517,HLOOKUP(INDIRECT(ADDRESS(2,COLUMN())),OFFSET($AM$2,0,0,ROW()-1,33),ROW()-1,FALSE))</f>
        <v>9367.3770000000004</v>
      </c>
      <c r="G100">
        <f ca="1">IF(AND(ISNUMBER($G$517),$B$427=1),$G$517,HLOOKUP(INDIRECT(ADDRESS(2,COLUMN())),OFFSET($AM$2,0,0,ROW()-1,33),ROW()-1,FALSE))</f>
        <v>12136.962</v>
      </c>
      <c r="H100">
        <f ca="1">IF(AND(ISNUMBER($H$517),$B$427=1),$H$517,HLOOKUP(INDIRECT(ADDRESS(2,COLUMN())),OFFSET($AM$2,0,0,ROW()-1,33),ROW()-1,FALSE))</f>
        <v>5114.6809999999996</v>
      </c>
      <c r="I100">
        <f ca="1">IF(AND(ISNUMBER($I$517),$B$427=1),$I$517,HLOOKUP(INDIRECT(ADDRESS(2,COLUMN())),OFFSET($AM$2,0,0,ROW()-1,33),ROW()-1,FALSE))</f>
        <v>2042.838</v>
      </c>
      <c r="J100">
        <f ca="1">IF(AND(ISNUMBER($J$517),$B$427=1),$J$517,HLOOKUP(INDIRECT(ADDRESS(2,COLUMN())),OFFSET($AM$2,0,0,ROW()-1,33),ROW()-1,FALSE))</f>
        <v>1801.171</v>
      </c>
      <c r="K100">
        <f ca="1">IF(AND(ISNUMBER($K$517),$B$427=1),$K$517,HLOOKUP(INDIRECT(ADDRESS(2,COLUMN())),OFFSET($AM$2,0,0,ROW()-1,33),ROW()-1,FALSE))</f>
        <v>1744.7380000000001</v>
      </c>
      <c r="L100">
        <f ca="1">IF(AND(ISNUMBER($L$517),$B$427=1),$L$517,HLOOKUP(INDIRECT(ADDRESS(2,COLUMN())),OFFSET($AM$2,0,0,ROW()-1,33),ROW()-1,FALSE))</f>
        <v>1705.713</v>
      </c>
      <c r="M100">
        <f ca="1">IF(AND(ISNUMBER($M$517),$B$427=1),$M$517,HLOOKUP(INDIRECT(ADDRESS(2,COLUMN())),OFFSET($AM$2,0,0,ROW()-1,33),ROW()-1,FALSE))</f>
        <v>1376.492</v>
      </c>
      <c r="N100">
        <f ca="1">IF(AND(ISNUMBER($N$517),$B$427=1),$N$517,HLOOKUP(INDIRECT(ADDRESS(2,COLUMN())),OFFSET($AM$2,0,0,ROW()-1,33),ROW()-1,FALSE))</f>
        <v>1340.1389999999999</v>
      </c>
      <c r="O100">
        <f ca="1">IF(AND(ISNUMBER($O$517),$B$427=1),$O$517,HLOOKUP(INDIRECT(ADDRESS(2,COLUMN())),OFFSET($AM$2,0,0,ROW()-1,33),ROW()-1,FALSE))</f>
        <v>1084.0119999999999</v>
      </c>
      <c r="P100">
        <f ca="1">IF(AND(ISNUMBER($P$517),$B$427=1),$P$517,HLOOKUP(INDIRECT(ADDRESS(2,COLUMN())),OFFSET($AM$2,0,0,ROW()-1,33),ROW()-1,FALSE))</f>
        <v>1065.683</v>
      </c>
      <c r="Q100">
        <f ca="1">IF(AND(ISNUMBER($Q$517),$B$427=1),$Q$517,HLOOKUP(INDIRECT(ADDRESS(2,COLUMN())),OFFSET($AM$2,0,0,ROW()-1,33),ROW()-1,FALSE))</f>
        <v>728.32299999999998</v>
      </c>
      <c r="R100">
        <f ca="1">IF(AND(ISNUMBER($R$517),$B$427=1),$R$517,HLOOKUP(INDIRECT(ADDRESS(2,COLUMN())),OFFSET($AM$2,0,0,ROW()-1,33),ROW()-1,FALSE))</f>
        <v>619.80499999999995</v>
      </c>
      <c r="S100">
        <f ca="1">IF(AND(ISNUMBER($S$517),$B$427=1),$S$517,HLOOKUP(INDIRECT(ADDRESS(2,COLUMN())),OFFSET($AM$2,0,0,ROW()-1,33),ROW()-1,FALSE))</f>
        <v>657.20100000000002</v>
      </c>
      <c r="T100">
        <f ca="1">IF(AND(ISNUMBER($T$517),$B$427=1),$T$517,HLOOKUP(INDIRECT(ADDRESS(2,COLUMN())),OFFSET($AM$2,0,0,ROW()-1,33),ROW()-1,FALSE))</f>
        <v>712.38499999999999</v>
      </c>
      <c r="U100">
        <f ca="1">IF(AND(ISNUMBER($U$517),$B$427=1),$U$517,HLOOKUP(INDIRECT(ADDRESS(2,COLUMN())),OFFSET($AM$2,0,0,ROW()-1,33),ROW()-1,FALSE))</f>
        <v>653.65099999999995</v>
      </c>
      <c r="V100">
        <f ca="1">IF(AND(ISNUMBER($V$517),$B$427=1),$V$517,HLOOKUP(INDIRECT(ADDRESS(2,COLUMN())),OFFSET($AM$2,0,0,ROW()-1,33),ROW()-1,FALSE))</f>
        <v>713.53099999999995</v>
      </c>
      <c r="W100">
        <f ca="1">IF(AND(ISNUMBER($W$517),$B$427=1),$W$517,HLOOKUP(INDIRECT(ADDRESS(2,COLUMN())),OFFSET($AM$2,0,0,ROW()-1,33),ROW()-1,FALSE))</f>
        <v>706.56200000000001</v>
      </c>
      <c r="X100">
        <f ca="1">IF(AND(ISNUMBER($X$517),$B$427=1),$X$517,HLOOKUP(INDIRECT(ADDRESS(2,COLUMN())),OFFSET($AM$2,0,0,ROW()-1,33),ROW()-1,FALSE))</f>
        <v>643.14700000000005</v>
      </c>
      <c r="Y100">
        <f ca="1">IF(AND(ISNUMBER($Y$517),$B$427=1),$Y$517,HLOOKUP(INDIRECT(ADDRESS(2,COLUMN())),OFFSET($AM$2,0,0,ROW()-1,33),ROW()-1,FALSE))</f>
        <v>163.548</v>
      </c>
      <c r="Z100">
        <f ca="1">IF(AND(ISNUMBER($Z$517),$B$427=1),$Z$517,HLOOKUP(INDIRECT(ADDRESS(2,COLUMN())),OFFSET($AM$2,0,0,ROW()-1,33),ROW()-1,FALSE))</f>
        <v>89.19</v>
      </c>
      <c r="AA100">
        <f ca="1">IF(AND(ISNUMBER($AA$517),$B$427=1),$AA$517,HLOOKUP(INDIRECT(ADDRESS(2,COLUMN())),OFFSET($AM$2,0,0,ROW()-1,33),ROW()-1,FALSE))</f>
        <v>65.518000000000001</v>
      </c>
      <c r="AB100">
        <f ca="1">IF(AND(ISNUMBER($AB$517),$B$427=1),$AB$517,HLOOKUP(INDIRECT(ADDRESS(2,COLUMN())),OFFSET($AM$2,0,0,ROW()-1,33),ROW()-1,FALSE))</f>
        <v>60.158999999999999</v>
      </c>
      <c r="AC100">
        <f ca="1">IF(AND(ISNUMBER($AC$517),$B$427=1),$AC$517,HLOOKUP(INDIRECT(ADDRESS(2,COLUMN())),OFFSET($AM$2,0,0,ROW()-1,33),ROW()-1,FALSE))</f>
        <v>1.1160000000000001</v>
      </c>
      <c r="AD100" t="str">
        <f ca="1">IF(AND(ISNUMBER($AD$517),$B$427=1),$AD$517,HLOOKUP(INDIRECT(ADDRESS(2,COLUMN())),OFFSET($AM$2,0,0,ROW()-1,33),ROW()-1,FALSE))</f>
        <v/>
      </c>
      <c r="AE100" t="str">
        <f ca="1">IF(AND(ISNUMBER($AE$517),$B$427=1),$AE$517,HLOOKUP(INDIRECT(ADDRESS(2,COLUMN())),OFFSET($AM$2,0,0,ROW()-1,33),ROW()-1,FALSE))</f>
        <v/>
      </c>
      <c r="AF100" t="str">
        <f ca="1">IF(AND(ISNUMBER($AF$517),$B$427=1),$AF$517,HLOOKUP(INDIRECT(ADDRESS(2,COLUMN())),OFFSET($AM$2,0,0,ROW()-1,33),ROW()-1,FALSE))</f>
        <v/>
      </c>
      <c r="AG100" t="str">
        <f ca="1">IF(AND(ISNUMBER($AG$517),$B$427=1),$AG$517,HLOOKUP(INDIRECT(ADDRESS(2,COLUMN())),OFFSET($AM$2,0,0,ROW()-1,33),ROW()-1,FALSE))</f>
        <v/>
      </c>
      <c r="AH100" t="str">
        <f ca="1">IF(AND(ISNUMBER($AH$517),$B$427=1),$AH$517,HLOOKUP(INDIRECT(ADDRESS(2,COLUMN())),OFFSET($AM$2,0,0,ROW()-1,33),ROW()-1,FALSE))</f>
        <v/>
      </c>
      <c r="AI100" t="str">
        <f ca="1">IF(AND(ISNUMBER($AI$517),$B$427=1),$AI$517,HLOOKUP(INDIRECT(ADDRESS(2,COLUMN())),OFFSET($AM$2,0,0,ROW()-1,33),ROW()-1,FALSE))</f>
        <v/>
      </c>
      <c r="AJ100" t="str">
        <f ca="1">IF(AND(ISNUMBER($AJ$517),$B$427=1),$AJ$517,HLOOKUP(INDIRECT(ADDRESS(2,COLUMN())),OFFSET($AM$2,0,0,ROW()-1,33),ROW()-1,FALSE))</f>
        <v/>
      </c>
      <c r="AK100" t="str">
        <f ca="1">IF(AND(ISNUMBER($AK$517),$B$427=1),$AK$517,HLOOKUP(INDIRECT(ADDRESS(2,COLUMN())),OFFSET($AM$2,0,0,ROW()-1,33),ROW()-1,FALSE))</f>
        <v/>
      </c>
      <c r="AL100" t="str">
        <f ca="1">IF(AND(ISNUMBER($AL$517),$B$427=1),$AL$517,HLOOKUP(INDIRECT(ADDRESS(2,COLUMN())),OFFSET($AM$2,0,0,ROW()-1,33),ROW()-1,FALSE))</f>
        <v/>
      </c>
      <c r="AM100">
        <f>9367.377</f>
        <v>9367.3770000000004</v>
      </c>
      <c r="AN100">
        <f>12136.962</f>
        <v>12136.962</v>
      </c>
      <c r="AO100">
        <f>5114.681</f>
        <v>5114.6809999999996</v>
      </c>
      <c r="AP100">
        <f>2042.838</f>
        <v>2042.838</v>
      </c>
      <c r="AQ100">
        <f>1801.171</f>
        <v>1801.171</v>
      </c>
      <c r="AR100">
        <f>1744.738</f>
        <v>1744.7380000000001</v>
      </c>
      <c r="AS100">
        <f>1705.713</f>
        <v>1705.713</v>
      </c>
      <c r="AT100">
        <f>1376.492</f>
        <v>1376.492</v>
      </c>
      <c r="AU100">
        <f>1340.139</f>
        <v>1340.1389999999999</v>
      </c>
      <c r="AV100">
        <f>1084.012</f>
        <v>1084.0119999999999</v>
      </c>
      <c r="AW100">
        <f>1065.683</f>
        <v>1065.683</v>
      </c>
      <c r="AX100">
        <f>728.323</f>
        <v>728.32299999999998</v>
      </c>
      <c r="AY100">
        <f>619.805</f>
        <v>619.80499999999995</v>
      </c>
      <c r="AZ100">
        <f>657.201</f>
        <v>657.20100000000002</v>
      </c>
      <c r="BA100">
        <f>712.385</f>
        <v>712.38499999999999</v>
      </c>
      <c r="BB100">
        <f>653.651</f>
        <v>653.65099999999995</v>
      </c>
      <c r="BC100">
        <f>713.531</f>
        <v>713.53099999999995</v>
      </c>
      <c r="BD100">
        <f>706.562</f>
        <v>706.56200000000001</v>
      </c>
      <c r="BE100">
        <f>643.147</f>
        <v>643.14700000000005</v>
      </c>
      <c r="BF100">
        <f>163.548</f>
        <v>163.548</v>
      </c>
      <c r="BG100">
        <f>89.19</f>
        <v>89.19</v>
      </c>
      <c r="BH100">
        <f>65.518</f>
        <v>65.518000000000001</v>
      </c>
      <c r="BI100">
        <f>60.159</f>
        <v>60.158999999999999</v>
      </c>
      <c r="BJ100">
        <f>1.116</f>
        <v>1.1160000000000001</v>
      </c>
      <c r="BK100" t="str">
        <f>""</f>
        <v/>
      </c>
      <c r="BL100" t="str">
        <f>""</f>
        <v/>
      </c>
      <c r="BM100" t="str">
        <f>""</f>
        <v/>
      </c>
      <c r="BN100" t="str">
        <f>""</f>
        <v/>
      </c>
      <c r="BO100" t="str">
        <f>""</f>
        <v/>
      </c>
      <c r="BP100" t="str">
        <f>""</f>
        <v/>
      </c>
      <c r="BQ100" t="str">
        <f>""</f>
        <v/>
      </c>
      <c r="BR100" t="str">
        <f>""</f>
        <v/>
      </c>
      <c r="BS100" t="str">
        <f>""</f>
        <v/>
      </c>
    </row>
    <row r="101" spans="1:71" x14ac:dyDescent="0.25">
      <c r="A101" t="str">
        <f>"        Huntington Bancshares Inc/OH"</f>
        <v xml:space="preserve">        Huntington Bancshares Inc/OH</v>
      </c>
      <c r="B101" t="str">
        <f>"HBAN US Equity"</f>
        <v>HBAN US Equity</v>
      </c>
      <c r="C101" t="str">
        <f t="shared" si="12"/>
        <v>FR011</v>
      </c>
      <c r="D101" t="str">
        <f t="shared" si="13"/>
        <v>FED_C&amp;I_LOANS_US_ADDRESS</v>
      </c>
      <c r="E101" t="str">
        <f t="shared" si="14"/>
        <v>Dynamic</v>
      </c>
      <c r="F101">
        <f ca="1">IF(AND(ISNUMBER($F$518),$B$427=1),$F$518,HLOOKUP(INDIRECT(ADDRESS(2,COLUMN())),OFFSET($AM$2,0,0,ROW()-1,33),ROW()-1,FALSE))</f>
        <v>36223.894999999997</v>
      </c>
      <c r="G101">
        <f ca="1">IF(AND(ISNUMBER($G$518),$B$427=1),$G$518,HLOOKUP(INDIRECT(ADDRESS(2,COLUMN())),OFFSET($AM$2,0,0,ROW()-1,33),ROW()-1,FALSE))</f>
        <v>33995.055999999997</v>
      </c>
      <c r="H101">
        <f ca="1">IF(AND(ISNUMBER($H$518),$B$427=1),$H$518,HLOOKUP(INDIRECT(ADDRESS(2,COLUMN())),OFFSET($AM$2,0,0,ROW()-1,33),ROW()-1,FALSE))</f>
        <v>31979.536</v>
      </c>
      <c r="I101">
        <f ca="1">IF(AND(ISNUMBER($I$518),$B$427=1),$I$518,HLOOKUP(INDIRECT(ADDRESS(2,COLUMN())),OFFSET($AM$2,0,0,ROW()-1,33),ROW()-1,FALSE))</f>
        <v>32121.205999999998</v>
      </c>
      <c r="J101">
        <f ca="1">IF(AND(ISNUMBER($J$518),$B$427=1),$J$518,HLOOKUP(INDIRECT(ADDRESS(2,COLUMN())),OFFSET($AM$2,0,0,ROW()-1,33),ROW()-1,FALSE))</f>
        <v>26354.253000000001</v>
      </c>
      <c r="K101">
        <f ca="1">IF(AND(ISNUMBER($K$518),$B$427=1),$K$518,HLOOKUP(INDIRECT(ADDRESS(2,COLUMN())),OFFSET($AM$2,0,0,ROW()-1,33),ROW()-1,FALSE))</f>
        <v>22581.722000000002</v>
      </c>
      <c r="L101">
        <f ca="1">IF(AND(ISNUMBER($L$518),$B$427=1),$L$518,HLOOKUP(INDIRECT(ADDRESS(2,COLUMN())),OFFSET($AM$2,0,0,ROW()-1,33),ROW()-1,FALSE))</f>
        <v>22505.43</v>
      </c>
      <c r="M101">
        <f ca="1">IF(AND(ISNUMBER($M$518),$B$427=1),$M$518,HLOOKUP(INDIRECT(ADDRESS(2,COLUMN())),OFFSET($AM$2,0,0,ROW()-1,33),ROW()-1,FALSE))</f>
        <v>19810.883999999998</v>
      </c>
      <c r="N101">
        <f ca="1">IF(AND(ISNUMBER($N$518),$B$427=1),$N$518,HLOOKUP(INDIRECT(ADDRESS(2,COLUMN())),OFFSET($AM$2,0,0,ROW()-1,33),ROW()-1,FALSE))</f>
        <v>19294.147000000001</v>
      </c>
      <c r="O101">
        <f ca="1">IF(AND(ISNUMBER($O$518),$B$427=1),$O$518,HLOOKUP(INDIRECT(ADDRESS(2,COLUMN())),OFFSET($AM$2,0,0,ROW()-1,33),ROW()-1,FALSE))</f>
        <v>14272.254999999999</v>
      </c>
      <c r="P101">
        <f ca="1">IF(AND(ISNUMBER($P$518),$B$427=1),$P$518,HLOOKUP(INDIRECT(ADDRESS(2,COLUMN())),OFFSET($AM$2,0,0,ROW()-1,33),ROW()-1,FALSE))</f>
        <v>12757.535</v>
      </c>
      <c r="Q101">
        <f ca="1">IF(AND(ISNUMBER($Q$518),$B$427=1),$Q$518,HLOOKUP(INDIRECT(ADDRESS(2,COLUMN())),OFFSET($AM$2,0,0,ROW()-1,33),ROW()-1,FALSE))</f>
        <v>11933.986000000001</v>
      </c>
      <c r="R101">
        <f ca="1">IF(AND(ISNUMBER($R$518),$B$427=1),$R$518,HLOOKUP(INDIRECT(ADDRESS(2,COLUMN())),OFFSET($AM$2,0,0,ROW()-1,33),ROW()-1,FALSE))</f>
        <v>11541.575999999999</v>
      </c>
      <c r="S101">
        <f ca="1">IF(AND(ISNUMBER($S$518),$B$427=1),$S$518,HLOOKUP(INDIRECT(ADDRESS(2,COLUMN())),OFFSET($AM$2,0,0,ROW()-1,33),ROW()-1,FALSE))</f>
        <v>9903.3709999999992</v>
      </c>
      <c r="T101">
        <f ca="1">IF(AND(ISNUMBER($T$518),$B$427=1),$T$518,HLOOKUP(INDIRECT(ADDRESS(2,COLUMN())),OFFSET($AM$2,0,0,ROW()-1,33),ROW()-1,FALSE))</f>
        <v>8354.4689999999991</v>
      </c>
      <c r="U101">
        <f ca="1">IF(AND(ISNUMBER($U$518),$B$427=1),$U$518,HLOOKUP(INDIRECT(ADDRESS(2,COLUMN())),OFFSET($AM$2,0,0,ROW()-1,33),ROW()-1,FALSE))</f>
        <v>7280.3559999999998</v>
      </c>
      <c r="V101">
        <f ca="1">IF(AND(ISNUMBER($V$518),$B$427=1),$V$518,HLOOKUP(INDIRECT(ADDRESS(2,COLUMN())),OFFSET($AM$2,0,0,ROW()-1,33),ROW()-1,FALSE))</f>
        <v>7461.7690000000002</v>
      </c>
      <c r="W101">
        <f ca="1">IF(AND(ISNUMBER($W$518),$B$427=1),$W$518,HLOOKUP(INDIRECT(ADDRESS(2,COLUMN())),OFFSET($AM$2,0,0,ROW()-1,33),ROW()-1,FALSE))</f>
        <v>6589.402</v>
      </c>
      <c r="X101">
        <f ca="1">IF(AND(ISNUMBER($X$518),$B$427=1),$X$518,HLOOKUP(INDIRECT(ADDRESS(2,COLUMN())),OFFSET($AM$2,0,0,ROW()-1,33),ROW()-1,FALSE))</f>
        <v>4290.0709999999999</v>
      </c>
      <c r="Y101">
        <f ca="1">IF(AND(ISNUMBER($Y$518),$B$427=1),$Y$518,HLOOKUP(INDIRECT(ADDRESS(2,COLUMN())),OFFSET($AM$2,0,0,ROW()-1,33),ROW()-1,FALSE))</f>
        <v>3818.864</v>
      </c>
      <c r="Z101">
        <f ca="1">IF(AND(ISNUMBER($Z$518),$B$427=1),$Z$518,HLOOKUP(INDIRECT(ADDRESS(2,COLUMN())),OFFSET($AM$2,0,0,ROW()-1,33),ROW()-1,FALSE))</f>
        <v>3787.2489999999998</v>
      </c>
      <c r="AA101">
        <f ca="1">IF(AND(ISNUMBER($AA$518),$B$427=1),$AA$518,HLOOKUP(INDIRECT(ADDRESS(2,COLUMN())),OFFSET($AM$2,0,0,ROW()-1,33),ROW()-1,FALSE))</f>
        <v>3911.26</v>
      </c>
      <c r="AB101">
        <f ca="1">IF(AND(ISNUMBER($AB$518),$B$427=1),$AB$518,HLOOKUP(INDIRECT(ADDRESS(2,COLUMN())),OFFSET($AM$2,0,0,ROW()-1,33),ROW()-1,FALSE))</f>
        <v>4066.3939999999998</v>
      </c>
      <c r="AC101">
        <f ca="1">IF(AND(ISNUMBER($AC$518),$B$427=1),$AC$518,HLOOKUP(INDIRECT(ADDRESS(2,COLUMN())),OFFSET($AM$2,0,0,ROW()-1,33),ROW()-1,FALSE))</f>
        <v>4976.098</v>
      </c>
      <c r="AD101" t="str">
        <f ca="1">IF(AND(ISNUMBER($AD$518),$B$427=1),$AD$518,HLOOKUP(INDIRECT(ADDRESS(2,COLUMN())),OFFSET($AM$2,0,0,ROW()-1,33),ROW()-1,FALSE))</f>
        <v/>
      </c>
      <c r="AE101" t="str">
        <f ca="1">IF(AND(ISNUMBER($AE$518),$B$427=1),$AE$518,HLOOKUP(INDIRECT(ADDRESS(2,COLUMN())),OFFSET($AM$2,0,0,ROW()-1,33),ROW()-1,FALSE))</f>
        <v/>
      </c>
      <c r="AF101" t="str">
        <f ca="1">IF(AND(ISNUMBER($AF$518),$B$427=1),$AF$518,HLOOKUP(INDIRECT(ADDRESS(2,COLUMN())),OFFSET($AM$2,0,0,ROW()-1,33),ROW()-1,FALSE))</f>
        <v/>
      </c>
      <c r="AG101" t="str">
        <f ca="1">IF(AND(ISNUMBER($AG$518),$B$427=1),$AG$518,HLOOKUP(INDIRECT(ADDRESS(2,COLUMN())),OFFSET($AM$2,0,0,ROW()-1,33),ROW()-1,FALSE))</f>
        <v/>
      </c>
      <c r="AH101" t="str">
        <f ca="1">IF(AND(ISNUMBER($AH$518),$B$427=1),$AH$518,HLOOKUP(INDIRECT(ADDRESS(2,COLUMN())),OFFSET($AM$2,0,0,ROW()-1,33),ROW()-1,FALSE))</f>
        <v/>
      </c>
      <c r="AI101" t="str">
        <f ca="1">IF(AND(ISNUMBER($AI$518),$B$427=1),$AI$518,HLOOKUP(INDIRECT(ADDRESS(2,COLUMN())),OFFSET($AM$2,0,0,ROW()-1,33),ROW()-1,FALSE))</f>
        <v/>
      </c>
      <c r="AJ101" t="str">
        <f ca="1">IF(AND(ISNUMBER($AJ$518),$B$427=1),$AJ$518,HLOOKUP(INDIRECT(ADDRESS(2,COLUMN())),OFFSET($AM$2,0,0,ROW()-1,33),ROW()-1,FALSE))</f>
        <v/>
      </c>
      <c r="AK101" t="str">
        <f ca="1">IF(AND(ISNUMBER($AK$518),$B$427=1),$AK$518,HLOOKUP(INDIRECT(ADDRESS(2,COLUMN())),OFFSET($AM$2,0,0,ROW()-1,33),ROW()-1,FALSE))</f>
        <v/>
      </c>
      <c r="AL101" t="str">
        <f ca="1">IF(AND(ISNUMBER($AL$518),$B$427=1),$AL$518,HLOOKUP(INDIRECT(ADDRESS(2,COLUMN())),OFFSET($AM$2,0,0,ROW()-1,33),ROW()-1,FALSE))</f>
        <v/>
      </c>
      <c r="AM101">
        <f>36223.895</f>
        <v>36223.894999999997</v>
      </c>
      <c r="AN101">
        <f>33995.056</f>
        <v>33995.055999999997</v>
      </c>
      <c r="AO101">
        <f>31979.536</f>
        <v>31979.536</v>
      </c>
      <c r="AP101">
        <f>32121.206</f>
        <v>32121.205999999998</v>
      </c>
      <c r="AQ101">
        <f>26354.253</f>
        <v>26354.253000000001</v>
      </c>
      <c r="AR101">
        <f>22581.722</f>
        <v>22581.722000000002</v>
      </c>
      <c r="AS101">
        <f>22505.43</f>
        <v>22505.43</v>
      </c>
      <c r="AT101">
        <f>19810.884</f>
        <v>19810.883999999998</v>
      </c>
      <c r="AU101">
        <f>19294.147</f>
        <v>19294.147000000001</v>
      </c>
      <c r="AV101">
        <f>14272.255</f>
        <v>14272.254999999999</v>
      </c>
      <c r="AW101">
        <f>12757.535</f>
        <v>12757.535</v>
      </c>
      <c r="AX101">
        <f>11933.986</f>
        <v>11933.986000000001</v>
      </c>
      <c r="AY101">
        <f>11541.576</f>
        <v>11541.575999999999</v>
      </c>
      <c r="AZ101">
        <f>9903.371</f>
        <v>9903.3709999999992</v>
      </c>
      <c r="BA101">
        <f>8354.469</f>
        <v>8354.4689999999991</v>
      </c>
      <c r="BB101">
        <f>7280.356</f>
        <v>7280.3559999999998</v>
      </c>
      <c r="BC101">
        <f>7461.769</f>
        <v>7461.7690000000002</v>
      </c>
      <c r="BD101">
        <f>6589.402</f>
        <v>6589.402</v>
      </c>
      <c r="BE101">
        <f>4290.071</f>
        <v>4290.0709999999999</v>
      </c>
      <c r="BF101">
        <f>3818.864</f>
        <v>3818.864</v>
      </c>
      <c r="BG101">
        <f>3787.249</f>
        <v>3787.2489999999998</v>
      </c>
      <c r="BH101">
        <f>3911.26</f>
        <v>3911.26</v>
      </c>
      <c r="BI101">
        <f>4066.394</f>
        <v>4066.3939999999998</v>
      </c>
      <c r="BJ101">
        <f>4976.098</f>
        <v>4976.098</v>
      </c>
      <c r="BK101" t="str">
        <f>""</f>
        <v/>
      </c>
      <c r="BL101" t="str">
        <f>""</f>
        <v/>
      </c>
      <c r="BM101" t="str">
        <f>""</f>
        <v/>
      </c>
      <c r="BN101" t="str">
        <f>""</f>
        <v/>
      </c>
      <c r="BO101" t="str">
        <f>""</f>
        <v/>
      </c>
      <c r="BP101" t="str">
        <f>""</f>
        <v/>
      </c>
      <c r="BQ101" t="str">
        <f>""</f>
        <v/>
      </c>
      <c r="BR101" t="str">
        <f>""</f>
        <v/>
      </c>
      <c r="BS101" t="str">
        <f>""</f>
        <v/>
      </c>
    </row>
    <row r="102" spans="1:71" x14ac:dyDescent="0.25">
      <c r="A102" t="str">
        <f>"        JPMorgan Chase &amp; Co"</f>
        <v xml:space="preserve">        JPMorgan Chase &amp; Co</v>
      </c>
      <c r="B102" t="str">
        <f>"JPM US Equity"</f>
        <v>JPM US Equity</v>
      </c>
      <c r="C102" t="str">
        <f t="shared" si="12"/>
        <v>FR011</v>
      </c>
      <c r="D102" t="str">
        <f t="shared" si="13"/>
        <v>FED_C&amp;I_LOANS_US_ADDRESS</v>
      </c>
      <c r="E102" t="str">
        <f t="shared" si="14"/>
        <v>Dynamic</v>
      </c>
      <c r="F102">
        <f ca="1">IF(AND(ISNUMBER($F$519),$B$427=1),$F$519,HLOOKUP(INDIRECT(ADDRESS(2,COLUMN())),OFFSET($AM$2,0,0,ROW()-1,33),ROW()-1,FALSE))</f>
        <v>165689</v>
      </c>
      <c r="G102">
        <f ca="1">IF(AND(ISNUMBER($G$519),$B$427=1),$G$519,HLOOKUP(INDIRECT(ADDRESS(2,COLUMN())),OFFSET($AM$2,0,0,ROW()-1,33),ROW()-1,FALSE))</f>
        <v>160047</v>
      </c>
      <c r="H102">
        <f ca="1">IF(AND(ISNUMBER($H$519),$B$427=1),$H$519,HLOOKUP(INDIRECT(ADDRESS(2,COLUMN())),OFFSET($AM$2,0,0,ROW()-1,33),ROW()-1,FALSE))</f>
        <v>150836</v>
      </c>
      <c r="I102">
        <f ca="1">IF(AND(ISNUMBER($I$519),$B$427=1),$I$519,HLOOKUP(INDIRECT(ADDRESS(2,COLUMN())),OFFSET($AM$2,0,0,ROW()-1,33),ROW()-1,FALSE))</f>
        <v>134484</v>
      </c>
      <c r="J102">
        <f ca="1">IF(AND(ISNUMBER($J$519),$B$427=1),$J$519,HLOOKUP(INDIRECT(ADDRESS(2,COLUMN())),OFFSET($AM$2,0,0,ROW()-1,33),ROW()-1,FALSE))</f>
        <v>149693</v>
      </c>
      <c r="K102">
        <f ca="1">IF(AND(ISNUMBER($K$519),$B$427=1),$K$519,HLOOKUP(INDIRECT(ADDRESS(2,COLUMN())),OFFSET($AM$2,0,0,ROW()-1,33),ROW()-1,FALSE))</f>
        <v>133662</v>
      </c>
      <c r="L102">
        <f ca="1">IF(AND(ISNUMBER($L$519),$B$427=1),$L$519,HLOOKUP(INDIRECT(ADDRESS(2,COLUMN())),OFFSET($AM$2,0,0,ROW()-1,33),ROW()-1,FALSE))</f>
        <v>152804</v>
      </c>
      <c r="M102">
        <f ca="1">IF(AND(ISNUMBER($M$519),$B$427=1),$M$519,HLOOKUP(INDIRECT(ADDRESS(2,COLUMN())),OFFSET($AM$2,0,0,ROW()-1,33),ROW()-1,FALSE))</f>
        <v>130507</v>
      </c>
      <c r="N102">
        <f ca="1">IF(AND(ISNUMBER($N$519),$B$427=1),$N$519,HLOOKUP(INDIRECT(ADDRESS(2,COLUMN())),OFFSET($AM$2,0,0,ROW()-1,33),ROW()-1,FALSE))</f>
        <v>124890</v>
      </c>
      <c r="O102">
        <f ca="1">IF(AND(ISNUMBER($O$519),$B$427=1),$O$519,HLOOKUP(INDIRECT(ADDRESS(2,COLUMN())),OFFSET($AM$2,0,0,ROW()-1,33),ROW()-1,FALSE))</f>
        <v>111422</v>
      </c>
      <c r="P102">
        <f ca="1">IF(AND(ISNUMBER($P$519),$B$427=1),$P$519,HLOOKUP(INDIRECT(ADDRESS(2,COLUMN())),OFFSET($AM$2,0,0,ROW()-1,33),ROW()-1,FALSE))</f>
        <v>98863</v>
      </c>
      <c r="Q102">
        <f ca="1">IF(AND(ISNUMBER($Q$519),$B$427=1),$Q$519,HLOOKUP(INDIRECT(ADDRESS(2,COLUMN())),OFFSET($AM$2,0,0,ROW()-1,33),ROW()-1,FALSE))</f>
        <v>97172</v>
      </c>
      <c r="R102">
        <f ca="1">IF(AND(ISNUMBER($R$519),$B$427=1),$R$519,HLOOKUP(INDIRECT(ADDRESS(2,COLUMN())),OFFSET($AM$2,0,0,ROW()-1,33),ROW()-1,FALSE))</f>
        <v>99319</v>
      </c>
      <c r="S102">
        <f ca="1">IF(AND(ISNUMBER($S$519),$B$427=1),$S$519,HLOOKUP(INDIRECT(ADDRESS(2,COLUMN())),OFFSET($AM$2,0,0,ROW()-1,33),ROW()-1,FALSE))</f>
        <v>89125</v>
      </c>
      <c r="T102">
        <f ca="1">IF(AND(ISNUMBER($T$519),$B$427=1),$T$519,HLOOKUP(INDIRECT(ADDRESS(2,COLUMN())),OFFSET($AM$2,0,0,ROW()-1,33),ROW()-1,FALSE))</f>
        <v>75796</v>
      </c>
      <c r="U102">
        <f ca="1">IF(AND(ISNUMBER($U$519),$B$427=1),$U$519,HLOOKUP(INDIRECT(ADDRESS(2,COLUMN())),OFFSET($AM$2,0,0,ROW()-1,33),ROW()-1,FALSE))</f>
        <v>80452</v>
      </c>
      <c r="V102">
        <f ca="1">IF(AND(ISNUMBER($V$519),$B$427=1),$V$519,HLOOKUP(INDIRECT(ADDRESS(2,COLUMN())),OFFSET($AM$2,0,0,ROW()-1,33),ROW()-1,FALSE))</f>
        <v>105908</v>
      </c>
      <c r="W102">
        <f ca="1">IF(AND(ISNUMBER($W$519),$B$427=1),$W$519,HLOOKUP(INDIRECT(ADDRESS(2,COLUMN())),OFFSET($AM$2,0,0,ROW()-1,33),ROW()-1,FALSE))</f>
        <v>98000</v>
      </c>
      <c r="X102">
        <f ca="1">IF(AND(ISNUMBER($X$519),$B$427=1),$X$519,HLOOKUP(INDIRECT(ADDRESS(2,COLUMN())),OFFSET($AM$2,0,0,ROW()-1,33),ROW()-1,FALSE))</f>
        <v>75327</v>
      </c>
      <c r="Y102">
        <f ca="1">IF(AND(ISNUMBER($Y$519),$B$427=1),$Y$519,HLOOKUP(INDIRECT(ADDRESS(2,COLUMN())),OFFSET($AM$2,0,0,ROW()-1,33),ROW()-1,FALSE))</f>
        <v>75873</v>
      </c>
      <c r="Z102">
        <f ca="1">IF(AND(ISNUMBER($Z$519),$B$427=1),$Z$519,HLOOKUP(INDIRECT(ADDRESS(2,COLUMN())),OFFSET($AM$2,0,0,ROW()-1,33),ROW()-1,FALSE))</f>
        <v>56477</v>
      </c>
      <c r="AA102">
        <f ca="1">IF(AND(ISNUMBER($AA$519),$B$427=1),$AA$519,HLOOKUP(INDIRECT(ADDRESS(2,COLUMN())),OFFSET($AM$2,0,0,ROW()-1,33),ROW()-1,FALSE))</f>
        <v>28521</v>
      </c>
      <c r="AB102">
        <f ca="1">IF(AND(ISNUMBER($AB$519),$B$427=1),$AB$519,HLOOKUP(INDIRECT(ADDRESS(2,COLUMN())),OFFSET($AM$2,0,0,ROW()-1,33),ROW()-1,FALSE))</f>
        <v>32397</v>
      </c>
      <c r="AC102">
        <f ca="1">IF(AND(ISNUMBER($AC$519),$B$427=1),$AC$519,HLOOKUP(INDIRECT(ADDRESS(2,COLUMN())),OFFSET($AM$2,0,0,ROW()-1,33),ROW()-1,FALSE))</f>
        <v>36105</v>
      </c>
      <c r="AD102" t="str">
        <f ca="1">IF(AND(ISNUMBER($AD$519),$B$427=1),$AD$519,HLOOKUP(INDIRECT(ADDRESS(2,COLUMN())),OFFSET($AM$2,0,0,ROW()-1,33),ROW()-1,FALSE))</f>
        <v/>
      </c>
      <c r="AE102" t="str">
        <f ca="1">IF(AND(ISNUMBER($AE$519),$B$427=1),$AE$519,HLOOKUP(INDIRECT(ADDRESS(2,COLUMN())),OFFSET($AM$2,0,0,ROW()-1,33),ROW()-1,FALSE))</f>
        <v/>
      </c>
      <c r="AF102" t="str">
        <f ca="1">IF(AND(ISNUMBER($AF$519),$B$427=1),$AF$519,HLOOKUP(INDIRECT(ADDRESS(2,COLUMN())),OFFSET($AM$2,0,0,ROW()-1,33),ROW()-1,FALSE))</f>
        <v/>
      </c>
      <c r="AG102" t="str">
        <f ca="1">IF(AND(ISNUMBER($AG$519),$B$427=1),$AG$519,HLOOKUP(INDIRECT(ADDRESS(2,COLUMN())),OFFSET($AM$2,0,0,ROW()-1,33),ROW()-1,FALSE))</f>
        <v/>
      </c>
      <c r="AH102" t="str">
        <f ca="1">IF(AND(ISNUMBER($AH$519),$B$427=1),$AH$519,HLOOKUP(INDIRECT(ADDRESS(2,COLUMN())),OFFSET($AM$2,0,0,ROW()-1,33),ROW()-1,FALSE))</f>
        <v/>
      </c>
      <c r="AI102" t="str">
        <f ca="1">IF(AND(ISNUMBER($AI$519),$B$427=1),$AI$519,HLOOKUP(INDIRECT(ADDRESS(2,COLUMN())),OFFSET($AM$2,0,0,ROW()-1,33),ROW()-1,FALSE))</f>
        <v/>
      </c>
      <c r="AJ102" t="str">
        <f ca="1">IF(AND(ISNUMBER($AJ$519),$B$427=1),$AJ$519,HLOOKUP(INDIRECT(ADDRESS(2,COLUMN())),OFFSET($AM$2,0,0,ROW()-1,33),ROW()-1,FALSE))</f>
        <v/>
      </c>
      <c r="AK102" t="str">
        <f ca="1">IF(AND(ISNUMBER($AK$519),$B$427=1),$AK$519,HLOOKUP(INDIRECT(ADDRESS(2,COLUMN())),OFFSET($AM$2,0,0,ROW()-1,33),ROW()-1,FALSE))</f>
        <v/>
      </c>
      <c r="AL102" t="str">
        <f ca="1">IF(AND(ISNUMBER($AL$519),$B$427=1),$AL$519,HLOOKUP(INDIRECT(ADDRESS(2,COLUMN())),OFFSET($AM$2,0,0,ROW()-1,33),ROW()-1,FALSE))</f>
        <v/>
      </c>
      <c r="AM102">
        <f>165689</f>
        <v>165689</v>
      </c>
      <c r="AN102">
        <f>160047</f>
        <v>160047</v>
      </c>
      <c r="AO102">
        <f>150836</f>
        <v>150836</v>
      </c>
      <c r="AP102">
        <f>134484</f>
        <v>134484</v>
      </c>
      <c r="AQ102">
        <f>149693</f>
        <v>149693</v>
      </c>
      <c r="AR102">
        <f>133662</f>
        <v>133662</v>
      </c>
      <c r="AS102">
        <f>152804</f>
        <v>152804</v>
      </c>
      <c r="AT102">
        <f>130507</f>
        <v>130507</v>
      </c>
      <c r="AU102">
        <f>124890</f>
        <v>124890</v>
      </c>
      <c r="AV102">
        <f>111422</f>
        <v>111422</v>
      </c>
      <c r="AW102">
        <f>98863</f>
        <v>98863</v>
      </c>
      <c r="AX102">
        <f>97172</f>
        <v>97172</v>
      </c>
      <c r="AY102">
        <f>99319</f>
        <v>99319</v>
      </c>
      <c r="AZ102">
        <f>89125</f>
        <v>89125</v>
      </c>
      <c r="BA102">
        <f>75796</f>
        <v>75796</v>
      </c>
      <c r="BB102">
        <f>80452</f>
        <v>80452</v>
      </c>
      <c r="BC102">
        <f>105908</f>
        <v>105908</v>
      </c>
      <c r="BD102">
        <f>98000</f>
        <v>98000</v>
      </c>
      <c r="BE102">
        <f>75327</f>
        <v>75327</v>
      </c>
      <c r="BF102">
        <f>75873</f>
        <v>75873</v>
      </c>
      <c r="BG102">
        <f>56477</f>
        <v>56477</v>
      </c>
      <c r="BH102">
        <f>28521</f>
        <v>28521</v>
      </c>
      <c r="BI102">
        <f>32397</f>
        <v>32397</v>
      </c>
      <c r="BJ102">
        <f>36105</f>
        <v>36105</v>
      </c>
      <c r="BK102" t="str">
        <f>""</f>
        <v/>
      </c>
      <c r="BL102" t="str">
        <f>""</f>
        <v/>
      </c>
      <c r="BM102" t="str">
        <f>""</f>
        <v/>
      </c>
      <c r="BN102" t="str">
        <f>""</f>
        <v/>
      </c>
      <c r="BO102" t="str">
        <f>""</f>
        <v/>
      </c>
      <c r="BP102" t="str">
        <f>""</f>
        <v/>
      </c>
      <c r="BQ102" t="str">
        <f>""</f>
        <v/>
      </c>
      <c r="BR102" t="str">
        <f>""</f>
        <v/>
      </c>
      <c r="BS102" t="str">
        <f>""</f>
        <v/>
      </c>
    </row>
    <row r="103" spans="1:71" x14ac:dyDescent="0.25">
      <c r="A103" t="str">
        <f>"        KeyCorp"</f>
        <v xml:space="preserve">        KeyCorp</v>
      </c>
      <c r="B103" t="str">
        <f>"KEY US Equity"</f>
        <v>KEY US Equity</v>
      </c>
      <c r="C103" t="str">
        <f t="shared" si="12"/>
        <v>FR011</v>
      </c>
      <c r="D103" t="str">
        <f t="shared" si="13"/>
        <v>FED_C&amp;I_LOANS_US_ADDRESS</v>
      </c>
      <c r="E103" t="str">
        <f t="shared" si="14"/>
        <v>Dynamic</v>
      </c>
      <c r="F103">
        <f ca="1">IF(AND(ISNUMBER($F$520),$B$427=1),$F$520,HLOOKUP(INDIRECT(ADDRESS(2,COLUMN())),OFFSET($AM$2,0,0,ROW()-1,33),ROW()-1,FALSE))</f>
        <v>29575.995999999999</v>
      </c>
      <c r="G103">
        <f ca="1">IF(AND(ISNUMBER($G$520),$B$427=1),$G$520,HLOOKUP(INDIRECT(ADDRESS(2,COLUMN())),OFFSET($AM$2,0,0,ROW()-1,33),ROW()-1,FALSE))</f>
        <v>41818.837</v>
      </c>
      <c r="H103">
        <f ca="1">IF(AND(ISNUMBER($H$520),$B$427=1),$H$520,HLOOKUP(INDIRECT(ADDRESS(2,COLUMN())),OFFSET($AM$2,0,0,ROW()-1,33),ROW()-1,FALSE))</f>
        <v>45880.3</v>
      </c>
      <c r="I103">
        <f ca="1">IF(AND(ISNUMBER($I$520),$B$427=1),$I$520,HLOOKUP(INDIRECT(ADDRESS(2,COLUMN())),OFFSET($AM$2,0,0,ROW()-1,33),ROW()-1,FALSE))</f>
        <v>39500.326000000001</v>
      </c>
      <c r="J103">
        <f ca="1">IF(AND(ISNUMBER($J$520),$B$427=1),$J$520,HLOOKUP(INDIRECT(ADDRESS(2,COLUMN())),OFFSET($AM$2,0,0,ROW()-1,33),ROW()-1,FALSE))</f>
        <v>41072.786999999997</v>
      </c>
      <c r="K103">
        <f ca="1">IF(AND(ISNUMBER($K$520),$B$427=1),$K$520,HLOOKUP(INDIRECT(ADDRESS(2,COLUMN())),OFFSET($AM$2,0,0,ROW()-1,33),ROW()-1,FALSE))</f>
        <v>36785.572</v>
      </c>
      <c r="L103">
        <f ca="1">IF(AND(ISNUMBER($L$520),$B$427=1),$L$520,HLOOKUP(INDIRECT(ADDRESS(2,COLUMN())),OFFSET($AM$2,0,0,ROW()-1,33),ROW()-1,FALSE))</f>
        <v>34749.845000000001</v>
      </c>
      <c r="M103">
        <f ca="1">IF(AND(ISNUMBER($M$520),$B$427=1),$M$520,HLOOKUP(INDIRECT(ADDRESS(2,COLUMN())),OFFSET($AM$2,0,0,ROW()-1,33),ROW()-1,FALSE))</f>
        <v>31106</v>
      </c>
      <c r="N103">
        <f ca="1">IF(AND(ISNUMBER($N$520),$B$427=1),$N$520,HLOOKUP(INDIRECT(ADDRESS(2,COLUMN())),OFFSET($AM$2,0,0,ROW()-1,33),ROW()-1,FALSE))</f>
        <v>30070.73</v>
      </c>
      <c r="O103">
        <f ca="1">IF(AND(ISNUMBER($O$520),$B$427=1),$O$520,HLOOKUP(INDIRECT(ADDRESS(2,COLUMN())),OFFSET($AM$2,0,0,ROW()-1,33),ROW()-1,FALSE))</f>
        <v>22791.664000000001</v>
      </c>
      <c r="P103">
        <f ca="1">IF(AND(ISNUMBER($P$520),$B$427=1),$P$520,HLOOKUP(INDIRECT(ADDRESS(2,COLUMN())),OFFSET($AM$2,0,0,ROW()-1,33),ROW()-1,FALSE))</f>
        <v>21211.904999999999</v>
      </c>
      <c r="Q103">
        <f ca="1">IF(AND(ISNUMBER($Q$520),$B$427=1),$Q$520,HLOOKUP(INDIRECT(ADDRESS(2,COLUMN())),OFFSET($AM$2,0,0,ROW()-1,33),ROW()-1,FALSE))</f>
        <v>18998.039000000001</v>
      </c>
      <c r="R103">
        <f ca="1">IF(AND(ISNUMBER($R$520),$B$427=1),$R$520,HLOOKUP(INDIRECT(ADDRESS(2,COLUMN())),OFFSET($AM$2,0,0,ROW()-1,33),ROW()-1,FALSE))</f>
        <v>17650.335999999999</v>
      </c>
      <c r="S103">
        <f ca="1">IF(AND(ISNUMBER($S$520),$B$427=1),$S$520,HLOOKUP(INDIRECT(ADDRESS(2,COLUMN())),OFFSET($AM$2,0,0,ROW()-1,33),ROW()-1,FALSE))</f>
        <v>14913.321</v>
      </c>
      <c r="T103">
        <f ca="1">IF(AND(ISNUMBER($T$520),$B$427=1),$T$520,HLOOKUP(INDIRECT(ADDRESS(2,COLUMN())),OFFSET($AM$2,0,0,ROW()-1,33),ROW()-1,FALSE))</f>
        <v>12897.736000000001</v>
      </c>
      <c r="U103">
        <f ca="1">IF(AND(ISNUMBER($U$520),$B$427=1),$U$520,HLOOKUP(INDIRECT(ADDRESS(2,COLUMN())),OFFSET($AM$2,0,0,ROW()-1,33),ROW()-1,FALSE))</f>
        <v>15187.117</v>
      </c>
      <c r="V103">
        <f ca="1">IF(AND(ISNUMBER($V$520),$B$427=1),$V$520,HLOOKUP(INDIRECT(ADDRESS(2,COLUMN())),OFFSET($AM$2,0,0,ROW()-1,33),ROW()-1,FALSE))</f>
        <v>21679.648000000001</v>
      </c>
      <c r="W103">
        <f ca="1">IF(AND(ISNUMBER($W$520),$B$427=1),$W$520,HLOOKUP(INDIRECT(ADDRESS(2,COLUMN())),OFFSET($AM$2,0,0,ROW()-1,33),ROW()-1,FALSE))</f>
        <v>20581.539000000001</v>
      </c>
      <c r="X103">
        <f ca="1">IF(AND(ISNUMBER($X$520),$B$427=1),$X$520,HLOOKUP(INDIRECT(ADDRESS(2,COLUMN())),OFFSET($AM$2,0,0,ROW()-1,33),ROW()-1,FALSE))</f>
        <v>18711.419999999998</v>
      </c>
      <c r="Y103">
        <f ca="1">IF(AND(ISNUMBER($Y$520),$B$427=1),$Y$520,HLOOKUP(INDIRECT(ADDRESS(2,COLUMN())),OFFSET($AM$2,0,0,ROW()-1,33),ROW()-1,FALSE))</f>
        <v>19902.791000000001</v>
      </c>
      <c r="Z103">
        <f ca="1">IF(AND(ISNUMBER($Z$520),$B$427=1),$Z$520,HLOOKUP(INDIRECT(ADDRESS(2,COLUMN())),OFFSET($AM$2,0,0,ROW()-1,33),ROW()-1,FALSE))</f>
        <v>17561.143</v>
      </c>
      <c r="AA103">
        <f ca="1">IF(AND(ISNUMBER($AA$520),$B$427=1),$AA$520,HLOOKUP(INDIRECT(ADDRESS(2,COLUMN())),OFFSET($AM$2,0,0,ROW()-1,33),ROW()-1,FALSE))</f>
        <v>15727.905000000001</v>
      </c>
      <c r="AB103">
        <f ca="1">IF(AND(ISNUMBER($AB$520),$B$427=1),$AB$520,HLOOKUP(INDIRECT(ADDRESS(2,COLUMN())),OFFSET($AM$2,0,0,ROW()-1,33),ROW()-1,FALSE))</f>
        <v>16287.365</v>
      </c>
      <c r="AC103">
        <f ca="1">IF(AND(ISNUMBER($AC$520),$B$427=1),$AC$520,HLOOKUP(INDIRECT(ADDRESS(2,COLUMN())),OFFSET($AM$2,0,0,ROW()-1,33),ROW()-1,FALSE))</f>
        <v>16849.543000000001</v>
      </c>
      <c r="AD103" t="str">
        <f ca="1">IF(AND(ISNUMBER($AD$520),$B$427=1),$AD$520,HLOOKUP(INDIRECT(ADDRESS(2,COLUMN())),OFFSET($AM$2,0,0,ROW()-1,33),ROW()-1,FALSE))</f>
        <v/>
      </c>
      <c r="AE103" t="str">
        <f ca="1">IF(AND(ISNUMBER($AE$520),$B$427=1),$AE$520,HLOOKUP(INDIRECT(ADDRESS(2,COLUMN())),OFFSET($AM$2,0,0,ROW()-1,33),ROW()-1,FALSE))</f>
        <v/>
      </c>
      <c r="AF103" t="str">
        <f ca="1">IF(AND(ISNUMBER($AF$520),$B$427=1),$AF$520,HLOOKUP(INDIRECT(ADDRESS(2,COLUMN())),OFFSET($AM$2,0,0,ROW()-1,33),ROW()-1,FALSE))</f>
        <v/>
      </c>
      <c r="AG103" t="str">
        <f ca="1">IF(AND(ISNUMBER($AG$520),$B$427=1),$AG$520,HLOOKUP(INDIRECT(ADDRESS(2,COLUMN())),OFFSET($AM$2,0,0,ROW()-1,33),ROW()-1,FALSE))</f>
        <v/>
      </c>
      <c r="AH103" t="str">
        <f ca="1">IF(AND(ISNUMBER($AH$520),$B$427=1),$AH$520,HLOOKUP(INDIRECT(ADDRESS(2,COLUMN())),OFFSET($AM$2,0,0,ROW()-1,33),ROW()-1,FALSE))</f>
        <v/>
      </c>
      <c r="AI103" t="str">
        <f ca="1">IF(AND(ISNUMBER($AI$520),$B$427=1),$AI$520,HLOOKUP(INDIRECT(ADDRESS(2,COLUMN())),OFFSET($AM$2,0,0,ROW()-1,33),ROW()-1,FALSE))</f>
        <v/>
      </c>
      <c r="AJ103" t="str">
        <f ca="1">IF(AND(ISNUMBER($AJ$520),$B$427=1),$AJ$520,HLOOKUP(INDIRECT(ADDRESS(2,COLUMN())),OFFSET($AM$2,0,0,ROW()-1,33),ROW()-1,FALSE))</f>
        <v/>
      </c>
      <c r="AK103" t="str">
        <f ca="1">IF(AND(ISNUMBER($AK$520),$B$427=1),$AK$520,HLOOKUP(INDIRECT(ADDRESS(2,COLUMN())),OFFSET($AM$2,0,0,ROW()-1,33),ROW()-1,FALSE))</f>
        <v/>
      </c>
      <c r="AL103" t="str">
        <f ca="1">IF(AND(ISNUMBER($AL$520),$B$427=1),$AL$520,HLOOKUP(INDIRECT(ADDRESS(2,COLUMN())),OFFSET($AM$2,0,0,ROW()-1,33),ROW()-1,FALSE))</f>
        <v/>
      </c>
      <c r="AM103">
        <f>29575.996</f>
        <v>29575.995999999999</v>
      </c>
      <c r="AN103">
        <f>41818.837</f>
        <v>41818.837</v>
      </c>
      <c r="AO103">
        <f>45880.3</f>
        <v>45880.3</v>
      </c>
      <c r="AP103">
        <f>39500.326</f>
        <v>39500.326000000001</v>
      </c>
      <c r="AQ103">
        <f>41072.787</f>
        <v>41072.786999999997</v>
      </c>
      <c r="AR103">
        <f>36785.572</f>
        <v>36785.572</v>
      </c>
      <c r="AS103">
        <f>34749.845</f>
        <v>34749.845000000001</v>
      </c>
      <c r="AT103">
        <f>31106</f>
        <v>31106</v>
      </c>
      <c r="AU103">
        <f>30070.73</f>
        <v>30070.73</v>
      </c>
      <c r="AV103">
        <f>22791.664</f>
        <v>22791.664000000001</v>
      </c>
      <c r="AW103">
        <f>21211.905</f>
        <v>21211.904999999999</v>
      </c>
      <c r="AX103">
        <f>18998.039</f>
        <v>18998.039000000001</v>
      </c>
      <c r="AY103">
        <f>17650.336</f>
        <v>17650.335999999999</v>
      </c>
      <c r="AZ103">
        <f>14913.321</f>
        <v>14913.321</v>
      </c>
      <c r="BA103">
        <f>12897.736</f>
        <v>12897.736000000001</v>
      </c>
      <c r="BB103">
        <f>15187.117</f>
        <v>15187.117</v>
      </c>
      <c r="BC103">
        <f>21679.648</f>
        <v>21679.648000000001</v>
      </c>
      <c r="BD103">
        <f>20581.539</f>
        <v>20581.539000000001</v>
      </c>
      <c r="BE103">
        <f>18711.42</f>
        <v>18711.419999999998</v>
      </c>
      <c r="BF103">
        <f>19902.791</f>
        <v>19902.791000000001</v>
      </c>
      <c r="BG103">
        <f>17561.143</f>
        <v>17561.143</v>
      </c>
      <c r="BH103">
        <f>15727.905</f>
        <v>15727.905000000001</v>
      </c>
      <c r="BI103">
        <f>16287.365</f>
        <v>16287.365</v>
      </c>
      <c r="BJ103">
        <f>16849.543</f>
        <v>16849.543000000001</v>
      </c>
      <c r="BK103" t="str">
        <f>""</f>
        <v/>
      </c>
      <c r="BL103" t="str">
        <f>""</f>
        <v/>
      </c>
      <c r="BM103" t="str">
        <f>""</f>
        <v/>
      </c>
      <c r="BN103" t="str">
        <f>""</f>
        <v/>
      </c>
      <c r="BO103" t="str">
        <f>""</f>
        <v/>
      </c>
      <c r="BP103" t="str">
        <f>""</f>
        <v/>
      </c>
      <c r="BQ103" t="str">
        <f>""</f>
        <v/>
      </c>
      <c r="BR103" t="str">
        <f>""</f>
        <v/>
      </c>
      <c r="BS103" t="str">
        <f>""</f>
        <v/>
      </c>
    </row>
    <row r="104" spans="1:71" x14ac:dyDescent="0.25">
      <c r="A104" t="str">
        <f>"        M&amp;T Bank Corp"</f>
        <v xml:space="preserve">        M&amp;T Bank Corp</v>
      </c>
      <c r="B104" t="str">
        <f>"MTB US Equity"</f>
        <v>MTB US Equity</v>
      </c>
      <c r="C104" t="str">
        <f t="shared" si="12"/>
        <v>FR011</v>
      </c>
      <c r="D104" t="str">
        <f t="shared" si="13"/>
        <v>FED_C&amp;I_LOANS_US_ADDRESS</v>
      </c>
      <c r="E104" t="str">
        <f t="shared" si="14"/>
        <v>Dynamic</v>
      </c>
      <c r="F104">
        <f ca="1">IF(AND(ISNUMBER($F$521),$B$427=1),$F$521,HLOOKUP(INDIRECT(ADDRESS(2,COLUMN())),OFFSET($AM$2,0,0,ROW()-1,33),ROW()-1,FALSE))</f>
        <v>34151.082999999999</v>
      </c>
      <c r="G104">
        <f ca="1">IF(AND(ISNUMBER($G$521),$B$427=1),$G$521,HLOOKUP(INDIRECT(ADDRESS(2,COLUMN())),OFFSET($AM$2,0,0,ROW()-1,33),ROW()-1,FALSE))</f>
        <v>32204.977999999999</v>
      </c>
      <c r="H104">
        <f ca="1">IF(AND(ISNUMBER($H$521),$B$427=1),$H$521,HLOOKUP(INDIRECT(ADDRESS(2,COLUMN())),OFFSET($AM$2,0,0,ROW()-1,33),ROW()-1,FALSE))</f>
        <v>30044.839</v>
      </c>
      <c r="I104">
        <f ca="1">IF(AND(ISNUMBER($I$521),$B$427=1),$I$521,HLOOKUP(INDIRECT(ADDRESS(2,COLUMN())),OFFSET($AM$2,0,0,ROW()-1,33),ROW()-1,FALSE))</f>
        <v>18034.106</v>
      </c>
      <c r="J104">
        <f ca="1">IF(AND(ISNUMBER($J$521),$B$427=1),$J$521,HLOOKUP(INDIRECT(ADDRESS(2,COLUMN())),OFFSET($AM$2,0,0,ROW()-1,33),ROW()-1,FALSE))</f>
        <v>22382.092000000001</v>
      </c>
      <c r="K104">
        <f ca="1">IF(AND(ISNUMBER($K$521),$B$427=1),$K$521,HLOOKUP(INDIRECT(ADDRESS(2,COLUMN())),OFFSET($AM$2,0,0,ROW()-1,33),ROW()-1,FALSE))</f>
        <v>19018.134999999998</v>
      </c>
      <c r="L104">
        <f ca="1">IF(AND(ISNUMBER($L$521),$B$427=1),$L$521,HLOOKUP(INDIRECT(ADDRESS(2,COLUMN())),OFFSET($AM$2,0,0,ROW()-1,33),ROW()-1,FALSE))</f>
        <v>18099.976999999999</v>
      </c>
      <c r="M104">
        <f ca="1">IF(AND(ISNUMBER($M$521),$B$427=1),$M$521,HLOOKUP(INDIRECT(ADDRESS(2,COLUMN())),OFFSET($AM$2,0,0,ROW()-1,33),ROW()-1,FALSE))</f>
        <v>16919.260999999999</v>
      </c>
      <c r="N104">
        <f ca="1">IF(AND(ISNUMBER($N$521),$B$427=1),$N$521,HLOOKUP(INDIRECT(ADDRESS(2,COLUMN())),OFFSET($AM$2,0,0,ROW()-1,33),ROW()-1,FALSE))</f>
        <v>17638.648000000001</v>
      </c>
      <c r="O104">
        <f ca="1">IF(AND(ISNUMBER($O$521),$B$427=1),$O$521,HLOOKUP(INDIRECT(ADDRESS(2,COLUMN())),OFFSET($AM$2,0,0,ROW()-1,33),ROW()-1,FALSE))</f>
        <v>16444.212</v>
      </c>
      <c r="P104">
        <f ca="1">IF(AND(ISNUMBER($P$521),$B$427=1),$P$521,HLOOKUP(INDIRECT(ADDRESS(2,COLUMN())),OFFSET($AM$2,0,0,ROW()-1,33),ROW()-1,FALSE))</f>
        <v>15752.373</v>
      </c>
      <c r="Q104">
        <f ca="1">IF(AND(ISNUMBER($Q$521),$B$427=1),$Q$521,HLOOKUP(INDIRECT(ADDRESS(2,COLUMN())),OFFSET($AM$2,0,0,ROW()-1,33),ROW()-1,FALSE))</f>
        <v>15094.986000000001</v>
      </c>
      <c r="R104">
        <f ca="1">IF(AND(ISNUMBER($R$521),$B$427=1),$R$521,HLOOKUP(INDIRECT(ADDRESS(2,COLUMN())),OFFSET($AM$2,0,0,ROW()-1,33),ROW()-1,FALSE))</f>
        <v>14147.92</v>
      </c>
      <c r="S104">
        <f ca="1">IF(AND(ISNUMBER($S$521),$B$427=1),$S$521,HLOOKUP(INDIRECT(ADDRESS(2,COLUMN())),OFFSET($AM$2,0,0,ROW()-1,33),ROW()-1,FALSE))</f>
        <v>12655.05</v>
      </c>
      <c r="T104">
        <f ca="1">IF(AND(ISNUMBER($T$521),$B$427=1),$T$521,HLOOKUP(INDIRECT(ADDRESS(2,COLUMN())),OFFSET($AM$2,0,0,ROW()-1,33),ROW()-1,FALSE))</f>
        <v>10544.942999999999</v>
      </c>
      <c r="U104">
        <f ca="1">IF(AND(ISNUMBER($U$521),$B$427=1),$U$521,HLOOKUP(INDIRECT(ADDRESS(2,COLUMN())),OFFSET($AM$2,0,0,ROW()-1,33),ROW()-1,FALSE))</f>
        <v>10362.379000000001</v>
      </c>
      <c r="V104">
        <f ca="1">IF(AND(ISNUMBER($V$521),$B$427=1),$V$521,HLOOKUP(INDIRECT(ADDRESS(2,COLUMN())),OFFSET($AM$2,0,0,ROW()-1,33),ROW()-1,FALSE))</f>
        <v>11084.695</v>
      </c>
      <c r="W104">
        <f ca="1">IF(AND(ISNUMBER($W$521),$B$427=1),$W$521,HLOOKUP(INDIRECT(ADDRESS(2,COLUMN())),OFFSET($AM$2,0,0,ROW()-1,33),ROW()-1,FALSE))</f>
        <v>10549.732</v>
      </c>
      <c r="X104">
        <f ca="1">IF(AND(ISNUMBER($X$521),$B$427=1),$X$521,HLOOKUP(INDIRECT(ADDRESS(2,COLUMN())),OFFSET($AM$2,0,0,ROW()-1,33),ROW()-1,FALSE))</f>
        <v>9704.4699999999993</v>
      </c>
      <c r="Y104">
        <f ca="1">IF(AND(ISNUMBER($Y$521),$B$427=1),$Y$521,HLOOKUP(INDIRECT(ADDRESS(2,COLUMN())),OFFSET($AM$2,0,0,ROW()-1,33),ROW()-1,FALSE))</f>
        <v>8914.3580000000002</v>
      </c>
      <c r="Z104">
        <f ca="1">IF(AND(ISNUMBER($Z$521),$B$427=1),$Z$521,HLOOKUP(INDIRECT(ADDRESS(2,COLUMN())),OFFSET($AM$2,0,0,ROW()-1,33),ROW()-1,FALSE))</f>
        <v>7946.2920000000004</v>
      </c>
      <c r="AA104">
        <f ca="1">IF(AND(ISNUMBER($AA$521),$B$427=1),$AA$521,HLOOKUP(INDIRECT(ADDRESS(2,COLUMN())),OFFSET($AM$2,0,0,ROW()-1,33),ROW()-1,FALSE))</f>
        <v>7429.06</v>
      </c>
      <c r="AB104">
        <f ca="1">IF(AND(ISNUMBER($AB$521),$B$427=1),$AB$521,HLOOKUP(INDIRECT(ADDRESS(2,COLUMN())),OFFSET($AM$2,0,0,ROW()-1,33),ROW()-1,FALSE))</f>
        <v>4855.3549999999996</v>
      </c>
      <c r="AC104">
        <f ca="1">IF(AND(ISNUMBER($AC$521),$B$427=1),$AC$521,HLOOKUP(INDIRECT(ADDRESS(2,COLUMN())),OFFSET($AM$2,0,0,ROW()-1,33),ROW()-1,FALSE))</f>
        <v>4681.1670000000004</v>
      </c>
      <c r="AD104" t="str">
        <f ca="1">IF(AND(ISNUMBER($AD$521),$B$427=1),$AD$521,HLOOKUP(INDIRECT(ADDRESS(2,COLUMN())),OFFSET($AM$2,0,0,ROW()-1,33),ROW()-1,FALSE))</f>
        <v/>
      </c>
      <c r="AE104" t="str">
        <f ca="1">IF(AND(ISNUMBER($AE$521),$B$427=1),$AE$521,HLOOKUP(INDIRECT(ADDRESS(2,COLUMN())),OFFSET($AM$2,0,0,ROW()-1,33),ROW()-1,FALSE))</f>
        <v/>
      </c>
      <c r="AF104" t="str">
        <f ca="1">IF(AND(ISNUMBER($AF$521),$B$427=1),$AF$521,HLOOKUP(INDIRECT(ADDRESS(2,COLUMN())),OFFSET($AM$2,0,0,ROW()-1,33),ROW()-1,FALSE))</f>
        <v/>
      </c>
      <c r="AG104" t="str">
        <f ca="1">IF(AND(ISNUMBER($AG$521),$B$427=1),$AG$521,HLOOKUP(INDIRECT(ADDRESS(2,COLUMN())),OFFSET($AM$2,0,0,ROW()-1,33),ROW()-1,FALSE))</f>
        <v/>
      </c>
      <c r="AH104" t="str">
        <f ca="1">IF(AND(ISNUMBER($AH$521),$B$427=1),$AH$521,HLOOKUP(INDIRECT(ADDRESS(2,COLUMN())),OFFSET($AM$2,0,0,ROW()-1,33),ROW()-1,FALSE))</f>
        <v/>
      </c>
      <c r="AI104" t="str">
        <f ca="1">IF(AND(ISNUMBER($AI$521),$B$427=1),$AI$521,HLOOKUP(INDIRECT(ADDRESS(2,COLUMN())),OFFSET($AM$2,0,0,ROW()-1,33),ROW()-1,FALSE))</f>
        <v/>
      </c>
      <c r="AJ104" t="str">
        <f ca="1">IF(AND(ISNUMBER($AJ$521),$B$427=1),$AJ$521,HLOOKUP(INDIRECT(ADDRESS(2,COLUMN())),OFFSET($AM$2,0,0,ROW()-1,33),ROW()-1,FALSE))</f>
        <v/>
      </c>
      <c r="AK104" t="str">
        <f ca="1">IF(AND(ISNUMBER($AK$521),$B$427=1),$AK$521,HLOOKUP(INDIRECT(ADDRESS(2,COLUMN())),OFFSET($AM$2,0,0,ROW()-1,33),ROW()-1,FALSE))</f>
        <v/>
      </c>
      <c r="AL104" t="str">
        <f ca="1">IF(AND(ISNUMBER($AL$521),$B$427=1),$AL$521,HLOOKUP(INDIRECT(ADDRESS(2,COLUMN())),OFFSET($AM$2,0,0,ROW()-1,33),ROW()-1,FALSE))</f>
        <v/>
      </c>
      <c r="AM104">
        <f>34151.083</f>
        <v>34151.082999999999</v>
      </c>
      <c r="AN104">
        <f>32204.978</f>
        <v>32204.977999999999</v>
      </c>
      <c r="AO104">
        <f>30044.839</f>
        <v>30044.839</v>
      </c>
      <c r="AP104">
        <f>18034.106</f>
        <v>18034.106</v>
      </c>
      <c r="AQ104">
        <f>22382.092</f>
        <v>22382.092000000001</v>
      </c>
      <c r="AR104">
        <f>19018.135</f>
        <v>19018.134999999998</v>
      </c>
      <c r="AS104">
        <f>18099.977</f>
        <v>18099.976999999999</v>
      </c>
      <c r="AT104">
        <f>16919.261</f>
        <v>16919.260999999999</v>
      </c>
      <c r="AU104">
        <f>17638.648</f>
        <v>17638.648000000001</v>
      </c>
      <c r="AV104">
        <f>16444.212</f>
        <v>16444.212</v>
      </c>
      <c r="AW104">
        <f>15752.373</f>
        <v>15752.373</v>
      </c>
      <c r="AX104">
        <f>15094.986</f>
        <v>15094.986000000001</v>
      </c>
      <c r="AY104">
        <f>14147.92</f>
        <v>14147.92</v>
      </c>
      <c r="AZ104">
        <f>12655.05</f>
        <v>12655.05</v>
      </c>
      <c r="BA104">
        <f>10544.943</f>
        <v>10544.942999999999</v>
      </c>
      <c r="BB104">
        <f>10362.379</f>
        <v>10362.379000000001</v>
      </c>
      <c r="BC104">
        <f>11084.695</f>
        <v>11084.695</v>
      </c>
      <c r="BD104">
        <f>10549.732</f>
        <v>10549.732</v>
      </c>
      <c r="BE104">
        <f>9704.47</f>
        <v>9704.4699999999993</v>
      </c>
      <c r="BF104">
        <f>8914.358</f>
        <v>8914.3580000000002</v>
      </c>
      <c r="BG104">
        <f>7946.292</f>
        <v>7946.2920000000004</v>
      </c>
      <c r="BH104">
        <f>7429.06</f>
        <v>7429.06</v>
      </c>
      <c r="BI104">
        <f>4855.355</f>
        <v>4855.3549999999996</v>
      </c>
      <c r="BJ104">
        <f>4681.167</f>
        <v>4681.1670000000004</v>
      </c>
      <c r="BK104" t="str">
        <f>""</f>
        <v/>
      </c>
      <c r="BL104" t="str">
        <f>""</f>
        <v/>
      </c>
      <c r="BM104" t="str">
        <f>""</f>
        <v/>
      </c>
      <c r="BN104" t="str">
        <f>""</f>
        <v/>
      </c>
      <c r="BO104" t="str">
        <f>""</f>
        <v/>
      </c>
      <c r="BP104" t="str">
        <f>""</f>
        <v/>
      </c>
      <c r="BQ104" t="str">
        <f>""</f>
        <v/>
      </c>
      <c r="BR104" t="str">
        <f>""</f>
        <v/>
      </c>
      <c r="BS104" t="str">
        <f>""</f>
        <v/>
      </c>
    </row>
    <row r="105" spans="1:71" x14ac:dyDescent="0.25">
      <c r="A105" t="str">
        <f>"        PNC Financial Services Group I"</f>
        <v xml:space="preserve">        PNC Financial Services Group I</v>
      </c>
      <c r="B105" t="str">
        <f>"PNC US Equity"</f>
        <v>PNC US Equity</v>
      </c>
      <c r="C105" t="str">
        <f t="shared" si="12"/>
        <v>FR011</v>
      </c>
      <c r="D105" t="str">
        <f t="shared" si="13"/>
        <v>FED_C&amp;I_LOANS_US_ADDRESS</v>
      </c>
      <c r="E105" t="str">
        <f t="shared" si="14"/>
        <v>Dynamic</v>
      </c>
      <c r="F105" t="str">
        <f ca="1">IF(AND(ISNUMBER($F$522),$B$427=1),$F$522,HLOOKUP(INDIRECT(ADDRESS(2,COLUMN())),OFFSET($AM$2,0,0,ROW()-1,33),ROW()-1,FALSE))</f>
        <v/>
      </c>
      <c r="G105">
        <f ca="1">IF(AND(ISNUMBER($G$522),$B$427=1),$G$522,HLOOKUP(INDIRECT(ADDRESS(2,COLUMN())),OFFSET($AM$2,0,0,ROW()-1,33),ROW()-1,FALSE))</f>
        <v>114999.12</v>
      </c>
      <c r="H105">
        <f ca="1">IF(AND(ISNUMBER($H$522),$B$427=1),$H$522,HLOOKUP(INDIRECT(ADDRESS(2,COLUMN())),OFFSET($AM$2,0,0,ROW()-1,33),ROW()-1,FALSE))</f>
        <v>121294.583</v>
      </c>
      <c r="I105">
        <f ca="1">IF(AND(ISNUMBER($I$522),$B$427=1),$I$522,HLOOKUP(INDIRECT(ADDRESS(2,COLUMN())),OFFSET($AM$2,0,0,ROW()-1,33),ROW()-1,FALSE))</f>
        <v>97373.402000000002</v>
      </c>
      <c r="J105">
        <f ca="1">IF(AND(ISNUMBER($J$522),$B$427=1),$J$522,HLOOKUP(INDIRECT(ADDRESS(2,COLUMN())),OFFSET($AM$2,0,0,ROW()-1,33),ROW()-1,FALSE))</f>
        <v>88084.629000000001</v>
      </c>
      <c r="K105">
        <f ca="1">IF(AND(ISNUMBER($K$522),$B$427=1),$K$522,HLOOKUP(INDIRECT(ADDRESS(2,COLUMN())),OFFSET($AM$2,0,0,ROW()-1,33),ROW()-1,FALSE))</f>
        <v>86519.012000000002</v>
      </c>
      <c r="L105">
        <f ca="1">IF(AND(ISNUMBER($L$522),$B$427=1),$L$522,HLOOKUP(INDIRECT(ADDRESS(2,COLUMN())),OFFSET($AM$2,0,0,ROW()-1,33),ROW()-1,FALSE))</f>
        <v>80692.263999999996</v>
      </c>
      <c r="M105">
        <f ca="1">IF(AND(ISNUMBER($M$522),$B$427=1),$M$522,HLOOKUP(INDIRECT(ADDRESS(2,COLUMN())),OFFSET($AM$2,0,0,ROW()-1,33),ROW()-1,FALSE))</f>
        <v>73201.493000000002</v>
      </c>
      <c r="N105">
        <f ca="1">IF(AND(ISNUMBER($N$522),$B$427=1),$N$522,HLOOKUP(INDIRECT(ADDRESS(2,COLUMN())),OFFSET($AM$2,0,0,ROW()-1,33),ROW()-1,FALSE))</f>
        <v>66670.441999999995</v>
      </c>
      <c r="O105">
        <f ca="1">IF(AND(ISNUMBER($O$522),$B$427=1),$O$522,HLOOKUP(INDIRECT(ADDRESS(2,COLUMN())),OFFSET($AM$2,0,0,ROW()-1,33),ROW()-1,FALSE))</f>
        <v>62898.84</v>
      </c>
      <c r="P105">
        <f ca="1">IF(AND(ISNUMBER($P$522),$B$427=1),$P$522,HLOOKUP(INDIRECT(ADDRESS(2,COLUMN())),OFFSET($AM$2,0,0,ROW()-1,33),ROW()-1,FALSE))</f>
        <v>63080.902000000002</v>
      </c>
      <c r="Q105">
        <f ca="1">IF(AND(ISNUMBER($Q$522),$B$427=1),$Q$522,HLOOKUP(INDIRECT(ADDRESS(2,COLUMN())),OFFSET($AM$2,0,0,ROW()-1,33),ROW()-1,FALSE))</f>
        <v>56707.216</v>
      </c>
      <c r="R105">
        <f ca="1">IF(AND(ISNUMBER($R$522),$B$427=1),$R$522,HLOOKUP(INDIRECT(ADDRESS(2,COLUMN())),OFFSET($AM$2,0,0,ROW()-1,33),ROW()-1,FALSE))</f>
        <v>53584.644</v>
      </c>
      <c r="S105">
        <f ca="1">IF(AND(ISNUMBER($S$522),$B$427=1),$S$522,HLOOKUP(INDIRECT(ADDRESS(2,COLUMN())),OFFSET($AM$2,0,0,ROW()-1,33),ROW()-1,FALSE))</f>
        <v>45414.777999999998</v>
      </c>
      <c r="T105">
        <f ca="1">IF(AND(ISNUMBER($T$522),$B$427=1),$T$522,HLOOKUP(INDIRECT(ADDRESS(2,COLUMN())),OFFSET($AM$2,0,0,ROW()-1,33),ROW()-1,FALSE))</f>
        <v>40133.654999999999</v>
      </c>
      <c r="U105">
        <f ca="1">IF(AND(ISNUMBER($U$522),$B$427=1),$U$522,HLOOKUP(INDIRECT(ADDRESS(2,COLUMN())),OFFSET($AM$2,0,0,ROW()-1,33),ROW()-1,FALSE))</f>
        <v>40587.699000000001</v>
      </c>
      <c r="V105">
        <f ca="1">IF(AND(ISNUMBER($V$522),$B$427=1),$V$522,HLOOKUP(INDIRECT(ADDRESS(2,COLUMN())),OFFSET($AM$2,0,0,ROW()-1,33),ROW()-1,FALSE))</f>
        <v>52424.241000000002</v>
      </c>
      <c r="W105">
        <f ca="1">IF(AND(ISNUMBER($W$522),$B$427=1),$W$522,HLOOKUP(INDIRECT(ADDRESS(2,COLUMN())),OFFSET($AM$2,0,0,ROW()-1,33),ROW()-1,FALSE))</f>
        <v>21134.603999999999</v>
      </c>
      <c r="X105">
        <f ca="1">IF(AND(ISNUMBER($X$522),$B$427=1),$X$522,HLOOKUP(INDIRECT(ADDRESS(2,COLUMN())),OFFSET($AM$2,0,0,ROW()-1,33),ROW()-1,FALSE))</f>
        <v>16592.207999999999</v>
      </c>
      <c r="Y105">
        <f ca="1">IF(AND(ISNUMBER($Y$522),$B$427=1),$Y$522,HLOOKUP(INDIRECT(ADDRESS(2,COLUMN())),OFFSET($AM$2,0,0,ROW()-1,33),ROW()-1,FALSE))</f>
        <v>14803.018</v>
      </c>
      <c r="Z105">
        <f ca="1">IF(AND(ISNUMBER($Z$522),$B$427=1),$Z$522,HLOOKUP(INDIRECT(ADDRESS(2,COLUMN())),OFFSET($AM$2,0,0,ROW()-1,33),ROW()-1,FALSE))</f>
        <v>14438.828</v>
      </c>
      <c r="AA105">
        <f ca="1">IF(AND(ISNUMBER($AA$522),$B$427=1),$AA$522,HLOOKUP(INDIRECT(ADDRESS(2,COLUMN())),OFFSET($AM$2,0,0,ROW()-1,33),ROW()-1,FALSE))</f>
        <v>11758.42</v>
      </c>
      <c r="AB105">
        <f ca="1">IF(AND(ISNUMBER($AB$522),$B$427=1),$AB$522,HLOOKUP(INDIRECT(ADDRESS(2,COLUMN())),OFFSET($AM$2,0,0,ROW()-1,33),ROW()-1,FALSE))</f>
        <v>12662.664000000001</v>
      </c>
      <c r="AC105">
        <f ca="1">IF(AND(ISNUMBER($AC$522),$B$427=1),$AC$522,HLOOKUP(INDIRECT(ADDRESS(2,COLUMN())),OFFSET($AM$2,0,0,ROW()-1,33),ROW()-1,FALSE))</f>
        <v>14614.16</v>
      </c>
      <c r="AD105" t="str">
        <f ca="1">IF(AND(ISNUMBER($AD$522),$B$427=1),$AD$522,HLOOKUP(INDIRECT(ADDRESS(2,COLUMN())),OFFSET($AM$2,0,0,ROW()-1,33),ROW()-1,FALSE))</f>
        <v/>
      </c>
      <c r="AE105" t="str">
        <f ca="1">IF(AND(ISNUMBER($AE$522),$B$427=1),$AE$522,HLOOKUP(INDIRECT(ADDRESS(2,COLUMN())),OFFSET($AM$2,0,0,ROW()-1,33),ROW()-1,FALSE))</f>
        <v/>
      </c>
      <c r="AF105" t="str">
        <f ca="1">IF(AND(ISNUMBER($AF$522),$B$427=1),$AF$522,HLOOKUP(INDIRECT(ADDRESS(2,COLUMN())),OFFSET($AM$2,0,0,ROW()-1,33),ROW()-1,FALSE))</f>
        <v/>
      </c>
      <c r="AG105" t="str">
        <f ca="1">IF(AND(ISNUMBER($AG$522),$B$427=1),$AG$522,HLOOKUP(INDIRECT(ADDRESS(2,COLUMN())),OFFSET($AM$2,0,0,ROW()-1,33),ROW()-1,FALSE))</f>
        <v/>
      </c>
      <c r="AH105" t="str">
        <f ca="1">IF(AND(ISNUMBER($AH$522),$B$427=1),$AH$522,HLOOKUP(INDIRECT(ADDRESS(2,COLUMN())),OFFSET($AM$2,0,0,ROW()-1,33),ROW()-1,FALSE))</f>
        <v/>
      </c>
      <c r="AI105" t="str">
        <f ca="1">IF(AND(ISNUMBER($AI$522),$B$427=1),$AI$522,HLOOKUP(INDIRECT(ADDRESS(2,COLUMN())),OFFSET($AM$2,0,0,ROW()-1,33),ROW()-1,FALSE))</f>
        <v/>
      </c>
      <c r="AJ105" t="str">
        <f ca="1">IF(AND(ISNUMBER($AJ$522),$B$427=1),$AJ$522,HLOOKUP(INDIRECT(ADDRESS(2,COLUMN())),OFFSET($AM$2,0,0,ROW()-1,33),ROW()-1,FALSE))</f>
        <v/>
      </c>
      <c r="AK105" t="str">
        <f ca="1">IF(AND(ISNUMBER($AK$522),$B$427=1),$AK$522,HLOOKUP(INDIRECT(ADDRESS(2,COLUMN())),OFFSET($AM$2,0,0,ROW()-1,33),ROW()-1,FALSE))</f>
        <v/>
      </c>
      <c r="AL105" t="str">
        <f ca="1">IF(AND(ISNUMBER($AL$522),$B$427=1),$AL$522,HLOOKUP(INDIRECT(ADDRESS(2,COLUMN())),OFFSET($AM$2,0,0,ROW()-1,33),ROW()-1,FALSE))</f>
        <v/>
      </c>
      <c r="AM105" t="str">
        <f>""</f>
        <v/>
      </c>
      <c r="AN105">
        <f>114999.12</f>
        <v>114999.12</v>
      </c>
      <c r="AO105">
        <f>121294.583</f>
        <v>121294.583</v>
      </c>
      <c r="AP105">
        <f>97373.402</f>
        <v>97373.402000000002</v>
      </c>
      <c r="AQ105">
        <f>88084.629</f>
        <v>88084.629000000001</v>
      </c>
      <c r="AR105">
        <f>86519.012</f>
        <v>86519.012000000002</v>
      </c>
      <c r="AS105">
        <f>80692.264</f>
        <v>80692.263999999996</v>
      </c>
      <c r="AT105">
        <f>73201.493</f>
        <v>73201.493000000002</v>
      </c>
      <c r="AU105">
        <f>66670.442</f>
        <v>66670.441999999995</v>
      </c>
      <c r="AV105">
        <f>62898.84</f>
        <v>62898.84</v>
      </c>
      <c r="AW105">
        <f>63080.902</f>
        <v>63080.902000000002</v>
      </c>
      <c r="AX105">
        <f>56707.216</f>
        <v>56707.216</v>
      </c>
      <c r="AY105">
        <f>53584.644</f>
        <v>53584.644</v>
      </c>
      <c r="AZ105">
        <f>45414.778</f>
        <v>45414.777999999998</v>
      </c>
      <c r="BA105">
        <f>40133.655</f>
        <v>40133.654999999999</v>
      </c>
      <c r="BB105">
        <f>40587.699</f>
        <v>40587.699000000001</v>
      </c>
      <c r="BC105">
        <f>52424.241</f>
        <v>52424.241000000002</v>
      </c>
      <c r="BD105">
        <f>21134.604</f>
        <v>21134.603999999999</v>
      </c>
      <c r="BE105">
        <f>16592.208</f>
        <v>16592.207999999999</v>
      </c>
      <c r="BF105">
        <f>14803.018</f>
        <v>14803.018</v>
      </c>
      <c r="BG105">
        <f>14438.828</f>
        <v>14438.828</v>
      </c>
      <c r="BH105">
        <f>11758.42</f>
        <v>11758.42</v>
      </c>
      <c r="BI105">
        <f>12662.664</f>
        <v>12662.664000000001</v>
      </c>
      <c r="BJ105">
        <f>14614.16</f>
        <v>14614.16</v>
      </c>
      <c r="BK105" t="str">
        <f>""</f>
        <v/>
      </c>
      <c r="BL105" t="str">
        <f>""</f>
        <v/>
      </c>
      <c r="BM105" t="str">
        <f>""</f>
        <v/>
      </c>
      <c r="BN105" t="str">
        <f>""</f>
        <v/>
      </c>
      <c r="BO105" t="str">
        <f>""</f>
        <v/>
      </c>
      <c r="BP105" t="str">
        <f>""</f>
        <v/>
      </c>
      <c r="BQ105" t="str">
        <f>""</f>
        <v/>
      </c>
      <c r="BR105" t="str">
        <f>""</f>
        <v/>
      </c>
      <c r="BS105" t="str">
        <f>""</f>
        <v/>
      </c>
    </row>
    <row r="106" spans="1:71" x14ac:dyDescent="0.25">
      <c r="A106" t="str">
        <f>"        Regions Financial Corp"</f>
        <v xml:space="preserve">        Regions Financial Corp</v>
      </c>
      <c r="B106" t="str">
        <f>"RF US Equity"</f>
        <v>RF US Equity</v>
      </c>
      <c r="C106" t="str">
        <f t="shared" si="12"/>
        <v>FR011</v>
      </c>
      <c r="D106" t="str">
        <f t="shared" si="13"/>
        <v>FED_C&amp;I_LOANS_US_ADDRESS</v>
      </c>
      <c r="E106" t="str">
        <f t="shared" si="14"/>
        <v>Dynamic</v>
      </c>
      <c r="F106" t="str">
        <f ca="1">IF(AND(ISNUMBER($F$523),$B$427=1),$F$523,HLOOKUP(INDIRECT(ADDRESS(2,COLUMN())),OFFSET($AM$2,0,0,ROW()-1,33),ROW()-1,FALSE))</f>
        <v/>
      </c>
      <c r="G106">
        <f ca="1">IF(AND(ISNUMBER($G$523),$B$427=1),$G$523,HLOOKUP(INDIRECT(ADDRESS(2,COLUMN())),OFFSET($AM$2,0,0,ROW()-1,33),ROW()-1,FALSE))</f>
        <v>31250</v>
      </c>
      <c r="H106">
        <f ca="1">IF(AND(ISNUMBER($H$523),$B$427=1),$H$523,HLOOKUP(INDIRECT(ADDRESS(2,COLUMN())),OFFSET($AM$2,0,0,ROW()-1,33),ROW()-1,FALSE))</f>
        <v>32252</v>
      </c>
      <c r="I106">
        <f ca="1">IF(AND(ISNUMBER($I$523),$B$427=1),$I$523,HLOOKUP(INDIRECT(ADDRESS(2,COLUMN())),OFFSET($AM$2,0,0,ROW()-1,33),ROW()-1,FALSE))</f>
        <v>27573</v>
      </c>
      <c r="J106">
        <f ca="1">IF(AND(ISNUMBER($J$523),$B$427=1),$J$523,HLOOKUP(INDIRECT(ADDRESS(2,COLUMN())),OFFSET($AM$2,0,0,ROW()-1,33),ROW()-1,FALSE))</f>
        <v>27425</v>
      </c>
      <c r="K106">
        <f ca="1">IF(AND(ISNUMBER($K$523),$B$427=1),$K$523,HLOOKUP(INDIRECT(ADDRESS(2,COLUMN())),OFFSET($AM$2,0,0,ROW()-1,33),ROW()-1,FALSE))</f>
        <v>24489</v>
      </c>
      <c r="L106">
        <f ca="1">IF(AND(ISNUMBER($L$523),$B$427=1),$L$523,HLOOKUP(INDIRECT(ADDRESS(2,COLUMN())),OFFSET($AM$2,0,0,ROW()-1,33),ROW()-1,FALSE))</f>
        <v>24160.666000000001</v>
      </c>
      <c r="M106">
        <f ca="1">IF(AND(ISNUMBER($M$523),$B$427=1),$M$523,HLOOKUP(INDIRECT(ADDRESS(2,COLUMN())),OFFSET($AM$2,0,0,ROW()-1,33),ROW()-1,FALSE))</f>
        <v>22206.879000000001</v>
      </c>
      <c r="N106">
        <f ca="1">IF(AND(ISNUMBER($N$523),$B$427=1),$N$523,HLOOKUP(INDIRECT(ADDRESS(2,COLUMN())),OFFSET($AM$2,0,0,ROW()-1,33),ROW()-1,FALSE))</f>
        <v>22228.208999999999</v>
      </c>
      <c r="O106">
        <f ca="1">IF(AND(ISNUMBER($O$523),$B$427=1),$O$523,HLOOKUP(INDIRECT(ADDRESS(2,COLUMN())),OFFSET($AM$2,0,0,ROW()-1,33),ROW()-1,FALSE))</f>
        <v>24026.438999999998</v>
      </c>
      <c r="P106">
        <f ca="1">IF(AND(ISNUMBER($P$523),$B$427=1),$P$523,HLOOKUP(INDIRECT(ADDRESS(2,COLUMN())),OFFSET($AM$2,0,0,ROW()-1,33),ROW()-1,FALSE))</f>
        <v>22925.076000000001</v>
      </c>
      <c r="Q106">
        <f ca="1">IF(AND(ISNUMBER($Q$523),$B$427=1),$Q$523,HLOOKUP(INDIRECT(ADDRESS(2,COLUMN())),OFFSET($AM$2,0,0,ROW()-1,33),ROW()-1,FALSE))</f>
        <v>20427.585999999999</v>
      </c>
      <c r="R106">
        <f ca="1">IF(AND(ISNUMBER($R$523),$B$427=1),$R$523,HLOOKUP(INDIRECT(ADDRESS(2,COLUMN())),OFFSET($AM$2,0,0,ROW()-1,33),ROW()-1,FALSE))</f>
        <v>18548.844000000001</v>
      </c>
      <c r="S106">
        <f ca="1">IF(AND(ISNUMBER($S$523),$B$427=1),$S$523,HLOOKUP(INDIRECT(ADDRESS(2,COLUMN())),OFFSET($AM$2,0,0,ROW()-1,33),ROW()-1,FALSE))</f>
        <v>16821.334999999999</v>
      </c>
      <c r="T106">
        <f ca="1">IF(AND(ISNUMBER($T$523),$B$427=1),$T$523,HLOOKUP(INDIRECT(ADDRESS(2,COLUMN())),OFFSET($AM$2,0,0,ROW()-1,33),ROW()-1,FALSE))</f>
        <v>15035.343999999999</v>
      </c>
      <c r="U106">
        <f ca="1">IF(AND(ISNUMBER($U$523),$B$427=1),$U$523,HLOOKUP(INDIRECT(ADDRESS(2,COLUMN())),OFFSET($AM$2,0,0,ROW()-1,33),ROW()-1,FALSE))</f>
        <v>13576.59</v>
      </c>
      <c r="V106">
        <f ca="1">IF(AND(ISNUMBER($V$523),$B$427=1),$V$523,HLOOKUP(INDIRECT(ADDRESS(2,COLUMN())),OFFSET($AM$2,0,0,ROW()-1,33),ROW()-1,FALSE))</f>
        <v>16508.572</v>
      </c>
      <c r="W106">
        <f ca="1">IF(AND(ISNUMBER($W$523),$B$427=1),$W$523,HLOOKUP(INDIRECT(ADDRESS(2,COLUMN())),OFFSET($AM$2,0,0,ROW()-1,33),ROW()-1,FALSE))</f>
        <v>15699.856</v>
      </c>
      <c r="X106">
        <f ca="1">IF(AND(ISNUMBER($X$523),$B$427=1),$X$523,HLOOKUP(INDIRECT(ADDRESS(2,COLUMN())),OFFSET($AM$2,0,0,ROW()-1,33),ROW()-1,FALSE))</f>
        <v>15466.166999999999</v>
      </c>
      <c r="Y106">
        <f ca="1">IF(AND(ISNUMBER($Y$523),$B$427=1),$Y$523,HLOOKUP(INDIRECT(ADDRESS(2,COLUMN())),OFFSET($AM$2,0,0,ROW()-1,33),ROW()-1,FALSE))</f>
        <v>9710.0139999999992</v>
      </c>
      <c r="Z106">
        <f ca="1">IF(AND(ISNUMBER($Z$523),$B$427=1),$Z$523,HLOOKUP(INDIRECT(ADDRESS(2,COLUMN())),OFFSET($AM$2,0,0,ROW()-1,33),ROW()-1,FALSE))</f>
        <v>10103.302</v>
      </c>
      <c r="AA106" t="str">
        <f ca="1">IF(AND(ISNUMBER($AA$523),$B$427=1),$AA$523,HLOOKUP(INDIRECT(ADDRESS(2,COLUMN())),OFFSET($AM$2,0,0,ROW()-1,33),ROW()-1,FALSE))</f>
        <v/>
      </c>
      <c r="AB106" t="str">
        <f ca="1">IF(AND(ISNUMBER($AB$523),$B$427=1),$AB$523,HLOOKUP(INDIRECT(ADDRESS(2,COLUMN())),OFFSET($AM$2,0,0,ROW()-1,33),ROW()-1,FALSE))</f>
        <v/>
      </c>
      <c r="AC106" t="str">
        <f ca="1">IF(AND(ISNUMBER($AC$523),$B$427=1),$AC$523,HLOOKUP(INDIRECT(ADDRESS(2,COLUMN())),OFFSET($AM$2,0,0,ROW()-1,33),ROW()-1,FALSE))</f>
        <v/>
      </c>
      <c r="AD106" t="str">
        <f ca="1">IF(AND(ISNUMBER($AD$523),$B$427=1),$AD$523,HLOOKUP(INDIRECT(ADDRESS(2,COLUMN())),OFFSET($AM$2,0,0,ROW()-1,33),ROW()-1,FALSE))</f>
        <v/>
      </c>
      <c r="AE106" t="str">
        <f ca="1">IF(AND(ISNUMBER($AE$523),$B$427=1),$AE$523,HLOOKUP(INDIRECT(ADDRESS(2,COLUMN())),OFFSET($AM$2,0,0,ROW()-1,33),ROW()-1,FALSE))</f>
        <v/>
      </c>
      <c r="AF106" t="str">
        <f ca="1">IF(AND(ISNUMBER($AF$523),$B$427=1),$AF$523,HLOOKUP(INDIRECT(ADDRESS(2,COLUMN())),OFFSET($AM$2,0,0,ROW()-1,33),ROW()-1,FALSE))</f>
        <v/>
      </c>
      <c r="AG106" t="str">
        <f ca="1">IF(AND(ISNUMBER($AG$523),$B$427=1),$AG$523,HLOOKUP(INDIRECT(ADDRESS(2,COLUMN())),OFFSET($AM$2,0,0,ROW()-1,33),ROW()-1,FALSE))</f>
        <v/>
      </c>
      <c r="AH106" t="str">
        <f ca="1">IF(AND(ISNUMBER($AH$523),$B$427=1),$AH$523,HLOOKUP(INDIRECT(ADDRESS(2,COLUMN())),OFFSET($AM$2,0,0,ROW()-1,33),ROW()-1,FALSE))</f>
        <v/>
      </c>
      <c r="AI106" t="str">
        <f ca="1">IF(AND(ISNUMBER($AI$523),$B$427=1),$AI$523,HLOOKUP(INDIRECT(ADDRESS(2,COLUMN())),OFFSET($AM$2,0,0,ROW()-1,33),ROW()-1,FALSE))</f>
        <v/>
      </c>
      <c r="AJ106" t="str">
        <f ca="1">IF(AND(ISNUMBER($AJ$523),$B$427=1),$AJ$523,HLOOKUP(INDIRECT(ADDRESS(2,COLUMN())),OFFSET($AM$2,0,0,ROW()-1,33),ROW()-1,FALSE))</f>
        <v/>
      </c>
      <c r="AK106" t="str">
        <f ca="1">IF(AND(ISNUMBER($AK$523),$B$427=1),$AK$523,HLOOKUP(INDIRECT(ADDRESS(2,COLUMN())),OFFSET($AM$2,0,0,ROW()-1,33),ROW()-1,FALSE))</f>
        <v/>
      </c>
      <c r="AL106" t="str">
        <f ca="1">IF(AND(ISNUMBER($AL$523),$B$427=1),$AL$523,HLOOKUP(INDIRECT(ADDRESS(2,COLUMN())),OFFSET($AM$2,0,0,ROW()-1,33),ROW()-1,FALSE))</f>
        <v/>
      </c>
      <c r="AM106" t="str">
        <f>""</f>
        <v/>
      </c>
      <c r="AN106">
        <f>31250</f>
        <v>31250</v>
      </c>
      <c r="AO106">
        <f>32252</f>
        <v>32252</v>
      </c>
      <c r="AP106">
        <f>27573</f>
        <v>27573</v>
      </c>
      <c r="AQ106">
        <f>27425</f>
        <v>27425</v>
      </c>
      <c r="AR106">
        <f>24489</f>
        <v>24489</v>
      </c>
      <c r="AS106">
        <f>24160.666</f>
        <v>24160.666000000001</v>
      </c>
      <c r="AT106">
        <f>22206.879</f>
        <v>22206.879000000001</v>
      </c>
      <c r="AU106">
        <f>22228.209</f>
        <v>22228.208999999999</v>
      </c>
      <c r="AV106">
        <f>24026.439</f>
        <v>24026.438999999998</v>
      </c>
      <c r="AW106">
        <f>22925.076</f>
        <v>22925.076000000001</v>
      </c>
      <c r="AX106">
        <f>20427.586</f>
        <v>20427.585999999999</v>
      </c>
      <c r="AY106">
        <f>18548.844</f>
        <v>18548.844000000001</v>
      </c>
      <c r="AZ106">
        <f>16821.335</f>
        <v>16821.334999999999</v>
      </c>
      <c r="BA106">
        <f>15035.344</f>
        <v>15035.343999999999</v>
      </c>
      <c r="BB106">
        <f>13576.59</f>
        <v>13576.59</v>
      </c>
      <c r="BC106">
        <f>16508.572</f>
        <v>16508.572</v>
      </c>
      <c r="BD106">
        <f>15699.856</f>
        <v>15699.856</v>
      </c>
      <c r="BE106">
        <f>15466.167</f>
        <v>15466.166999999999</v>
      </c>
      <c r="BF106">
        <f>9710.014</f>
        <v>9710.0139999999992</v>
      </c>
      <c r="BG106">
        <f>10103.302</f>
        <v>10103.302</v>
      </c>
      <c r="BH106" t="str">
        <f>""</f>
        <v/>
      </c>
      <c r="BI106" t="str">
        <f>""</f>
        <v/>
      </c>
      <c r="BJ106" t="str">
        <f>""</f>
        <v/>
      </c>
      <c r="BK106" t="str">
        <f>""</f>
        <v/>
      </c>
      <c r="BL106" t="str">
        <f>""</f>
        <v/>
      </c>
      <c r="BM106" t="str">
        <f>""</f>
        <v/>
      </c>
      <c r="BN106" t="str">
        <f>""</f>
        <v/>
      </c>
      <c r="BO106" t="str">
        <f>""</f>
        <v/>
      </c>
      <c r="BP106" t="str">
        <f>""</f>
        <v/>
      </c>
      <c r="BQ106" t="str">
        <f>""</f>
        <v/>
      </c>
      <c r="BR106" t="str">
        <f>""</f>
        <v/>
      </c>
      <c r="BS106" t="str">
        <f>""</f>
        <v/>
      </c>
    </row>
    <row r="107" spans="1:71" x14ac:dyDescent="0.25">
      <c r="A107" t="str">
        <f>"        Truist Financial Corp"</f>
        <v xml:space="preserve">        Truist Financial Corp</v>
      </c>
      <c r="B107" t="str">
        <f>"TFC US Equity"</f>
        <v>TFC US Equity</v>
      </c>
      <c r="C107" t="str">
        <f t="shared" si="12"/>
        <v>FR011</v>
      </c>
      <c r="D107" t="str">
        <f t="shared" si="13"/>
        <v>FED_C&amp;I_LOANS_US_ADDRESS</v>
      </c>
      <c r="E107" t="str">
        <f t="shared" si="14"/>
        <v>Dynamic</v>
      </c>
      <c r="F107">
        <f ca="1">IF(AND(ISNUMBER($F$524),$B$427=1),$F$524,HLOOKUP(INDIRECT(ADDRESS(2,COLUMN())),OFFSET($AM$2,0,0,ROW()-1,33),ROW()-1,FALSE))</f>
        <v>70656</v>
      </c>
      <c r="G107">
        <f ca="1">IF(AND(ISNUMBER($G$524),$B$427=1),$G$524,HLOOKUP(INDIRECT(ADDRESS(2,COLUMN())),OFFSET($AM$2,0,0,ROW()-1,33),ROW()-1,FALSE))</f>
        <v>83799</v>
      </c>
      <c r="H107">
        <f ca="1">IF(AND(ISNUMBER($H$524),$B$427=1),$H$524,HLOOKUP(INDIRECT(ADDRESS(2,COLUMN())),OFFSET($AM$2,0,0,ROW()-1,33),ROW()-1,FALSE))</f>
        <v>84615</v>
      </c>
      <c r="I107">
        <f ca="1">IF(AND(ISNUMBER($I$524),$B$427=1),$I$524,HLOOKUP(INDIRECT(ADDRESS(2,COLUMN())),OFFSET($AM$2,0,0,ROW()-1,33),ROW()-1,FALSE))</f>
        <v>65471</v>
      </c>
      <c r="J107">
        <f ca="1">IF(AND(ISNUMBER($J$524),$B$427=1),$J$524,HLOOKUP(INDIRECT(ADDRESS(2,COLUMN())),OFFSET($AM$2,0,0,ROW()-1,33),ROW()-1,FALSE))</f>
        <v>72404</v>
      </c>
      <c r="K107">
        <f ca="1">IF(AND(ISNUMBER($K$524),$B$427=1),$K$524,HLOOKUP(INDIRECT(ADDRESS(2,COLUMN())),OFFSET($AM$2,0,0,ROW()-1,33),ROW()-1,FALSE))</f>
        <v>71051</v>
      </c>
      <c r="L107">
        <f ca="1">IF(AND(ISNUMBER($L$524),$B$427=1),$L$524,HLOOKUP(INDIRECT(ADDRESS(2,COLUMN())),OFFSET($AM$2,0,0,ROW()-1,33),ROW()-1,FALSE))</f>
        <v>29892</v>
      </c>
      <c r="M107">
        <f ca="1">IF(AND(ISNUMBER($M$524),$B$427=1),$M$524,HLOOKUP(INDIRECT(ADDRESS(2,COLUMN())),OFFSET($AM$2,0,0,ROW()-1,33),ROW()-1,FALSE))</f>
        <v>26761</v>
      </c>
      <c r="N107">
        <f ca="1">IF(AND(ISNUMBER($N$524),$B$427=1),$N$524,HLOOKUP(INDIRECT(ADDRESS(2,COLUMN())),OFFSET($AM$2,0,0,ROW()-1,33),ROW()-1,FALSE))</f>
        <v>25953.246999999999</v>
      </c>
      <c r="O107">
        <f ca="1">IF(AND(ISNUMBER($O$524),$B$427=1),$O$524,HLOOKUP(INDIRECT(ADDRESS(2,COLUMN())),OFFSET($AM$2,0,0,ROW()-1,33),ROW()-1,FALSE))</f>
        <v>23341.453000000001</v>
      </c>
      <c r="P107">
        <f ca="1">IF(AND(ISNUMBER($P$524),$B$427=1),$P$524,HLOOKUP(INDIRECT(ADDRESS(2,COLUMN())),OFFSET($AM$2,0,0,ROW()-1,33),ROW()-1,FALSE))</f>
        <v>18842.584999999999</v>
      </c>
      <c r="Q107">
        <f ca="1">IF(AND(ISNUMBER($Q$524),$B$427=1),$Q$524,HLOOKUP(INDIRECT(ADDRESS(2,COLUMN())),OFFSET($AM$2,0,0,ROW()-1,33),ROW()-1,FALSE))</f>
        <v>16823.215</v>
      </c>
      <c r="R107">
        <f ca="1">IF(AND(ISNUMBER($R$524),$B$427=1),$R$524,HLOOKUP(INDIRECT(ADDRESS(2,COLUMN())),OFFSET($AM$2,0,0,ROW()-1,33),ROW()-1,FALSE))</f>
        <v>15976.623</v>
      </c>
      <c r="S107">
        <f ca="1">IF(AND(ISNUMBER($S$524),$B$427=1),$S$524,HLOOKUP(INDIRECT(ADDRESS(2,COLUMN())),OFFSET($AM$2,0,0,ROW()-1,33),ROW()-1,FALSE))</f>
        <v>14793.297</v>
      </c>
      <c r="T107">
        <f ca="1">IF(AND(ISNUMBER($T$524),$B$427=1),$T$524,HLOOKUP(INDIRECT(ADDRESS(2,COLUMN())),OFFSET($AM$2,0,0,ROW()-1,33),ROW()-1,FALSE))</f>
        <v>13394.07</v>
      </c>
      <c r="U107">
        <f ca="1">IF(AND(ISNUMBER($U$524),$B$427=1),$U$524,HLOOKUP(INDIRECT(ADDRESS(2,COLUMN())),OFFSET($AM$2,0,0,ROW()-1,33),ROW()-1,FALSE))</f>
        <v>14099.186</v>
      </c>
      <c r="V107">
        <f ca="1">IF(AND(ISNUMBER($V$524),$B$427=1),$V$524,HLOOKUP(INDIRECT(ADDRESS(2,COLUMN())),OFFSET($AM$2,0,0,ROW()-1,33),ROW()-1,FALSE))</f>
        <v>14387.058000000001</v>
      </c>
      <c r="W107">
        <f ca="1">IF(AND(ISNUMBER($W$524),$B$427=1),$W$524,HLOOKUP(INDIRECT(ADDRESS(2,COLUMN())),OFFSET($AM$2,0,0,ROW()-1,33),ROW()-1,FALSE))</f>
        <v>12147.416999999999</v>
      </c>
      <c r="X107">
        <f ca="1">IF(AND(ISNUMBER($X$524),$B$427=1),$X$524,HLOOKUP(INDIRECT(ADDRESS(2,COLUMN())),OFFSET($AM$2,0,0,ROW()-1,33),ROW()-1,FALSE))</f>
        <v>9170.2209999999995</v>
      </c>
      <c r="Y107">
        <f ca="1">IF(AND(ISNUMBER($Y$524),$B$427=1),$Y$524,HLOOKUP(INDIRECT(ADDRESS(2,COLUMN())),OFFSET($AM$2,0,0,ROW()-1,33),ROW()-1,FALSE))</f>
        <v>8152.5309999999999</v>
      </c>
      <c r="Z107">
        <f ca="1">IF(AND(ISNUMBER($Z$524),$B$427=1),$Z$524,HLOOKUP(INDIRECT(ADDRESS(2,COLUMN())),OFFSET($AM$2,0,0,ROW()-1,33),ROW()-1,FALSE))</f>
        <v>7594.5249999999996</v>
      </c>
      <c r="AA107">
        <f ca="1">IF(AND(ISNUMBER($AA$524),$B$427=1),$AA$524,HLOOKUP(INDIRECT(ADDRESS(2,COLUMN())),OFFSET($AM$2,0,0,ROW()-1,33),ROW()-1,FALSE))</f>
        <v>7181.3829999999998</v>
      </c>
      <c r="AB107">
        <f ca="1">IF(AND(ISNUMBER($AB$524),$B$427=1),$AB$524,HLOOKUP(INDIRECT(ADDRESS(2,COLUMN())),OFFSET($AM$2,0,0,ROW()-1,33),ROW()-1,FALSE))</f>
        <v>6909.3459999999995</v>
      </c>
      <c r="AC107">
        <f ca="1">IF(AND(ISNUMBER($AC$524),$B$427=1),$AC$524,HLOOKUP(INDIRECT(ADDRESS(2,COLUMN())),OFFSET($AM$2,0,0,ROW()-1,33),ROW()-1,FALSE))</f>
        <v>6450.5479999999998</v>
      </c>
      <c r="AD107" t="str">
        <f ca="1">IF(AND(ISNUMBER($AD$524),$B$427=1),$AD$524,HLOOKUP(INDIRECT(ADDRESS(2,COLUMN())),OFFSET($AM$2,0,0,ROW()-1,33),ROW()-1,FALSE))</f>
        <v/>
      </c>
      <c r="AE107" t="str">
        <f ca="1">IF(AND(ISNUMBER($AE$524),$B$427=1),$AE$524,HLOOKUP(INDIRECT(ADDRESS(2,COLUMN())),OFFSET($AM$2,0,0,ROW()-1,33),ROW()-1,FALSE))</f>
        <v/>
      </c>
      <c r="AF107" t="str">
        <f ca="1">IF(AND(ISNUMBER($AF$524),$B$427=1),$AF$524,HLOOKUP(INDIRECT(ADDRESS(2,COLUMN())),OFFSET($AM$2,0,0,ROW()-1,33),ROW()-1,FALSE))</f>
        <v/>
      </c>
      <c r="AG107" t="str">
        <f ca="1">IF(AND(ISNUMBER($AG$524),$B$427=1),$AG$524,HLOOKUP(INDIRECT(ADDRESS(2,COLUMN())),OFFSET($AM$2,0,0,ROW()-1,33),ROW()-1,FALSE))</f>
        <v/>
      </c>
      <c r="AH107" t="str">
        <f ca="1">IF(AND(ISNUMBER($AH$524),$B$427=1),$AH$524,HLOOKUP(INDIRECT(ADDRESS(2,COLUMN())),OFFSET($AM$2,0,0,ROW()-1,33),ROW()-1,FALSE))</f>
        <v/>
      </c>
      <c r="AI107" t="str">
        <f ca="1">IF(AND(ISNUMBER($AI$524),$B$427=1),$AI$524,HLOOKUP(INDIRECT(ADDRESS(2,COLUMN())),OFFSET($AM$2,0,0,ROW()-1,33),ROW()-1,FALSE))</f>
        <v/>
      </c>
      <c r="AJ107" t="str">
        <f ca="1">IF(AND(ISNUMBER($AJ$524),$B$427=1),$AJ$524,HLOOKUP(INDIRECT(ADDRESS(2,COLUMN())),OFFSET($AM$2,0,0,ROW()-1,33),ROW()-1,FALSE))</f>
        <v/>
      </c>
      <c r="AK107" t="str">
        <f ca="1">IF(AND(ISNUMBER($AK$524),$B$427=1),$AK$524,HLOOKUP(INDIRECT(ADDRESS(2,COLUMN())),OFFSET($AM$2,0,0,ROW()-1,33),ROW()-1,FALSE))</f>
        <v/>
      </c>
      <c r="AL107" t="str">
        <f ca="1">IF(AND(ISNUMBER($AL$524),$B$427=1),$AL$524,HLOOKUP(INDIRECT(ADDRESS(2,COLUMN())),OFFSET($AM$2,0,0,ROW()-1,33),ROW()-1,FALSE))</f>
        <v/>
      </c>
      <c r="AM107">
        <f>70656</f>
        <v>70656</v>
      </c>
      <c r="AN107">
        <f>83799</f>
        <v>83799</v>
      </c>
      <c r="AO107">
        <f>84615</f>
        <v>84615</v>
      </c>
      <c r="AP107">
        <f>65471</f>
        <v>65471</v>
      </c>
      <c r="AQ107">
        <f>72404</f>
        <v>72404</v>
      </c>
      <c r="AR107">
        <f>71051</f>
        <v>71051</v>
      </c>
      <c r="AS107">
        <f>29892</f>
        <v>29892</v>
      </c>
      <c r="AT107">
        <f>26761</f>
        <v>26761</v>
      </c>
      <c r="AU107">
        <f>25953.247</f>
        <v>25953.246999999999</v>
      </c>
      <c r="AV107">
        <f>23341.453</f>
        <v>23341.453000000001</v>
      </c>
      <c r="AW107">
        <f>18842.585</f>
        <v>18842.584999999999</v>
      </c>
      <c r="AX107">
        <f>16823.215</f>
        <v>16823.215</v>
      </c>
      <c r="AY107">
        <f>15976.623</f>
        <v>15976.623</v>
      </c>
      <c r="AZ107">
        <f>14793.297</f>
        <v>14793.297</v>
      </c>
      <c r="BA107">
        <f>13394.07</f>
        <v>13394.07</v>
      </c>
      <c r="BB107">
        <f>14099.186</f>
        <v>14099.186</v>
      </c>
      <c r="BC107">
        <f>14387.058</f>
        <v>14387.058000000001</v>
      </c>
      <c r="BD107">
        <f>12147.417</f>
        <v>12147.416999999999</v>
      </c>
      <c r="BE107">
        <f>9170.221</f>
        <v>9170.2209999999995</v>
      </c>
      <c r="BF107">
        <f>8152.531</f>
        <v>8152.5309999999999</v>
      </c>
      <c r="BG107">
        <f>7594.525</f>
        <v>7594.5249999999996</v>
      </c>
      <c r="BH107">
        <f>7181.383</f>
        <v>7181.3829999999998</v>
      </c>
      <c r="BI107">
        <f>6909.346</f>
        <v>6909.3459999999995</v>
      </c>
      <c r="BJ107">
        <f>6450.548</f>
        <v>6450.5479999999998</v>
      </c>
      <c r="BK107" t="str">
        <f>""</f>
        <v/>
      </c>
      <c r="BL107" t="str">
        <f>""</f>
        <v/>
      </c>
      <c r="BM107" t="str">
        <f>""</f>
        <v/>
      </c>
      <c r="BN107" t="str">
        <f>""</f>
        <v/>
      </c>
      <c r="BO107" t="str">
        <f>""</f>
        <v/>
      </c>
      <c r="BP107" t="str">
        <f>""</f>
        <v/>
      </c>
      <c r="BQ107" t="str">
        <f>""</f>
        <v/>
      </c>
      <c r="BR107" t="str">
        <f>""</f>
        <v/>
      </c>
      <c r="BS107" t="str">
        <f>""</f>
        <v/>
      </c>
    </row>
    <row r="108" spans="1:71" x14ac:dyDescent="0.25">
      <c r="A108" t="str">
        <f>"        US Bancorp"</f>
        <v xml:space="preserve">        US Bancorp</v>
      </c>
      <c r="B108" t="str">
        <f>"USB US Equity"</f>
        <v>USB US Equity</v>
      </c>
      <c r="C108" t="str">
        <f t="shared" si="12"/>
        <v>FR011</v>
      </c>
      <c r="D108" t="str">
        <f t="shared" si="13"/>
        <v>FED_C&amp;I_LOANS_US_ADDRESS</v>
      </c>
      <c r="E108" t="str">
        <f t="shared" si="14"/>
        <v>Dynamic</v>
      </c>
      <c r="F108">
        <f ca="1">IF(AND(ISNUMBER($F$525),$B$427=1),$F$525,HLOOKUP(INDIRECT(ADDRESS(2,COLUMN())),OFFSET($AM$2,0,0,ROW()-1,33),ROW()-1,FALSE))</f>
        <v>93480</v>
      </c>
      <c r="G108">
        <f ca="1">IF(AND(ISNUMBER($G$525),$B$427=1),$G$525,HLOOKUP(INDIRECT(ADDRESS(2,COLUMN())),OFFSET($AM$2,0,0,ROW()-1,33),ROW()-1,FALSE))</f>
        <v>95923</v>
      </c>
      <c r="H108">
        <f ca="1">IF(AND(ISNUMBER($H$525),$B$427=1),$H$525,HLOOKUP(INDIRECT(ADDRESS(2,COLUMN())),OFFSET($AM$2,0,0,ROW()-1,33),ROW()-1,FALSE))</f>
        <v>101069</v>
      </c>
      <c r="I108">
        <f ca="1">IF(AND(ISNUMBER($I$525),$B$427=1),$I$525,HLOOKUP(INDIRECT(ADDRESS(2,COLUMN())),OFFSET($AM$2,0,0,ROW()-1,33),ROW()-1,FALSE))</f>
        <v>80352</v>
      </c>
      <c r="J108">
        <f ca="1">IF(AND(ISNUMBER($J$525),$B$427=1),$J$525,HLOOKUP(INDIRECT(ADDRESS(2,COLUMN())),OFFSET($AM$2,0,0,ROW()-1,33),ROW()-1,FALSE))</f>
        <v>75750</v>
      </c>
      <c r="K108">
        <f ca="1">IF(AND(ISNUMBER($K$525),$B$427=1),$K$525,HLOOKUP(INDIRECT(ADDRESS(2,COLUMN())),OFFSET($AM$2,0,0,ROW()-1,33),ROW()-1,FALSE))</f>
        <v>77666</v>
      </c>
      <c r="L108">
        <f ca="1">IF(AND(ISNUMBER($L$525),$B$427=1),$L$525,HLOOKUP(INDIRECT(ADDRESS(2,COLUMN())),OFFSET($AM$2,0,0,ROW()-1,33),ROW()-1,FALSE))</f>
        <v>77365</v>
      </c>
      <c r="M108">
        <f ca="1">IF(AND(ISNUMBER($M$525),$B$427=1),$M$525,HLOOKUP(INDIRECT(ADDRESS(2,COLUMN())),OFFSET($AM$2,0,0,ROW()-1,33),ROW()-1,FALSE))</f>
        <v>71503</v>
      </c>
      <c r="N108">
        <f ca="1">IF(AND(ISNUMBER($N$525),$B$427=1),$N$525,HLOOKUP(INDIRECT(ADDRESS(2,COLUMN())),OFFSET($AM$2,0,0,ROW()-1,33),ROW()-1,FALSE))</f>
        <v>68079</v>
      </c>
      <c r="O108">
        <f ca="1">IF(AND(ISNUMBER($O$525),$B$427=1),$O$525,HLOOKUP(INDIRECT(ADDRESS(2,COLUMN())),OFFSET($AM$2,0,0,ROW()-1,33),ROW()-1,FALSE))</f>
        <v>65637</v>
      </c>
      <c r="P108">
        <f ca="1">IF(AND(ISNUMBER($P$525),$B$427=1),$P$525,HLOOKUP(INDIRECT(ADDRESS(2,COLUMN())),OFFSET($AM$2,0,0,ROW()-1,33),ROW()-1,FALSE))</f>
        <v>59496</v>
      </c>
      <c r="Q108">
        <f ca="1">IF(AND(ISNUMBER($Q$525),$B$427=1),$Q$525,HLOOKUP(INDIRECT(ADDRESS(2,COLUMN())),OFFSET($AM$2,0,0,ROW()-1,33),ROW()-1,FALSE))</f>
        <v>51358</v>
      </c>
      <c r="R108">
        <f ca="1">IF(AND(ISNUMBER($R$525),$B$427=1),$R$525,HLOOKUP(INDIRECT(ADDRESS(2,COLUMN())),OFFSET($AM$2,0,0,ROW()-1,33),ROW()-1,FALSE))</f>
        <v>47397</v>
      </c>
      <c r="S108">
        <f ca="1">IF(AND(ISNUMBER($S$525),$B$427=1),$S$525,HLOOKUP(INDIRECT(ADDRESS(2,COLUMN())),OFFSET($AM$2,0,0,ROW()-1,33),ROW()-1,FALSE))</f>
        <v>41061</v>
      </c>
      <c r="T108">
        <f ca="1">IF(AND(ISNUMBER($T$525),$B$427=1),$T$525,HLOOKUP(INDIRECT(ADDRESS(2,COLUMN())),OFFSET($AM$2,0,0,ROW()-1,33),ROW()-1,FALSE))</f>
        <v>35068</v>
      </c>
      <c r="U108">
        <f ca="1">IF(AND(ISNUMBER($U$525),$B$427=1),$U$525,HLOOKUP(INDIRECT(ADDRESS(2,COLUMN())),OFFSET($AM$2,0,0,ROW()-1,33),ROW()-1,FALSE))</f>
        <v>35468</v>
      </c>
      <c r="V108">
        <f ca="1">IF(AND(ISNUMBER($V$525),$B$427=1),$V$525,HLOOKUP(INDIRECT(ADDRESS(2,COLUMN())),OFFSET($AM$2,0,0,ROW()-1,33),ROW()-1,FALSE))</f>
        <v>41320</v>
      </c>
      <c r="W108">
        <f ca="1">IF(AND(ISNUMBER($W$525),$B$427=1),$W$525,HLOOKUP(INDIRECT(ADDRESS(2,COLUMN())),OFFSET($AM$2,0,0,ROW()-1,33),ROW()-1,FALSE))</f>
        <v>36782</v>
      </c>
      <c r="X108">
        <f ca="1">IF(AND(ISNUMBER($X$525),$B$427=1),$X$525,HLOOKUP(INDIRECT(ADDRESS(2,COLUMN())),OFFSET($AM$2,0,0,ROW()-1,33),ROW()-1,FALSE))</f>
        <v>32991</v>
      </c>
      <c r="Y108">
        <f ca="1">IF(AND(ISNUMBER($Y$525),$B$427=1),$Y$525,HLOOKUP(INDIRECT(ADDRESS(2,COLUMN())),OFFSET($AM$2,0,0,ROW()-1,33),ROW()-1,FALSE))</f>
        <v>30858</v>
      </c>
      <c r="Z108">
        <f ca="1">IF(AND(ISNUMBER($Z$525),$B$427=1),$Z$525,HLOOKUP(INDIRECT(ADDRESS(2,COLUMN())),OFFSET($AM$2,0,0,ROW()-1,33),ROW()-1,FALSE))</f>
        <v>28959</v>
      </c>
      <c r="AA108">
        <f ca="1">IF(AND(ISNUMBER($AA$525),$B$427=1),$AA$525,HLOOKUP(INDIRECT(ADDRESS(2,COLUMN())),OFFSET($AM$2,0,0,ROW()-1,33),ROW()-1,FALSE))</f>
        <v>27437</v>
      </c>
      <c r="AB108">
        <f ca="1">IF(AND(ISNUMBER($AB$525),$B$427=1),$AB$525,HLOOKUP(INDIRECT(ADDRESS(2,COLUMN())),OFFSET($AM$2,0,0,ROW()-1,33),ROW()-1,FALSE))</f>
        <v>29167</v>
      </c>
      <c r="AC108">
        <f ca="1">IF(AND(ISNUMBER($AC$525),$B$427=1),$AC$525,HLOOKUP(INDIRECT(ADDRESS(2,COLUMN())),OFFSET($AM$2,0,0,ROW()-1,33),ROW()-1,FALSE))</f>
        <v>34156</v>
      </c>
      <c r="AD108" t="str">
        <f ca="1">IF(AND(ISNUMBER($AD$525),$B$427=1),$AD$525,HLOOKUP(INDIRECT(ADDRESS(2,COLUMN())),OFFSET($AM$2,0,0,ROW()-1,33),ROW()-1,FALSE))</f>
        <v/>
      </c>
      <c r="AE108" t="str">
        <f ca="1">IF(AND(ISNUMBER($AE$525),$B$427=1),$AE$525,HLOOKUP(INDIRECT(ADDRESS(2,COLUMN())),OFFSET($AM$2,0,0,ROW()-1,33),ROW()-1,FALSE))</f>
        <v/>
      </c>
      <c r="AF108" t="str">
        <f ca="1">IF(AND(ISNUMBER($AF$525),$B$427=1),$AF$525,HLOOKUP(INDIRECT(ADDRESS(2,COLUMN())),OFFSET($AM$2,0,0,ROW()-1,33),ROW()-1,FALSE))</f>
        <v/>
      </c>
      <c r="AG108" t="str">
        <f ca="1">IF(AND(ISNUMBER($AG$525),$B$427=1),$AG$525,HLOOKUP(INDIRECT(ADDRESS(2,COLUMN())),OFFSET($AM$2,0,0,ROW()-1,33),ROW()-1,FALSE))</f>
        <v/>
      </c>
      <c r="AH108" t="str">
        <f ca="1">IF(AND(ISNUMBER($AH$525),$B$427=1),$AH$525,HLOOKUP(INDIRECT(ADDRESS(2,COLUMN())),OFFSET($AM$2,0,0,ROW()-1,33),ROW()-1,FALSE))</f>
        <v/>
      </c>
      <c r="AI108" t="str">
        <f ca="1">IF(AND(ISNUMBER($AI$525),$B$427=1),$AI$525,HLOOKUP(INDIRECT(ADDRESS(2,COLUMN())),OFFSET($AM$2,0,0,ROW()-1,33),ROW()-1,FALSE))</f>
        <v/>
      </c>
      <c r="AJ108" t="str">
        <f ca="1">IF(AND(ISNUMBER($AJ$525),$B$427=1),$AJ$525,HLOOKUP(INDIRECT(ADDRESS(2,COLUMN())),OFFSET($AM$2,0,0,ROW()-1,33),ROW()-1,FALSE))</f>
        <v/>
      </c>
      <c r="AK108" t="str">
        <f ca="1">IF(AND(ISNUMBER($AK$525),$B$427=1),$AK$525,HLOOKUP(INDIRECT(ADDRESS(2,COLUMN())),OFFSET($AM$2,0,0,ROW()-1,33),ROW()-1,FALSE))</f>
        <v/>
      </c>
      <c r="AL108" t="str">
        <f ca="1">IF(AND(ISNUMBER($AL$525),$B$427=1),$AL$525,HLOOKUP(INDIRECT(ADDRESS(2,COLUMN())),OFFSET($AM$2,0,0,ROW()-1,33),ROW()-1,FALSE))</f>
        <v/>
      </c>
      <c r="AM108">
        <f>93480</f>
        <v>93480</v>
      </c>
      <c r="AN108">
        <f>95923</f>
        <v>95923</v>
      </c>
      <c r="AO108">
        <f>101069</f>
        <v>101069</v>
      </c>
      <c r="AP108">
        <f>80352</f>
        <v>80352</v>
      </c>
      <c r="AQ108">
        <f>75750</f>
        <v>75750</v>
      </c>
      <c r="AR108">
        <f>77666</f>
        <v>77666</v>
      </c>
      <c r="AS108">
        <f>77365</f>
        <v>77365</v>
      </c>
      <c r="AT108">
        <f>71503</f>
        <v>71503</v>
      </c>
      <c r="AU108">
        <f>68079</f>
        <v>68079</v>
      </c>
      <c r="AV108">
        <f>65637</f>
        <v>65637</v>
      </c>
      <c r="AW108">
        <f>59496</f>
        <v>59496</v>
      </c>
      <c r="AX108">
        <f>51358</f>
        <v>51358</v>
      </c>
      <c r="AY108">
        <f>47397</f>
        <v>47397</v>
      </c>
      <c r="AZ108">
        <f>41061</f>
        <v>41061</v>
      </c>
      <c r="BA108">
        <f>35068</f>
        <v>35068</v>
      </c>
      <c r="BB108">
        <f>35468</f>
        <v>35468</v>
      </c>
      <c r="BC108">
        <f>41320</f>
        <v>41320</v>
      </c>
      <c r="BD108">
        <f>36782</f>
        <v>36782</v>
      </c>
      <c r="BE108">
        <f>32991</f>
        <v>32991</v>
      </c>
      <c r="BF108">
        <f>30858</f>
        <v>30858</v>
      </c>
      <c r="BG108">
        <f>28959</f>
        <v>28959</v>
      </c>
      <c r="BH108">
        <f>27437</f>
        <v>27437</v>
      </c>
      <c r="BI108">
        <f>29167</f>
        <v>29167</v>
      </c>
      <c r="BJ108">
        <f>34156</f>
        <v>34156</v>
      </c>
      <c r="BK108" t="str">
        <f>""</f>
        <v/>
      </c>
      <c r="BL108" t="str">
        <f>""</f>
        <v/>
      </c>
      <c r="BM108" t="str">
        <f>""</f>
        <v/>
      </c>
      <c r="BN108" t="str">
        <f>""</f>
        <v/>
      </c>
      <c r="BO108" t="str">
        <f>""</f>
        <v/>
      </c>
      <c r="BP108" t="str">
        <f>""</f>
        <v/>
      </c>
      <c r="BQ108" t="str">
        <f>""</f>
        <v/>
      </c>
      <c r="BR108" t="str">
        <f>""</f>
        <v/>
      </c>
      <c r="BS108" t="str">
        <f>""</f>
        <v/>
      </c>
    </row>
    <row r="109" spans="1:71" x14ac:dyDescent="0.25">
      <c r="A109" t="str">
        <f>"        Wells Fargo &amp; Co"</f>
        <v xml:space="preserve">        Wells Fargo &amp; Co</v>
      </c>
      <c r="B109" t="str">
        <f>"WFC US Equity"</f>
        <v>WFC US Equity</v>
      </c>
      <c r="C109" t="str">
        <f t="shared" si="12"/>
        <v>FR011</v>
      </c>
      <c r="D109" t="str">
        <f t="shared" si="13"/>
        <v>FED_C&amp;I_LOANS_US_ADDRESS</v>
      </c>
      <c r="E109" t="str">
        <f t="shared" si="14"/>
        <v>Dynamic</v>
      </c>
      <c r="F109">
        <f ca="1">IF(AND(ISNUMBER($F$526),$B$427=1),$F$526,HLOOKUP(INDIRECT(ADDRESS(2,COLUMN())),OFFSET($AM$2,0,0,ROW()-1,33),ROW()-1,FALSE))</f>
        <v>169380</v>
      </c>
      <c r="G109">
        <f ca="1">IF(AND(ISNUMBER($G$526),$B$427=1),$G$526,HLOOKUP(INDIRECT(ADDRESS(2,COLUMN())),OFFSET($AM$2,0,0,ROW()-1,33),ROW()-1,FALSE))</f>
        <v>172732</v>
      </c>
      <c r="H109">
        <f ca="1">IF(AND(ISNUMBER($H$526),$B$427=1),$H$526,HLOOKUP(INDIRECT(ADDRESS(2,COLUMN())),OFFSET($AM$2,0,0,ROW()-1,33),ROW()-1,FALSE))</f>
        <v>177409</v>
      </c>
      <c r="I109">
        <f ca="1">IF(AND(ISNUMBER($I$526),$B$427=1),$I$526,HLOOKUP(INDIRECT(ADDRESS(2,COLUMN())),OFFSET($AM$2,0,0,ROW()-1,33),ROW()-1,FALSE))</f>
        <v>154435</v>
      </c>
      <c r="J109">
        <f ca="1">IF(AND(ISNUMBER($J$526),$B$427=1),$J$526,HLOOKUP(INDIRECT(ADDRESS(2,COLUMN())),OFFSET($AM$2,0,0,ROW()-1,33),ROW()-1,FALSE))</f>
        <v>148745</v>
      </c>
      <c r="K109">
        <f ca="1">IF(AND(ISNUMBER($K$526),$B$427=1),$K$526,HLOOKUP(INDIRECT(ADDRESS(2,COLUMN())),OFFSET($AM$2,0,0,ROW()-1,33),ROW()-1,FALSE))</f>
        <v>171200</v>
      </c>
      <c r="L109">
        <f ca="1">IF(AND(ISNUMBER($L$526),$B$427=1),$L$526,HLOOKUP(INDIRECT(ADDRESS(2,COLUMN())),OFFSET($AM$2,0,0,ROW()-1,33),ROW()-1,FALSE))</f>
        <v>175997</v>
      </c>
      <c r="M109">
        <f ca="1">IF(AND(ISNUMBER($M$526),$B$427=1),$M$526,HLOOKUP(INDIRECT(ADDRESS(2,COLUMN())),OFFSET($AM$2,0,0,ROW()-1,33),ROW()-1,FALSE))</f>
        <v>168663</v>
      </c>
      <c r="N109">
        <f ca="1">IF(AND(ISNUMBER($N$526),$B$427=1),$N$526,HLOOKUP(INDIRECT(ADDRESS(2,COLUMN())),OFFSET($AM$2,0,0,ROW()-1,33),ROW()-1,FALSE))</f>
        <v>168367</v>
      </c>
      <c r="O109">
        <f ca="1">IF(AND(ISNUMBER($O$526),$B$427=1),$O$526,HLOOKUP(INDIRECT(ADDRESS(2,COLUMN())),OFFSET($AM$2,0,0,ROW()-1,33),ROW()-1,FALSE))</f>
        <v>155648</v>
      </c>
      <c r="P109">
        <f ca="1">IF(AND(ISNUMBER($P$526),$B$427=1),$P$526,HLOOKUP(INDIRECT(ADDRESS(2,COLUMN())),OFFSET($AM$2,0,0,ROW()-1,33),ROW()-1,FALSE))</f>
        <v>151387</v>
      </c>
      <c r="Q109">
        <f ca="1">IF(AND(ISNUMBER($Q$526),$B$427=1),$Q$526,HLOOKUP(INDIRECT(ADDRESS(2,COLUMN())),OFFSET($AM$2,0,0,ROW()-1,33),ROW()-1,FALSE))</f>
        <v>146309</v>
      </c>
      <c r="R109">
        <f ca="1">IF(AND(ISNUMBER($R$526),$B$427=1),$R$526,HLOOKUP(INDIRECT(ADDRESS(2,COLUMN())),OFFSET($AM$2,0,0,ROW()-1,33),ROW()-1,FALSE))</f>
        <v>148843</v>
      </c>
      <c r="S109">
        <f ca="1">IF(AND(ISNUMBER($S$526),$B$427=1),$S$526,HLOOKUP(INDIRECT(ADDRESS(2,COLUMN())),OFFSET($AM$2,0,0,ROW()-1,33),ROW()-1,FALSE))</f>
        <v>142010</v>
      </c>
      <c r="T109">
        <f ca="1">IF(AND(ISNUMBER($T$526),$B$427=1),$T$526,HLOOKUP(INDIRECT(ADDRESS(2,COLUMN())),OFFSET($AM$2,0,0,ROW()-1,33),ROW()-1,FALSE))</f>
        <v>122523</v>
      </c>
      <c r="U109">
        <f ca="1">IF(AND(ISNUMBER($U$526),$B$427=1),$U$526,HLOOKUP(INDIRECT(ADDRESS(2,COLUMN())),OFFSET($AM$2,0,0,ROW()-1,33),ROW()-1,FALSE))</f>
        <v>134695</v>
      </c>
      <c r="V109">
        <f ca="1">IF(AND(ISNUMBER($V$526),$B$427=1),$V$526,HLOOKUP(INDIRECT(ADDRESS(2,COLUMN())),OFFSET($AM$2,0,0,ROW()-1,33),ROW()-1,FALSE))</f>
        <v>175087</v>
      </c>
      <c r="W109">
        <f ca="1">IF(AND(ISNUMBER($W$526),$B$427=1),$W$526,HLOOKUP(INDIRECT(ADDRESS(2,COLUMN())),OFFSET($AM$2,0,0,ROW()-1,33),ROW()-1,FALSE))</f>
        <v>77521</v>
      </c>
      <c r="X109">
        <f ca="1">IF(AND(ISNUMBER($X$526),$B$427=1),$X$526,HLOOKUP(INDIRECT(ADDRESS(2,COLUMN())),OFFSET($AM$2,0,0,ROW()-1,33),ROW()-1,FALSE))</f>
        <v>59508</v>
      </c>
      <c r="Y109">
        <f ca="1">IF(AND(ISNUMBER($Y$526),$B$427=1),$Y$526,HLOOKUP(INDIRECT(ADDRESS(2,COLUMN())),OFFSET($AM$2,0,0,ROW()-1,33),ROW()-1,FALSE))</f>
        <v>51564</v>
      </c>
      <c r="Z109">
        <f ca="1">IF(AND(ISNUMBER($Z$526),$B$427=1),$Z$526,HLOOKUP(INDIRECT(ADDRESS(2,COLUMN())),OFFSET($AM$2,0,0,ROW()-1,33),ROW()-1,FALSE))</f>
        <v>46115</v>
      </c>
      <c r="AA109">
        <f ca="1">IF(AND(ISNUMBER($AA$526),$B$427=1),$AA$526,HLOOKUP(INDIRECT(ADDRESS(2,COLUMN())),OFFSET($AM$2,0,0,ROW()-1,33),ROW()-1,FALSE))</f>
        <v>42059</v>
      </c>
      <c r="AB109">
        <f ca="1">IF(AND(ISNUMBER($AB$526),$B$427=1),$AB$526,HLOOKUP(INDIRECT(ADDRESS(2,COLUMN())),OFFSET($AM$2,0,0,ROW()-1,33),ROW()-1,FALSE))</f>
        <v>40451</v>
      </c>
      <c r="AC109">
        <f ca="1">IF(AND(ISNUMBER($AC$526),$B$427=1),$AC$526,HLOOKUP(INDIRECT(ADDRESS(2,COLUMN())),OFFSET($AM$2,0,0,ROW()-1,33),ROW()-1,FALSE))</f>
        <v>41292</v>
      </c>
      <c r="AD109" t="str">
        <f ca="1">IF(AND(ISNUMBER($AD$526),$B$427=1),$AD$526,HLOOKUP(INDIRECT(ADDRESS(2,COLUMN())),OFFSET($AM$2,0,0,ROW()-1,33),ROW()-1,FALSE))</f>
        <v/>
      </c>
      <c r="AE109" t="str">
        <f ca="1">IF(AND(ISNUMBER($AE$526),$B$427=1),$AE$526,HLOOKUP(INDIRECT(ADDRESS(2,COLUMN())),OFFSET($AM$2,0,0,ROW()-1,33),ROW()-1,FALSE))</f>
        <v/>
      </c>
      <c r="AF109" t="str">
        <f ca="1">IF(AND(ISNUMBER($AF$526),$B$427=1),$AF$526,HLOOKUP(INDIRECT(ADDRESS(2,COLUMN())),OFFSET($AM$2,0,0,ROW()-1,33),ROW()-1,FALSE))</f>
        <v/>
      </c>
      <c r="AG109" t="str">
        <f ca="1">IF(AND(ISNUMBER($AG$526),$B$427=1),$AG$526,HLOOKUP(INDIRECT(ADDRESS(2,COLUMN())),OFFSET($AM$2,0,0,ROW()-1,33),ROW()-1,FALSE))</f>
        <v/>
      </c>
      <c r="AH109" t="str">
        <f ca="1">IF(AND(ISNUMBER($AH$526),$B$427=1),$AH$526,HLOOKUP(INDIRECT(ADDRESS(2,COLUMN())),OFFSET($AM$2,0,0,ROW()-1,33),ROW()-1,FALSE))</f>
        <v/>
      </c>
      <c r="AI109" t="str">
        <f ca="1">IF(AND(ISNUMBER($AI$526),$B$427=1),$AI$526,HLOOKUP(INDIRECT(ADDRESS(2,COLUMN())),OFFSET($AM$2,0,0,ROW()-1,33),ROW()-1,FALSE))</f>
        <v/>
      </c>
      <c r="AJ109" t="str">
        <f ca="1">IF(AND(ISNUMBER($AJ$526),$B$427=1),$AJ$526,HLOOKUP(INDIRECT(ADDRESS(2,COLUMN())),OFFSET($AM$2,0,0,ROW()-1,33),ROW()-1,FALSE))</f>
        <v/>
      </c>
      <c r="AK109" t="str">
        <f ca="1">IF(AND(ISNUMBER($AK$526),$B$427=1),$AK$526,HLOOKUP(INDIRECT(ADDRESS(2,COLUMN())),OFFSET($AM$2,0,0,ROW()-1,33),ROW()-1,FALSE))</f>
        <v/>
      </c>
      <c r="AL109" t="str">
        <f ca="1">IF(AND(ISNUMBER($AL$526),$B$427=1),$AL$526,HLOOKUP(INDIRECT(ADDRESS(2,COLUMN())),OFFSET($AM$2,0,0,ROW()-1,33),ROW()-1,FALSE))</f>
        <v/>
      </c>
      <c r="AM109">
        <f>169380</f>
        <v>169380</v>
      </c>
      <c r="AN109">
        <f>172732</f>
        <v>172732</v>
      </c>
      <c r="AO109">
        <f>177409</f>
        <v>177409</v>
      </c>
      <c r="AP109">
        <f>154435</f>
        <v>154435</v>
      </c>
      <c r="AQ109">
        <f>148745</f>
        <v>148745</v>
      </c>
      <c r="AR109">
        <f>171200</f>
        <v>171200</v>
      </c>
      <c r="AS109">
        <f>175997</f>
        <v>175997</v>
      </c>
      <c r="AT109">
        <f>168663</f>
        <v>168663</v>
      </c>
      <c r="AU109">
        <f>168367</f>
        <v>168367</v>
      </c>
      <c r="AV109">
        <f>155648</f>
        <v>155648</v>
      </c>
      <c r="AW109">
        <f>151387</f>
        <v>151387</v>
      </c>
      <c r="AX109">
        <f>146309</f>
        <v>146309</v>
      </c>
      <c r="AY109">
        <f>148843</f>
        <v>148843</v>
      </c>
      <c r="AZ109">
        <f>142010</f>
        <v>142010</v>
      </c>
      <c r="BA109">
        <f>122523</f>
        <v>122523</v>
      </c>
      <c r="BB109">
        <f>134695</f>
        <v>134695</v>
      </c>
      <c r="BC109">
        <f>175087</f>
        <v>175087</v>
      </c>
      <c r="BD109">
        <f>77521</f>
        <v>77521</v>
      </c>
      <c r="BE109">
        <f>59508</f>
        <v>59508</v>
      </c>
      <c r="BF109">
        <f>51564</f>
        <v>51564</v>
      </c>
      <c r="BG109">
        <f>46115</f>
        <v>46115</v>
      </c>
      <c r="BH109">
        <f>42059</f>
        <v>42059</v>
      </c>
      <c r="BI109">
        <f>40451</f>
        <v>40451</v>
      </c>
      <c r="BJ109">
        <f>41292</f>
        <v>41292</v>
      </c>
      <c r="BK109" t="str">
        <f>""</f>
        <v/>
      </c>
      <c r="BL109" t="str">
        <f>""</f>
        <v/>
      </c>
      <c r="BM109" t="str">
        <f>""</f>
        <v/>
      </c>
      <c r="BN109" t="str">
        <f>""</f>
        <v/>
      </c>
      <c r="BO109" t="str">
        <f>""</f>
        <v/>
      </c>
      <c r="BP109" t="str">
        <f>""</f>
        <v/>
      </c>
      <c r="BQ109" t="str">
        <f>""</f>
        <v/>
      </c>
      <c r="BR109" t="str">
        <f>""</f>
        <v/>
      </c>
      <c r="BS109" t="str">
        <f>""</f>
        <v/>
      </c>
    </row>
    <row r="110" spans="1:71" x14ac:dyDescent="0.25">
      <c r="A110" t="str">
        <f>"        Western Alliance Bancorp"</f>
        <v xml:space="preserve">        Western Alliance Bancorp</v>
      </c>
      <c r="B110" t="str">
        <f>"WAL US Equity"</f>
        <v>WAL US Equity</v>
      </c>
      <c r="C110" t="str">
        <f t="shared" si="12"/>
        <v>FR011</v>
      </c>
      <c r="D110" t="str">
        <f t="shared" si="13"/>
        <v>FED_C&amp;I_LOANS_US_ADDRESS</v>
      </c>
      <c r="E110" t="str">
        <f t="shared" si="14"/>
        <v>Dynamic</v>
      </c>
      <c r="F110">
        <f ca="1">IF(AND(ISNUMBER($F$527),$B$427=1),$F$527,HLOOKUP(INDIRECT(ADDRESS(2,COLUMN())),OFFSET($AM$2,0,0,ROW()-1,33),ROW()-1,FALSE))</f>
        <v>9927.7829999999994</v>
      </c>
      <c r="G110">
        <f ca="1">IF(AND(ISNUMBER($G$527),$B$427=1),$G$527,HLOOKUP(INDIRECT(ADDRESS(2,COLUMN())),OFFSET($AM$2,0,0,ROW()-1,33),ROW()-1,FALSE))</f>
        <v>8786.5540000000001</v>
      </c>
      <c r="H110">
        <f ca="1">IF(AND(ISNUMBER($H$527),$B$427=1),$H$527,HLOOKUP(INDIRECT(ADDRESS(2,COLUMN())),OFFSET($AM$2,0,0,ROW()-1,33),ROW()-1,FALSE))</f>
        <v>11612.654</v>
      </c>
      <c r="I110">
        <f ca="1">IF(AND(ISNUMBER($I$527),$B$427=1),$I$527,HLOOKUP(INDIRECT(ADDRESS(2,COLUMN())),OFFSET($AM$2,0,0,ROW()-1,33),ROW()-1,FALSE))</f>
        <v>10661.641</v>
      </c>
      <c r="J110">
        <f ca="1">IF(AND(ISNUMBER($J$527),$B$427=1),$J$527,HLOOKUP(INDIRECT(ADDRESS(2,COLUMN())),OFFSET($AM$2,0,0,ROW()-1,33),ROW()-1,FALSE))</f>
        <v>7359.0039999999999</v>
      </c>
      <c r="K110">
        <f ca="1">IF(AND(ISNUMBER($K$527),$B$427=1),$K$527,HLOOKUP(INDIRECT(ADDRESS(2,COLUMN())),OFFSET($AM$2,0,0,ROW()-1,33),ROW()-1,FALSE))</f>
        <v>5081.0469999999996</v>
      </c>
      <c r="L110">
        <f ca="1">IF(AND(ISNUMBER($L$527),$B$427=1),$L$527,HLOOKUP(INDIRECT(ADDRESS(2,COLUMN())),OFFSET($AM$2,0,0,ROW()-1,33),ROW()-1,FALSE))</f>
        <v>4284</v>
      </c>
      <c r="M110">
        <f ca="1">IF(AND(ISNUMBER($M$527),$B$427=1),$M$527,HLOOKUP(INDIRECT(ADDRESS(2,COLUMN())),OFFSET($AM$2,0,0,ROW()-1,33),ROW()-1,FALSE))</f>
        <v>3945.777</v>
      </c>
      <c r="N110">
        <f ca="1">IF(AND(ISNUMBER($N$527),$B$427=1),$N$527,HLOOKUP(INDIRECT(ADDRESS(2,COLUMN())),OFFSET($AM$2,0,0,ROW()-1,33),ROW()-1,FALSE))</f>
        <v>3356.7089999999998</v>
      </c>
      <c r="O110">
        <f ca="1">IF(AND(ISNUMBER($O$527),$B$427=1),$O$527,HLOOKUP(INDIRECT(ADDRESS(2,COLUMN())),OFFSET($AM$2,0,0,ROW()-1,33),ROW()-1,FALSE))</f>
        <v>3136.9</v>
      </c>
      <c r="P110">
        <f ca="1">IF(AND(ISNUMBER($P$527),$B$427=1),$P$527,HLOOKUP(INDIRECT(ADDRESS(2,COLUMN())),OFFSET($AM$2,0,0,ROW()-1,33),ROW()-1,FALSE))</f>
        <v>1893.979</v>
      </c>
      <c r="Q110">
        <f ca="1">IF(AND(ISNUMBER($Q$527),$B$427=1),$Q$527,HLOOKUP(INDIRECT(ADDRESS(2,COLUMN())),OFFSET($AM$2,0,0,ROW()-1,33),ROW()-1,FALSE))</f>
        <v>1290.7919999999999</v>
      </c>
      <c r="R110">
        <f ca="1">IF(AND(ISNUMBER($R$527),$B$427=1),$R$527,HLOOKUP(INDIRECT(ADDRESS(2,COLUMN())),OFFSET($AM$2,0,0,ROW()-1,33),ROW()-1,FALSE))</f>
        <v>1043.0719999999999</v>
      </c>
      <c r="S110">
        <f ca="1">IF(AND(ISNUMBER($S$527),$B$427=1),$S$527,HLOOKUP(INDIRECT(ADDRESS(2,COLUMN())),OFFSET($AM$2,0,0,ROW()-1,33),ROW()-1,FALSE))</f>
        <v>817.23400000000004</v>
      </c>
      <c r="T110">
        <f ca="1">IF(AND(ISNUMBER($T$527),$B$427=1),$T$527,HLOOKUP(INDIRECT(ADDRESS(2,COLUMN())),OFFSET($AM$2,0,0,ROW()-1,33),ROW()-1,FALSE))</f>
        <v>697.399</v>
      </c>
      <c r="U110">
        <f ca="1">IF(AND(ISNUMBER($U$527),$B$427=1),$U$527,HLOOKUP(INDIRECT(ADDRESS(2,COLUMN())),OFFSET($AM$2,0,0,ROW()-1,33),ROW()-1,FALSE))</f>
        <v>665.65499999999997</v>
      </c>
      <c r="V110">
        <f ca="1">IF(AND(ISNUMBER($V$527),$B$427=1),$V$527,HLOOKUP(INDIRECT(ADDRESS(2,COLUMN())),OFFSET($AM$2,0,0,ROW()-1,33),ROW()-1,FALSE))</f>
        <v>798.25199999999995</v>
      </c>
      <c r="W110">
        <f ca="1">IF(AND(ISNUMBER($W$527),$B$427=1),$W$527,HLOOKUP(INDIRECT(ADDRESS(2,COLUMN())),OFFSET($AM$2,0,0,ROW()-1,33),ROW()-1,FALSE))</f>
        <v>727.59900000000005</v>
      </c>
      <c r="X110">
        <f ca="1">IF(AND(ISNUMBER($X$527),$B$427=1),$X$527,HLOOKUP(INDIRECT(ADDRESS(2,COLUMN())),OFFSET($AM$2,0,0,ROW()-1,33),ROW()-1,FALSE))</f>
        <v>622.59199999999998</v>
      </c>
      <c r="Y110">
        <f ca="1">IF(AND(ISNUMBER($Y$527),$B$427=1),$Y$527,HLOOKUP(INDIRECT(ADDRESS(2,COLUMN())),OFFSET($AM$2,0,0,ROW()-1,33),ROW()-1,FALSE))</f>
        <v>338.47899999999998</v>
      </c>
      <c r="Z110">
        <f ca="1">IF(AND(ISNUMBER($Z$527),$B$427=1),$Z$527,HLOOKUP(INDIRECT(ADDRESS(2,COLUMN())),OFFSET($AM$2,0,0,ROW()-1,33),ROW()-1,FALSE))</f>
        <v>239.57599999999999</v>
      </c>
      <c r="AA110">
        <f ca="1">IF(AND(ISNUMBER($AA$527),$B$427=1),$AA$527,HLOOKUP(INDIRECT(ADDRESS(2,COLUMN())),OFFSET($AM$2,0,0,ROW()-1,33),ROW()-1,FALSE))</f>
        <v>158.71600000000001</v>
      </c>
      <c r="AB110">
        <f ca="1">IF(AND(ISNUMBER($AB$527),$B$427=1),$AB$527,HLOOKUP(INDIRECT(ADDRESS(2,COLUMN())),OFFSET($AM$2,0,0,ROW()-1,33),ROW()-1,FALSE))</f>
        <v>93.838999999999999</v>
      </c>
      <c r="AC110">
        <f ca="1">IF(AND(ISNUMBER($AC$527),$B$427=1),$AC$527,HLOOKUP(INDIRECT(ADDRESS(2,COLUMN())),OFFSET($AM$2,0,0,ROW()-1,33),ROW()-1,FALSE))</f>
        <v>85.05</v>
      </c>
      <c r="AD110" t="str">
        <f ca="1">IF(AND(ISNUMBER($AD$527),$B$427=1),$AD$527,HLOOKUP(INDIRECT(ADDRESS(2,COLUMN())),OFFSET($AM$2,0,0,ROW()-1,33),ROW()-1,FALSE))</f>
        <v/>
      </c>
      <c r="AE110" t="str">
        <f ca="1">IF(AND(ISNUMBER($AE$527),$B$427=1),$AE$527,HLOOKUP(INDIRECT(ADDRESS(2,COLUMN())),OFFSET($AM$2,0,0,ROW()-1,33),ROW()-1,FALSE))</f>
        <v/>
      </c>
      <c r="AF110" t="str">
        <f ca="1">IF(AND(ISNUMBER($AF$527),$B$427=1),$AF$527,HLOOKUP(INDIRECT(ADDRESS(2,COLUMN())),OFFSET($AM$2,0,0,ROW()-1,33),ROW()-1,FALSE))</f>
        <v/>
      </c>
      <c r="AG110" t="str">
        <f ca="1">IF(AND(ISNUMBER($AG$527),$B$427=1),$AG$527,HLOOKUP(INDIRECT(ADDRESS(2,COLUMN())),OFFSET($AM$2,0,0,ROW()-1,33),ROW()-1,FALSE))</f>
        <v/>
      </c>
      <c r="AH110" t="str">
        <f ca="1">IF(AND(ISNUMBER($AH$527),$B$427=1),$AH$527,HLOOKUP(INDIRECT(ADDRESS(2,COLUMN())),OFFSET($AM$2,0,0,ROW()-1,33),ROW()-1,FALSE))</f>
        <v/>
      </c>
      <c r="AI110" t="str">
        <f ca="1">IF(AND(ISNUMBER($AI$527),$B$427=1),$AI$527,HLOOKUP(INDIRECT(ADDRESS(2,COLUMN())),OFFSET($AM$2,0,0,ROW()-1,33),ROW()-1,FALSE))</f>
        <v/>
      </c>
      <c r="AJ110" t="str">
        <f ca="1">IF(AND(ISNUMBER($AJ$527),$B$427=1),$AJ$527,HLOOKUP(INDIRECT(ADDRESS(2,COLUMN())),OFFSET($AM$2,0,0,ROW()-1,33),ROW()-1,FALSE))</f>
        <v/>
      </c>
      <c r="AK110" t="str">
        <f ca="1">IF(AND(ISNUMBER($AK$527),$B$427=1),$AK$527,HLOOKUP(INDIRECT(ADDRESS(2,COLUMN())),OFFSET($AM$2,0,0,ROW()-1,33),ROW()-1,FALSE))</f>
        <v/>
      </c>
      <c r="AL110" t="str">
        <f ca="1">IF(AND(ISNUMBER($AL$527),$B$427=1),$AL$527,HLOOKUP(INDIRECT(ADDRESS(2,COLUMN())),OFFSET($AM$2,0,0,ROW()-1,33),ROW()-1,FALSE))</f>
        <v/>
      </c>
      <c r="AM110">
        <f>9927.783</f>
        <v>9927.7829999999994</v>
      </c>
      <c r="AN110">
        <f>8786.554</f>
        <v>8786.5540000000001</v>
      </c>
      <c r="AO110">
        <f>11612.654</f>
        <v>11612.654</v>
      </c>
      <c r="AP110">
        <f>10661.641</f>
        <v>10661.641</v>
      </c>
      <c r="AQ110">
        <f>7359.004</f>
        <v>7359.0039999999999</v>
      </c>
      <c r="AR110">
        <f>5081.047</f>
        <v>5081.0469999999996</v>
      </c>
      <c r="AS110">
        <f>4284</f>
        <v>4284</v>
      </c>
      <c r="AT110">
        <f>3945.777</f>
        <v>3945.777</v>
      </c>
      <c r="AU110">
        <f>3356.709</f>
        <v>3356.7089999999998</v>
      </c>
      <c r="AV110">
        <f>3136.9</f>
        <v>3136.9</v>
      </c>
      <c r="AW110">
        <f>1893.979</f>
        <v>1893.979</v>
      </c>
      <c r="AX110">
        <f>1290.792</f>
        <v>1290.7919999999999</v>
      </c>
      <c r="AY110">
        <f>1043.072</f>
        <v>1043.0719999999999</v>
      </c>
      <c r="AZ110">
        <f>817.234</f>
        <v>817.23400000000004</v>
      </c>
      <c r="BA110">
        <f>697.399</f>
        <v>697.399</v>
      </c>
      <c r="BB110">
        <f>665.655</f>
        <v>665.65499999999997</v>
      </c>
      <c r="BC110">
        <f>798.252</f>
        <v>798.25199999999995</v>
      </c>
      <c r="BD110">
        <f>727.599</f>
        <v>727.59900000000005</v>
      </c>
      <c r="BE110">
        <f>622.592</f>
        <v>622.59199999999998</v>
      </c>
      <c r="BF110">
        <f>338.479</f>
        <v>338.47899999999998</v>
      </c>
      <c r="BG110">
        <f>239.576</f>
        <v>239.57599999999999</v>
      </c>
      <c r="BH110">
        <f>158.716</f>
        <v>158.71600000000001</v>
      </c>
      <c r="BI110">
        <f>93.839</f>
        <v>93.838999999999999</v>
      </c>
      <c r="BJ110">
        <f>85.05</f>
        <v>85.05</v>
      </c>
      <c r="BK110" t="str">
        <f>""</f>
        <v/>
      </c>
      <c r="BL110" t="str">
        <f>""</f>
        <v/>
      </c>
      <c r="BM110" t="str">
        <f>""</f>
        <v/>
      </c>
      <c r="BN110" t="str">
        <f>""</f>
        <v/>
      </c>
      <c r="BO110" t="str">
        <f>""</f>
        <v/>
      </c>
      <c r="BP110" t="str">
        <f>""</f>
        <v/>
      </c>
      <c r="BQ110" t="str">
        <f>""</f>
        <v/>
      </c>
      <c r="BR110" t="str">
        <f>""</f>
        <v/>
      </c>
      <c r="BS110" t="str">
        <f>""</f>
        <v/>
      </c>
    </row>
    <row r="111" spans="1:71" x14ac:dyDescent="0.25">
      <c r="A111" t="str">
        <f>"        Zions Bancorp NA"</f>
        <v xml:space="preserve">        Zions Bancorp NA</v>
      </c>
      <c r="B111" t="str">
        <f>"ZION US Equity"</f>
        <v>ZION US Equity</v>
      </c>
      <c r="C111" t="str">
        <f t="shared" si="12"/>
        <v>FR011</v>
      </c>
      <c r="D111" t="str">
        <f t="shared" si="13"/>
        <v>FED_C&amp;I_LOANS_US_ADDRESS</v>
      </c>
      <c r="E111" t="str">
        <f t="shared" si="14"/>
        <v>Dynamic</v>
      </c>
      <c r="F111" t="str">
        <f ca="1">IF(AND(ISNUMBER($F$528),$B$427=1),$F$528,HLOOKUP(INDIRECT(ADDRESS(2,COLUMN())),OFFSET($AM$2,0,0,ROW()-1,33),ROW()-1,FALSE))</f>
        <v/>
      </c>
      <c r="G111" t="str">
        <f ca="1">IF(AND(ISNUMBER($G$528),$B$427=1),$G$528,HLOOKUP(INDIRECT(ADDRESS(2,COLUMN())),OFFSET($AM$2,0,0,ROW()-1,33),ROW()-1,FALSE))</f>
        <v/>
      </c>
      <c r="H111" t="str">
        <f ca="1">IF(AND(ISNUMBER($H$528),$B$427=1),$H$528,HLOOKUP(INDIRECT(ADDRESS(2,COLUMN())),OFFSET($AM$2,0,0,ROW()-1,33),ROW()-1,FALSE))</f>
        <v/>
      </c>
      <c r="I111" t="str">
        <f ca="1">IF(AND(ISNUMBER($I$528),$B$427=1),$I$528,HLOOKUP(INDIRECT(ADDRESS(2,COLUMN())),OFFSET($AM$2,0,0,ROW()-1,33),ROW()-1,FALSE))</f>
        <v/>
      </c>
      <c r="J111" t="str">
        <f ca="1">IF(AND(ISNUMBER($J$528),$B$427=1),$J$528,HLOOKUP(INDIRECT(ADDRESS(2,COLUMN())),OFFSET($AM$2,0,0,ROW()-1,33),ROW()-1,FALSE))</f>
        <v/>
      </c>
      <c r="K111" t="str">
        <f ca="1">IF(AND(ISNUMBER($K$528),$B$427=1),$K$528,HLOOKUP(INDIRECT(ADDRESS(2,COLUMN())),OFFSET($AM$2,0,0,ROW()-1,33),ROW()-1,FALSE))</f>
        <v/>
      </c>
      <c r="L111" t="str">
        <f ca="1">IF(AND(ISNUMBER($L$528),$B$427=1),$L$528,HLOOKUP(INDIRECT(ADDRESS(2,COLUMN())),OFFSET($AM$2,0,0,ROW()-1,33),ROW()-1,FALSE))</f>
        <v/>
      </c>
      <c r="M111" t="str">
        <f ca="1">IF(AND(ISNUMBER($M$528),$B$427=1),$M$528,HLOOKUP(INDIRECT(ADDRESS(2,COLUMN())),OFFSET($AM$2,0,0,ROW()-1,33),ROW()-1,FALSE))</f>
        <v/>
      </c>
      <c r="N111" t="str">
        <f ca="1">IF(AND(ISNUMBER($N$528),$B$427=1),$N$528,HLOOKUP(INDIRECT(ADDRESS(2,COLUMN())),OFFSET($AM$2,0,0,ROW()-1,33),ROW()-1,FALSE))</f>
        <v/>
      </c>
      <c r="O111" t="str">
        <f ca="1">IF(AND(ISNUMBER($O$528),$B$427=1),$O$528,HLOOKUP(INDIRECT(ADDRESS(2,COLUMN())),OFFSET($AM$2,0,0,ROW()-1,33),ROW()-1,FALSE))</f>
        <v/>
      </c>
      <c r="P111" t="str">
        <f ca="1">IF(AND(ISNUMBER($P$528),$B$427=1),$P$528,HLOOKUP(INDIRECT(ADDRESS(2,COLUMN())),OFFSET($AM$2,0,0,ROW()-1,33),ROW()-1,FALSE))</f>
        <v/>
      </c>
      <c r="Q111" t="str">
        <f ca="1">IF(AND(ISNUMBER($Q$528),$B$427=1),$Q$528,HLOOKUP(INDIRECT(ADDRESS(2,COLUMN())),OFFSET($AM$2,0,0,ROW()-1,33),ROW()-1,FALSE))</f>
        <v/>
      </c>
      <c r="R111" t="str">
        <f ca="1">IF(AND(ISNUMBER($R$528),$B$427=1),$R$528,HLOOKUP(INDIRECT(ADDRESS(2,COLUMN())),OFFSET($AM$2,0,0,ROW()-1,33),ROW()-1,FALSE))</f>
        <v/>
      </c>
      <c r="S111" t="str">
        <f ca="1">IF(AND(ISNUMBER($S$528),$B$427=1),$S$528,HLOOKUP(INDIRECT(ADDRESS(2,COLUMN())),OFFSET($AM$2,0,0,ROW()-1,33),ROW()-1,FALSE))</f>
        <v/>
      </c>
      <c r="T111" t="str">
        <f ca="1">IF(AND(ISNUMBER($T$528),$B$427=1),$T$528,HLOOKUP(INDIRECT(ADDRESS(2,COLUMN())),OFFSET($AM$2,0,0,ROW()-1,33),ROW()-1,FALSE))</f>
        <v/>
      </c>
      <c r="U111" t="str">
        <f ca="1">IF(AND(ISNUMBER($U$528),$B$427=1),$U$528,HLOOKUP(INDIRECT(ADDRESS(2,COLUMN())),OFFSET($AM$2,0,0,ROW()-1,33),ROW()-1,FALSE))</f>
        <v/>
      </c>
      <c r="V111" t="str">
        <f ca="1">IF(AND(ISNUMBER($V$528),$B$427=1),$V$528,HLOOKUP(INDIRECT(ADDRESS(2,COLUMN())),OFFSET($AM$2,0,0,ROW()-1,33),ROW()-1,FALSE))</f>
        <v/>
      </c>
      <c r="W111" t="str">
        <f ca="1">IF(AND(ISNUMBER($W$528),$B$427=1),$W$528,HLOOKUP(INDIRECT(ADDRESS(2,COLUMN())),OFFSET($AM$2,0,0,ROW()-1,33),ROW()-1,FALSE))</f>
        <v/>
      </c>
      <c r="X111" t="str">
        <f ca="1">IF(AND(ISNUMBER($X$528),$B$427=1),$X$528,HLOOKUP(INDIRECT(ADDRESS(2,COLUMN())),OFFSET($AM$2,0,0,ROW()-1,33),ROW()-1,FALSE))</f>
        <v/>
      </c>
      <c r="Y111" t="str">
        <f ca="1">IF(AND(ISNUMBER($Y$528),$B$427=1),$Y$528,HLOOKUP(INDIRECT(ADDRESS(2,COLUMN())),OFFSET($AM$2,0,0,ROW()-1,33),ROW()-1,FALSE))</f>
        <v/>
      </c>
      <c r="Z111" t="str">
        <f ca="1">IF(AND(ISNUMBER($Z$528),$B$427=1),$Z$528,HLOOKUP(INDIRECT(ADDRESS(2,COLUMN())),OFFSET($AM$2,0,0,ROW()-1,33),ROW()-1,FALSE))</f>
        <v/>
      </c>
      <c r="AA111" t="str">
        <f ca="1">IF(AND(ISNUMBER($AA$528),$B$427=1),$AA$528,HLOOKUP(INDIRECT(ADDRESS(2,COLUMN())),OFFSET($AM$2,0,0,ROW()-1,33),ROW()-1,FALSE))</f>
        <v/>
      </c>
      <c r="AB111" t="str">
        <f ca="1">IF(AND(ISNUMBER($AB$528),$B$427=1),$AB$528,HLOOKUP(INDIRECT(ADDRESS(2,COLUMN())),OFFSET($AM$2,0,0,ROW()-1,33),ROW()-1,FALSE))</f>
        <v/>
      </c>
      <c r="AC111" t="str">
        <f ca="1">IF(AND(ISNUMBER($AC$528),$B$427=1),$AC$528,HLOOKUP(INDIRECT(ADDRESS(2,COLUMN())),OFFSET($AM$2,0,0,ROW()-1,33),ROW()-1,FALSE))</f>
        <v/>
      </c>
      <c r="AD111" t="str">
        <f ca="1">IF(AND(ISNUMBER($AD$528),$B$427=1),$AD$528,HLOOKUP(INDIRECT(ADDRESS(2,COLUMN())),OFFSET($AM$2,0,0,ROW()-1,33),ROW()-1,FALSE))</f>
        <v/>
      </c>
      <c r="AE111" t="str">
        <f ca="1">IF(AND(ISNUMBER($AE$528),$B$427=1),$AE$528,HLOOKUP(INDIRECT(ADDRESS(2,COLUMN())),OFFSET($AM$2,0,0,ROW()-1,33),ROW()-1,FALSE))</f>
        <v/>
      </c>
      <c r="AF111" t="str">
        <f ca="1">IF(AND(ISNUMBER($AF$528),$B$427=1),$AF$528,HLOOKUP(INDIRECT(ADDRESS(2,COLUMN())),OFFSET($AM$2,0,0,ROW()-1,33),ROW()-1,FALSE))</f>
        <v/>
      </c>
      <c r="AG111" t="str">
        <f ca="1">IF(AND(ISNUMBER($AG$528),$B$427=1),$AG$528,HLOOKUP(INDIRECT(ADDRESS(2,COLUMN())),OFFSET($AM$2,0,0,ROW()-1,33),ROW()-1,FALSE))</f>
        <v/>
      </c>
      <c r="AH111" t="str">
        <f ca="1">IF(AND(ISNUMBER($AH$528),$B$427=1),$AH$528,HLOOKUP(INDIRECT(ADDRESS(2,COLUMN())),OFFSET($AM$2,0,0,ROW()-1,33),ROW()-1,FALSE))</f>
        <v/>
      </c>
      <c r="AI111" t="str">
        <f ca="1">IF(AND(ISNUMBER($AI$528),$B$427=1),$AI$528,HLOOKUP(INDIRECT(ADDRESS(2,COLUMN())),OFFSET($AM$2,0,0,ROW()-1,33),ROW()-1,FALSE))</f>
        <v/>
      </c>
      <c r="AJ111" t="str">
        <f ca="1">IF(AND(ISNUMBER($AJ$528),$B$427=1),$AJ$528,HLOOKUP(INDIRECT(ADDRESS(2,COLUMN())),OFFSET($AM$2,0,0,ROW()-1,33),ROW()-1,FALSE))</f>
        <v/>
      </c>
      <c r="AK111" t="str">
        <f ca="1">IF(AND(ISNUMBER($AK$528),$B$427=1),$AK$528,HLOOKUP(INDIRECT(ADDRESS(2,COLUMN())),OFFSET($AM$2,0,0,ROW()-1,33),ROW()-1,FALSE))</f>
        <v/>
      </c>
      <c r="AL111" t="str">
        <f ca="1">IF(AND(ISNUMBER($AL$528),$B$427=1),$AL$528,HLOOKUP(INDIRECT(ADDRESS(2,COLUMN())),OFFSET($AM$2,0,0,ROW()-1,33),ROW()-1,FALSE))</f>
        <v/>
      </c>
      <c r="AM111" t="str">
        <f>""</f>
        <v/>
      </c>
      <c r="AN111" t="str">
        <f>""</f>
        <v/>
      </c>
      <c r="AO111" t="str">
        <f>""</f>
        <v/>
      </c>
      <c r="AP111" t="str">
        <f>""</f>
        <v/>
      </c>
      <c r="AQ111" t="str">
        <f>""</f>
        <v/>
      </c>
      <c r="AR111" t="str">
        <f>""</f>
        <v/>
      </c>
      <c r="AS111" t="str">
        <f>""</f>
        <v/>
      </c>
      <c r="AT111" t="str">
        <f>""</f>
        <v/>
      </c>
      <c r="AU111" t="str">
        <f>""</f>
        <v/>
      </c>
      <c r="AV111" t="str">
        <f>""</f>
        <v/>
      </c>
      <c r="AW111" t="str">
        <f>""</f>
        <v/>
      </c>
      <c r="AX111" t="str">
        <f>""</f>
        <v/>
      </c>
      <c r="AY111" t="str">
        <f>""</f>
        <v/>
      </c>
      <c r="AZ111" t="str">
        <f>""</f>
        <v/>
      </c>
      <c r="BA111" t="str">
        <f>""</f>
        <v/>
      </c>
      <c r="BB111" t="str">
        <f>""</f>
        <v/>
      </c>
      <c r="BC111" t="str">
        <f>""</f>
        <v/>
      </c>
      <c r="BD111" t="str">
        <f>""</f>
        <v/>
      </c>
      <c r="BE111" t="str">
        <f>""</f>
        <v/>
      </c>
      <c r="BF111" t="str">
        <f>""</f>
        <v/>
      </c>
      <c r="BG111" t="str">
        <f>""</f>
        <v/>
      </c>
      <c r="BH111" t="str">
        <f>""</f>
        <v/>
      </c>
      <c r="BI111" t="str">
        <f>""</f>
        <v/>
      </c>
      <c r="BJ111" t="str">
        <f>""</f>
        <v/>
      </c>
      <c r="BK111" t="str">
        <f>""</f>
        <v/>
      </c>
      <c r="BL111" t="str">
        <f>""</f>
        <v/>
      </c>
      <c r="BM111" t="str">
        <f>""</f>
        <v/>
      </c>
      <c r="BN111" t="str">
        <f>""</f>
        <v/>
      </c>
      <c r="BO111" t="str">
        <f>""</f>
        <v/>
      </c>
      <c r="BP111" t="str">
        <f>""</f>
        <v/>
      </c>
      <c r="BQ111" t="str">
        <f>""</f>
        <v/>
      </c>
      <c r="BR111" t="str">
        <f>""</f>
        <v/>
      </c>
      <c r="BS111" t="str">
        <f>""</f>
        <v/>
      </c>
    </row>
    <row r="112" spans="1:71" x14ac:dyDescent="0.25">
      <c r="A112" t="str">
        <f>"    Foreign"</f>
        <v xml:space="preserve">    Foreign</v>
      </c>
      <c r="B112" t="str">
        <f>""</f>
        <v/>
      </c>
      <c r="E112" t="str">
        <f>"Sum"</f>
        <v>Sum</v>
      </c>
      <c r="F112">
        <f ca="1">IF(ISERROR(IF(SUM($F$113:$F$132) = 0, "", SUM($F$113:$F$132))), "", (IF(SUM($F$113:$F$132) = 0, "", SUM($F$113:$F$132))))</f>
        <v>247192.34700000001</v>
      </c>
      <c r="G112">
        <f ca="1">IF(ISERROR(IF(SUM($G$113:$G$132) = 0, "", SUM($G$113:$G$132))), "", (IF(SUM($G$113:$G$132) = 0, "", SUM($G$113:$G$132))))</f>
        <v>265444.17200000002</v>
      </c>
      <c r="H112">
        <f ca="1">IF(ISERROR(IF(SUM($H$113:$H$132) = 0, "", SUM($H$113:$H$132))), "", (IF(SUM($H$113:$H$132) = 0, "", SUM($H$113:$H$132))))</f>
        <v>279042.48300000007</v>
      </c>
      <c r="I112">
        <f ca="1">IF(ISERROR(IF(SUM($I$113:$I$132) = 0, "", SUM($I$113:$I$132))), "", (IF(SUM($I$113:$I$132) = 0, "", SUM($I$113:$I$132))))</f>
        <v>268046.34899999999</v>
      </c>
      <c r="J112">
        <f ca="1">IF(ISERROR(IF(SUM($J$113:$J$132) = 0, "", SUM($J$113:$J$132))), "", (IF(SUM($J$113:$J$132) = 0, "", SUM($J$113:$J$132))))</f>
        <v>251302.84899999999</v>
      </c>
      <c r="K112">
        <f ca="1">IF(ISERROR(IF(SUM($K$113:$K$132) = 0, "", SUM($K$113:$K$132))), "", (IF(SUM($K$113:$K$132) = 0, "", SUM($K$113:$K$132))))</f>
        <v>266199.81699999998</v>
      </c>
      <c r="L112">
        <f ca="1">IF(ISERROR(IF(SUM($L$113:$L$132) = 0, "", SUM($L$113:$L$132))), "", (IF(SUM($L$113:$L$132) = 0, "", SUM($L$113:$L$132))))</f>
        <v>254086.92599999998</v>
      </c>
      <c r="M112">
        <f ca="1">IF(ISERROR(IF(SUM($M$113:$M$132) = 0, "", SUM($M$113:$M$132))), "", (IF(SUM($M$113:$M$132) = 0, "", SUM($M$113:$M$132))))</f>
        <v>249317.49</v>
      </c>
      <c r="N112">
        <f ca="1">IF(ISERROR(IF(SUM($N$113:$N$132) = 0, "", SUM($N$113:$N$132))), "", (IF(SUM($N$113:$N$132) = 0, "", SUM($N$113:$N$132))))</f>
        <v>228878.58000000007</v>
      </c>
      <c r="O112">
        <f ca="1">IF(ISERROR(IF(SUM($O$113:$O$132) = 0, "", SUM($O$113:$O$132))), "", (IF(SUM($O$113:$O$132) = 0, "", SUM($O$113:$O$132))))</f>
        <v>220550.13799999995</v>
      </c>
      <c r="P112">
        <f ca="1">IF(ISERROR(IF(SUM($P$113:$P$132) = 0, "", SUM($P$113:$P$132))), "", (IF(SUM($P$113:$P$132) = 0, "", SUM($P$113:$P$132))))</f>
        <v>219296.73499999999</v>
      </c>
      <c r="Q112">
        <f ca="1">IF(ISERROR(IF(SUM($Q$113:$Q$132) = 0, "", SUM($Q$113:$Q$132))), "", (IF(SUM($Q$113:$Q$132) = 0, "", SUM($Q$113:$Q$132))))</f>
        <v>228269.20500000002</v>
      </c>
      <c r="R112">
        <f ca="1">IF(ISERROR(IF(SUM($R$113:$R$132) = 0, "", SUM($R$113:$R$132))), "", (IF(SUM($R$113:$R$132) = 0, "", SUM($R$113:$R$132))))</f>
        <v>222021.30599999998</v>
      </c>
      <c r="S112">
        <f ca="1">IF(ISERROR(IF(SUM($S$113:$S$132) = 0, "", SUM($S$113:$S$132))), "", (IF(SUM($S$113:$S$132) = 0, "", SUM($S$113:$S$132))))</f>
        <v>198560.14900000003</v>
      </c>
      <c r="T112">
        <f ca="1">IF(ISERROR(IF(SUM($T$113:$T$132) = 0, "", SUM($T$113:$T$132))), "", (IF(SUM($T$113:$T$132) = 0, "", SUM($T$113:$T$132))))</f>
        <v>152511.51599999997</v>
      </c>
      <c r="U112">
        <f ca="1">IF(ISERROR(IF(SUM($U$113:$U$132) = 0, "", SUM($U$113:$U$132))), "", (IF(SUM($U$113:$U$132) = 0, "", SUM($U$113:$U$132))))</f>
        <v>154444.21799999999</v>
      </c>
      <c r="V112">
        <f ca="1">IF(ISERROR(IF(SUM($V$113:$V$132) = 0, "", SUM($V$113:$V$132))), "", (IF(SUM($V$113:$V$132) = 0, "", SUM($V$113:$V$132))))</f>
        <v>195151.65899999999</v>
      </c>
      <c r="W112">
        <f ca="1">IF(ISERROR(IF(SUM($W$113:$W$132) = 0, "", SUM($W$113:$W$132))), "", (IF(SUM($W$113:$W$132) = 0, "", SUM($W$113:$W$132))))</f>
        <v>211453.17300000001</v>
      </c>
      <c r="X112">
        <f ca="1">IF(ISERROR(IF(SUM($X$113:$X$132) = 0, "", SUM($X$113:$X$132))), "", (IF(SUM($X$113:$X$132) = 0, "", SUM($X$113:$X$132))))</f>
        <v>164057.62</v>
      </c>
      <c r="Y112">
        <f ca="1">IF(ISERROR(IF(SUM($Y$113:$Y$132) = 0, "", SUM($Y$113:$Y$132))), "", (IF(SUM($Y$113:$Y$132) = 0, "", SUM($Y$113:$Y$132))))</f>
        <v>130176.59400000001</v>
      </c>
      <c r="Z112">
        <f ca="1">IF(ISERROR(IF(SUM($Z$113:$Z$132) = 0, "", SUM($Z$113:$Z$132))), "", (IF(SUM($Z$113:$Z$132) = 0, "", SUM($Z$113:$Z$132))))</f>
        <v>117725.63099999999</v>
      </c>
      <c r="AA112">
        <f ca="1">IF(ISERROR(IF(SUM($AA$113:$AA$132) = 0, "", SUM($AA$113:$AA$132))), "", (IF(SUM($AA$113:$AA$132) = 0, "", SUM($AA$113:$AA$132))))</f>
        <v>96586.793999999994</v>
      </c>
      <c r="AB112">
        <f ca="1">IF(ISERROR(IF(SUM($AB$113:$AB$132) = 0, "", SUM($AB$113:$AB$132))), "", (IF(SUM($AB$113:$AB$132) = 0, "", SUM($AB$113:$AB$132))))</f>
        <v>107118.41600000001</v>
      </c>
      <c r="AC112">
        <f ca="1">IF(ISERROR(IF(SUM($AC$113:$AC$132) = 0, "", SUM($AC$113:$AC$132))), "", (IF(SUM($AC$113:$AC$132) = 0, "", SUM($AC$113:$AC$132))))</f>
        <v>119829.185</v>
      </c>
      <c r="AD112">
        <f ca="1">IF(ISERROR(IF(SUM($AD$113:$AD$132) = 0, "", SUM($AD$113:$AD$132))), "", (IF(SUM($AD$113:$AD$132) = 0, "", SUM($AD$113:$AD$132))))</f>
        <v>99438.82</v>
      </c>
      <c r="AE112">
        <f ca="1">IF(ISERROR(IF(SUM($AE$113:$AE$132) = 0, "", SUM($AE$113:$AE$132))), "", (IF(SUM($AE$113:$AE$132) = 0, "", SUM($AE$113:$AE$132))))</f>
        <v>83952.005000000005</v>
      </c>
      <c r="AF112">
        <f ca="1">IF(ISERROR(IF(SUM($AF$113:$AF$132) = 0, "", SUM($AF$113:$AF$132))), "", (IF(SUM($AF$113:$AF$132) = 0, "", SUM($AF$113:$AF$132))))</f>
        <v>82875.201000000015</v>
      </c>
      <c r="AG112">
        <f ca="1">IF(ISERROR(IF(SUM($AG$113:$AG$132) = 0, "", SUM($AG$113:$AG$132))), "", (IF(SUM($AG$113:$AG$132) = 0, "", SUM($AG$113:$AG$132))))</f>
        <v>27584.013999999996</v>
      </c>
      <c r="AH112">
        <f ca="1">IF(ISERROR(IF(SUM($AH$113:$AH$132) = 0, "", SUM($AH$113:$AH$132))), "", (IF(SUM($AH$113:$AH$132) = 0, "", SUM($AH$113:$AH$132))))</f>
        <v>24543.414999999997</v>
      </c>
      <c r="AI112">
        <f ca="1">IF(ISERROR(IF(SUM($AI$113:$AI$132) = 0, "", SUM($AI$113:$AI$132))), "", (IF(SUM($AI$113:$AI$132) = 0, "", SUM($AI$113:$AI$132))))</f>
        <v>11875.681999999999</v>
      </c>
      <c r="AJ112">
        <f ca="1">IF(ISERROR(IF(SUM($AJ$113:$AJ$132) = 0, "", SUM($AJ$113:$AJ$132))), "", (IF(SUM($AJ$113:$AJ$132) = 0, "", SUM($AJ$113:$AJ$132))))</f>
        <v>9134.0430000000015</v>
      </c>
      <c r="AK112">
        <f ca="1">IF(ISERROR(IF(SUM($AK$113:$AK$132) = 0, "", SUM($AK$113:$AK$132))), "", (IF(SUM($AK$113:$AK$132) = 0, "", SUM($AK$113:$AK$132))))</f>
        <v>8281.3150000000005</v>
      </c>
      <c r="AL112">
        <f ca="1">IF(ISERROR(IF(SUM($AL$113:$AL$132) = 0, "", SUM($AL$113:$AL$132))), "", (IF(SUM($AL$113:$AL$132) = 0, "", SUM($AL$113:$AL$132))))</f>
        <v>9609.2099999999973</v>
      </c>
      <c r="AM112">
        <f>247192.347</f>
        <v>247192.34700000001</v>
      </c>
      <c r="AN112">
        <f>265444.172</f>
        <v>265444.17200000002</v>
      </c>
      <c r="AO112">
        <f>279042.483</f>
        <v>279042.48300000001</v>
      </c>
      <c r="AP112">
        <f>268046.349</f>
        <v>268046.34899999999</v>
      </c>
      <c r="AQ112">
        <f>251302.849</f>
        <v>251302.84899999999</v>
      </c>
      <c r="AR112">
        <f>266199.817</f>
        <v>266199.81699999998</v>
      </c>
      <c r="AS112">
        <f>254086.926</f>
        <v>254086.92600000001</v>
      </c>
      <c r="AT112">
        <f>249317.49</f>
        <v>249317.49</v>
      </c>
      <c r="AU112">
        <f>228878.58</f>
        <v>228878.58</v>
      </c>
      <c r="AV112">
        <f>220550.138</f>
        <v>220550.13800000001</v>
      </c>
      <c r="AW112">
        <f>219296.735</f>
        <v>219296.73499999999</v>
      </c>
      <c r="AX112">
        <f>228269.205</f>
        <v>228269.20499999999</v>
      </c>
      <c r="AY112">
        <f>222021.306</f>
        <v>222021.30600000001</v>
      </c>
      <c r="AZ112">
        <f>198560.149</f>
        <v>198560.149</v>
      </c>
      <c r="BA112">
        <f>152511.516</f>
        <v>152511.516</v>
      </c>
      <c r="BB112">
        <f>154444.218</f>
        <v>154444.21799999999</v>
      </c>
      <c r="BC112">
        <f>195151.659</f>
        <v>195151.65900000001</v>
      </c>
      <c r="BD112">
        <f>211453.173</f>
        <v>211453.17300000001</v>
      </c>
      <c r="BE112">
        <f>164057.62</f>
        <v>164057.62</v>
      </c>
      <c r="BF112">
        <f>130176.594</f>
        <v>130176.594</v>
      </c>
      <c r="BG112">
        <f>117725.631</f>
        <v>117725.63099999999</v>
      </c>
      <c r="BH112">
        <f>96586.794</f>
        <v>96586.793999999994</v>
      </c>
      <c r="BI112">
        <f>107118.416</f>
        <v>107118.416</v>
      </c>
      <c r="BJ112">
        <f>119829.185</f>
        <v>119829.185</v>
      </c>
      <c r="BK112">
        <f>99438.82</f>
        <v>99438.82</v>
      </c>
      <c r="BL112">
        <f>83952.005</f>
        <v>83952.005000000005</v>
      </c>
      <c r="BM112">
        <f>82875.201</f>
        <v>82875.201000000001</v>
      </c>
      <c r="BN112">
        <f>27584.014</f>
        <v>27584.013999999999</v>
      </c>
      <c r="BO112">
        <f>24543.415</f>
        <v>24543.415000000001</v>
      </c>
      <c r="BP112">
        <f>11875.682</f>
        <v>11875.682000000001</v>
      </c>
      <c r="BQ112">
        <f>9134.043</f>
        <v>9134.0429999999997</v>
      </c>
      <c r="BR112">
        <f>8281.315</f>
        <v>8281.3150000000005</v>
      </c>
      <c r="BS112">
        <f>9609.21</f>
        <v>9609.2099999999991</v>
      </c>
    </row>
    <row r="113" spans="1:71" x14ac:dyDescent="0.25">
      <c r="A113" t="str">
        <f>"        Bank of America Corp"</f>
        <v xml:space="preserve">        Bank of America Corp</v>
      </c>
      <c r="B113" t="str">
        <f>"BAC US Equity"</f>
        <v>BAC US Equity</v>
      </c>
      <c r="C113" t="str">
        <f t="shared" ref="C113:C132" si="15">"FC313"</f>
        <v>FC313</v>
      </c>
      <c r="D113" t="str">
        <f t="shared" ref="D113:D132" si="16">"FDIC_C&amp;I_LOANS_NON-US"</f>
        <v>FDIC_C&amp;I_LOANS_NON-US</v>
      </c>
      <c r="E113" t="str">
        <f t="shared" ref="E113:E132" si="17">"Dynamic"</f>
        <v>Dynamic</v>
      </c>
      <c r="F113">
        <f ca="1">IF(AND(ISNUMBER($F$529),$B$427=1),$F$529,HLOOKUP(INDIRECT(ADDRESS(2,COLUMN())),OFFSET($AM$2,0,0,ROW()-1,33),ROW()-1,FALSE))</f>
        <v>72613</v>
      </c>
      <c r="G113">
        <f ca="1">IF(AND(ISNUMBER($G$529),$B$427=1),$G$529,HLOOKUP(INDIRECT(ADDRESS(2,COLUMN())),OFFSET($AM$2,0,0,ROW()-1,33),ROW()-1,FALSE))</f>
        <v>72553</v>
      </c>
      <c r="H113">
        <f ca="1">IF(AND(ISNUMBER($H$529),$B$427=1),$H$529,HLOOKUP(INDIRECT(ADDRESS(2,COLUMN())),OFFSET($AM$2,0,0,ROW()-1,33),ROW()-1,FALSE))</f>
        <v>78031</v>
      </c>
      <c r="I113">
        <f ca="1">IF(AND(ISNUMBER($I$529),$B$427=1),$I$529,HLOOKUP(INDIRECT(ADDRESS(2,COLUMN())),OFFSET($AM$2,0,0,ROW()-1,33),ROW()-1,FALSE))</f>
        <v>71816</v>
      </c>
      <c r="J113">
        <f ca="1">IF(AND(ISNUMBER($J$529),$B$427=1),$J$529,HLOOKUP(INDIRECT(ADDRESS(2,COLUMN())),OFFSET($AM$2,0,0,ROW()-1,33),ROW()-1,FALSE))</f>
        <v>64041</v>
      </c>
      <c r="K113">
        <f ca="1">IF(AND(ISNUMBER($K$529),$B$427=1),$K$529,HLOOKUP(INDIRECT(ADDRESS(2,COLUMN())),OFFSET($AM$2,0,0,ROW()-1,33),ROW()-1,FALSE))</f>
        <v>75373</v>
      </c>
      <c r="L113">
        <f ca="1">IF(AND(ISNUMBER($L$529),$B$427=1),$L$529,HLOOKUP(INDIRECT(ADDRESS(2,COLUMN())),OFFSET($AM$2,0,0,ROW()-1,33),ROW()-1,FALSE))</f>
        <v>67320</v>
      </c>
      <c r="M113">
        <f ca="1">IF(AND(ISNUMBER($M$529),$B$427=1),$M$529,HLOOKUP(INDIRECT(ADDRESS(2,COLUMN())),OFFSET($AM$2,0,0,ROW()-1,33),ROW()-1,FALSE))</f>
        <v>66557</v>
      </c>
      <c r="N113">
        <f ca="1">IF(AND(ISNUMBER($N$529),$B$427=1),$N$529,HLOOKUP(INDIRECT(ADDRESS(2,COLUMN())),OFFSET($AM$2,0,0,ROW()-1,33),ROW()-1,FALSE))</f>
        <v>59810</v>
      </c>
      <c r="O113">
        <f ca="1">IF(AND(ISNUMBER($O$529),$B$427=1),$O$529,HLOOKUP(INDIRECT(ADDRESS(2,COLUMN())),OFFSET($AM$2,0,0,ROW()-1,33),ROW()-1,FALSE))</f>
        <v>59116</v>
      </c>
      <c r="P113">
        <f ca="1">IF(AND(ISNUMBER($P$529),$B$427=1),$P$529,HLOOKUP(INDIRECT(ADDRESS(2,COLUMN())),OFFSET($AM$2,0,0,ROW()-1,33),ROW()-1,FALSE))</f>
        <v>57082</v>
      </c>
      <c r="Q113">
        <f ca="1">IF(AND(ISNUMBER($Q$529),$B$427=1),$Q$529,HLOOKUP(INDIRECT(ADDRESS(2,COLUMN())),OFFSET($AM$2,0,0,ROW()-1,33),ROW()-1,FALSE))</f>
        <v>68259</v>
      </c>
      <c r="R113">
        <f ca="1">IF(AND(ISNUMBER($R$529),$B$427=1),$R$529,HLOOKUP(INDIRECT(ADDRESS(2,COLUMN())),OFFSET($AM$2,0,0,ROW()-1,33),ROW()-1,FALSE))</f>
        <v>60037.034</v>
      </c>
      <c r="S113">
        <f ca="1">IF(AND(ISNUMBER($S$529),$B$427=1),$S$529,HLOOKUP(INDIRECT(ADDRESS(2,COLUMN())),OFFSET($AM$2,0,0,ROW()-1,33),ROW()-1,FALSE))</f>
        <v>53195.612999999998</v>
      </c>
      <c r="T113">
        <f ca="1">IF(AND(ISNUMBER($T$529),$B$427=1),$T$529,HLOOKUP(INDIRECT(ADDRESS(2,COLUMN())),OFFSET($AM$2,0,0,ROW()-1,33),ROW()-1,FALSE))</f>
        <v>34961.697</v>
      </c>
      <c r="U113">
        <f ca="1">IF(AND(ISNUMBER($U$529),$B$427=1),$U$529,HLOOKUP(INDIRECT(ADDRESS(2,COLUMN())),OFFSET($AM$2,0,0,ROW()-1,33),ROW()-1,FALSE))</f>
        <v>33865.370999999999</v>
      </c>
      <c r="V113">
        <f ca="1">IF(AND(ISNUMBER($V$529),$B$427=1),$V$529,HLOOKUP(INDIRECT(ADDRESS(2,COLUMN())),OFFSET($AM$2,0,0,ROW()-1,33),ROW()-1,FALSE))</f>
        <v>29854.469000000001</v>
      </c>
      <c r="W113">
        <f ca="1">IF(AND(ISNUMBER($W$529),$B$427=1),$W$529,HLOOKUP(INDIRECT(ADDRESS(2,COLUMN())),OFFSET($AM$2,0,0,ROW()-1,33),ROW()-1,FALSE))</f>
        <v>25181.438999999998</v>
      </c>
      <c r="X113">
        <f ca="1">IF(AND(ISNUMBER($X$529),$B$427=1),$X$529,HLOOKUP(INDIRECT(ADDRESS(2,COLUMN())),OFFSET($AM$2,0,0,ROW()-1,33),ROW()-1,FALSE))</f>
        <v>19760.146000000001</v>
      </c>
      <c r="Y113">
        <f ca="1">IF(AND(ISNUMBER($Y$529),$B$427=1),$Y$529,HLOOKUP(INDIRECT(ADDRESS(2,COLUMN())),OFFSET($AM$2,0,0,ROW()-1,33),ROW()-1,FALSE))</f>
        <v>19219.291000000001</v>
      </c>
      <c r="Z113">
        <f ca="1">IF(AND(ISNUMBER($Z$529),$B$427=1),$Z$529,HLOOKUP(INDIRECT(ADDRESS(2,COLUMN())),OFFSET($AM$2,0,0,ROW()-1,33),ROW()-1,FALSE))</f>
        <v>16700.333999999999</v>
      </c>
      <c r="AA113">
        <f ca="1">IF(AND(ISNUMBER($AA$529),$B$427=1),$AA$529,HLOOKUP(INDIRECT(ADDRESS(2,COLUMN())),OFFSET($AM$2,0,0,ROW()-1,33),ROW()-1,FALSE))</f>
        <v>9715.7610000000004</v>
      </c>
      <c r="AB113">
        <f ca="1">IF(AND(ISNUMBER($AB$529),$B$427=1),$AB$529,HLOOKUP(INDIRECT(ADDRESS(2,COLUMN())),OFFSET($AM$2,0,0,ROW()-1,33),ROW()-1,FALSE))</f>
        <v>13208</v>
      </c>
      <c r="AC113">
        <f ca="1">IF(AND(ISNUMBER($AC$529),$B$427=1),$AC$529,HLOOKUP(INDIRECT(ADDRESS(2,COLUMN())),OFFSET($AM$2,0,0,ROW()-1,33),ROW()-1,FALSE))</f>
        <v>15664</v>
      </c>
      <c r="AD113" t="str">
        <f ca="1">IF(AND(ISNUMBER($AD$529),$B$427=1),$AD$529,HLOOKUP(INDIRECT(ADDRESS(2,COLUMN())),OFFSET($AM$2,0,0,ROW()-1,33),ROW()-1,FALSE))</f>
        <v/>
      </c>
      <c r="AE113" t="str">
        <f ca="1">IF(AND(ISNUMBER($AE$529),$B$427=1),$AE$529,HLOOKUP(INDIRECT(ADDRESS(2,COLUMN())),OFFSET($AM$2,0,0,ROW()-1,33),ROW()-1,FALSE))</f>
        <v/>
      </c>
      <c r="AF113" t="str">
        <f ca="1">IF(AND(ISNUMBER($AF$529),$B$427=1),$AF$529,HLOOKUP(INDIRECT(ADDRESS(2,COLUMN())),OFFSET($AM$2,0,0,ROW()-1,33),ROW()-1,FALSE))</f>
        <v/>
      </c>
      <c r="AG113" t="str">
        <f ca="1">IF(AND(ISNUMBER($AG$529),$B$427=1),$AG$529,HLOOKUP(INDIRECT(ADDRESS(2,COLUMN())),OFFSET($AM$2,0,0,ROW()-1,33),ROW()-1,FALSE))</f>
        <v/>
      </c>
      <c r="AH113" t="str">
        <f ca="1">IF(AND(ISNUMBER($AH$529),$B$427=1),$AH$529,HLOOKUP(INDIRECT(ADDRESS(2,COLUMN())),OFFSET($AM$2,0,0,ROW()-1,33),ROW()-1,FALSE))</f>
        <v/>
      </c>
      <c r="AI113" t="str">
        <f ca="1">IF(AND(ISNUMBER($AI$529),$B$427=1),$AI$529,HLOOKUP(INDIRECT(ADDRESS(2,COLUMN())),OFFSET($AM$2,0,0,ROW()-1,33),ROW()-1,FALSE))</f>
        <v/>
      </c>
      <c r="AJ113" t="str">
        <f ca="1">IF(AND(ISNUMBER($AJ$529),$B$427=1),$AJ$529,HLOOKUP(INDIRECT(ADDRESS(2,COLUMN())),OFFSET($AM$2,0,0,ROW()-1,33),ROW()-1,FALSE))</f>
        <v/>
      </c>
      <c r="AK113" t="str">
        <f ca="1">IF(AND(ISNUMBER($AK$529),$B$427=1),$AK$529,HLOOKUP(INDIRECT(ADDRESS(2,COLUMN())),OFFSET($AM$2,0,0,ROW()-1,33),ROW()-1,FALSE))</f>
        <v/>
      </c>
      <c r="AL113" t="str">
        <f ca="1">IF(AND(ISNUMBER($AL$529),$B$427=1),$AL$529,HLOOKUP(INDIRECT(ADDRESS(2,COLUMN())),OFFSET($AM$2,0,0,ROW()-1,33),ROW()-1,FALSE))</f>
        <v/>
      </c>
      <c r="AM113">
        <f>72613</f>
        <v>72613</v>
      </c>
      <c r="AN113">
        <f>72553</f>
        <v>72553</v>
      </c>
      <c r="AO113">
        <f>78031</f>
        <v>78031</v>
      </c>
      <c r="AP113">
        <f>71816</f>
        <v>71816</v>
      </c>
      <c r="AQ113">
        <f>64041</f>
        <v>64041</v>
      </c>
      <c r="AR113">
        <f>75373</f>
        <v>75373</v>
      </c>
      <c r="AS113">
        <f>67320</f>
        <v>67320</v>
      </c>
      <c r="AT113">
        <f>66557</f>
        <v>66557</v>
      </c>
      <c r="AU113">
        <f>59810</f>
        <v>59810</v>
      </c>
      <c r="AV113">
        <f>59116</f>
        <v>59116</v>
      </c>
      <c r="AW113">
        <f>57082</f>
        <v>57082</v>
      </c>
      <c r="AX113">
        <f>68259</f>
        <v>68259</v>
      </c>
      <c r="AY113">
        <f>60037.034</f>
        <v>60037.034</v>
      </c>
      <c r="AZ113">
        <f>53195.613</f>
        <v>53195.612999999998</v>
      </c>
      <c r="BA113">
        <f>34961.697</f>
        <v>34961.697</v>
      </c>
      <c r="BB113">
        <f>33865.371</f>
        <v>33865.370999999999</v>
      </c>
      <c r="BC113">
        <f>29854.469</f>
        <v>29854.469000000001</v>
      </c>
      <c r="BD113">
        <f>25181.439</f>
        <v>25181.438999999998</v>
      </c>
      <c r="BE113">
        <f>19760.146</f>
        <v>19760.146000000001</v>
      </c>
      <c r="BF113">
        <f>19219.291</f>
        <v>19219.291000000001</v>
      </c>
      <c r="BG113">
        <f>16700.334</f>
        <v>16700.333999999999</v>
      </c>
      <c r="BH113">
        <f>9715.761</f>
        <v>9715.7610000000004</v>
      </c>
      <c r="BI113">
        <f>13208</f>
        <v>13208</v>
      </c>
      <c r="BJ113">
        <f>15664</f>
        <v>15664</v>
      </c>
      <c r="BK113" t="str">
        <f>""</f>
        <v/>
      </c>
      <c r="BL113" t="str">
        <f>""</f>
        <v/>
      </c>
      <c r="BM113" t="str">
        <f>""</f>
        <v/>
      </c>
      <c r="BN113" t="str">
        <f>""</f>
        <v/>
      </c>
      <c r="BO113" t="str">
        <f>""</f>
        <v/>
      </c>
      <c r="BP113" t="str">
        <f>""</f>
        <v/>
      </c>
      <c r="BQ113" t="str">
        <f>""</f>
        <v/>
      </c>
      <c r="BR113" t="str">
        <f>""</f>
        <v/>
      </c>
      <c r="BS113" t="str">
        <f>""</f>
        <v/>
      </c>
    </row>
    <row r="114" spans="1:71" x14ac:dyDescent="0.25">
      <c r="A114" t="str">
        <f>"        Citigroup Inc"</f>
        <v xml:space="preserve">        Citigroup Inc</v>
      </c>
      <c r="B114" t="str">
        <f>"C US Equity"</f>
        <v>C US Equity</v>
      </c>
      <c r="C114" t="str">
        <f t="shared" si="15"/>
        <v>FC313</v>
      </c>
      <c r="D114" t="str">
        <f t="shared" si="16"/>
        <v>FDIC_C&amp;I_LOANS_NON-US</v>
      </c>
      <c r="E114" t="str">
        <f t="shared" si="17"/>
        <v>Dynamic</v>
      </c>
      <c r="F114">
        <f ca="1">IF(AND(ISNUMBER($F$530),$B$427=1),$F$530,HLOOKUP(INDIRECT(ADDRESS(2,COLUMN())),OFFSET($AM$2,0,0,ROW()-1,33),ROW()-1,FALSE))</f>
        <v>100958</v>
      </c>
      <c r="G114">
        <f ca="1">IF(AND(ISNUMBER($G$530),$B$427=1),$G$530,HLOOKUP(INDIRECT(ADDRESS(2,COLUMN())),OFFSET($AM$2,0,0,ROW()-1,33),ROW()-1,FALSE))</f>
        <v>101791</v>
      </c>
      <c r="H114">
        <f ca="1">IF(AND(ISNUMBER($H$530),$B$427=1),$H$530,HLOOKUP(INDIRECT(ADDRESS(2,COLUMN())),OFFSET($AM$2,0,0,ROW()-1,33),ROW()-1,FALSE))</f>
        <v>103166</v>
      </c>
      <c r="I114">
        <f ca="1">IF(AND(ISNUMBER($I$530),$B$427=1),$I$530,HLOOKUP(INDIRECT(ADDRESS(2,COLUMN())),OFFSET($AM$2,0,0,ROW()-1,33),ROW()-1,FALSE))</f>
        <v>109790</v>
      </c>
      <c r="J114">
        <f ca="1">IF(AND(ISNUMBER($J$530),$B$427=1),$J$530,HLOOKUP(INDIRECT(ADDRESS(2,COLUMN())),OFFSET($AM$2,0,0,ROW()-1,33),ROW()-1,FALSE))</f>
        <v>109657</v>
      </c>
      <c r="K114">
        <f ca="1">IF(AND(ISNUMBER($K$530),$B$427=1),$K$530,HLOOKUP(INDIRECT(ADDRESS(2,COLUMN())),OFFSET($AM$2,0,0,ROW()-1,33),ROW()-1,FALSE))</f>
        <v>119593</v>
      </c>
      <c r="L114">
        <f ca="1">IF(AND(ISNUMBER($L$530),$B$427=1),$L$530,HLOOKUP(INDIRECT(ADDRESS(2,COLUMN())),OFFSET($AM$2,0,0,ROW()-1,33),ROW()-1,FALSE))</f>
        <v>120072</v>
      </c>
      <c r="M114">
        <f ca="1">IF(AND(ISNUMBER($M$530),$B$427=1),$M$530,HLOOKUP(INDIRECT(ADDRESS(2,COLUMN())),OFFSET($AM$2,0,0,ROW()-1,33),ROW()-1,FALSE))</f>
        <v>120154</v>
      </c>
      <c r="N114">
        <f ca="1">IF(AND(ISNUMBER($N$530),$B$427=1),$N$530,HLOOKUP(INDIRECT(ADDRESS(2,COLUMN())),OFFSET($AM$2,0,0,ROW()-1,33),ROW()-1,FALSE))</f>
        <v>105562</v>
      </c>
      <c r="O114">
        <f ca="1">IF(AND(ISNUMBER($O$530),$B$427=1),$O$530,HLOOKUP(INDIRECT(ADDRESS(2,COLUMN())),OFFSET($AM$2,0,0,ROW()-1,33),ROW()-1,FALSE))</f>
        <v>109821</v>
      </c>
      <c r="P114">
        <f ca="1">IF(AND(ISNUMBER($P$530),$B$427=1),$P$530,HLOOKUP(INDIRECT(ADDRESS(2,COLUMN())),OFFSET($AM$2,0,0,ROW()-1,33),ROW()-1,FALSE))</f>
        <v>110277</v>
      </c>
      <c r="Q114">
        <f ca="1">IF(AND(ISNUMBER($Q$530),$B$427=1),$Q$530,HLOOKUP(INDIRECT(ADDRESS(2,COLUMN())),OFFSET($AM$2,0,0,ROW()-1,33),ROW()-1,FALSE))</f>
        <v>111845</v>
      </c>
      <c r="R114">
        <f ca="1">IF(AND(ISNUMBER($R$530),$B$427=1),$R$530,HLOOKUP(INDIRECT(ADDRESS(2,COLUMN())),OFFSET($AM$2,0,0,ROW()-1,33),ROW()-1,FALSE))</f>
        <v>107545</v>
      </c>
      <c r="S114">
        <f ca="1">IF(AND(ISNUMBER($S$530),$B$427=1),$S$530,HLOOKUP(INDIRECT(ADDRESS(2,COLUMN())),OFFSET($AM$2,0,0,ROW()-1,33),ROW()-1,FALSE))</f>
        <v>100282</v>
      </c>
      <c r="T114">
        <f ca="1">IF(AND(ISNUMBER($T$530),$B$427=1),$T$530,HLOOKUP(INDIRECT(ADDRESS(2,COLUMN())),OFFSET($AM$2,0,0,ROW()-1,33),ROW()-1,FALSE))</f>
        <v>86208</v>
      </c>
      <c r="U114">
        <f ca="1">IF(AND(ISNUMBER($U$530),$B$427=1),$U$530,HLOOKUP(INDIRECT(ADDRESS(2,COLUMN())),OFFSET($AM$2,0,0,ROW()-1,33),ROW()-1,FALSE))</f>
        <v>84501</v>
      </c>
      <c r="V114">
        <f ca="1">IF(AND(ISNUMBER($V$530),$B$427=1),$V$530,HLOOKUP(INDIRECT(ADDRESS(2,COLUMN())),OFFSET($AM$2,0,0,ROW()-1,33),ROW()-1,FALSE))</f>
        <v>105861</v>
      </c>
      <c r="W114">
        <f ca="1">IF(AND(ISNUMBER($W$530),$B$427=1),$W$530,HLOOKUP(INDIRECT(ADDRESS(2,COLUMN())),OFFSET($AM$2,0,0,ROW()-1,33),ROW()-1,FALSE))</f>
        <v>137916</v>
      </c>
      <c r="X114">
        <f ca="1">IF(AND(ISNUMBER($X$530),$B$427=1),$X$530,HLOOKUP(INDIRECT(ADDRESS(2,COLUMN())),OFFSET($AM$2,0,0,ROW()-1,33),ROW()-1,FALSE))</f>
        <v>112208</v>
      </c>
      <c r="Y114">
        <f ca="1">IF(AND(ISNUMBER($Y$530),$B$427=1),$Y$530,HLOOKUP(INDIRECT(ADDRESS(2,COLUMN())),OFFSET($AM$2,0,0,ROW()-1,33),ROW()-1,FALSE))</f>
        <v>87534</v>
      </c>
      <c r="Z114">
        <f ca="1">IF(AND(ISNUMBER($Z$530),$B$427=1),$Z$530,HLOOKUP(INDIRECT(ADDRESS(2,COLUMN())),OFFSET($AM$2,0,0,ROW()-1,33),ROW()-1,FALSE))</f>
        <v>83245</v>
      </c>
      <c r="AA114">
        <f ca="1">IF(AND(ISNUMBER($AA$530),$B$427=1),$AA$530,HLOOKUP(INDIRECT(ADDRESS(2,COLUMN())),OFFSET($AM$2,0,0,ROW()-1,33),ROW()-1,FALSE))</f>
        <v>66918</v>
      </c>
      <c r="AB114">
        <f ca="1">IF(AND(ISNUMBER($AB$530),$B$427=1),$AB$530,HLOOKUP(INDIRECT(ADDRESS(2,COLUMN())),OFFSET($AM$2,0,0,ROW()-1,33),ROW()-1,FALSE))</f>
        <v>71111</v>
      </c>
      <c r="AC114">
        <f ca="1">IF(AND(ISNUMBER($AC$530),$B$427=1),$AC$530,HLOOKUP(INDIRECT(ADDRESS(2,COLUMN())),OFFSET($AM$2,0,0,ROW()-1,33),ROW()-1,FALSE))</f>
        <v>75247</v>
      </c>
      <c r="AD114">
        <f ca="1">IF(AND(ISNUMBER($AD$530),$B$427=1),$AD$530,HLOOKUP(INDIRECT(ADDRESS(2,COLUMN())),OFFSET($AM$2,0,0,ROW()-1,33),ROW()-1,FALSE))</f>
        <v>67923</v>
      </c>
      <c r="AE114">
        <f ca="1">IF(AND(ISNUMBER($AE$530),$B$427=1),$AE$530,HLOOKUP(INDIRECT(ADDRESS(2,COLUMN())),OFFSET($AM$2,0,0,ROW()-1,33),ROW()-1,FALSE))</f>
        <v>59610</v>
      </c>
      <c r="AF114">
        <f ca="1">IF(AND(ISNUMBER($AF$530),$B$427=1),$AF$530,HLOOKUP(INDIRECT(ADDRESS(2,COLUMN())),OFFSET($AM$2,0,0,ROW()-1,33),ROW()-1,FALSE))</f>
        <v>55964</v>
      </c>
      <c r="AG114" t="str">
        <f ca="1">IF(AND(ISNUMBER($AG$530),$B$427=1),$AG$530,HLOOKUP(INDIRECT(ADDRESS(2,COLUMN())),OFFSET($AM$2,0,0,ROW()-1,33),ROW()-1,FALSE))</f>
        <v/>
      </c>
      <c r="AH114" t="str">
        <f ca="1">IF(AND(ISNUMBER($AH$530),$B$427=1),$AH$530,HLOOKUP(INDIRECT(ADDRESS(2,COLUMN())),OFFSET($AM$2,0,0,ROW()-1,33),ROW()-1,FALSE))</f>
        <v/>
      </c>
      <c r="AI114" t="str">
        <f ca="1">IF(AND(ISNUMBER($AI$530),$B$427=1),$AI$530,HLOOKUP(INDIRECT(ADDRESS(2,COLUMN())),OFFSET($AM$2,0,0,ROW()-1,33),ROW()-1,FALSE))</f>
        <v/>
      </c>
      <c r="AJ114" t="str">
        <f ca="1">IF(AND(ISNUMBER($AJ$530),$B$427=1),$AJ$530,HLOOKUP(INDIRECT(ADDRESS(2,COLUMN())),OFFSET($AM$2,0,0,ROW()-1,33),ROW()-1,FALSE))</f>
        <v/>
      </c>
      <c r="AK114" t="str">
        <f ca="1">IF(AND(ISNUMBER($AK$530),$B$427=1),$AK$530,HLOOKUP(INDIRECT(ADDRESS(2,COLUMN())),OFFSET($AM$2,0,0,ROW()-1,33),ROW()-1,FALSE))</f>
        <v/>
      </c>
      <c r="AL114" t="str">
        <f ca="1">IF(AND(ISNUMBER($AL$530),$B$427=1),$AL$530,HLOOKUP(INDIRECT(ADDRESS(2,COLUMN())),OFFSET($AM$2,0,0,ROW()-1,33),ROW()-1,FALSE))</f>
        <v/>
      </c>
      <c r="AM114">
        <f>100958</f>
        <v>100958</v>
      </c>
      <c r="AN114">
        <f>101791</f>
        <v>101791</v>
      </c>
      <c r="AO114">
        <f>103166</f>
        <v>103166</v>
      </c>
      <c r="AP114">
        <f>109790</f>
        <v>109790</v>
      </c>
      <c r="AQ114">
        <f>109657</f>
        <v>109657</v>
      </c>
      <c r="AR114">
        <f>119593</f>
        <v>119593</v>
      </c>
      <c r="AS114">
        <f>120072</f>
        <v>120072</v>
      </c>
      <c r="AT114">
        <f>120154</f>
        <v>120154</v>
      </c>
      <c r="AU114">
        <f>105562</f>
        <v>105562</v>
      </c>
      <c r="AV114">
        <f>109821</f>
        <v>109821</v>
      </c>
      <c r="AW114">
        <f>110277</f>
        <v>110277</v>
      </c>
      <c r="AX114">
        <f>111845</f>
        <v>111845</v>
      </c>
      <c r="AY114">
        <f>107545</f>
        <v>107545</v>
      </c>
      <c r="AZ114">
        <f>100282</f>
        <v>100282</v>
      </c>
      <c r="BA114">
        <f>86208</f>
        <v>86208</v>
      </c>
      <c r="BB114">
        <f>84501</f>
        <v>84501</v>
      </c>
      <c r="BC114">
        <f>105861</f>
        <v>105861</v>
      </c>
      <c r="BD114">
        <f>137916</f>
        <v>137916</v>
      </c>
      <c r="BE114">
        <f>112208</f>
        <v>112208</v>
      </c>
      <c r="BF114">
        <f>87534</f>
        <v>87534</v>
      </c>
      <c r="BG114">
        <f>83245</f>
        <v>83245</v>
      </c>
      <c r="BH114">
        <f>66918</f>
        <v>66918</v>
      </c>
      <c r="BI114">
        <f>71111</f>
        <v>71111</v>
      </c>
      <c r="BJ114">
        <f>75247</f>
        <v>75247</v>
      </c>
      <c r="BK114">
        <f>67923</f>
        <v>67923</v>
      </c>
      <c r="BL114">
        <f>59610</f>
        <v>59610</v>
      </c>
      <c r="BM114">
        <f>55964</f>
        <v>55964</v>
      </c>
      <c r="BN114" t="str">
        <f>""</f>
        <v/>
      </c>
      <c r="BO114" t="str">
        <f>""</f>
        <v/>
      </c>
      <c r="BP114" t="str">
        <f>""</f>
        <v/>
      </c>
      <c r="BQ114" t="str">
        <f>""</f>
        <v/>
      </c>
      <c r="BR114" t="str">
        <f>""</f>
        <v/>
      </c>
      <c r="BS114" t="str">
        <f>""</f>
        <v/>
      </c>
    </row>
    <row r="115" spans="1:71" x14ac:dyDescent="0.25">
      <c r="A115" t="str">
        <f>"        Citizens Financial Group Inc"</f>
        <v xml:space="preserve">        Citizens Financial Group Inc</v>
      </c>
      <c r="B115" t="str">
        <f>"CFG US Equity"</f>
        <v>CFG US Equity</v>
      </c>
      <c r="C115" t="str">
        <f t="shared" si="15"/>
        <v>FC313</v>
      </c>
      <c r="D115" t="str">
        <f t="shared" si="16"/>
        <v>FDIC_C&amp;I_LOANS_NON-US</v>
      </c>
      <c r="E115" t="str">
        <f t="shared" si="17"/>
        <v>Dynamic</v>
      </c>
      <c r="F115">
        <f ca="1">IF(AND(ISNUMBER($F$531),$B$427=1),$F$531,HLOOKUP(INDIRECT(ADDRESS(2,COLUMN())),OFFSET($AM$2,0,0,ROW()-1,33),ROW()-1,FALSE))</f>
        <v>1088.059</v>
      </c>
      <c r="G115">
        <f ca="1">IF(AND(ISNUMBER($G$531),$B$427=1),$G$531,HLOOKUP(INDIRECT(ADDRESS(2,COLUMN())),OFFSET($AM$2,0,0,ROW()-1,33),ROW()-1,FALSE))</f>
        <v>2535.8939999999998</v>
      </c>
      <c r="H115">
        <f ca="1">IF(AND(ISNUMBER($H$531),$B$427=1),$H$531,HLOOKUP(INDIRECT(ADDRESS(2,COLUMN())),OFFSET($AM$2,0,0,ROW()-1,33),ROW()-1,FALSE))</f>
        <v>2903.672</v>
      </c>
      <c r="I115">
        <f ca="1">IF(AND(ISNUMBER($I$531),$B$427=1),$I$531,HLOOKUP(INDIRECT(ADDRESS(2,COLUMN())),OFFSET($AM$2,0,0,ROW()-1,33),ROW()-1,FALSE))</f>
        <v>1365.1790000000001</v>
      </c>
      <c r="J115">
        <f ca="1">IF(AND(ISNUMBER($J$531),$B$427=1),$J$531,HLOOKUP(INDIRECT(ADDRESS(2,COLUMN())),OFFSET($AM$2,0,0,ROW()-1,33),ROW()-1,FALSE))</f>
        <v>1004.043</v>
      </c>
      <c r="K115">
        <f ca="1">IF(AND(ISNUMBER($K$531),$B$427=1),$K$531,HLOOKUP(INDIRECT(ADDRESS(2,COLUMN())),OFFSET($AM$2,0,0,ROW()-1,33),ROW()-1,FALSE))</f>
        <v>949.94100000000003</v>
      </c>
      <c r="L115">
        <f ca="1">IF(AND(ISNUMBER($L$531),$B$427=1),$L$531,HLOOKUP(INDIRECT(ADDRESS(2,COLUMN())),OFFSET($AM$2,0,0,ROW()-1,33),ROW()-1,FALSE))</f>
        <v>1024.3119999999999</v>
      </c>
      <c r="M115">
        <f ca="1">IF(AND(ISNUMBER($M$531),$B$427=1),$M$531,HLOOKUP(INDIRECT(ADDRESS(2,COLUMN())),OFFSET($AM$2,0,0,ROW()-1,33),ROW()-1,FALSE))</f>
        <v>813.42</v>
      </c>
      <c r="N115">
        <f ca="1">IF(AND(ISNUMBER($N$531),$B$427=1),$N$531,HLOOKUP(INDIRECT(ADDRESS(2,COLUMN())),OFFSET($AM$2,0,0,ROW()-1,33),ROW()-1,FALSE))</f>
        <v>999.23800000000006</v>
      </c>
      <c r="O115">
        <f ca="1">IF(AND(ISNUMBER($O$531),$B$427=1),$O$531,HLOOKUP(INDIRECT(ADDRESS(2,COLUMN())),OFFSET($AM$2,0,0,ROW()-1,33),ROW()-1,FALSE))</f>
        <v>366.40499999999997</v>
      </c>
      <c r="P115">
        <f ca="1">IF(AND(ISNUMBER($P$531),$B$427=1),$P$531,HLOOKUP(INDIRECT(ADDRESS(2,COLUMN())),OFFSET($AM$2,0,0,ROW()-1,33),ROW()-1,FALSE))</f>
        <v>440.95499999999998</v>
      </c>
      <c r="Q115">
        <f ca="1">IF(AND(ISNUMBER($Q$531),$B$427=1),$Q$531,HLOOKUP(INDIRECT(ADDRESS(2,COLUMN())),OFFSET($AM$2,0,0,ROW()-1,33),ROW()-1,FALSE))</f>
        <v>460.839</v>
      </c>
      <c r="R115">
        <f ca="1">IF(AND(ISNUMBER($R$531),$B$427=1),$R$531,HLOOKUP(INDIRECT(ADDRESS(2,COLUMN())),OFFSET($AM$2,0,0,ROW()-1,33),ROW()-1,FALSE))</f>
        <v>269.22500000000002</v>
      </c>
      <c r="S115">
        <f ca="1">IF(AND(ISNUMBER($S$531),$B$427=1),$S$531,HLOOKUP(INDIRECT(ADDRESS(2,COLUMN())),OFFSET($AM$2,0,0,ROW()-1,33),ROW()-1,FALSE))</f>
        <v>124.003</v>
      </c>
      <c r="T115">
        <f ca="1">IF(AND(ISNUMBER($T$531),$B$427=1),$T$531,HLOOKUP(INDIRECT(ADDRESS(2,COLUMN())),OFFSET($AM$2,0,0,ROW()-1,33),ROW()-1,FALSE))</f>
        <v>78.718000000000004</v>
      </c>
      <c r="U115">
        <f ca="1">IF(AND(ISNUMBER($U$531),$B$427=1),$U$531,HLOOKUP(INDIRECT(ADDRESS(2,COLUMN())),OFFSET($AM$2,0,0,ROW()-1,33),ROW()-1,FALSE))</f>
        <v>46.523000000000003</v>
      </c>
      <c r="V115">
        <f ca="1">IF(AND(ISNUMBER($V$531),$B$427=1),$V$531,HLOOKUP(INDIRECT(ADDRESS(2,COLUMN())),OFFSET($AM$2,0,0,ROW()-1,33),ROW()-1,FALSE))</f>
        <v>49.673000000000002</v>
      </c>
      <c r="W115">
        <f ca="1">IF(AND(ISNUMBER($W$531),$B$427=1),$W$531,HLOOKUP(INDIRECT(ADDRESS(2,COLUMN())),OFFSET($AM$2,0,0,ROW()-1,33),ROW()-1,FALSE))</f>
        <v>19.847000000000001</v>
      </c>
      <c r="X115">
        <f ca="1">IF(AND(ISNUMBER($X$531),$B$427=1),$X$531,HLOOKUP(INDIRECT(ADDRESS(2,COLUMN())),OFFSET($AM$2,0,0,ROW()-1,33),ROW()-1,FALSE))</f>
        <v>54.133000000000003</v>
      </c>
      <c r="Y115">
        <f ca="1">IF(AND(ISNUMBER($Y$531),$B$427=1),$Y$531,HLOOKUP(INDIRECT(ADDRESS(2,COLUMN())),OFFSET($AM$2,0,0,ROW()-1,33),ROW()-1,FALSE))</f>
        <v>36.713999999999999</v>
      </c>
      <c r="Z115">
        <f ca="1">IF(AND(ISNUMBER($Z$531),$B$427=1),$Z$531,HLOOKUP(INDIRECT(ADDRESS(2,COLUMN())),OFFSET($AM$2,0,0,ROW()-1,33),ROW()-1,FALSE))</f>
        <v>26.742999999999999</v>
      </c>
      <c r="AA115">
        <f ca="1">IF(AND(ISNUMBER($AA$531),$B$427=1),$AA$531,HLOOKUP(INDIRECT(ADDRESS(2,COLUMN())),OFFSET($AM$2,0,0,ROW()-1,33),ROW()-1,FALSE))</f>
        <v>2.0110000000000001</v>
      </c>
      <c r="AB115">
        <f ca="1">IF(AND(ISNUMBER($AB$531),$B$427=1),$AB$531,HLOOKUP(INDIRECT(ADDRESS(2,COLUMN())),OFFSET($AM$2,0,0,ROW()-1,33),ROW()-1,FALSE))</f>
        <v>1.73</v>
      </c>
      <c r="AC115">
        <f ca="1">IF(AND(ISNUMBER($AC$531),$B$427=1),$AC$531,HLOOKUP(INDIRECT(ADDRESS(2,COLUMN())),OFFSET($AM$2,0,0,ROW()-1,33),ROW()-1,FALSE))</f>
        <v>22.797999999999998</v>
      </c>
      <c r="AD115" t="str">
        <f ca="1">IF(AND(ISNUMBER($AD$531),$B$427=1),$AD$531,HLOOKUP(INDIRECT(ADDRESS(2,COLUMN())),OFFSET($AM$2,0,0,ROW()-1,33),ROW()-1,FALSE))</f>
        <v/>
      </c>
      <c r="AE115" t="str">
        <f ca="1">IF(AND(ISNUMBER($AE$531),$B$427=1),$AE$531,HLOOKUP(INDIRECT(ADDRESS(2,COLUMN())),OFFSET($AM$2,0,0,ROW()-1,33),ROW()-1,FALSE))</f>
        <v/>
      </c>
      <c r="AF115" t="str">
        <f ca="1">IF(AND(ISNUMBER($AF$531),$B$427=1),$AF$531,HLOOKUP(INDIRECT(ADDRESS(2,COLUMN())),OFFSET($AM$2,0,0,ROW()-1,33),ROW()-1,FALSE))</f>
        <v/>
      </c>
      <c r="AG115" t="str">
        <f ca="1">IF(AND(ISNUMBER($AG$531),$B$427=1),$AG$531,HLOOKUP(INDIRECT(ADDRESS(2,COLUMN())),OFFSET($AM$2,0,0,ROW()-1,33),ROW()-1,FALSE))</f>
        <v/>
      </c>
      <c r="AH115" t="str">
        <f ca="1">IF(AND(ISNUMBER($AH$531),$B$427=1),$AH$531,HLOOKUP(INDIRECT(ADDRESS(2,COLUMN())),OFFSET($AM$2,0,0,ROW()-1,33),ROW()-1,FALSE))</f>
        <v/>
      </c>
      <c r="AI115" t="str">
        <f ca="1">IF(AND(ISNUMBER($AI$531),$B$427=1),$AI$531,HLOOKUP(INDIRECT(ADDRESS(2,COLUMN())),OFFSET($AM$2,0,0,ROW()-1,33),ROW()-1,FALSE))</f>
        <v/>
      </c>
      <c r="AJ115" t="str">
        <f ca="1">IF(AND(ISNUMBER($AJ$531),$B$427=1),$AJ$531,HLOOKUP(INDIRECT(ADDRESS(2,COLUMN())),OFFSET($AM$2,0,0,ROW()-1,33),ROW()-1,FALSE))</f>
        <v/>
      </c>
      <c r="AK115" t="str">
        <f ca="1">IF(AND(ISNUMBER($AK$531),$B$427=1),$AK$531,HLOOKUP(INDIRECT(ADDRESS(2,COLUMN())),OFFSET($AM$2,0,0,ROW()-1,33),ROW()-1,FALSE))</f>
        <v/>
      </c>
      <c r="AL115" t="str">
        <f ca="1">IF(AND(ISNUMBER($AL$531),$B$427=1),$AL$531,HLOOKUP(INDIRECT(ADDRESS(2,COLUMN())),OFFSET($AM$2,0,0,ROW()-1,33),ROW()-1,FALSE))</f>
        <v/>
      </c>
      <c r="AM115">
        <f>1088.059</f>
        <v>1088.059</v>
      </c>
      <c r="AN115">
        <f>2535.894</f>
        <v>2535.8939999999998</v>
      </c>
      <c r="AO115">
        <f>2903.672</f>
        <v>2903.672</v>
      </c>
      <c r="AP115">
        <f>1365.179</f>
        <v>1365.1790000000001</v>
      </c>
      <c r="AQ115">
        <f>1004.043</f>
        <v>1004.043</v>
      </c>
      <c r="AR115">
        <f>949.941</f>
        <v>949.94100000000003</v>
      </c>
      <c r="AS115">
        <f>1024.312</f>
        <v>1024.3119999999999</v>
      </c>
      <c r="AT115">
        <f>813.42</f>
        <v>813.42</v>
      </c>
      <c r="AU115">
        <f>999.238</f>
        <v>999.23800000000006</v>
      </c>
      <c r="AV115">
        <f>366.405</f>
        <v>366.40499999999997</v>
      </c>
      <c r="AW115">
        <f>440.955</f>
        <v>440.95499999999998</v>
      </c>
      <c r="AX115">
        <f>460.839</f>
        <v>460.839</v>
      </c>
      <c r="AY115">
        <f>269.225</f>
        <v>269.22500000000002</v>
      </c>
      <c r="AZ115">
        <f>124.003</f>
        <v>124.003</v>
      </c>
      <c r="BA115">
        <f>78.718</f>
        <v>78.718000000000004</v>
      </c>
      <c r="BB115">
        <f>46.523</f>
        <v>46.523000000000003</v>
      </c>
      <c r="BC115">
        <f>49.673</f>
        <v>49.673000000000002</v>
      </c>
      <c r="BD115">
        <f>19.847</f>
        <v>19.847000000000001</v>
      </c>
      <c r="BE115">
        <f>54.133</f>
        <v>54.133000000000003</v>
      </c>
      <c r="BF115">
        <f>36.714</f>
        <v>36.713999999999999</v>
      </c>
      <c r="BG115">
        <f>26.743</f>
        <v>26.742999999999999</v>
      </c>
      <c r="BH115">
        <f>2.011</f>
        <v>2.0110000000000001</v>
      </c>
      <c r="BI115">
        <f>1.73</f>
        <v>1.73</v>
      </c>
      <c r="BJ115">
        <f>22.798</f>
        <v>22.797999999999998</v>
      </c>
      <c r="BK115" t="str">
        <f>""</f>
        <v/>
      </c>
      <c r="BL115" t="str">
        <f>""</f>
        <v/>
      </c>
      <c r="BM115" t="str">
        <f>""</f>
        <v/>
      </c>
      <c r="BN115" t="str">
        <f>""</f>
        <v/>
      </c>
      <c r="BO115" t="str">
        <f>""</f>
        <v/>
      </c>
      <c r="BP115" t="str">
        <f>""</f>
        <v/>
      </c>
      <c r="BQ115" t="str">
        <f>""</f>
        <v/>
      </c>
      <c r="BR115" t="str">
        <f>""</f>
        <v/>
      </c>
      <c r="BS115" t="str">
        <f>""</f>
        <v/>
      </c>
    </row>
    <row r="116" spans="1:71" x14ac:dyDescent="0.25">
      <c r="A116" t="str">
        <f>"        Capital One Financial Corp"</f>
        <v xml:space="preserve">        Capital One Financial Corp</v>
      </c>
      <c r="B116" t="str">
        <f>"COF US Equity"</f>
        <v>COF US Equity</v>
      </c>
      <c r="C116" t="str">
        <f t="shared" si="15"/>
        <v>FC313</v>
      </c>
      <c r="D116" t="str">
        <f t="shared" si="16"/>
        <v>FDIC_C&amp;I_LOANS_NON-US</v>
      </c>
      <c r="E116" t="str">
        <f t="shared" si="17"/>
        <v>Dynamic</v>
      </c>
      <c r="F116">
        <f ca="1">IF(AND(ISNUMBER($F$532),$B$427=1),$F$532,HLOOKUP(INDIRECT(ADDRESS(2,COLUMN())),OFFSET($AM$2,0,0,ROW()-1,33),ROW()-1,FALSE))</f>
        <v>658.30499999999995</v>
      </c>
      <c r="G116">
        <f ca="1">IF(AND(ISNUMBER($G$532),$B$427=1),$G$532,HLOOKUP(INDIRECT(ADDRESS(2,COLUMN())),OFFSET($AM$2,0,0,ROW()-1,33),ROW()-1,FALSE))</f>
        <v>634.846</v>
      </c>
      <c r="H116">
        <f ca="1">IF(AND(ISNUMBER($H$532),$B$427=1),$H$532,HLOOKUP(INDIRECT(ADDRESS(2,COLUMN())),OFFSET($AM$2,0,0,ROW()-1,33),ROW()-1,FALSE))</f>
        <v>821.40700000000004</v>
      </c>
      <c r="I116">
        <f ca="1">IF(AND(ISNUMBER($I$532),$B$427=1),$I$532,HLOOKUP(INDIRECT(ADDRESS(2,COLUMN())),OFFSET($AM$2,0,0,ROW()-1,33),ROW()-1,FALSE))</f>
        <v>897.33100000000002</v>
      </c>
      <c r="J116">
        <f ca="1">IF(AND(ISNUMBER($J$532),$B$427=1),$J$532,HLOOKUP(INDIRECT(ADDRESS(2,COLUMN())),OFFSET($AM$2,0,0,ROW()-1,33),ROW()-1,FALSE))</f>
        <v>609.96</v>
      </c>
      <c r="K116">
        <f ca="1">IF(AND(ISNUMBER($K$532),$B$427=1),$K$532,HLOOKUP(INDIRECT(ADDRESS(2,COLUMN())),OFFSET($AM$2,0,0,ROW()-1,33),ROW()-1,FALSE))</f>
        <v>514.952</v>
      </c>
      <c r="L116">
        <f ca="1">IF(AND(ISNUMBER($L$532),$B$427=1),$L$532,HLOOKUP(INDIRECT(ADDRESS(2,COLUMN())),OFFSET($AM$2,0,0,ROW()-1,33),ROW()-1,FALSE))</f>
        <v>406.596</v>
      </c>
      <c r="M116">
        <f ca="1">IF(AND(ISNUMBER($M$532),$B$427=1),$M$532,HLOOKUP(INDIRECT(ADDRESS(2,COLUMN())),OFFSET($AM$2,0,0,ROW()-1,33),ROW()-1,FALSE))</f>
        <v>121.071</v>
      </c>
      <c r="N116">
        <f ca="1">IF(AND(ISNUMBER($N$532),$B$427=1),$N$532,HLOOKUP(INDIRECT(ADDRESS(2,COLUMN())),OFFSET($AM$2,0,0,ROW()-1,33),ROW()-1,FALSE))</f>
        <v>144.01</v>
      </c>
      <c r="O116">
        <f ca="1">IF(AND(ISNUMBER($O$532),$B$427=1),$O$532,HLOOKUP(INDIRECT(ADDRESS(2,COLUMN())),OFFSET($AM$2,0,0,ROW()-1,33),ROW()-1,FALSE))</f>
        <v>7.0439999999999996</v>
      </c>
      <c r="P116">
        <f ca="1">IF(AND(ISNUMBER($P$532),$B$427=1),$P$532,HLOOKUP(INDIRECT(ADDRESS(2,COLUMN())),OFFSET($AM$2,0,0,ROW()-1,33),ROW()-1,FALSE))</f>
        <v>0.109</v>
      </c>
      <c r="Q116">
        <f ca="1">IF(AND(ISNUMBER($Q$532),$B$427=1),$Q$532,HLOOKUP(INDIRECT(ADDRESS(2,COLUMN())),OFFSET($AM$2,0,0,ROW()-1,33),ROW()-1,FALSE))</f>
        <v>6.2450000000000001</v>
      </c>
      <c r="R116">
        <f ca="1">IF(AND(ISNUMBER($R$532),$B$427=1),$R$532,HLOOKUP(INDIRECT(ADDRESS(2,COLUMN())),OFFSET($AM$2,0,0,ROW()-1,33),ROW()-1,FALSE))</f>
        <v>71.995999999999995</v>
      </c>
      <c r="S116">
        <f ca="1">IF(AND(ISNUMBER($S$532),$B$427=1),$S$532,HLOOKUP(INDIRECT(ADDRESS(2,COLUMN())),OFFSET($AM$2,0,0,ROW()-1,33),ROW()-1,FALSE))</f>
        <v>88.227000000000004</v>
      </c>
      <c r="T116">
        <f ca="1">IF(AND(ISNUMBER($T$532),$B$427=1),$T$532,HLOOKUP(INDIRECT(ADDRESS(2,COLUMN())),OFFSET($AM$2,0,0,ROW()-1,33),ROW()-1,FALSE))</f>
        <v>4.2000000000000003E-2</v>
      </c>
      <c r="U116">
        <f ca="1">IF(AND(ISNUMBER($U$532),$B$427=1),$U$532,HLOOKUP(INDIRECT(ADDRESS(2,COLUMN())),OFFSET($AM$2,0,0,ROW()-1,33),ROW()-1,FALSE))</f>
        <v>0.01</v>
      </c>
      <c r="V116">
        <f ca="1">IF(AND(ISNUMBER($V$532),$B$427=1),$V$532,HLOOKUP(INDIRECT(ADDRESS(2,COLUMN())),OFFSET($AM$2,0,0,ROW()-1,33),ROW()-1,FALSE))</f>
        <v>0.13600000000000001</v>
      </c>
      <c r="W116">
        <f ca="1">IF(AND(ISNUMBER($W$532),$B$427=1),$W$532,HLOOKUP(INDIRECT(ADDRESS(2,COLUMN())),OFFSET($AM$2,0,0,ROW()-1,33),ROW()-1,FALSE))</f>
        <v>0.151</v>
      </c>
      <c r="X116">
        <f ca="1">IF(AND(ISNUMBER($X$532),$B$427=1),$X$532,HLOOKUP(INDIRECT(ADDRESS(2,COLUMN())),OFFSET($AM$2,0,0,ROW()-1,33),ROW()-1,FALSE))</f>
        <v>0.14699999999999999</v>
      </c>
      <c r="Y116">
        <f ca="1">IF(AND(ISNUMBER($Y$532),$B$427=1),$Y$532,HLOOKUP(INDIRECT(ADDRESS(2,COLUMN())),OFFSET($AM$2,0,0,ROW()-1,33),ROW()-1,FALSE))</f>
        <v>1.1000000000000001</v>
      </c>
      <c r="Z116">
        <f ca="1">IF(AND(ISNUMBER($Z$532),$B$427=1),$Z$532,HLOOKUP(INDIRECT(ADDRESS(2,COLUMN())),OFFSET($AM$2,0,0,ROW()-1,33),ROW()-1,FALSE))</f>
        <v>0</v>
      </c>
      <c r="AA116" t="str">
        <f ca="1">IF(AND(ISNUMBER($AA$532),$B$427=1),$AA$532,HLOOKUP(INDIRECT(ADDRESS(2,COLUMN())),OFFSET($AM$2,0,0,ROW()-1,33),ROW()-1,FALSE))</f>
        <v/>
      </c>
      <c r="AB116" t="str">
        <f ca="1">IF(AND(ISNUMBER($AB$532),$B$427=1),$AB$532,HLOOKUP(INDIRECT(ADDRESS(2,COLUMN())),OFFSET($AM$2,0,0,ROW()-1,33),ROW()-1,FALSE))</f>
        <v/>
      </c>
      <c r="AC116" t="str">
        <f ca="1">IF(AND(ISNUMBER($AC$532),$B$427=1),$AC$532,HLOOKUP(INDIRECT(ADDRESS(2,COLUMN())),OFFSET($AM$2,0,0,ROW()-1,33),ROW()-1,FALSE))</f>
        <v/>
      </c>
      <c r="AD116" t="str">
        <f ca="1">IF(AND(ISNUMBER($AD$532),$B$427=1),$AD$532,HLOOKUP(INDIRECT(ADDRESS(2,COLUMN())),OFFSET($AM$2,0,0,ROW()-1,33),ROW()-1,FALSE))</f>
        <v/>
      </c>
      <c r="AE116" t="str">
        <f ca="1">IF(AND(ISNUMBER($AE$532),$B$427=1),$AE$532,HLOOKUP(INDIRECT(ADDRESS(2,COLUMN())),OFFSET($AM$2,0,0,ROW()-1,33),ROW()-1,FALSE))</f>
        <v/>
      </c>
      <c r="AF116" t="str">
        <f ca="1">IF(AND(ISNUMBER($AF$532),$B$427=1),$AF$532,HLOOKUP(INDIRECT(ADDRESS(2,COLUMN())),OFFSET($AM$2,0,0,ROW()-1,33),ROW()-1,FALSE))</f>
        <v/>
      </c>
      <c r="AG116" t="str">
        <f ca="1">IF(AND(ISNUMBER($AG$532),$B$427=1),$AG$532,HLOOKUP(INDIRECT(ADDRESS(2,COLUMN())),OFFSET($AM$2,0,0,ROW()-1,33),ROW()-1,FALSE))</f>
        <v/>
      </c>
      <c r="AH116" t="str">
        <f ca="1">IF(AND(ISNUMBER($AH$532),$B$427=1),$AH$532,HLOOKUP(INDIRECT(ADDRESS(2,COLUMN())),OFFSET($AM$2,0,0,ROW()-1,33),ROW()-1,FALSE))</f>
        <v/>
      </c>
      <c r="AI116" t="str">
        <f ca="1">IF(AND(ISNUMBER($AI$532),$B$427=1),$AI$532,HLOOKUP(INDIRECT(ADDRESS(2,COLUMN())),OFFSET($AM$2,0,0,ROW()-1,33),ROW()-1,FALSE))</f>
        <v/>
      </c>
      <c r="AJ116" t="str">
        <f ca="1">IF(AND(ISNUMBER($AJ$532),$B$427=1),$AJ$532,HLOOKUP(INDIRECT(ADDRESS(2,COLUMN())),OFFSET($AM$2,0,0,ROW()-1,33),ROW()-1,FALSE))</f>
        <v/>
      </c>
      <c r="AK116" t="str">
        <f ca="1">IF(AND(ISNUMBER($AK$532),$B$427=1),$AK$532,HLOOKUP(INDIRECT(ADDRESS(2,COLUMN())),OFFSET($AM$2,0,0,ROW()-1,33),ROW()-1,FALSE))</f>
        <v/>
      </c>
      <c r="AL116" t="str">
        <f ca="1">IF(AND(ISNUMBER($AL$532),$B$427=1),$AL$532,HLOOKUP(INDIRECT(ADDRESS(2,COLUMN())),OFFSET($AM$2,0,0,ROW()-1,33),ROW()-1,FALSE))</f>
        <v/>
      </c>
      <c r="AM116">
        <f>658.305</f>
        <v>658.30499999999995</v>
      </c>
      <c r="AN116">
        <f>634.846</f>
        <v>634.846</v>
      </c>
      <c r="AO116">
        <f>821.407</f>
        <v>821.40700000000004</v>
      </c>
      <c r="AP116">
        <f>897.331</f>
        <v>897.33100000000002</v>
      </c>
      <c r="AQ116">
        <f>609.96</f>
        <v>609.96</v>
      </c>
      <c r="AR116">
        <f>514.952</f>
        <v>514.952</v>
      </c>
      <c r="AS116">
        <f>406.596</f>
        <v>406.596</v>
      </c>
      <c r="AT116">
        <f>121.071</f>
        <v>121.071</v>
      </c>
      <c r="AU116">
        <f>144.01</f>
        <v>144.01</v>
      </c>
      <c r="AV116">
        <f>7.044</f>
        <v>7.0439999999999996</v>
      </c>
      <c r="AW116">
        <f>0.109</f>
        <v>0.109</v>
      </c>
      <c r="AX116">
        <f>6.245</f>
        <v>6.2450000000000001</v>
      </c>
      <c r="AY116">
        <f>71.996</f>
        <v>71.995999999999995</v>
      </c>
      <c r="AZ116">
        <f>88.227</f>
        <v>88.227000000000004</v>
      </c>
      <c r="BA116">
        <f>0.042</f>
        <v>4.2000000000000003E-2</v>
      </c>
      <c r="BB116">
        <f>0.01</f>
        <v>0.01</v>
      </c>
      <c r="BC116">
        <f>0.136</f>
        <v>0.13600000000000001</v>
      </c>
      <c r="BD116">
        <f>0.151</f>
        <v>0.151</v>
      </c>
      <c r="BE116">
        <f>0.147</f>
        <v>0.14699999999999999</v>
      </c>
      <c r="BF116">
        <f>1.1</f>
        <v>1.1000000000000001</v>
      </c>
      <c r="BG116">
        <f>0</f>
        <v>0</v>
      </c>
      <c r="BH116" t="str">
        <f>""</f>
        <v/>
      </c>
      <c r="BI116" t="str">
        <f>""</f>
        <v/>
      </c>
      <c r="BJ116" t="str">
        <f>""</f>
        <v/>
      </c>
      <c r="BK116" t="str">
        <f>""</f>
        <v/>
      </c>
      <c r="BL116" t="str">
        <f>""</f>
        <v/>
      </c>
      <c r="BM116" t="str">
        <f>""</f>
        <v/>
      </c>
      <c r="BN116" t="str">
        <f>""</f>
        <v/>
      </c>
      <c r="BO116" t="str">
        <f>""</f>
        <v/>
      </c>
      <c r="BP116" t="str">
        <f>""</f>
        <v/>
      </c>
      <c r="BQ116" t="str">
        <f>""</f>
        <v/>
      </c>
      <c r="BR116" t="str">
        <f>""</f>
        <v/>
      </c>
      <c r="BS116" t="str">
        <f>""</f>
        <v/>
      </c>
    </row>
    <row r="117" spans="1:71" x14ac:dyDescent="0.25">
      <c r="A117" t="str">
        <f>"        Comerica Inc"</f>
        <v xml:space="preserve">        Comerica Inc</v>
      </c>
      <c r="B117" t="str">
        <f>"CMA US Equity"</f>
        <v>CMA US Equity</v>
      </c>
      <c r="C117" t="str">
        <f t="shared" si="15"/>
        <v>FC313</v>
      </c>
      <c r="D117" t="str">
        <f t="shared" si="16"/>
        <v>FDIC_C&amp;I_LOANS_NON-US</v>
      </c>
      <c r="E117" t="str">
        <f t="shared" si="17"/>
        <v>Dynamic</v>
      </c>
      <c r="F117" t="str">
        <f ca="1">IF(AND(ISNUMBER($F$533),$B$427=1),$F$533,HLOOKUP(INDIRECT(ADDRESS(2,COLUMN())),OFFSET($AM$2,0,0,ROW()-1,33),ROW()-1,FALSE))</f>
        <v/>
      </c>
      <c r="G117">
        <f ca="1">IF(AND(ISNUMBER($G$533),$B$427=1),$G$533,HLOOKUP(INDIRECT(ADDRESS(2,COLUMN())),OFFSET($AM$2,0,0,ROW()-1,33),ROW()-1,FALSE))</f>
        <v>1074</v>
      </c>
      <c r="H117">
        <f ca="1">IF(AND(ISNUMBER($H$533),$B$427=1),$H$533,HLOOKUP(INDIRECT(ADDRESS(2,COLUMN())),OFFSET($AM$2,0,0,ROW()-1,33),ROW()-1,FALSE))</f>
        <v>1148</v>
      </c>
      <c r="I117">
        <f ca="1">IF(AND(ISNUMBER($I$533),$B$427=1),$I$533,HLOOKUP(INDIRECT(ADDRESS(2,COLUMN())),OFFSET($AM$2,0,0,ROW()-1,33),ROW()-1,FALSE))</f>
        <v>1150</v>
      </c>
      <c r="J117">
        <f ca="1">IF(AND(ISNUMBER($J$533),$B$427=1),$J$533,HLOOKUP(INDIRECT(ADDRESS(2,COLUMN())),OFFSET($AM$2,0,0,ROW()-1,33),ROW()-1,FALSE))</f>
        <v>888</v>
      </c>
      <c r="K117">
        <f ca="1">IF(AND(ISNUMBER($K$533),$B$427=1),$K$533,HLOOKUP(INDIRECT(ADDRESS(2,COLUMN())),OFFSET($AM$2,0,0,ROW()-1,33),ROW()-1,FALSE))</f>
        <v>989</v>
      </c>
      <c r="L117">
        <f ca="1">IF(AND(ISNUMBER($L$533),$B$427=1),$L$533,HLOOKUP(INDIRECT(ADDRESS(2,COLUMN())),OFFSET($AM$2,0,0,ROW()-1,33),ROW()-1,FALSE))</f>
        <v>1055.0899999999999</v>
      </c>
      <c r="M117">
        <f ca="1">IF(AND(ISNUMBER($M$533),$B$427=1),$M$533,HLOOKUP(INDIRECT(ADDRESS(2,COLUMN())),OFFSET($AM$2,0,0,ROW()-1,33),ROW()-1,FALSE))</f>
        <v>1054.462</v>
      </c>
      <c r="N117">
        <f ca="1">IF(AND(ISNUMBER($N$533),$B$427=1),$N$533,HLOOKUP(INDIRECT(ADDRESS(2,COLUMN())),OFFSET($AM$2,0,0,ROW()-1,33),ROW()-1,FALSE))</f>
        <v>1323.4190000000001</v>
      </c>
      <c r="O117">
        <f ca="1">IF(AND(ISNUMBER($O$533),$B$427=1),$O$533,HLOOKUP(INDIRECT(ADDRESS(2,COLUMN())),OFFSET($AM$2,0,0,ROW()-1,33),ROW()-1,FALSE))</f>
        <v>1439.9929999999999</v>
      </c>
      <c r="P117">
        <f ca="1">IF(AND(ISNUMBER($P$533),$B$427=1),$P$533,HLOOKUP(INDIRECT(ADDRESS(2,COLUMN())),OFFSET($AM$2,0,0,ROW()-1,33),ROW()-1,FALSE))</f>
        <v>1564.6120000000001</v>
      </c>
      <c r="Q117">
        <f ca="1">IF(AND(ISNUMBER($Q$533),$B$427=1),$Q$533,HLOOKUP(INDIRECT(ADDRESS(2,COLUMN())),OFFSET($AM$2,0,0,ROW()-1,33),ROW()-1,FALSE))</f>
        <v>1469.0550000000001</v>
      </c>
      <c r="R117">
        <f ca="1">IF(AND(ISNUMBER($R$533),$B$427=1),$R$533,HLOOKUP(INDIRECT(ADDRESS(2,COLUMN())),OFFSET($AM$2,0,0,ROW()-1,33),ROW()-1,FALSE))</f>
        <v>1362.8240000000001</v>
      </c>
      <c r="S117">
        <f ca="1">IF(AND(ISNUMBER($S$533),$B$427=1),$S$533,HLOOKUP(INDIRECT(ADDRESS(2,COLUMN())),OFFSET($AM$2,0,0,ROW()-1,33),ROW()-1,FALSE))</f>
        <v>1155.758</v>
      </c>
      <c r="T117">
        <f ca="1">IF(AND(ISNUMBER($T$533),$B$427=1),$T$533,HLOOKUP(INDIRECT(ADDRESS(2,COLUMN())),OFFSET($AM$2,0,0,ROW()-1,33),ROW()-1,FALSE))</f>
        <v>1077.02</v>
      </c>
      <c r="U117">
        <f ca="1">IF(AND(ISNUMBER($U$533),$B$427=1),$U$533,HLOOKUP(INDIRECT(ADDRESS(2,COLUMN())),OFFSET($AM$2,0,0,ROW()-1,33),ROW()-1,FALSE))</f>
        <v>1104.67</v>
      </c>
      <c r="V117">
        <f ca="1">IF(AND(ISNUMBER($V$533),$B$427=1),$V$533,HLOOKUP(INDIRECT(ADDRESS(2,COLUMN())),OFFSET($AM$2,0,0,ROW()-1,33),ROW()-1,FALSE))</f>
        <v>1496.748</v>
      </c>
      <c r="W117">
        <f ca="1">IF(AND(ISNUMBER($W$533),$B$427=1),$W$533,HLOOKUP(INDIRECT(ADDRESS(2,COLUMN())),OFFSET($AM$2,0,0,ROW()-1,33),ROW()-1,FALSE))</f>
        <v>1542.933</v>
      </c>
      <c r="X117">
        <f ca="1">IF(AND(ISNUMBER($X$533),$B$427=1),$X$533,HLOOKUP(INDIRECT(ADDRESS(2,COLUMN())),OFFSET($AM$2,0,0,ROW()-1,33),ROW()-1,FALSE))</f>
        <v>1699.771</v>
      </c>
      <c r="Y117">
        <f ca="1">IF(AND(ISNUMBER($Y$533),$B$427=1),$Y$533,HLOOKUP(INDIRECT(ADDRESS(2,COLUMN())),OFFSET($AM$2,0,0,ROW()-1,33),ROW()-1,FALSE))</f>
        <v>1813.4459999999999</v>
      </c>
      <c r="Z117">
        <f ca="1">IF(AND(ISNUMBER($Z$533),$B$427=1),$Z$533,HLOOKUP(INDIRECT(ADDRESS(2,COLUMN())),OFFSET($AM$2,0,0,ROW()-1,33),ROW()-1,FALSE))</f>
        <v>2103.674</v>
      </c>
      <c r="AA117">
        <f ca="1">IF(AND(ISNUMBER($AA$533),$B$427=1),$AA$533,HLOOKUP(INDIRECT(ADDRESS(2,COLUMN())),OFFSET($AM$2,0,0,ROW()-1,33),ROW()-1,FALSE))</f>
        <v>2138.1729999999998</v>
      </c>
      <c r="AB117">
        <f ca="1">IF(AND(ISNUMBER($AB$533),$B$427=1),$AB$533,HLOOKUP(INDIRECT(ADDRESS(2,COLUMN())),OFFSET($AM$2,0,0,ROW()-1,33),ROW()-1,FALSE))</f>
        <v>2406.2579999999998</v>
      </c>
      <c r="AC117">
        <f ca="1">IF(AND(ISNUMBER($AC$533),$B$427=1),$AC$533,HLOOKUP(INDIRECT(ADDRESS(2,COLUMN())),OFFSET($AM$2,0,0,ROW()-1,33),ROW()-1,FALSE))</f>
        <v>2454.6970000000001</v>
      </c>
      <c r="AD117">
        <f ca="1">IF(AND(ISNUMBER($AD$533),$B$427=1),$AD$533,HLOOKUP(INDIRECT(ADDRESS(2,COLUMN())),OFFSET($AM$2,0,0,ROW()-1,33),ROW()-1,FALSE))</f>
        <v>2139.895</v>
      </c>
      <c r="AE117">
        <f ca="1">IF(AND(ISNUMBER($AE$533),$B$427=1),$AE$533,HLOOKUP(INDIRECT(ADDRESS(2,COLUMN())),OFFSET($AM$2,0,0,ROW()-1,33),ROW()-1,FALSE))</f>
        <v>2085.2139999999999</v>
      </c>
      <c r="AF117">
        <f ca="1">IF(AND(ISNUMBER($AF$533),$B$427=1),$AF$533,HLOOKUP(INDIRECT(ADDRESS(2,COLUMN())),OFFSET($AM$2,0,0,ROW()-1,33),ROW()-1,FALSE))</f>
        <v>1993.021</v>
      </c>
      <c r="AG117">
        <f ca="1">IF(AND(ISNUMBER($AG$533),$B$427=1),$AG$533,HLOOKUP(INDIRECT(ADDRESS(2,COLUMN())),OFFSET($AM$2,0,0,ROW()-1,33),ROW()-1,FALSE))</f>
        <v>1350.693</v>
      </c>
      <c r="AH117">
        <f ca="1">IF(AND(ISNUMBER($AH$533),$B$427=1),$AH$533,HLOOKUP(INDIRECT(ADDRESS(2,COLUMN())),OFFSET($AM$2,0,0,ROW()-1,33),ROW()-1,FALSE))</f>
        <v>996.04200000000003</v>
      </c>
      <c r="AI117">
        <f ca="1">IF(AND(ISNUMBER($AI$533),$B$427=1),$AI$533,HLOOKUP(INDIRECT(ADDRESS(2,COLUMN())),OFFSET($AM$2,0,0,ROW()-1,33),ROW()-1,FALSE))</f>
        <v>665.66200000000003</v>
      </c>
      <c r="AJ117">
        <f ca="1">IF(AND(ISNUMBER($AJ$533),$B$427=1),$AJ$533,HLOOKUP(INDIRECT(ADDRESS(2,COLUMN())),OFFSET($AM$2,0,0,ROW()-1,33),ROW()-1,FALSE))</f>
        <v>436.61700000000002</v>
      </c>
      <c r="AK117">
        <f ca="1">IF(AND(ISNUMBER($AK$533),$B$427=1),$AK$533,HLOOKUP(INDIRECT(ADDRESS(2,COLUMN())),OFFSET($AM$2,0,0,ROW()-1,33),ROW()-1,FALSE))</f>
        <v>187.30600000000001</v>
      </c>
      <c r="AL117">
        <f ca="1">IF(AND(ISNUMBER($AL$533),$B$427=1),$AL$533,HLOOKUP(INDIRECT(ADDRESS(2,COLUMN())),OFFSET($AM$2,0,0,ROW()-1,33),ROW()-1,FALSE))</f>
        <v>193.46899999999999</v>
      </c>
      <c r="AM117" t="str">
        <f>""</f>
        <v/>
      </c>
      <c r="AN117">
        <f>1074</f>
        <v>1074</v>
      </c>
      <c r="AO117">
        <f>1148</f>
        <v>1148</v>
      </c>
      <c r="AP117">
        <f>1150</f>
        <v>1150</v>
      </c>
      <c r="AQ117">
        <f>888</f>
        <v>888</v>
      </c>
      <c r="AR117">
        <f>989</f>
        <v>989</v>
      </c>
      <c r="AS117">
        <f>1055.09</f>
        <v>1055.0899999999999</v>
      </c>
      <c r="AT117">
        <f>1054.462</f>
        <v>1054.462</v>
      </c>
      <c r="AU117">
        <f>1323.419</f>
        <v>1323.4190000000001</v>
      </c>
      <c r="AV117">
        <f>1439.993</f>
        <v>1439.9929999999999</v>
      </c>
      <c r="AW117">
        <f>1564.612</f>
        <v>1564.6120000000001</v>
      </c>
      <c r="AX117">
        <f>1469.055</f>
        <v>1469.0550000000001</v>
      </c>
      <c r="AY117">
        <f>1362.824</f>
        <v>1362.8240000000001</v>
      </c>
      <c r="AZ117">
        <f>1155.758</f>
        <v>1155.758</v>
      </c>
      <c r="BA117">
        <f>1077.02</f>
        <v>1077.02</v>
      </c>
      <c r="BB117">
        <f>1104.67</f>
        <v>1104.67</v>
      </c>
      <c r="BC117">
        <f>1496.748</f>
        <v>1496.748</v>
      </c>
      <c r="BD117">
        <f>1542.933</f>
        <v>1542.933</v>
      </c>
      <c r="BE117">
        <f>1699.771</f>
        <v>1699.771</v>
      </c>
      <c r="BF117">
        <f>1813.446</f>
        <v>1813.4459999999999</v>
      </c>
      <c r="BG117">
        <f>2103.674</f>
        <v>2103.674</v>
      </c>
      <c r="BH117">
        <f>2138.173</f>
        <v>2138.1729999999998</v>
      </c>
      <c r="BI117">
        <f>2406.258</f>
        <v>2406.2579999999998</v>
      </c>
      <c r="BJ117">
        <f>2454.697</f>
        <v>2454.6970000000001</v>
      </c>
      <c r="BK117">
        <f>2139.895</f>
        <v>2139.895</v>
      </c>
      <c r="BL117">
        <f>2085.214</f>
        <v>2085.2139999999999</v>
      </c>
      <c r="BM117">
        <f>1993.021</f>
        <v>1993.021</v>
      </c>
      <c r="BN117">
        <f>1350.693</f>
        <v>1350.693</v>
      </c>
      <c r="BO117">
        <f>996.042</f>
        <v>996.04200000000003</v>
      </c>
      <c r="BP117">
        <f>665.662</f>
        <v>665.66200000000003</v>
      </c>
      <c r="BQ117">
        <f>436.617</f>
        <v>436.61700000000002</v>
      </c>
      <c r="BR117">
        <f>187.306</f>
        <v>187.30600000000001</v>
      </c>
      <c r="BS117">
        <f>193.469</f>
        <v>193.46899999999999</v>
      </c>
    </row>
    <row r="118" spans="1:71" x14ac:dyDescent="0.25">
      <c r="A118" t="str">
        <f>"        East West Bancorp Inc"</f>
        <v xml:space="preserve">        East West Bancorp Inc</v>
      </c>
      <c r="B118" t="str">
        <f>"EWBC US Equity"</f>
        <v>EWBC US Equity</v>
      </c>
      <c r="C118" t="str">
        <f t="shared" si="15"/>
        <v>FC313</v>
      </c>
      <c r="D118" t="str">
        <f t="shared" si="16"/>
        <v>FDIC_C&amp;I_LOANS_NON-US</v>
      </c>
      <c r="E118" t="str">
        <f t="shared" si="17"/>
        <v>Dynamic</v>
      </c>
      <c r="F118" t="str">
        <f ca="1">IF(AND(ISNUMBER($F$534),$B$427=1),$F$534,HLOOKUP(INDIRECT(ADDRESS(2,COLUMN())),OFFSET($AM$2,0,0,ROW()-1,33),ROW()-1,FALSE))</f>
        <v/>
      </c>
      <c r="G118">
        <f ca="1">IF(AND(ISNUMBER($G$534),$B$427=1),$G$534,HLOOKUP(INDIRECT(ADDRESS(2,COLUMN())),OFFSET($AM$2,0,0,ROW()-1,33),ROW()-1,FALSE))</f>
        <v>2108.9929999999999</v>
      </c>
      <c r="H118">
        <f ca="1">IF(AND(ISNUMBER($H$534),$B$427=1),$H$534,HLOOKUP(INDIRECT(ADDRESS(2,COLUMN())),OFFSET($AM$2,0,0,ROW()-1,33),ROW()-1,FALSE))</f>
        <v>1887.42</v>
      </c>
      <c r="I118">
        <f ca="1">IF(AND(ISNUMBER($I$534),$B$427=1),$I$534,HLOOKUP(INDIRECT(ADDRESS(2,COLUMN())),OFFSET($AM$2,0,0,ROW()-1,33),ROW()-1,FALSE))</f>
        <v>1991.732</v>
      </c>
      <c r="J118">
        <f ca="1">IF(AND(ISNUMBER($J$534),$B$427=1),$J$534,HLOOKUP(INDIRECT(ADDRESS(2,COLUMN())),OFFSET($AM$2,0,0,ROW()-1,33),ROW()-1,FALSE))</f>
        <v>1675.8119999999999</v>
      </c>
      <c r="K118">
        <f ca="1">IF(AND(ISNUMBER($K$534),$B$427=1),$K$534,HLOOKUP(INDIRECT(ADDRESS(2,COLUMN())),OFFSET($AM$2,0,0,ROW()-1,33),ROW()-1,FALSE))</f>
        <v>1409.01</v>
      </c>
      <c r="L118">
        <f ca="1">IF(AND(ISNUMBER($L$534),$B$427=1),$L$534,HLOOKUP(INDIRECT(ADDRESS(2,COLUMN())),OFFSET($AM$2,0,0,ROW()-1,33),ROW()-1,FALSE))</f>
        <v>1325.5730000000001</v>
      </c>
      <c r="M118">
        <f ca="1">IF(AND(ISNUMBER($M$534),$B$427=1),$M$534,HLOOKUP(INDIRECT(ADDRESS(2,COLUMN())),OFFSET($AM$2,0,0,ROW()-1,33),ROW()-1,FALSE))</f>
        <v>1093.5309999999999</v>
      </c>
      <c r="N118">
        <f ca="1">IF(AND(ISNUMBER($N$534),$B$427=1),$N$534,HLOOKUP(INDIRECT(ADDRESS(2,COLUMN())),OFFSET($AM$2,0,0,ROW()-1,33),ROW()-1,FALSE))</f>
        <v>1132.7059999999999</v>
      </c>
      <c r="O118">
        <f ca="1">IF(AND(ISNUMBER($O$534),$B$427=1),$O$534,HLOOKUP(INDIRECT(ADDRESS(2,COLUMN())),OFFSET($AM$2,0,0,ROW()-1,33),ROW()-1,FALSE))</f>
        <v>1004.232</v>
      </c>
      <c r="P118">
        <f ca="1">IF(AND(ISNUMBER($P$534),$B$427=1),$P$534,HLOOKUP(INDIRECT(ADDRESS(2,COLUMN())),OFFSET($AM$2,0,0,ROW()-1,33),ROW()-1,FALSE))</f>
        <v>644.84</v>
      </c>
      <c r="Q118">
        <f ca="1">IF(AND(ISNUMBER($Q$534),$B$427=1),$Q$534,HLOOKUP(INDIRECT(ADDRESS(2,COLUMN())),OFFSET($AM$2,0,0,ROW()-1,33),ROW()-1,FALSE))</f>
        <v>415.04599999999999</v>
      </c>
      <c r="R118">
        <f ca="1">IF(AND(ISNUMBER($R$534),$B$427=1),$R$534,HLOOKUP(INDIRECT(ADDRESS(2,COLUMN())),OFFSET($AM$2,0,0,ROW()-1,33),ROW()-1,FALSE))</f>
        <v>314.767</v>
      </c>
      <c r="S118">
        <f ca="1">IF(AND(ISNUMBER($S$534),$B$427=1),$S$534,HLOOKUP(INDIRECT(ADDRESS(2,COLUMN())),OFFSET($AM$2,0,0,ROW()-1,33),ROW()-1,FALSE))</f>
        <v>543.31700000000001</v>
      </c>
      <c r="T118">
        <f ca="1">IF(AND(ISNUMBER($T$534),$B$427=1),$T$534,HLOOKUP(INDIRECT(ADDRESS(2,COLUMN())),OFFSET($AM$2,0,0,ROW()-1,33),ROW()-1,FALSE))</f>
        <v>282.09699999999998</v>
      </c>
      <c r="U118">
        <f ca="1">IF(AND(ISNUMBER($U$534),$B$427=1),$U$534,HLOOKUP(INDIRECT(ADDRESS(2,COLUMN())),OFFSET($AM$2,0,0,ROW()-1,33),ROW()-1,FALSE))</f>
        <v>478.46699999999998</v>
      </c>
      <c r="V118">
        <f ca="1">IF(AND(ISNUMBER($V$534),$B$427=1),$V$534,HLOOKUP(INDIRECT(ADDRESS(2,COLUMN())),OFFSET($AM$2,0,0,ROW()-1,33),ROW()-1,FALSE))</f>
        <v>63.698</v>
      </c>
      <c r="W118">
        <f ca="1">IF(AND(ISNUMBER($W$534),$B$427=1),$W$534,HLOOKUP(INDIRECT(ADDRESS(2,COLUMN())),OFFSET($AM$2,0,0,ROW()-1,33),ROW()-1,FALSE))</f>
        <v>53.826999999999998</v>
      </c>
      <c r="X118">
        <f ca="1">IF(AND(ISNUMBER($X$534),$B$427=1),$X$534,HLOOKUP(INDIRECT(ADDRESS(2,COLUMN())),OFFSET($AM$2,0,0,ROW()-1,33),ROW()-1,FALSE))</f>
        <v>0</v>
      </c>
      <c r="Y118">
        <f ca="1">IF(AND(ISNUMBER($Y$534),$B$427=1),$Y$534,HLOOKUP(INDIRECT(ADDRESS(2,COLUMN())),OFFSET($AM$2,0,0,ROW()-1,33),ROW()-1,FALSE))</f>
        <v>0</v>
      </c>
      <c r="Z118">
        <f ca="1">IF(AND(ISNUMBER($Z$534),$B$427=1),$Z$534,HLOOKUP(INDIRECT(ADDRESS(2,COLUMN())),OFFSET($AM$2,0,0,ROW()-1,33),ROW()-1,FALSE))</f>
        <v>0</v>
      </c>
      <c r="AA118">
        <f ca="1">IF(AND(ISNUMBER($AA$534),$B$427=1),$AA$534,HLOOKUP(INDIRECT(ADDRESS(2,COLUMN())),OFFSET($AM$2,0,0,ROW()-1,33),ROW()-1,FALSE))</f>
        <v>0</v>
      </c>
      <c r="AB118">
        <f ca="1">IF(AND(ISNUMBER($AB$534),$B$427=1),$AB$534,HLOOKUP(INDIRECT(ADDRESS(2,COLUMN())),OFFSET($AM$2,0,0,ROW()-1,33),ROW()-1,FALSE))</f>
        <v>2.149</v>
      </c>
      <c r="AC118">
        <f ca="1">IF(AND(ISNUMBER($AC$534),$B$427=1),$AC$534,HLOOKUP(INDIRECT(ADDRESS(2,COLUMN())),OFFSET($AM$2,0,0,ROW()-1,33),ROW()-1,FALSE))</f>
        <v>0.61499999999999999</v>
      </c>
      <c r="AD118">
        <f ca="1">IF(AND(ISNUMBER($AD$534),$B$427=1),$AD$534,HLOOKUP(INDIRECT(ADDRESS(2,COLUMN())),OFFSET($AM$2,0,0,ROW()-1,33),ROW()-1,FALSE))</f>
        <v>0</v>
      </c>
      <c r="AE118">
        <f ca="1">IF(AND(ISNUMBER($AE$534),$B$427=1),$AE$534,HLOOKUP(INDIRECT(ADDRESS(2,COLUMN())),OFFSET($AM$2,0,0,ROW()-1,33),ROW()-1,FALSE))</f>
        <v>0</v>
      </c>
      <c r="AF118">
        <f ca="1">IF(AND(ISNUMBER($AF$534),$B$427=1),$AF$534,HLOOKUP(INDIRECT(ADDRESS(2,COLUMN())),OFFSET($AM$2,0,0,ROW()-1,33),ROW()-1,FALSE))</f>
        <v>0</v>
      </c>
      <c r="AG118" t="str">
        <f ca="1">IF(AND(ISNUMBER($AG$534),$B$427=1),$AG$534,HLOOKUP(INDIRECT(ADDRESS(2,COLUMN())),OFFSET($AM$2,0,0,ROW()-1,33),ROW()-1,FALSE))</f>
        <v/>
      </c>
      <c r="AH118" t="str">
        <f ca="1">IF(AND(ISNUMBER($AH$534),$B$427=1),$AH$534,HLOOKUP(INDIRECT(ADDRESS(2,COLUMN())),OFFSET($AM$2,0,0,ROW()-1,33),ROW()-1,FALSE))</f>
        <v/>
      </c>
      <c r="AI118" t="str">
        <f ca="1">IF(AND(ISNUMBER($AI$534),$B$427=1),$AI$534,HLOOKUP(INDIRECT(ADDRESS(2,COLUMN())),OFFSET($AM$2,0,0,ROW()-1,33),ROW()-1,FALSE))</f>
        <v/>
      </c>
      <c r="AJ118" t="str">
        <f ca="1">IF(AND(ISNUMBER($AJ$534),$B$427=1),$AJ$534,HLOOKUP(INDIRECT(ADDRESS(2,COLUMN())),OFFSET($AM$2,0,0,ROW()-1,33),ROW()-1,FALSE))</f>
        <v/>
      </c>
      <c r="AK118" t="str">
        <f ca="1">IF(AND(ISNUMBER($AK$534),$B$427=1),$AK$534,HLOOKUP(INDIRECT(ADDRESS(2,COLUMN())),OFFSET($AM$2,0,0,ROW()-1,33),ROW()-1,FALSE))</f>
        <v/>
      </c>
      <c r="AL118" t="str">
        <f ca="1">IF(AND(ISNUMBER($AL$534),$B$427=1),$AL$534,HLOOKUP(INDIRECT(ADDRESS(2,COLUMN())),OFFSET($AM$2,0,0,ROW()-1,33),ROW()-1,FALSE))</f>
        <v/>
      </c>
      <c r="AM118" t="str">
        <f>""</f>
        <v/>
      </c>
      <c r="AN118">
        <f>2108.993</f>
        <v>2108.9929999999999</v>
      </c>
      <c r="AO118">
        <f>1887.42</f>
        <v>1887.42</v>
      </c>
      <c r="AP118">
        <f>1991.732</f>
        <v>1991.732</v>
      </c>
      <c r="AQ118">
        <f>1675.812</f>
        <v>1675.8119999999999</v>
      </c>
      <c r="AR118">
        <f>1409.01</f>
        <v>1409.01</v>
      </c>
      <c r="AS118">
        <f>1325.573</f>
        <v>1325.5730000000001</v>
      </c>
      <c r="AT118">
        <f>1093.531</f>
        <v>1093.5309999999999</v>
      </c>
      <c r="AU118">
        <f>1132.706</f>
        <v>1132.7059999999999</v>
      </c>
      <c r="AV118">
        <f>1004.232</f>
        <v>1004.232</v>
      </c>
      <c r="AW118">
        <f>644.84</f>
        <v>644.84</v>
      </c>
      <c r="AX118">
        <f>415.046</f>
        <v>415.04599999999999</v>
      </c>
      <c r="AY118">
        <f>314.767</f>
        <v>314.767</v>
      </c>
      <c r="AZ118">
        <f>543.317</f>
        <v>543.31700000000001</v>
      </c>
      <c r="BA118">
        <f>282.097</f>
        <v>282.09699999999998</v>
      </c>
      <c r="BB118">
        <f>478.467</f>
        <v>478.46699999999998</v>
      </c>
      <c r="BC118">
        <f>63.698</f>
        <v>63.698</v>
      </c>
      <c r="BD118">
        <f>53.827</f>
        <v>53.826999999999998</v>
      </c>
      <c r="BE118">
        <f>0</f>
        <v>0</v>
      </c>
      <c r="BF118">
        <f>0</f>
        <v>0</v>
      </c>
      <c r="BG118">
        <f>0</f>
        <v>0</v>
      </c>
      <c r="BH118">
        <f>0</f>
        <v>0</v>
      </c>
      <c r="BI118">
        <f>2.149</f>
        <v>2.149</v>
      </c>
      <c r="BJ118">
        <f>0.615</f>
        <v>0.61499999999999999</v>
      </c>
      <c r="BK118">
        <f>0</f>
        <v>0</v>
      </c>
      <c r="BL118">
        <f>0</f>
        <v>0</v>
      </c>
      <c r="BM118">
        <f>0</f>
        <v>0</v>
      </c>
      <c r="BN118" t="str">
        <f>""</f>
        <v/>
      </c>
      <c r="BO118" t="str">
        <f>""</f>
        <v/>
      </c>
      <c r="BP118" t="str">
        <f>""</f>
        <v/>
      </c>
      <c r="BQ118" t="str">
        <f>""</f>
        <v/>
      </c>
      <c r="BR118" t="str">
        <f>""</f>
        <v/>
      </c>
      <c r="BS118" t="str">
        <f>""</f>
        <v/>
      </c>
    </row>
    <row r="119" spans="1:71" x14ac:dyDescent="0.25">
      <c r="A119" t="str">
        <f>"        Fifth Third Bancorp"</f>
        <v xml:space="preserve">        Fifth Third Bancorp</v>
      </c>
      <c r="B119" t="str">
        <f>"FITB US Equity"</f>
        <v>FITB US Equity</v>
      </c>
      <c r="C119" t="str">
        <f t="shared" si="15"/>
        <v>FC313</v>
      </c>
      <c r="D119" t="str">
        <f t="shared" si="16"/>
        <v>FDIC_C&amp;I_LOANS_NON-US</v>
      </c>
      <c r="E119" t="str">
        <f t="shared" si="17"/>
        <v>Dynamic</v>
      </c>
      <c r="F119">
        <f ca="1">IF(AND(ISNUMBER($F$535),$B$427=1),$F$535,HLOOKUP(INDIRECT(ADDRESS(2,COLUMN())),OFFSET($AM$2,0,0,ROW()-1,33),ROW()-1,FALSE))</f>
        <v>2499</v>
      </c>
      <c r="G119">
        <f ca="1">IF(AND(ISNUMBER($G$535),$B$427=1),$G$535,HLOOKUP(INDIRECT(ADDRESS(2,COLUMN())),OFFSET($AM$2,0,0,ROW()-1,33),ROW()-1,FALSE))</f>
        <v>2986</v>
      </c>
      <c r="H119">
        <f ca="1">IF(AND(ISNUMBER($H$535),$B$427=1),$H$535,HLOOKUP(INDIRECT(ADDRESS(2,COLUMN())),OFFSET($AM$2,0,0,ROW()-1,33),ROW()-1,FALSE))</f>
        <v>2982.8519999999999</v>
      </c>
      <c r="I119">
        <f ca="1">IF(AND(ISNUMBER($I$535),$B$427=1),$I$535,HLOOKUP(INDIRECT(ADDRESS(2,COLUMN())),OFFSET($AM$2,0,0,ROW()-1,33),ROW()-1,FALSE))</f>
        <v>2740.652</v>
      </c>
      <c r="J119">
        <f ca="1">IF(AND(ISNUMBER($J$535),$B$427=1),$J$535,HLOOKUP(INDIRECT(ADDRESS(2,COLUMN())),OFFSET($AM$2,0,0,ROW()-1,33),ROW()-1,FALSE))</f>
        <v>2829.6039999999998</v>
      </c>
      <c r="K119">
        <f ca="1">IF(AND(ISNUMBER($K$535),$B$427=1),$K$535,HLOOKUP(INDIRECT(ADDRESS(2,COLUMN())),OFFSET($AM$2,0,0,ROW()-1,33),ROW()-1,FALSE))</f>
        <v>2747.3519999999999</v>
      </c>
      <c r="L119">
        <f ca="1">IF(AND(ISNUMBER($L$535),$B$427=1),$L$535,HLOOKUP(INDIRECT(ADDRESS(2,COLUMN())),OFFSET($AM$2,0,0,ROW()-1,33),ROW()-1,FALSE))</f>
        <v>2036.7449999999999</v>
      </c>
      <c r="M119">
        <f ca="1">IF(AND(ISNUMBER($M$535),$B$427=1),$M$535,HLOOKUP(INDIRECT(ADDRESS(2,COLUMN())),OFFSET($AM$2,0,0,ROW()-1,33),ROW()-1,FALSE))</f>
        <v>2035.9190000000001</v>
      </c>
      <c r="N119">
        <f ca="1">IF(AND(ISNUMBER($N$535),$B$427=1),$N$535,HLOOKUP(INDIRECT(ADDRESS(2,COLUMN())),OFFSET($AM$2,0,0,ROW()-1,33),ROW()-1,FALSE))</f>
        <v>1632.386</v>
      </c>
      <c r="O119">
        <f ca="1">IF(AND(ISNUMBER($O$535),$B$427=1),$O$535,HLOOKUP(INDIRECT(ADDRESS(2,COLUMN())),OFFSET($AM$2,0,0,ROW()-1,33),ROW()-1,FALSE))</f>
        <v>1728.03</v>
      </c>
      <c r="P119">
        <f ca="1">IF(AND(ISNUMBER($P$535),$B$427=1),$P$535,HLOOKUP(INDIRECT(ADDRESS(2,COLUMN())),OFFSET($AM$2,0,0,ROW()-1,33),ROW()-1,FALSE))</f>
        <v>1849.9680000000001</v>
      </c>
      <c r="Q119">
        <f ca="1">IF(AND(ISNUMBER($Q$535),$B$427=1),$Q$535,HLOOKUP(INDIRECT(ADDRESS(2,COLUMN())),OFFSET($AM$2,0,0,ROW()-1,33),ROW()-1,FALSE))</f>
        <v>1213.7070000000001</v>
      </c>
      <c r="R119">
        <f ca="1">IF(AND(ISNUMBER($R$535),$B$427=1),$R$535,HLOOKUP(INDIRECT(ADDRESS(2,COLUMN())),OFFSET($AM$2,0,0,ROW()-1,33),ROW()-1,FALSE))</f>
        <v>760.49800000000005</v>
      </c>
      <c r="S119">
        <f ca="1">IF(AND(ISNUMBER($S$535),$B$427=1),$S$535,HLOOKUP(INDIRECT(ADDRESS(2,COLUMN())),OFFSET($AM$2,0,0,ROW()-1,33),ROW()-1,FALSE))</f>
        <v>714.69600000000003</v>
      </c>
      <c r="T119">
        <f ca="1">IF(AND(ISNUMBER($T$535),$B$427=1),$T$535,HLOOKUP(INDIRECT(ADDRESS(2,COLUMN())),OFFSET($AM$2,0,0,ROW()-1,33),ROW()-1,FALSE))</f>
        <v>631.798</v>
      </c>
      <c r="U119">
        <f ca="1">IF(AND(ISNUMBER($U$535),$B$427=1),$U$535,HLOOKUP(INDIRECT(ADDRESS(2,COLUMN())),OFFSET($AM$2,0,0,ROW()-1,33),ROW()-1,FALSE))</f>
        <v>488.77</v>
      </c>
      <c r="V119">
        <f ca="1">IF(AND(ISNUMBER($V$535),$B$427=1),$V$535,HLOOKUP(INDIRECT(ADDRESS(2,COLUMN())),OFFSET($AM$2,0,0,ROW()-1,33),ROW()-1,FALSE))</f>
        <v>562.08199999999999</v>
      </c>
      <c r="W119">
        <f ca="1">IF(AND(ISNUMBER($W$535),$B$427=1),$W$535,HLOOKUP(INDIRECT(ADDRESS(2,COLUMN())),OFFSET($AM$2,0,0,ROW()-1,33),ROW()-1,FALSE))</f>
        <v>320.41800000000001</v>
      </c>
      <c r="X119">
        <f ca="1">IF(AND(ISNUMBER($X$535),$B$427=1),$X$535,HLOOKUP(INDIRECT(ADDRESS(2,COLUMN())),OFFSET($AM$2,0,0,ROW()-1,33),ROW()-1,FALSE))</f>
        <v>168.42699999999999</v>
      </c>
      <c r="Y119">
        <f ca="1">IF(AND(ISNUMBER($Y$535),$B$427=1),$Y$535,HLOOKUP(INDIRECT(ADDRESS(2,COLUMN())),OFFSET($AM$2,0,0,ROW()-1,33),ROW()-1,FALSE))</f>
        <v>56.853999999999999</v>
      </c>
      <c r="Z119">
        <f ca="1">IF(AND(ISNUMBER($Z$535),$B$427=1),$Z$535,HLOOKUP(INDIRECT(ADDRESS(2,COLUMN())),OFFSET($AM$2,0,0,ROW()-1,33),ROW()-1,FALSE))</f>
        <v>8.1609999999999996</v>
      </c>
      <c r="AA119">
        <f ca="1">IF(AND(ISNUMBER($AA$535),$B$427=1),$AA$535,HLOOKUP(INDIRECT(ADDRESS(2,COLUMN())),OFFSET($AM$2,0,0,ROW()-1,33),ROW()-1,FALSE))</f>
        <v>13.175000000000001</v>
      </c>
      <c r="AB119">
        <f ca="1">IF(AND(ISNUMBER($AB$535),$B$427=1),$AB$535,HLOOKUP(INDIRECT(ADDRESS(2,COLUMN())),OFFSET($AM$2,0,0,ROW()-1,33),ROW()-1,FALSE))</f>
        <v>0</v>
      </c>
      <c r="AC119">
        <f ca="1">IF(AND(ISNUMBER($AC$535),$B$427=1),$AC$535,HLOOKUP(INDIRECT(ADDRESS(2,COLUMN())),OFFSET($AM$2,0,0,ROW()-1,33),ROW()-1,FALSE))</f>
        <v>0</v>
      </c>
      <c r="AD119">
        <f ca="1">IF(AND(ISNUMBER($AD$535),$B$427=1),$AD$535,HLOOKUP(INDIRECT(ADDRESS(2,COLUMN())),OFFSET($AM$2,0,0,ROW()-1,33),ROW()-1,FALSE))</f>
        <v>0</v>
      </c>
      <c r="AE119">
        <f ca="1">IF(AND(ISNUMBER($AE$535),$B$427=1),$AE$535,HLOOKUP(INDIRECT(ADDRESS(2,COLUMN())),OFFSET($AM$2,0,0,ROW()-1,33),ROW()-1,FALSE))</f>
        <v>0</v>
      </c>
      <c r="AF119">
        <f ca="1">IF(AND(ISNUMBER($AF$535),$B$427=1),$AF$535,HLOOKUP(INDIRECT(ADDRESS(2,COLUMN())),OFFSET($AM$2,0,0,ROW()-1,33),ROW()-1,FALSE))</f>
        <v>0</v>
      </c>
      <c r="AG119">
        <f ca="1">IF(AND(ISNUMBER($AG$535),$B$427=1),$AG$535,HLOOKUP(INDIRECT(ADDRESS(2,COLUMN())),OFFSET($AM$2,0,0,ROW()-1,33),ROW()-1,FALSE))</f>
        <v>0</v>
      </c>
      <c r="AH119">
        <f ca="1">IF(AND(ISNUMBER($AH$535),$B$427=1),$AH$535,HLOOKUP(INDIRECT(ADDRESS(2,COLUMN())),OFFSET($AM$2,0,0,ROW()-1,33),ROW()-1,FALSE))</f>
        <v>0</v>
      </c>
      <c r="AI119">
        <f ca="1">IF(AND(ISNUMBER($AI$535),$B$427=1),$AI$535,HLOOKUP(INDIRECT(ADDRESS(2,COLUMN())),OFFSET($AM$2,0,0,ROW()-1,33),ROW()-1,FALSE))</f>
        <v>0</v>
      </c>
      <c r="AJ119">
        <f ca="1">IF(AND(ISNUMBER($AJ$535),$B$427=1),$AJ$535,HLOOKUP(INDIRECT(ADDRESS(2,COLUMN())),OFFSET($AM$2,0,0,ROW()-1,33),ROW()-1,FALSE))</f>
        <v>0</v>
      </c>
      <c r="AK119">
        <f ca="1">IF(AND(ISNUMBER($AK$535),$B$427=1),$AK$535,HLOOKUP(INDIRECT(ADDRESS(2,COLUMN())),OFFSET($AM$2,0,0,ROW()-1,33),ROW()-1,FALSE))</f>
        <v>0</v>
      </c>
      <c r="AL119">
        <f ca="1">IF(AND(ISNUMBER($AL$535),$B$427=1),$AL$535,HLOOKUP(INDIRECT(ADDRESS(2,COLUMN())),OFFSET($AM$2,0,0,ROW()-1,33),ROW()-1,FALSE))</f>
        <v>0</v>
      </c>
      <c r="AM119">
        <f>2499</f>
        <v>2499</v>
      </c>
      <c r="AN119">
        <f>2986</f>
        <v>2986</v>
      </c>
      <c r="AO119">
        <f>2982.852</f>
        <v>2982.8519999999999</v>
      </c>
      <c r="AP119">
        <f>2740.652</f>
        <v>2740.652</v>
      </c>
      <c r="AQ119">
        <f>2829.604</f>
        <v>2829.6039999999998</v>
      </c>
      <c r="AR119">
        <f>2747.352</f>
        <v>2747.3519999999999</v>
      </c>
      <c r="AS119">
        <f>2036.745</f>
        <v>2036.7449999999999</v>
      </c>
      <c r="AT119">
        <f>2035.919</f>
        <v>2035.9190000000001</v>
      </c>
      <c r="AU119">
        <f>1632.386</f>
        <v>1632.386</v>
      </c>
      <c r="AV119">
        <f>1728.03</f>
        <v>1728.03</v>
      </c>
      <c r="AW119">
        <f>1849.968</f>
        <v>1849.9680000000001</v>
      </c>
      <c r="AX119">
        <f>1213.707</f>
        <v>1213.7070000000001</v>
      </c>
      <c r="AY119">
        <f>760.498</f>
        <v>760.49800000000005</v>
      </c>
      <c r="AZ119">
        <f>714.696</f>
        <v>714.69600000000003</v>
      </c>
      <c r="BA119">
        <f>631.798</f>
        <v>631.798</v>
      </c>
      <c r="BB119">
        <f>488.77</f>
        <v>488.77</v>
      </c>
      <c r="BC119">
        <f>562.082</f>
        <v>562.08199999999999</v>
      </c>
      <c r="BD119">
        <f>320.418</f>
        <v>320.41800000000001</v>
      </c>
      <c r="BE119">
        <f>168.427</f>
        <v>168.42699999999999</v>
      </c>
      <c r="BF119">
        <f>56.854</f>
        <v>56.853999999999999</v>
      </c>
      <c r="BG119">
        <f>8.161</f>
        <v>8.1609999999999996</v>
      </c>
      <c r="BH119">
        <f>13.175</f>
        <v>13.175000000000001</v>
      </c>
      <c r="BI119">
        <f>0</f>
        <v>0</v>
      </c>
      <c r="BJ119">
        <f>0</f>
        <v>0</v>
      </c>
      <c r="BK119">
        <f>0</f>
        <v>0</v>
      </c>
      <c r="BL119">
        <f>0</f>
        <v>0</v>
      </c>
      <c r="BM119">
        <f>0</f>
        <v>0</v>
      </c>
      <c r="BN119">
        <f>0</f>
        <v>0</v>
      </c>
      <c r="BO119">
        <f>0</f>
        <v>0</v>
      </c>
      <c r="BP119">
        <f>0</f>
        <v>0</v>
      </c>
      <c r="BQ119">
        <f>0</f>
        <v>0</v>
      </c>
      <c r="BR119">
        <f>0</f>
        <v>0</v>
      </c>
      <c r="BS119">
        <f>0</f>
        <v>0</v>
      </c>
    </row>
    <row r="120" spans="1:71" x14ac:dyDescent="0.25">
      <c r="A120" t="str">
        <f>"        First Citizens BancShares Inc/"</f>
        <v xml:space="preserve">        First Citizens BancShares Inc/</v>
      </c>
      <c r="B120" t="str">
        <f>"FCNCA US Equity"</f>
        <v>FCNCA US Equity</v>
      </c>
      <c r="C120" t="str">
        <f t="shared" si="15"/>
        <v>FC313</v>
      </c>
      <c r="D120" t="str">
        <f t="shared" si="16"/>
        <v>FDIC_C&amp;I_LOANS_NON-US</v>
      </c>
      <c r="E120" t="str">
        <f t="shared" si="17"/>
        <v>Dynamic</v>
      </c>
      <c r="F120">
        <f ca="1">IF(AND(ISNUMBER($F$536),$B$427=1),$F$536,HLOOKUP(INDIRECT(ADDRESS(2,COLUMN())),OFFSET($AM$2,0,0,ROW()-1,33),ROW()-1,FALSE))</f>
        <v>1963</v>
      </c>
      <c r="G120">
        <f ca="1">IF(AND(ISNUMBER($G$536),$B$427=1),$G$536,HLOOKUP(INDIRECT(ADDRESS(2,COLUMN())),OFFSET($AM$2,0,0,ROW()-1,33),ROW()-1,FALSE))</f>
        <v>1698.454</v>
      </c>
      <c r="H120">
        <f ca="1">IF(AND(ISNUMBER($H$536),$B$427=1),$H$536,HLOOKUP(INDIRECT(ADDRESS(2,COLUMN())),OFFSET($AM$2,0,0,ROW()-1,33),ROW()-1,FALSE))</f>
        <v>291.34100000000001</v>
      </c>
      <c r="I120">
        <f ca="1">IF(AND(ISNUMBER($I$536),$B$427=1),$I$536,HLOOKUP(INDIRECT(ADDRESS(2,COLUMN())),OFFSET($AM$2,0,0,ROW()-1,33),ROW()-1,FALSE))</f>
        <v>0</v>
      </c>
      <c r="J120">
        <f ca="1">IF(AND(ISNUMBER($J$536),$B$427=1),$J$536,HLOOKUP(INDIRECT(ADDRESS(2,COLUMN())),OFFSET($AM$2,0,0,ROW()-1,33),ROW()-1,FALSE))</f>
        <v>0</v>
      </c>
      <c r="K120">
        <f ca="1">IF(AND(ISNUMBER($K$536),$B$427=1),$K$536,HLOOKUP(INDIRECT(ADDRESS(2,COLUMN())),OFFSET($AM$2,0,0,ROW()-1,33),ROW()-1,FALSE))</f>
        <v>0</v>
      </c>
      <c r="L120">
        <f ca="1">IF(AND(ISNUMBER($L$536),$B$427=1),$L$536,HLOOKUP(INDIRECT(ADDRESS(2,COLUMN())),OFFSET($AM$2,0,0,ROW()-1,33),ROW()-1,FALSE))</f>
        <v>0</v>
      </c>
      <c r="M120">
        <f ca="1">IF(AND(ISNUMBER($M$536),$B$427=1),$M$536,HLOOKUP(INDIRECT(ADDRESS(2,COLUMN())),OFFSET($AM$2,0,0,ROW()-1,33),ROW()-1,FALSE))</f>
        <v>0</v>
      </c>
      <c r="N120">
        <f ca="1">IF(AND(ISNUMBER($N$536),$B$427=1),$N$536,HLOOKUP(INDIRECT(ADDRESS(2,COLUMN())),OFFSET($AM$2,0,0,ROW()-1,33),ROW()-1,FALSE))</f>
        <v>0</v>
      </c>
      <c r="O120">
        <f ca="1">IF(AND(ISNUMBER($O$536),$B$427=1),$O$536,HLOOKUP(INDIRECT(ADDRESS(2,COLUMN())),OFFSET($AM$2,0,0,ROW()-1,33),ROW()-1,FALSE))</f>
        <v>8.8999999999999996E-2</v>
      </c>
      <c r="P120">
        <f ca="1">IF(AND(ISNUMBER($P$536),$B$427=1),$P$536,HLOOKUP(INDIRECT(ADDRESS(2,COLUMN())),OFFSET($AM$2,0,0,ROW()-1,33),ROW()-1,FALSE))</f>
        <v>0</v>
      </c>
      <c r="Q120">
        <f ca="1">IF(AND(ISNUMBER($Q$536),$B$427=1),$Q$536,HLOOKUP(INDIRECT(ADDRESS(2,COLUMN())),OFFSET($AM$2,0,0,ROW()-1,33),ROW()-1,FALSE))</f>
        <v>0</v>
      </c>
      <c r="R120">
        <f ca="1">IF(AND(ISNUMBER($R$536),$B$427=1),$R$536,HLOOKUP(INDIRECT(ADDRESS(2,COLUMN())),OFFSET($AM$2,0,0,ROW()-1,33),ROW()-1,FALSE))</f>
        <v>0</v>
      </c>
      <c r="S120">
        <f ca="1">IF(AND(ISNUMBER($S$536),$B$427=1),$S$536,HLOOKUP(INDIRECT(ADDRESS(2,COLUMN())),OFFSET($AM$2,0,0,ROW()-1,33),ROW()-1,FALSE))</f>
        <v>0</v>
      </c>
      <c r="T120">
        <f ca="1">IF(AND(ISNUMBER($T$536),$B$427=1),$T$536,HLOOKUP(INDIRECT(ADDRESS(2,COLUMN())),OFFSET($AM$2,0,0,ROW()-1,33),ROW()-1,FALSE))</f>
        <v>0</v>
      </c>
      <c r="U120">
        <f ca="1">IF(AND(ISNUMBER($U$536),$B$427=1),$U$536,HLOOKUP(INDIRECT(ADDRESS(2,COLUMN())),OFFSET($AM$2,0,0,ROW()-1,33),ROW()-1,FALSE))</f>
        <v>0</v>
      </c>
      <c r="V120">
        <f ca="1">IF(AND(ISNUMBER($V$536),$B$427=1),$V$536,HLOOKUP(INDIRECT(ADDRESS(2,COLUMN())),OFFSET($AM$2,0,0,ROW()-1,33),ROW()-1,FALSE))</f>
        <v>0</v>
      </c>
      <c r="W120">
        <f ca="1">IF(AND(ISNUMBER($W$536),$B$427=1),$W$536,HLOOKUP(INDIRECT(ADDRESS(2,COLUMN())),OFFSET($AM$2,0,0,ROW()-1,33),ROW()-1,FALSE))</f>
        <v>0</v>
      </c>
      <c r="X120">
        <f ca="1">IF(AND(ISNUMBER($X$536),$B$427=1),$X$536,HLOOKUP(INDIRECT(ADDRESS(2,COLUMN())),OFFSET($AM$2,0,0,ROW()-1,33),ROW()-1,FALSE))</f>
        <v>0</v>
      </c>
      <c r="Y120">
        <f ca="1">IF(AND(ISNUMBER($Y$536),$B$427=1),$Y$536,HLOOKUP(INDIRECT(ADDRESS(2,COLUMN())),OFFSET($AM$2,0,0,ROW()-1,33),ROW()-1,FALSE))</f>
        <v>0</v>
      </c>
      <c r="Z120">
        <f ca="1">IF(AND(ISNUMBER($Z$536),$B$427=1),$Z$536,HLOOKUP(INDIRECT(ADDRESS(2,COLUMN())),OFFSET($AM$2,0,0,ROW()-1,33),ROW()-1,FALSE))</f>
        <v>0</v>
      </c>
      <c r="AA120">
        <f ca="1">IF(AND(ISNUMBER($AA$536),$B$427=1),$AA$536,HLOOKUP(INDIRECT(ADDRESS(2,COLUMN())),OFFSET($AM$2,0,0,ROW()-1,33),ROW()-1,FALSE))</f>
        <v>0</v>
      </c>
      <c r="AB120">
        <f ca="1">IF(AND(ISNUMBER($AB$536),$B$427=1),$AB$536,HLOOKUP(INDIRECT(ADDRESS(2,COLUMN())),OFFSET($AM$2,0,0,ROW()-1,33),ROW()-1,FALSE))</f>
        <v>0</v>
      </c>
      <c r="AC120">
        <f ca="1">IF(AND(ISNUMBER($AC$536),$B$427=1),$AC$536,HLOOKUP(INDIRECT(ADDRESS(2,COLUMN())),OFFSET($AM$2,0,0,ROW()-1,33),ROW()-1,FALSE))</f>
        <v>0</v>
      </c>
      <c r="AD120">
        <f ca="1">IF(AND(ISNUMBER($AD$536),$B$427=1),$AD$536,HLOOKUP(INDIRECT(ADDRESS(2,COLUMN())),OFFSET($AM$2,0,0,ROW()-1,33),ROW()-1,FALSE))</f>
        <v>0</v>
      </c>
      <c r="AE120">
        <f ca="1">IF(AND(ISNUMBER($AE$536),$B$427=1),$AE$536,HLOOKUP(INDIRECT(ADDRESS(2,COLUMN())),OFFSET($AM$2,0,0,ROW()-1,33),ROW()-1,FALSE))</f>
        <v>0</v>
      </c>
      <c r="AF120">
        <f ca="1">IF(AND(ISNUMBER($AF$536),$B$427=1),$AF$536,HLOOKUP(INDIRECT(ADDRESS(2,COLUMN())),OFFSET($AM$2,0,0,ROW()-1,33),ROW()-1,FALSE))</f>
        <v>0</v>
      </c>
      <c r="AG120">
        <f ca="1">IF(AND(ISNUMBER($AG$536),$B$427=1),$AG$536,HLOOKUP(INDIRECT(ADDRESS(2,COLUMN())),OFFSET($AM$2,0,0,ROW()-1,33),ROW()-1,FALSE))</f>
        <v>0</v>
      </c>
      <c r="AH120">
        <f ca="1">IF(AND(ISNUMBER($AH$536),$B$427=1),$AH$536,HLOOKUP(INDIRECT(ADDRESS(2,COLUMN())),OFFSET($AM$2,0,0,ROW()-1,33),ROW()-1,FALSE))</f>
        <v>0</v>
      </c>
      <c r="AI120">
        <f ca="1">IF(AND(ISNUMBER($AI$536),$B$427=1),$AI$536,HLOOKUP(INDIRECT(ADDRESS(2,COLUMN())),OFFSET($AM$2,0,0,ROW()-1,33),ROW()-1,FALSE))</f>
        <v>0</v>
      </c>
      <c r="AJ120">
        <f ca="1">IF(AND(ISNUMBER($AJ$536),$B$427=1),$AJ$536,HLOOKUP(INDIRECT(ADDRESS(2,COLUMN())),OFFSET($AM$2,0,0,ROW()-1,33),ROW()-1,FALSE))</f>
        <v>0</v>
      </c>
      <c r="AK120">
        <f ca="1">IF(AND(ISNUMBER($AK$536),$B$427=1),$AK$536,HLOOKUP(INDIRECT(ADDRESS(2,COLUMN())),OFFSET($AM$2,0,0,ROW()-1,33),ROW()-1,FALSE))</f>
        <v>0</v>
      </c>
      <c r="AL120">
        <f ca="1">IF(AND(ISNUMBER($AL$536),$B$427=1),$AL$536,HLOOKUP(INDIRECT(ADDRESS(2,COLUMN())),OFFSET($AM$2,0,0,ROW()-1,33),ROW()-1,FALSE))</f>
        <v>0</v>
      </c>
      <c r="AM120">
        <f>1963</f>
        <v>1963</v>
      </c>
      <c r="AN120">
        <f>1698.454</f>
        <v>1698.454</v>
      </c>
      <c r="AO120">
        <f>291.341</f>
        <v>291.34100000000001</v>
      </c>
      <c r="AP120">
        <f>0</f>
        <v>0</v>
      </c>
      <c r="AQ120">
        <f>0</f>
        <v>0</v>
      </c>
      <c r="AR120">
        <f>0</f>
        <v>0</v>
      </c>
      <c r="AS120">
        <f>0</f>
        <v>0</v>
      </c>
      <c r="AT120">
        <f>0</f>
        <v>0</v>
      </c>
      <c r="AU120">
        <f>0</f>
        <v>0</v>
      </c>
      <c r="AV120">
        <f>0.089</f>
        <v>8.8999999999999996E-2</v>
      </c>
      <c r="AW120">
        <f>0</f>
        <v>0</v>
      </c>
      <c r="AX120">
        <f>0</f>
        <v>0</v>
      </c>
      <c r="AY120">
        <f>0</f>
        <v>0</v>
      </c>
      <c r="AZ120">
        <f>0</f>
        <v>0</v>
      </c>
      <c r="BA120">
        <f>0</f>
        <v>0</v>
      </c>
      <c r="BB120">
        <f>0</f>
        <v>0</v>
      </c>
      <c r="BC120">
        <f>0</f>
        <v>0</v>
      </c>
      <c r="BD120">
        <f>0</f>
        <v>0</v>
      </c>
      <c r="BE120">
        <f>0</f>
        <v>0</v>
      </c>
      <c r="BF120">
        <f>0</f>
        <v>0</v>
      </c>
      <c r="BG120">
        <f>0</f>
        <v>0</v>
      </c>
      <c r="BH120">
        <f>0</f>
        <v>0</v>
      </c>
      <c r="BI120">
        <f>0</f>
        <v>0</v>
      </c>
      <c r="BJ120">
        <f>0</f>
        <v>0</v>
      </c>
      <c r="BK120">
        <f>0</f>
        <v>0</v>
      </c>
      <c r="BL120">
        <f>0</f>
        <v>0</v>
      </c>
      <c r="BM120">
        <f>0</f>
        <v>0</v>
      </c>
      <c r="BN120">
        <f>0</f>
        <v>0</v>
      </c>
      <c r="BO120">
        <f>0</f>
        <v>0</v>
      </c>
      <c r="BP120">
        <f>0</f>
        <v>0</v>
      </c>
      <c r="BQ120">
        <f>0</f>
        <v>0</v>
      </c>
      <c r="BR120">
        <f>0</f>
        <v>0</v>
      </c>
      <c r="BS120">
        <f>0</f>
        <v>0</v>
      </c>
    </row>
    <row r="121" spans="1:71" x14ac:dyDescent="0.25">
      <c r="A121" t="str">
        <f>"        Flagstar Financial Inc"</f>
        <v xml:space="preserve">        Flagstar Financial Inc</v>
      </c>
      <c r="B121" t="str">
        <f>"FLG US Equity"</f>
        <v>FLG US Equity</v>
      </c>
      <c r="C121" t="str">
        <f t="shared" si="15"/>
        <v>FC313</v>
      </c>
      <c r="D121" t="str">
        <f t="shared" si="16"/>
        <v>FDIC_C&amp;I_LOANS_NON-US</v>
      </c>
      <c r="E121" t="str">
        <f t="shared" si="17"/>
        <v>Dynamic</v>
      </c>
      <c r="F121" t="str">
        <f ca="1">IF(AND(ISNUMBER($F$537),$B$427=1),$F$537,HLOOKUP(INDIRECT(ADDRESS(2,COLUMN())),OFFSET($AM$2,0,0,ROW()-1,33),ROW()-1,FALSE))</f>
        <v/>
      </c>
      <c r="G121">
        <f ca="1">IF(AND(ISNUMBER($G$537),$B$427=1),$G$537,HLOOKUP(INDIRECT(ADDRESS(2,COLUMN())),OFFSET($AM$2,0,0,ROW()-1,33),ROW()-1,FALSE))</f>
        <v>0</v>
      </c>
      <c r="H121">
        <f ca="1">IF(AND(ISNUMBER($H$537),$B$427=1),$H$537,HLOOKUP(INDIRECT(ADDRESS(2,COLUMN())),OFFSET($AM$2,0,0,ROW()-1,33),ROW()-1,FALSE))</f>
        <v>1.8089999999999999</v>
      </c>
      <c r="I121">
        <f ca="1">IF(AND(ISNUMBER($I$537),$B$427=1),$I$537,HLOOKUP(INDIRECT(ADDRESS(2,COLUMN())),OFFSET($AM$2,0,0,ROW()-1,33),ROW()-1,FALSE))</f>
        <v>0</v>
      </c>
      <c r="J121">
        <f ca="1">IF(AND(ISNUMBER($J$537),$B$427=1),$J$537,HLOOKUP(INDIRECT(ADDRESS(2,COLUMN())),OFFSET($AM$2,0,0,ROW()-1,33),ROW()-1,FALSE))</f>
        <v>0</v>
      </c>
      <c r="K121">
        <f ca="1">IF(AND(ISNUMBER($K$537),$B$427=1),$K$537,HLOOKUP(INDIRECT(ADDRESS(2,COLUMN())),OFFSET($AM$2,0,0,ROW()-1,33),ROW()-1,FALSE))</f>
        <v>0</v>
      </c>
      <c r="L121">
        <f ca="1">IF(AND(ISNUMBER($L$537),$B$427=1),$L$537,HLOOKUP(INDIRECT(ADDRESS(2,COLUMN())),OFFSET($AM$2,0,0,ROW()-1,33),ROW()-1,FALSE))</f>
        <v>0</v>
      </c>
      <c r="M121">
        <f ca="1">IF(AND(ISNUMBER($M$537),$B$427=1),$M$537,HLOOKUP(INDIRECT(ADDRESS(2,COLUMN())),OFFSET($AM$2,0,0,ROW()-1,33),ROW()-1,FALSE))</f>
        <v>0</v>
      </c>
      <c r="N121">
        <f ca="1">IF(AND(ISNUMBER($N$537),$B$427=1),$N$537,HLOOKUP(INDIRECT(ADDRESS(2,COLUMN())),OFFSET($AM$2,0,0,ROW()-1,33),ROW()-1,FALSE))</f>
        <v>0</v>
      </c>
      <c r="O121">
        <f ca="1">IF(AND(ISNUMBER($O$537),$B$427=1),$O$537,HLOOKUP(INDIRECT(ADDRESS(2,COLUMN())),OFFSET($AM$2,0,0,ROW()-1,33),ROW()-1,FALSE))</f>
        <v>0</v>
      </c>
      <c r="P121">
        <f ca="1">IF(AND(ISNUMBER($P$537),$B$427=1),$P$537,HLOOKUP(INDIRECT(ADDRESS(2,COLUMN())),OFFSET($AM$2,0,0,ROW()-1,33),ROW()-1,FALSE))</f>
        <v>0</v>
      </c>
      <c r="Q121">
        <f ca="1">IF(AND(ISNUMBER($Q$537),$B$427=1),$Q$537,HLOOKUP(INDIRECT(ADDRESS(2,COLUMN())),OFFSET($AM$2,0,0,ROW()-1,33),ROW()-1,FALSE))</f>
        <v>0</v>
      </c>
      <c r="R121">
        <f ca="1">IF(AND(ISNUMBER($R$537),$B$427=1),$R$537,HLOOKUP(INDIRECT(ADDRESS(2,COLUMN())),OFFSET($AM$2,0,0,ROW()-1,33),ROW()-1,FALSE))</f>
        <v>0</v>
      </c>
      <c r="S121">
        <f ca="1">IF(AND(ISNUMBER($S$537),$B$427=1),$S$537,HLOOKUP(INDIRECT(ADDRESS(2,COLUMN())),OFFSET($AM$2,0,0,ROW()-1,33),ROW()-1,FALSE))</f>
        <v>0</v>
      </c>
      <c r="T121">
        <f ca="1">IF(AND(ISNUMBER($T$537),$B$427=1),$T$537,HLOOKUP(INDIRECT(ADDRESS(2,COLUMN())),OFFSET($AM$2,0,0,ROW()-1,33),ROW()-1,FALSE))</f>
        <v>0</v>
      </c>
      <c r="U121">
        <f ca="1">IF(AND(ISNUMBER($U$537),$B$427=1),$U$537,HLOOKUP(INDIRECT(ADDRESS(2,COLUMN())),OFFSET($AM$2,0,0,ROW()-1,33),ROW()-1,FALSE))</f>
        <v>0</v>
      </c>
      <c r="V121">
        <f ca="1">IF(AND(ISNUMBER($V$537),$B$427=1),$V$537,HLOOKUP(INDIRECT(ADDRESS(2,COLUMN())),OFFSET($AM$2,0,0,ROW()-1,33),ROW()-1,FALSE))</f>
        <v>0</v>
      </c>
      <c r="W121">
        <f ca="1">IF(AND(ISNUMBER($W$537),$B$427=1),$W$537,HLOOKUP(INDIRECT(ADDRESS(2,COLUMN())),OFFSET($AM$2,0,0,ROW()-1,33),ROW()-1,FALSE))</f>
        <v>0</v>
      </c>
      <c r="X121">
        <f ca="1">IF(AND(ISNUMBER($X$537),$B$427=1),$X$537,HLOOKUP(INDIRECT(ADDRESS(2,COLUMN())),OFFSET($AM$2,0,0,ROW()-1,33),ROW()-1,FALSE))</f>
        <v>0</v>
      </c>
      <c r="Y121">
        <f ca="1">IF(AND(ISNUMBER($Y$537),$B$427=1),$Y$537,HLOOKUP(INDIRECT(ADDRESS(2,COLUMN())),OFFSET($AM$2,0,0,ROW()-1,33),ROW()-1,FALSE))</f>
        <v>0</v>
      </c>
      <c r="Z121">
        <f ca="1">IF(AND(ISNUMBER($Z$537),$B$427=1),$Z$537,HLOOKUP(INDIRECT(ADDRESS(2,COLUMN())),OFFSET($AM$2,0,0,ROW()-1,33),ROW()-1,FALSE))</f>
        <v>0</v>
      </c>
      <c r="AA121">
        <f ca="1">IF(AND(ISNUMBER($AA$537),$B$427=1),$AA$537,HLOOKUP(INDIRECT(ADDRESS(2,COLUMN())),OFFSET($AM$2,0,0,ROW()-1,33),ROW()-1,FALSE))</f>
        <v>0</v>
      </c>
      <c r="AB121">
        <f ca="1">IF(AND(ISNUMBER($AB$537),$B$427=1),$AB$537,HLOOKUP(INDIRECT(ADDRESS(2,COLUMN())),OFFSET($AM$2,0,0,ROW()-1,33),ROW()-1,FALSE))</f>
        <v>0</v>
      </c>
      <c r="AC121">
        <f ca="1">IF(AND(ISNUMBER($AC$537),$B$427=1),$AC$537,HLOOKUP(INDIRECT(ADDRESS(2,COLUMN())),OFFSET($AM$2,0,0,ROW()-1,33),ROW()-1,FALSE))</f>
        <v>0</v>
      </c>
      <c r="AD121">
        <f ca="1">IF(AND(ISNUMBER($AD$537),$B$427=1),$AD$537,HLOOKUP(INDIRECT(ADDRESS(2,COLUMN())),OFFSET($AM$2,0,0,ROW()-1,33),ROW()-1,FALSE))</f>
        <v>0</v>
      </c>
      <c r="AE121">
        <f ca="1">IF(AND(ISNUMBER($AE$537),$B$427=1),$AE$537,HLOOKUP(INDIRECT(ADDRESS(2,COLUMN())),OFFSET($AM$2,0,0,ROW()-1,33),ROW()-1,FALSE))</f>
        <v>0</v>
      </c>
      <c r="AF121">
        <f ca="1">IF(AND(ISNUMBER($AF$537),$B$427=1),$AF$537,HLOOKUP(INDIRECT(ADDRESS(2,COLUMN())),OFFSET($AM$2,0,0,ROW()-1,33),ROW()-1,FALSE))</f>
        <v>0</v>
      </c>
      <c r="AG121">
        <f ca="1">IF(AND(ISNUMBER($AG$537),$B$427=1),$AG$537,HLOOKUP(INDIRECT(ADDRESS(2,COLUMN())),OFFSET($AM$2,0,0,ROW()-1,33),ROW()-1,FALSE))</f>
        <v>0</v>
      </c>
      <c r="AH121">
        <f ca="1">IF(AND(ISNUMBER($AH$537),$B$427=1),$AH$537,HLOOKUP(INDIRECT(ADDRESS(2,COLUMN())),OFFSET($AM$2,0,0,ROW()-1,33),ROW()-1,FALSE))</f>
        <v>0</v>
      </c>
      <c r="AI121">
        <f ca="1">IF(AND(ISNUMBER($AI$537),$B$427=1),$AI$537,HLOOKUP(INDIRECT(ADDRESS(2,COLUMN())),OFFSET($AM$2,0,0,ROW()-1,33),ROW()-1,FALSE))</f>
        <v>0</v>
      </c>
      <c r="AJ121">
        <f ca="1">IF(AND(ISNUMBER($AJ$537),$B$427=1),$AJ$537,HLOOKUP(INDIRECT(ADDRESS(2,COLUMN())),OFFSET($AM$2,0,0,ROW()-1,33),ROW()-1,FALSE))</f>
        <v>0</v>
      </c>
      <c r="AK121">
        <f ca="1">IF(AND(ISNUMBER($AK$537),$B$427=1),$AK$537,HLOOKUP(INDIRECT(ADDRESS(2,COLUMN())),OFFSET($AM$2,0,0,ROW()-1,33),ROW()-1,FALSE))</f>
        <v>0</v>
      </c>
      <c r="AL121" t="str">
        <f ca="1">IF(AND(ISNUMBER($AL$537),$B$427=1),$AL$537,HLOOKUP(INDIRECT(ADDRESS(2,COLUMN())),OFFSET($AM$2,0,0,ROW()-1,33),ROW()-1,FALSE))</f>
        <v/>
      </c>
      <c r="AM121" t="str">
        <f>""</f>
        <v/>
      </c>
      <c r="AN121">
        <f>0</f>
        <v>0</v>
      </c>
      <c r="AO121">
        <f>1.809</f>
        <v>1.8089999999999999</v>
      </c>
      <c r="AP121">
        <f>0</f>
        <v>0</v>
      </c>
      <c r="AQ121">
        <f>0</f>
        <v>0</v>
      </c>
      <c r="AR121">
        <f>0</f>
        <v>0</v>
      </c>
      <c r="AS121">
        <f>0</f>
        <v>0</v>
      </c>
      <c r="AT121">
        <f>0</f>
        <v>0</v>
      </c>
      <c r="AU121">
        <f>0</f>
        <v>0</v>
      </c>
      <c r="AV121">
        <f>0</f>
        <v>0</v>
      </c>
      <c r="AW121">
        <f>0</f>
        <v>0</v>
      </c>
      <c r="AX121">
        <f>0</f>
        <v>0</v>
      </c>
      <c r="AY121">
        <f>0</f>
        <v>0</v>
      </c>
      <c r="AZ121">
        <f>0</f>
        <v>0</v>
      </c>
      <c r="BA121">
        <f>0</f>
        <v>0</v>
      </c>
      <c r="BB121">
        <f>0</f>
        <v>0</v>
      </c>
      <c r="BC121">
        <f>0</f>
        <v>0</v>
      </c>
      <c r="BD121">
        <f>0</f>
        <v>0</v>
      </c>
      <c r="BE121">
        <f>0</f>
        <v>0</v>
      </c>
      <c r="BF121">
        <f>0</f>
        <v>0</v>
      </c>
      <c r="BG121">
        <f>0</f>
        <v>0</v>
      </c>
      <c r="BH121">
        <f>0</f>
        <v>0</v>
      </c>
      <c r="BI121">
        <f>0</f>
        <v>0</v>
      </c>
      <c r="BJ121">
        <f>0</f>
        <v>0</v>
      </c>
      <c r="BK121">
        <f>0</f>
        <v>0</v>
      </c>
      <c r="BL121">
        <f>0</f>
        <v>0</v>
      </c>
      <c r="BM121">
        <f>0</f>
        <v>0</v>
      </c>
      <c r="BN121">
        <f>0</f>
        <v>0</v>
      </c>
      <c r="BO121">
        <f>0</f>
        <v>0</v>
      </c>
      <c r="BP121">
        <f>0</f>
        <v>0</v>
      </c>
      <c r="BQ121">
        <f>0</f>
        <v>0</v>
      </c>
      <c r="BR121">
        <f>0</f>
        <v>0</v>
      </c>
      <c r="BS121" t="str">
        <f>""</f>
        <v/>
      </c>
    </row>
    <row r="122" spans="1:71" x14ac:dyDescent="0.25">
      <c r="A122" t="str">
        <f>"        Huntington Bancshares Inc/OH"</f>
        <v xml:space="preserve">        Huntington Bancshares Inc/OH</v>
      </c>
      <c r="B122" t="str">
        <f>"HBAN US Equity"</f>
        <v>HBAN US Equity</v>
      </c>
      <c r="C122" t="str">
        <f t="shared" si="15"/>
        <v>FC313</v>
      </c>
      <c r="D122" t="str">
        <f t="shared" si="16"/>
        <v>FDIC_C&amp;I_LOANS_NON-US</v>
      </c>
      <c r="E122" t="str">
        <f t="shared" si="17"/>
        <v>Dynamic</v>
      </c>
      <c r="F122">
        <f ca="1">IF(AND(ISNUMBER($F$538),$B$427=1),$F$538,HLOOKUP(INDIRECT(ADDRESS(2,COLUMN())),OFFSET($AM$2,0,0,ROW()-1,33),ROW()-1,FALSE))</f>
        <v>1265.8579999999999</v>
      </c>
      <c r="G122">
        <f ca="1">IF(AND(ISNUMBER($G$538),$B$427=1),$G$538,HLOOKUP(INDIRECT(ADDRESS(2,COLUMN())),OFFSET($AM$2,0,0,ROW()-1,33),ROW()-1,FALSE))</f>
        <v>999.32600000000002</v>
      </c>
      <c r="H122">
        <f ca="1">IF(AND(ISNUMBER($H$538),$B$427=1),$H$538,HLOOKUP(INDIRECT(ADDRESS(2,COLUMN())),OFFSET($AM$2,0,0,ROW()-1,33),ROW()-1,FALSE))</f>
        <v>916.74699999999996</v>
      </c>
      <c r="I122">
        <f ca="1">IF(AND(ISNUMBER($I$538),$B$427=1),$I$538,HLOOKUP(INDIRECT(ADDRESS(2,COLUMN())),OFFSET($AM$2,0,0,ROW()-1,33),ROW()-1,FALSE))</f>
        <v>417.62700000000001</v>
      </c>
      <c r="J122">
        <f ca="1">IF(AND(ISNUMBER($J$538),$B$427=1),$J$538,HLOOKUP(INDIRECT(ADDRESS(2,COLUMN())),OFFSET($AM$2,0,0,ROW()-1,33),ROW()-1,FALSE))</f>
        <v>58.136000000000003</v>
      </c>
      <c r="K122">
        <f ca="1">IF(AND(ISNUMBER($K$538),$B$427=1),$K$538,HLOOKUP(INDIRECT(ADDRESS(2,COLUMN())),OFFSET($AM$2,0,0,ROW()-1,33),ROW()-1,FALSE))</f>
        <v>74.822999999999993</v>
      </c>
      <c r="L122">
        <f ca="1">IF(AND(ISNUMBER($L$538),$B$427=1),$L$538,HLOOKUP(INDIRECT(ADDRESS(2,COLUMN())),OFFSET($AM$2,0,0,ROW()-1,33),ROW()-1,FALSE))</f>
        <v>97.554000000000002</v>
      </c>
      <c r="M122">
        <f ca="1">IF(AND(ISNUMBER($M$538),$B$427=1),$M$538,HLOOKUP(INDIRECT(ADDRESS(2,COLUMN())),OFFSET($AM$2,0,0,ROW()-1,33),ROW()-1,FALSE))</f>
        <v>103.453</v>
      </c>
      <c r="N122">
        <f ca="1">IF(AND(ISNUMBER($N$538),$B$427=1),$N$538,HLOOKUP(INDIRECT(ADDRESS(2,COLUMN())),OFFSET($AM$2,0,0,ROW()-1,33),ROW()-1,FALSE))</f>
        <v>25.928999999999998</v>
      </c>
      <c r="O122">
        <f ca="1">IF(AND(ISNUMBER($O$538),$B$427=1),$O$538,HLOOKUP(INDIRECT(ADDRESS(2,COLUMN())),OFFSET($AM$2,0,0,ROW()-1,33),ROW()-1,FALSE))</f>
        <v>59.652000000000001</v>
      </c>
      <c r="P122">
        <f ca="1">IF(AND(ISNUMBER($P$538),$B$427=1),$P$538,HLOOKUP(INDIRECT(ADDRESS(2,COLUMN())),OFFSET($AM$2,0,0,ROW()-1,33),ROW()-1,FALSE))</f>
        <v>167.30099999999999</v>
      </c>
      <c r="Q122">
        <f ca="1">IF(AND(ISNUMBER($Q$538),$B$427=1),$Q$538,HLOOKUP(INDIRECT(ADDRESS(2,COLUMN())),OFFSET($AM$2,0,0,ROW()-1,33),ROW()-1,FALSE))</f>
        <v>0</v>
      </c>
      <c r="R122">
        <f ca="1">IF(AND(ISNUMBER($R$538),$B$427=1),$R$538,HLOOKUP(INDIRECT(ADDRESS(2,COLUMN())),OFFSET($AM$2,0,0,ROW()-1,33),ROW()-1,FALSE))</f>
        <v>0</v>
      </c>
      <c r="S122">
        <f ca="1">IF(AND(ISNUMBER($S$538),$B$427=1),$S$538,HLOOKUP(INDIRECT(ADDRESS(2,COLUMN())),OFFSET($AM$2,0,0,ROW()-1,33),ROW()-1,FALSE))</f>
        <v>0.53300000000000003</v>
      </c>
      <c r="T122">
        <f ca="1">IF(AND(ISNUMBER($T$538),$B$427=1),$T$538,HLOOKUP(INDIRECT(ADDRESS(2,COLUMN())),OFFSET($AM$2,0,0,ROW()-1,33),ROW()-1,FALSE))</f>
        <v>0.55300000000000005</v>
      </c>
      <c r="U122">
        <f ca="1">IF(AND(ISNUMBER($U$538),$B$427=1),$U$538,HLOOKUP(INDIRECT(ADDRESS(2,COLUMN())),OFFSET($AM$2,0,0,ROW()-1,33),ROW()-1,FALSE))</f>
        <v>0</v>
      </c>
      <c r="V122">
        <f ca="1">IF(AND(ISNUMBER($V$538),$B$427=1),$V$538,HLOOKUP(INDIRECT(ADDRESS(2,COLUMN())),OFFSET($AM$2,0,0,ROW()-1,33),ROW()-1,FALSE))</f>
        <v>0</v>
      </c>
      <c r="W122">
        <f ca="1">IF(AND(ISNUMBER($W$538),$B$427=1),$W$538,HLOOKUP(INDIRECT(ADDRESS(2,COLUMN())),OFFSET($AM$2,0,0,ROW()-1,33),ROW()-1,FALSE))</f>
        <v>0</v>
      </c>
      <c r="X122">
        <f ca="1">IF(AND(ISNUMBER($X$538),$B$427=1),$X$538,HLOOKUP(INDIRECT(ADDRESS(2,COLUMN())),OFFSET($AM$2,0,0,ROW()-1,33),ROW()-1,FALSE))</f>
        <v>0</v>
      </c>
      <c r="Y122">
        <f ca="1">IF(AND(ISNUMBER($Y$538),$B$427=1),$Y$538,HLOOKUP(INDIRECT(ADDRESS(2,COLUMN())),OFFSET($AM$2,0,0,ROW()-1,33),ROW()-1,FALSE))</f>
        <v>0</v>
      </c>
      <c r="Z122">
        <f ca="1">IF(AND(ISNUMBER($Z$538),$B$427=1),$Z$538,HLOOKUP(INDIRECT(ADDRESS(2,COLUMN())),OFFSET($AM$2,0,0,ROW()-1,33),ROW()-1,FALSE))</f>
        <v>0</v>
      </c>
      <c r="AA122">
        <f ca="1">IF(AND(ISNUMBER($AA$538),$B$427=1),$AA$538,HLOOKUP(INDIRECT(ADDRESS(2,COLUMN())),OFFSET($AM$2,0,0,ROW()-1,33),ROW()-1,FALSE))</f>
        <v>0</v>
      </c>
      <c r="AB122">
        <f ca="1">IF(AND(ISNUMBER($AB$538),$B$427=1),$AB$538,HLOOKUP(INDIRECT(ADDRESS(2,COLUMN())),OFFSET($AM$2,0,0,ROW()-1,33),ROW()-1,FALSE))</f>
        <v>0</v>
      </c>
      <c r="AC122">
        <f ca="1">IF(AND(ISNUMBER($AC$538),$B$427=1),$AC$538,HLOOKUP(INDIRECT(ADDRESS(2,COLUMN())),OFFSET($AM$2,0,0,ROW()-1,33),ROW()-1,FALSE))</f>
        <v>0</v>
      </c>
      <c r="AD122">
        <f ca="1">IF(AND(ISNUMBER($AD$538),$B$427=1),$AD$538,HLOOKUP(INDIRECT(ADDRESS(2,COLUMN())),OFFSET($AM$2,0,0,ROW()-1,33),ROW()-1,FALSE))</f>
        <v>0</v>
      </c>
      <c r="AE122">
        <f ca="1">IF(AND(ISNUMBER($AE$538),$B$427=1),$AE$538,HLOOKUP(INDIRECT(ADDRESS(2,COLUMN())),OFFSET($AM$2,0,0,ROW()-1,33),ROW()-1,FALSE))</f>
        <v>0</v>
      </c>
      <c r="AF122">
        <f ca="1">IF(AND(ISNUMBER($AF$538),$B$427=1),$AF$538,HLOOKUP(INDIRECT(ADDRESS(2,COLUMN())),OFFSET($AM$2,0,0,ROW()-1,33),ROW()-1,FALSE))</f>
        <v>0</v>
      </c>
      <c r="AG122">
        <f ca="1">IF(AND(ISNUMBER($AG$538),$B$427=1),$AG$538,HLOOKUP(INDIRECT(ADDRESS(2,COLUMN())),OFFSET($AM$2,0,0,ROW()-1,33),ROW()-1,FALSE))</f>
        <v>9.3729999999999993</v>
      </c>
      <c r="AH122">
        <f ca="1">IF(AND(ISNUMBER($AH$538),$B$427=1),$AH$538,HLOOKUP(INDIRECT(ADDRESS(2,COLUMN())),OFFSET($AM$2,0,0,ROW()-1,33),ROW()-1,FALSE))</f>
        <v>0</v>
      </c>
      <c r="AI122">
        <f ca="1">IF(AND(ISNUMBER($AI$538),$B$427=1),$AI$538,HLOOKUP(INDIRECT(ADDRESS(2,COLUMN())),OFFSET($AM$2,0,0,ROW()-1,33),ROW()-1,FALSE))</f>
        <v>0</v>
      </c>
      <c r="AJ122">
        <f ca="1">IF(AND(ISNUMBER($AJ$538),$B$427=1),$AJ$538,HLOOKUP(INDIRECT(ADDRESS(2,COLUMN())),OFFSET($AM$2,0,0,ROW()-1,33),ROW()-1,FALSE))</f>
        <v>0</v>
      </c>
      <c r="AK122">
        <f ca="1">IF(AND(ISNUMBER($AK$538),$B$427=1),$AK$538,HLOOKUP(INDIRECT(ADDRESS(2,COLUMN())),OFFSET($AM$2,0,0,ROW()-1,33),ROW()-1,FALSE))</f>
        <v>0</v>
      </c>
      <c r="AL122">
        <f ca="1">IF(AND(ISNUMBER($AL$538),$B$427=1),$AL$538,HLOOKUP(INDIRECT(ADDRESS(2,COLUMN())),OFFSET($AM$2,0,0,ROW()-1,33),ROW()-1,FALSE))</f>
        <v>0</v>
      </c>
      <c r="AM122">
        <f>1265.858</f>
        <v>1265.8579999999999</v>
      </c>
      <c r="AN122">
        <f>999.326</f>
        <v>999.32600000000002</v>
      </c>
      <c r="AO122">
        <f>916.747</f>
        <v>916.74699999999996</v>
      </c>
      <c r="AP122">
        <f>417.627</f>
        <v>417.62700000000001</v>
      </c>
      <c r="AQ122">
        <f>58.136</f>
        <v>58.136000000000003</v>
      </c>
      <c r="AR122">
        <f>74.823</f>
        <v>74.822999999999993</v>
      </c>
      <c r="AS122">
        <f>97.554</f>
        <v>97.554000000000002</v>
      </c>
      <c r="AT122">
        <f>103.453</f>
        <v>103.453</v>
      </c>
      <c r="AU122">
        <f>25.929</f>
        <v>25.928999999999998</v>
      </c>
      <c r="AV122">
        <f>59.652</f>
        <v>59.652000000000001</v>
      </c>
      <c r="AW122">
        <f>167.301</f>
        <v>167.30099999999999</v>
      </c>
      <c r="AX122">
        <f>0</f>
        <v>0</v>
      </c>
      <c r="AY122">
        <f>0</f>
        <v>0</v>
      </c>
      <c r="AZ122">
        <f>0.533</f>
        <v>0.53300000000000003</v>
      </c>
      <c r="BA122">
        <f>0.553</f>
        <v>0.55300000000000005</v>
      </c>
      <c r="BB122">
        <f>0</f>
        <v>0</v>
      </c>
      <c r="BC122">
        <f>0</f>
        <v>0</v>
      </c>
      <c r="BD122">
        <f>0</f>
        <v>0</v>
      </c>
      <c r="BE122">
        <f>0</f>
        <v>0</v>
      </c>
      <c r="BF122">
        <f>0</f>
        <v>0</v>
      </c>
      <c r="BG122">
        <f>0</f>
        <v>0</v>
      </c>
      <c r="BH122">
        <f>0</f>
        <v>0</v>
      </c>
      <c r="BI122">
        <f>0</f>
        <v>0</v>
      </c>
      <c r="BJ122">
        <f>0</f>
        <v>0</v>
      </c>
      <c r="BK122">
        <f>0</f>
        <v>0</v>
      </c>
      <c r="BL122">
        <f>0</f>
        <v>0</v>
      </c>
      <c r="BM122">
        <f>0</f>
        <v>0</v>
      </c>
      <c r="BN122">
        <f>9.373</f>
        <v>9.3729999999999993</v>
      </c>
      <c r="BO122">
        <f>0</f>
        <v>0</v>
      </c>
      <c r="BP122">
        <f>0</f>
        <v>0</v>
      </c>
      <c r="BQ122">
        <f>0</f>
        <v>0</v>
      </c>
      <c r="BR122">
        <f>0</f>
        <v>0</v>
      </c>
      <c r="BS122">
        <f>0</f>
        <v>0</v>
      </c>
    </row>
    <row r="123" spans="1:71" x14ac:dyDescent="0.25">
      <c r="A123" t="str">
        <f>"        JPMorgan Chase &amp; Co"</f>
        <v xml:space="preserve">        JPMorgan Chase &amp; Co</v>
      </c>
      <c r="B123" t="str">
        <f>"JPM US Equity"</f>
        <v>JPM US Equity</v>
      </c>
      <c r="C123" t="str">
        <f t="shared" si="15"/>
        <v>FC313</v>
      </c>
      <c r="D123" t="str">
        <f t="shared" si="16"/>
        <v>FDIC_C&amp;I_LOANS_NON-US</v>
      </c>
      <c r="E123" t="str">
        <f t="shared" si="17"/>
        <v>Dynamic</v>
      </c>
      <c r="F123">
        <f ca="1">IF(AND(ISNUMBER($F$539),$B$427=1),$F$539,HLOOKUP(INDIRECT(ADDRESS(2,COLUMN())),OFFSET($AM$2,0,0,ROW()-1,33),ROW()-1,FALSE))</f>
        <v>43614</v>
      </c>
      <c r="G123">
        <f ca="1">IF(AND(ISNUMBER($G$539),$B$427=1),$G$539,HLOOKUP(INDIRECT(ADDRESS(2,COLUMN())),OFFSET($AM$2,0,0,ROW()-1,33),ROW()-1,FALSE))</f>
        <v>43416</v>
      </c>
      <c r="H123">
        <f ca="1">IF(AND(ISNUMBER($H$539),$B$427=1),$H$539,HLOOKUP(INDIRECT(ADDRESS(2,COLUMN())),OFFSET($AM$2,0,0,ROW()-1,33),ROW()-1,FALSE))</f>
        <v>52278</v>
      </c>
      <c r="I123">
        <f ca="1">IF(AND(ISNUMBER($I$539),$B$427=1),$I$539,HLOOKUP(INDIRECT(ADDRESS(2,COLUMN())),OFFSET($AM$2,0,0,ROW()-1,33),ROW()-1,FALSE))</f>
        <v>49634</v>
      </c>
      <c r="J123">
        <f ca="1">IF(AND(ISNUMBER($J$539),$B$427=1),$J$539,HLOOKUP(INDIRECT(ADDRESS(2,COLUMN())),OFFSET($AM$2,0,0,ROW()-1,33),ROW()-1,FALSE))</f>
        <v>44614</v>
      </c>
      <c r="K123">
        <f ca="1">IF(AND(ISNUMBER($K$539),$B$427=1),$K$539,HLOOKUP(INDIRECT(ADDRESS(2,COLUMN())),OFFSET($AM$2,0,0,ROW()-1,33),ROW()-1,FALSE))</f>
        <v>36470</v>
      </c>
      <c r="L123">
        <f ca="1">IF(AND(ISNUMBER($L$539),$B$427=1),$L$539,HLOOKUP(INDIRECT(ADDRESS(2,COLUMN())),OFFSET($AM$2,0,0,ROW()-1,33),ROW()-1,FALSE))</f>
        <v>34901</v>
      </c>
      <c r="M123">
        <f ca="1">IF(AND(ISNUMBER($M$539),$B$427=1),$M$539,HLOOKUP(INDIRECT(ADDRESS(2,COLUMN())),OFFSET($AM$2,0,0,ROW()-1,33),ROW()-1,FALSE))</f>
        <v>33483</v>
      </c>
      <c r="N123">
        <f ca="1">IF(AND(ISNUMBER($N$539),$B$427=1),$N$539,HLOOKUP(INDIRECT(ADDRESS(2,COLUMN())),OFFSET($AM$2,0,0,ROW()-1,33),ROW()-1,FALSE))</f>
        <v>34207</v>
      </c>
      <c r="O123">
        <f ca="1">IF(AND(ISNUMBER($O$539),$B$427=1),$O$539,HLOOKUP(INDIRECT(ADDRESS(2,COLUMN())),OFFSET($AM$2,0,0,ROW()-1,33),ROW()-1,FALSE))</f>
        <v>31087</v>
      </c>
      <c r="P123">
        <f ca="1">IF(AND(ISNUMBER($P$539),$B$427=1),$P$539,HLOOKUP(INDIRECT(ADDRESS(2,COLUMN())),OFFSET($AM$2,0,0,ROW()-1,33),ROW()-1,FALSE))</f>
        <v>33401</v>
      </c>
      <c r="Q123">
        <f ca="1">IF(AND(ISNUMBER($Q$539),$B$427=1),$Q$539,HLOOKUP(INDIRECT(ADDRESS(2,COLUMN())),OFFSET($AM$2,0,0,ROW()-1,33),ROW()-1,FALSE))</f>
        <v>33936</v>
      </c>
      <c r="R123">
        <f ca="1">IF(AND(ISNUMBER($R$539),$B$427=1),$R$539,HLOOKUP(INDIRECT(ADDRESS(2,COLUMN())),OFFSET($AM$2,0,0,ROW()-1,33),ROW()-1,FALSE))</f>
        <v>40723</v>
      </c>
      <c r="S123">
        <f ca="1">IF(AND(ISNUMBER($S$539),$B$427=1),$S$539,HLOOKUP(INDIRECT(ADDRESS(2,COLUMN())),OFFSET($AM$2,0,0,ROW()-1,33),ROW()-1,FALSE))</f>
        <v>33861</v>
      </c>
      <c r="T123">
        <f ca="1">IF(AND(ISNUMBER($T$539),$B$427=1),$T$539,HLOOKUP(INDIRECT(ADDRESS(2,COLUMN())),OFFSET($AM$2,0,0,ROW()-1,33),ROW()-1,FALSE))</f>
        <v>22337</v>
      </c>
      <c r="U123">
        <f ca="1">IF(AND(ISNUMBER($U$539),$B$427=1),$U$539,HLOOKUP(INDIRECT(ADDRESS(2,COLUMN())),OFFSET($AM$2,0,0,ROW()-1,33),ROW()-1,FALSE))</f>
        <v>23836</v>
      </c>
      <c r="V123">
        <f ca="1">IF(AND(ISNUMBER($V$539),$B$427=1),$V$539,HLOOKUP(INDIRECT(ADDRESS(2,COLUMN())),OFFSET($AM$2,0,0,ROW()-1,33),ROW()-1,FALSE))</f>
        <v>45329</v>
      </c>
      <c r="W123">
        <f ca="1">IF(AND(ISNUMBER($W$539),$B$427=1),$W$539,HLOOKUP(INDIRECT(ADDRESS(2,COLUMN())),OFFSET($AM$2,0,0,ROW()-1,33),ROW()-1,FALSE))</f>
        <v>42945</v>
      </c>
      <c r="X123">
        <f ca="1">IF(AND(ISNUMBER($X$539),$B$427=1),$X$539,HLOOKUP(INDIRECT(ADDRESS(2,COLUMN())),OFFSET($AM$2,0,0,ROW()-1,33),ROW()-1,FALSE))</f>
        <v>27630</v>
      </c>
      <c r="Y123">
        <f ca="1">IF(AND(ISNUMBER($Y$539),$B$427=1),$Y$539,HLOOKUP(INDIRECT(ADDRESS(2,COLUMN())),OFFSET($AM$2,0,0,ROW()-1,33),ROW()-1,FALSE))</f>
        <v>19934</v>
      </c>
      <c r="Z123">
        <f ca="1">IF(AND(ISNUMBER($Z$539),$B$427=1),$Z$539,HLOOKUP(INDIRECT(ADDRESS(2,COLUMN())),OFFSET($AM$2,0,0,ROW()-1,33),ROW()-1,FALSE))</f>
        <v>14594</v>
      </c>
      <c r="AA123">
        <f ca="1">IF(AND(ISNUMBER($AA$539),$B$427=1),$AA$539,HLOOKUP(INDIRECT(ADDRESS(2,COLUMN())),OFFSET($AM$2,0,0,ROW()-1,33),ROW()-1,FALSE))</f>
        <v>16987</v>
      </c>
      <c r="AB123">
        <f ca="1">IF(AND(ISNUMBER($AB$539),$B$427=1),$AB$539,HLOOKUP(INDIRECT(ADDRESS(2,COLUMN())),OFFSET($AM$2,0,0,ROW()-1,33),ROW()-1,FALSE))</f>
        <v>19980</v>
      </c>
      <c r="AC123">
        <f ca="1">IF(AND(ISNUMBER($AC$539),$B$427=1),$AC$539,HLOOKUP(INDIRECT(ADDRESS(2,COLUMN())),OFFSET($AM$2,0,0,ROW()-1,33),ROW()-1,FALSE))</f>
        <v>26105</v>
      </c>
      <c r="AD123">
        <f ca="1">IF(AND(ISNUMBER($AD$539),$B$427=1),$AD$539,HLOOKUP(INDIRECT(ADDRESS(2,COLUMN())),OFFSET($AM$2,0,0,ROW()-1,33),ROW()-1,FALSE))</f>
        <v>28760</v>
      </c>
      <c r="AE123">
        <f ca="1">IF(AND(ISNUMBER($AE$539),$B$427=1),$AE$539,HLOOKUP(INDIRECT(ADDRESS(2,COLUMN())),OFFSET($AM$2,0,0,ROW()-1,33),ROW()-1,FALSE))</f>
        <v>21640.365000000002</v>
      </c>
      <c r="AF123">
        <f ca="1">IF(AND(ISNUMBER($AF$539),$B$427=1),$AF$539,HLOOKUP(INDIRECT(ADDRESS(2,COLUMN())),OFFSET($AM$2,0,0,ROW()-1,33),ROW()-1,FALSE))</f>
        <v>24449.145</v>
      </c>
      <c r="AG123">
        <f ca="1">IF(AND(ISNUMBER($AG$539),$B$427=1),$AG$539,HLOOKUP(INDIRECT(ADDRESS(2,COLUMN())),OFFSET($AM$2,0,0,ROW()-1,33),ROW()-1,FALSE))</f>
        <v>25872.205999999998</v>
      </c>
      <c r="AH123">
        <f ca="1">IF(AND(ISNUMBER($AH$539),$B$427=1),$AH$539,HLOOKUP(INDIRECT(ADDRESS(2,COLUMN())),OFFSET($AM$2,0,0,ROW()-1,33),ROW()-1,FALSE))</f>
        <v>23292.92</v>
      </c>
      <c r="AI123">
        <f ca="1">IF(AND(ISNUMBER($AI$539),$B$427=1),$AI$539,HLOOKUP(INDIRECT(ADDRESS(2,COLUMN())),OFFSET($AM$2,0,0,ROW()-1,33),ROW()-1,FALSE))</f>
        <v>10983.630999999999</v>
      </c>
      <c r="AJ123">
        <f ca="1">IF(AND(ISNUMBER($AJ$539),$B$427=1),$AJ$539,HLOOKUP(INDIRECT(ADDRESS(2,COLUMN())),OFFSET($AM$2,0,0,ROW()-1,33),ROW()-1,FALSE))</f>
        <v>8465.4310000000005</v>
      </c>
      <c r="AK123">
        <f ca="1">IF(AND(ISNUMBER($AK$539),$B$427=1),$AK$539,HLOOKUP(INDIRECT(ADDRESS(2,COLUMN())),OFFSET($AM$2,0,0,ROW()-1,33),ROW()-1,FALSE))</f>
        <v>7930.0910000000003</v>
      </c>
      <c r="AL123">
        <f ca="1">IF(AND(ISNUMBER($AL$539),$B$427=1),$AL$539,HLOOKUP(INDIRECT(ADDRESS(2,COLUMN())),OFFSET($AM$2,0,0,ROW()-1,33),ROW()-1,FALSE))</f>
        <v>9198.7279999999992</v>
      </c>
      <c r="AM123">
        <f>43614</f>
        <v>43614</v>
      </c>
      <c r="AN123">
        <f>43416</f>
        <v>43416</v>
      </c>
      <c r="AO123">
        <f>52278</f>
        <v>52278</v>
      </c>
      <c r="AP123">
        <f>49634</f>
        <v>49634</v>
      </c>
      <c r="AQ123">
        <f>44614</f>
        <v>44614</v>
      </c>
      <c r="AR123">
        <f>36470</f>
        <v>36470</v>
      </c>
      <c r="AS123">
        <f>34901</f>
        <v>34901</v>
      </c>
      <c r="AT123">
        <f>33483</f>
        <v>33483</v>
      </c>
      <c r="AU123">
        <f>34207</f>
        <v>34207</v>
      </c>
      <c r="AV123">
        <f>31087</f>
        <v>31087</v>
      </c>
      <c r="AW123">
        <f>33401</f>
        <v>33401</v>
      </c>
      <c r="AX123">
        <f>33936</f>
        <v>33936</v>
      </c>
      <c r="AY123">
        <f>40723</f>
        <v>40723</v>
      </c>
      <c r="AZ123">
        <f>33861</f>
        <v>33861</v>
      </c>
      <c r="BA123">
        <f>22337</f>
        <v>22337</v>
      </c>
      <c r="BB123">
        <f>23836</f>
        <v>23836</v>
      </c>
      <c r="BC123">
        <f>45329</f>
        <v>45329</v>
      </c>
      <c r="BD123">
        <f>42945</f>
        <v>42945</v>
      </c>
      <c r="BE123">
        <f>27630</f>
        <v>27630</v>
      </c>
      <c r="BF123">
        <f>19934</f>
        <v>19934</v>
      </c>
      <c r="BG123">
        <f>14594</f>
        <v>14594</v>
      </c>
      <c r="BH123">
        <f>16987</f>
        <v>16987</v>
      </c>
      <c r="BI123">
        <f>19980</f>
        <v>19980</v>
      </c>
      <c r="BJ123">
        <f>26105</f>
        <v>26105</v>
      </c>
      <c r="BK123">
        <f>28760</f>
        <v>28760</v>
      </c>
      <c r="BL123">
        <f>21640.365</f>
        <v>21640.365000000002</v>
      </c>
      <c r="BM123">
        <f>24449.145</f>
        <v>24449.145</v>
      </c>
      <c r="BN123">
        <f>25872.206</f>
        <v>25872.205999999998</v>
      </c>
      <c r="BO123">
        <f>23292.92</f>
        <v>23292.92</v>
      </c>
      <c r="BP123">
        <f>10983.631</f>
        <v>10983.630999999999</v>
      </c>
      <c r="BQ123">
        <f>8465.431</f>
        <v>8465.4310000000005</v>
      </c>
      <c r="BR123">
        <f>7930.091</f>
        <v>7930.0910000000003</v>
      </c>
      <c r="BS123">
        <f>9198.728</f>
        <v>9198.7279999999992</v>
      </c>
    </row>
    <row r="124" spans="1:71" x14ac:dyDescent="0.25">
      <c r="A124" t="str">
        <f>"        KeyCorp"</f>
        <v xml:space="preserve">        KeyCorp</v>
      </c>
      <c r="B124" t="str">
        <f>"KEY US Equity"</f>
        <v>KEY US Equity</v>
      </c>
      <c r="C124" t="str">
        <f t="shared" si="15"/>
        <v>FC313</v>
      </c>
      <c r="D124" t="str">
        <f t="shared" si="16"/>
        <v>FDIC_C&amp;I_LOANS_NON-US</v>
      </c>
      <c r="E124" t="str">
        <f t="shared" si="17"/>
        <v>Dynamic</v>
      </c>
      <c r="F124">
        <f ca="1">IF(AND(ISNUMBER($F$540),$B$427=1),$F$540,HLOOKUP(INDIRECT(ADDRESS(2,COLUMN())),OFFSET($AM$2,0,0,ROW()-1,33),ROW()-1,FALSE))</f>
        <v>306.125</v>
      </c>
      <c r="G124">
        <f ca="1">IF(AND(ISNUMBER($G$540),$B$427=1),$G$540,HLOOKUP(INDIRECT(ADDRESS(2,COLUMN())),OFFSET($AM$2,0,0,ROW()-1,33),ROW()-1,FALSE))</f>
        <v>1792.8879999999999</v>
      </c>
      <c r="H124">
        <f ca="1">IF(AND(ISNUMBER($H$540),$B$427=1),$H$540,HLOOKUP(INDIRECT(ADDRESS(2,COLUMN())),OFFSET($AM$2,0,0,ROW()-1,33),ROW()-1,FALSE))</f>
        <v>1933.9179999999999</v>
      </c>
      <c r="I124">
        <f ca="1">IF(AND(ISNUMBER($I$540),$B$427=1),$I$540,HLOOKUP(INDIRECT(ADDRESS(2,COLUMN())),OFFSET($AM$2,0,0,ROW()-1,33),ROW()-1,FALSE))</f>
        <v>1451.116</v>
      </c>
      <c r="J124">
        <f ca="1">IF(AND(ISNUMBER($J$540),$B$427=1),$J$540,HLOOKUP(INDIRECT(ADDRESS(2,COLUMN())),OFFSET($AM$2,0,0,ROW()-1,33),ROW()-1,FALSE))</f>
        <v>1385.4</v>
      </c>
      <c r="K124">
        <f ca="1">IF(AND(ISNUMBER($K$540),$B$427=1),$K$540,HLOOKUP(INDIRECT(ADDRESS(2,COLUMN())),OFFSET($AM$2,0,0,ROW()-1,33),ROW()-1,FALSE))</f>
        <v>1091.7739999999999</v>
      </c>
      <c r="L124">
        <f ca="1">IF(AND(ISNUMBER($L$540),$B$427=1),$L$540,HLOOKUP(INDIRECT(ADDRESS(2,COLUMN())),OFFSET($AM$2,0,0,ROW()-1,33),ROW()-1,FALSE))</f>
        <v>1032.8130000000001</v>
      </c>
      <c r="M124">
        <f ca="1">IF(AND(ISNUMBER($M$540),$B$427=1),$M$540,HLOOKUP(INDIRECT(ADDRESS(2,COLUMN())),OFFSET($AM$2,0,0,ROW()-1,33),ROW()-1,FALSE))</f>
        <v>1080.2170000000001</v>
      </c>
      <c r="N124">
        <f ca="1">IF(AND(ISNUMBER($N$540),$B$427=1),$N$540,HLOOKUP(INDIRECT(ADDRESS(2,COLUMN())),OFFSET($AM$2,0,0,ROW()-1,33),ROW()-1,FALSE))</f>
        <v>1256.616</v>
      </c>
      <c r="O124">
        <f ca="1">IF(AND(ISNUMBER($O$540),$B$427=1),$O$540,HLOOKUP(INDIRECT(ADDRESS(2,COLUMN())),OFFSET($AM$2,0,0,ROW()-1,33),ROW()-1,FALSE))</f>
        <v>1041.7919999999999</v>
      </c>
      <c r="P124">
        <f ca="1">IF(AND(ISNUMBER($P$540),$B$427=1),$P$540,HLOOKUP(INDIRECT(ADDRESS(2,COLUMN())),OFFSET($AM$2,0,0,ROW()-1,33),ROW()-1,FALSE))</f>
        <v>685.86900000000003</v>
      </c>
      <c r="Q124">
        <f ca="1">IF(AND(ISNUMBER($Q$540),$B$427=1),$Q$540,HLOOKUP(INDIRECT(ADDRESS(2,COLUMN())),OFFSET($AM$2,0,0,ROW()-1,33),ROW()-1,FALSE))</f>
        <v>707.63599999999997</v>
      </c>
      <c r="R124">
        <f ca="1">IF(AND(ISNUMBER($R$540),$B$427=1),$R$540,HLOOKUP(INDIRECT(ADDRESS(2,COLUMN())),OFFSET($AM$2,0,0,ROW()-1,33),ROW()-1,FALSE))</f>
        <v>460.93700000000001</v>
      </c>
      <c r="S124">
        <f ca="1">IF(AND(ISNUMBER($S$540),$B$427=1),$S$540,HLOOKUP(INDIRECT(ADDRESS(2,COLUMN())),OFFSET($AM$2,0,0,ROW()-1,33),ROW()-1,FALSE))</f>
        <v>194.48</v>
      </c>
      <c r="T124">
        <f ca="1">IF(AND(ISNUMBER($T$540),$B$427=1),$T$540,HLOOKUP(INDIRECT(ADDRESS(2,COLUMN())),OFFSET($AM$2,0,0,ROW()-1,33),ROW()-1,FALSE))</f>
        <v>191.06100000000001</v>
      </c>
      <c r="U124">
        <f ca="1">IF(AND(ISNUMBER($U$540),$B$427=1),$U$540,HLOOKUP(INDIRECT(ADDRESS(2,COLUMN())),OFFSET($AM$2,0,0,ROW()-1,33),ROW()-1,FALSE))</f>
        <v>284.16199999999998</v>
      </c>
      <c r="V124">
        <f ca="1">IF(AND(ISNUMBER($V$540),$B$427=1),$V$540,HLOOKUP(INDIRECT(ADDRESS(2,COLUMN())),OFFSET($AM$2,0,0,ROW()-1,33),ROW()-1,FALSE))</f>
        <v>365.66699999999997</v>
      </c>
      <c r="W124">
        <f ca="1">IF(AND(ISNUMBER($W$540),$B$427=1),$W$540,HLOOKUP(INDIRECT(ADDRESS(2,COLUMN())),OFFSET($AM$2,0,0,ROW()-1,33),ROW()-1,FALSE))</f>
        <v>400.96800000000002</v>
      </c>
      <c r="X124">
        <f ca="1">IF(AND(ISNUMBER($X$540),$B$427=1),$X$540,HLOOKUP(INDIRECT(ADDRESS(2,COLUMN())),OFFSET($AM$2,0,0,ROW()-1,33),ROW()-1,FALSE))</f>
        <v>307.43799999999999</v>
      </c>
      <c r="Y124">
        <f ca="1">IF(AND(ISNUMBER($Y$540),$B$427=1),$Y$540,HLOOKUP(INDIRECT(ADDRESS(2,COLUMN())),OFFSET($AM$2,0,0,ROW()-1,33),ROW()-1,FALSE))</f>
        <v>123.262</v>
      </c>
      <c r="Z124">
        <f ca="1">IF(AND(ISNUMBER($Z$540),$B$427=1),$Z$540,HLOOKUP(INDIRECT(ADDRESS(2,COLUMN())),OFFSET($AM$2,0,0,ROW()-1,33),ROW()-1,FALSE))</f>
        <v>42.718000000000004</v>
      </c>
      <c r="AA124">
        <f ca="1">IF(AND(ISNUMBER($AA$540),$B$427=1),$AA$540,HLOOKUP(INDIRECT(ADDRESS(2,COLUMN())),OFFSET($AM$2,0,0,ROW()-1,33),ROW()-1,FALSE))</f>
        <v>91.72</v>
      </c>
      <c r="AB124">
        <f ca="1">IF(AND(ISNUMBER($AB$540),$B$427=1),$AB$540,HLOOKUP(INDIRECT(ADDRESS(2,COLUMN())),OFFSET($AM$2,0,0,ROW()-1,33),ROW()-1,FALSE))</f>
        <v>106.035</v>
      </c>
      <c r="AC124">
        <f ca="1">IF(AND(ISNUMBER($AC$540),$B$427=1),$AC$540,HLOOKUP(INDIRECT(ADDRESS(2,COLUMN())),OFFSET($AM$2,0,0,ROW()-1,33),ROW()-1,FALSE))</f>
        <v>137.28800000000001</v>
      </c>
      <c r="AD124">
        <f ca="1">IF(AND(ISNUMBER($AD$540),$B$427=1),$AD$540,HLOOKUP(INDIRECT(ADDRESS(2,COLUMN())),OFFSET($AM$2,0,0,ROW()-1,33),ROW()-1,FALSE))</f>
        <v>157.51900000000001</v>
      </c>
      <c r="AE124">
        <f ca="1">IF(AND(ISNUMBER($AE$540),$B$427=1),$AE$540,HLOOKUP(INDIRECT(ADDRESS(2,COLUMN())),OFFSET($AM$2,0,0,ROW()-1,33),ROW()-1,FALSE))</f>
        <v>146.292</v>
      </c>
      <c r="AF124">
        <f ca="1">IF(AND(ISNUMBER($AF$540),$B$427=1),$AF$540,HLOOKUP(INDIRECT(ADDRESS(2,COLUMN())),OFFSET($AM$2,0,0,ROW()-1,33),ROW()-1,FALSE))</f>
        <v>134.31800000000001</v>
      </c>
      <c r="AG124">
        <f ca="1">IF(AND(ISNUMBER($AG$540),$B$427=1),$AG$540,HLOOKUP(INDIRECT(ADDRESS(2,COLUMN())),OFFSET($AM$2,0,0,ROW()-1,33),ROW()-1,FALSE))</f>
        <v>116.15300000000001</v>
      </c>
      <c r="AH124">
        <f ca="1">IF(AND(ISNUMBER($AH$540),$B$427=1),$AH$540,HLOOKUP(INDIRECT(ADDRESS(2,COLUMN())),OFFSET($AM$2,0,0,ROW()-1,33),ROW()-1,FALSE))</f>
        <v>39.384999999999998</v>
      </c>
      <c r="AI124">
        <f ca="1">IF(AND(ISNUMBER($AI$540),$B$427=1),$AI$540,HLOOKUP(INDIRECT(ADDRESS(2,COLUMN())),OFFSET($AM$2,0,0,ROW()-1,33),ROW()-1,FALSE))</f>
        <v>27.510999999999999</v>
      </c>
      <c r="AJ124">
        <f ca="1">IF(AND(ISNUMBER($AJ$540),$B$427=1),$AJ$540,HLOOKUP(INDIRECT(ADDRESS(2,COLUMN())),OFFSET($AM$2,0,0,ROW()-1,33),ROW()-1,FALSE))</f>
        <v>20.079000000000001</v>
      </c>
      <c r="AK124">
        <f ca="1">IF(AND(ISNUMBER($AK$540),$B$427=1),$AK$540,HLOOKUP(INDIRECT(ADDRESS(2,COLUMN())),OFFSET($AM$2,0,0,ROW()-1,33),ROW()-1,FALSE))</f>
        <v>1.8959999999999999</v>
      </c>
      <c r="AL124">
        <f ca="1">IF(AND(ISNUMBER($AL$540),$B$427=1),$AL$540,HLOOKUP(INDIRECT(ADDRESS(2,COLUMN())),OFFSET($AM$2,0,0,ROW()-1,33),ROW()-1,FALSE))</f>
        <v>32.655000000000001</v>
      </c>
      <c r="AM124">
        <f>306.125</f>
        <v>306.125</v>
      </c>
      <c r="AN124">
        <f>1792.888</f>
        <v>1792.8879999999999</v>
      </c>
      <c r="AO124">
        <f>1933.918</f>
        <v>1933.9179999999999</v>
      </c>
      <c r="AP124">
        <f>1451.116</f>
        <v>1451.116</v>
      </c>
      <c r="AQ124">
        <f>1385.4</f>
        <v>1385.4</v>
      </c>
      <c r="AR124">
        <f>1091.774</f>
        <v>1091.7739999999999</v>
      </c>
      <c r="AS124">
        <f>1032.813</f>
        <v>1032.8130000000001</v>
      </c>
      <c r="AT124">
        <f>1080.217</f>
        <v>1080.2170000000001</v>
      </c>
      <c r="AU124">
        <f>1256.616</f>
        <v>1256.616</v>
      </c>
      <c r="AV124">
        <f>1041.792</f>
        <v>1041.7919999999999</v>
      </c>
      <c r="AW124">
        <f>685.869</f>
        <v>685.86900000000003</v>
      </c>
      <c r="AX124">
        <f>707.636</f>
        <v>707.63599999999997</v>
      </c>
      <c r="AY124">
        <f>460.937</f>
        <v>460.93700000000001</v>
      </c>
      <c r="AZ124">
        <f>194.48</f>
        <v>194.48</v>
      </c>
      <c r="BA124">
        <f>191.061</f>
        <v>191.06100000000001</v>
      </c>
      <c r="BB124">
        <f>284.162</f>
        <v>284.16199999999998</v>
      </c>
      <c r="BC124">
        <f>365.667</f>
        <v>365.66699999999997</v>
      </c>
      <c r="BD124">
        <f>400.968</f>
        <v>400.96800000000002</v>
      </c>
      <c r="BE124">
        <f>307.438</f>
        <v>307.43799999999999</v>
      </c>
      <c r="BF124">
        <f>123.262</f>
        <v>123.262</v>
      </c>
      <c r="BG124">
        <f>42.718</f>
        <v>42.718000000000004</v>
      </c>
      <c r="BH124">
        <f>91.72</f>
        <v>91.72</v>
      </c>
      <c r="BI124">
        <f>106.035</f>
        <v>106.035</v>
      </c>
      <c r="BJ124">
        <f>137.288</f>
        <v>137.28800000000001</v>
      </c>
      <c r="BK124">
        <f>157.519</f>
        <v>157.51900000000001</v>
      </c>
      <c r="BL124">
        <f>146.292</f>
        <v>146.292</v>
      </c>
      <c r="BM124">
        <f>134.318</f>
        <v>134.31800000000001</v>
      </c>
      <c r="BN124">
        <f>116.153</f>
        <v>116.15300000000001</v>
      </c>
      <c r="BO124">
        <f>39.385</f>
        <v>39.384999999999998</v>
      </c>
      <c r="BP124">
        <f>27.511</f>
        <v>27.510999999999999</v>
      </c>
      <c r="BQ124">
        <f>20.079</f>
        <v>20.079000000000001</v>
      </c>
      <c r="BR124">
        <f>1.896</f>
        <v>1.8959999999999999</v>
      </c>
      <c r="BS124">
        <f>32.655</f>
        <v>32.655000000000001</v>
      </c>
    </row>
    <row r="125" spans="1:71" x14ac:dyDescent="0.25">
      <c r="A125" t="str">
        <f>"        M&amp;T Bank Corp"</f>
        <v xml:space="preserve">        M&amp;T Bank Corp</v>
      </c>
      <c r="B125" t="str">
        <f>"MTB US Equity"</f>
        <v>MTB US Equity</v>
      </c>
      <c r="C125" t="str">
        <f t="shared" si="15"/>
        <v>FC313</v>
      </c>
      <c r="D125" t="str">
        <f t="shared" si="16"/>
        <v>FDIC_C&amp;I_LOANS_NON-US</v>
      </c>
      <c r="E125" t="str">
        <f t="shared" si="17"/>
        <v>Dynamic</v>
      </c>
      <c r="F125">
        <f ca="1">IF(AND(ISNUMBER($F$541),$B$427=1),$F$541,HLOOKUP(INDIRECT(ADDRESS(2,COLUMN())),OFFSET($AM$2,0,0,ROW()-1,33),ROW()-1,FALSE))</f>
        <v>71.186000000000007</v>
      </c>
      <c r="G125">
        <f ca="1">IF(AND(ISNUMBER($G$541),$B$427=1),$G$541,HLOOKUP(INDIRECT(ADDRESS(2,COLUMN())),OFFSET($AM$2,0,0,ROW()-1,33),ROW()-1,FALSE))</f>
        <v>48.201000000000001</v>
      </c>
      <c r="H125">
        <f ca="1">IF(AND(ISNUMBER($H$541),$B$427=1),$H$541,HLOOKUP(INDIRECT(ADDRESS(2,COLUMN())),OFFSET($AM$2,0,0,ROW()-1,33),ROW()-1,FALSE))</f>
        <v>72.313999999999993</v>
      </c>
      <c r="I125">
        <f ca="1">IF(AND(ISNUMBER($I$541),$B$427=1),$I$541,HLOOKUP(INDIRECT(ADDRESS(2,COLUMN())),OFFSET($AM$2,0,0,ROW()-1,33),ROW()-1,FALSE))</f>
        <v>38.174999999999997</v>
      </c>
      <c r="J125">
        <f ca="1">IF(AND(ISNUMBER($J$541),$B$427=1),$J$541,HLOOKUP(INDIRECT(ADDRESS(2,COLUMN())),OFFSET($AM$2,0,0,ROW()-1,33),ROW()-1,FALSE))</f>
        <v>49.287999999999997</v>
      </c>
      <c r="K125">
        <f ca="1">IF(AND(ISNUMBER($K$541),$B$427=1),$K$541,HLOOKUP(INDIRECT(ADDRESS(2,COLUMN())),OFFSET($AM$2,0,0,ROW()-1,33),ROW()-1,FALSE))</f>
        <v>92.290999999999997</v>
      </c>
      <c r="L125">
        <f ca="1">IF(AND(ISNUMBER($L$541),$B$427=1),$L$541,HLOOKUP(INDIRECT(ADDRESS(2,COLUMN())),OFFSET($AM$2,0,0,ROW()-1,33),ROW()-1,FALSE))</f>
        <v>108.726</v>
      </c>
      <c r="M125">
        <f ca="1">IF(AND(ISNUMBER($M$541),$B$427=1),$M$541,HLOOKUP(INDIRECT(ADDRESS(2,COLUMN())),OFFSET($AM$2,0,0,ROW()-1,33),ROW()-1,FALSE))</f>
        <v>76.543999999999997</v>
      </c>
      <c r="N125">
        <f ca="1">IF(AND(ISNUMBER($N$541),$B$427=1),$N$541,HLOOKUP(INDIRECT(ADDRESS(2,COLUMN())),OFFSET($AM$2,0,0,ROW()-1,33),ROW()-1,FALSE))</f>
        <v>227.51</v>
      </c>
      <c r="O125">
        <f ca="1">IF(AND(ISNUMBER($O$541),$B$427=1),$O$541,HLOOKUP(INDIRECT(ADDRESS(2,COLUMN())),OFFSET($AM$2,0,0,ROW()-1,33),ROW()-1,FALSE))</f>
        <v>191.11</v>
      </c>
      <c r="P125">
        <f ca="1">IF(AND(ISNUMBER($P$541),$B$427=1),$P$541,HLOOKUP(INDIRECT(ADDRESS(2,COLUMN())),OFFSET($AM$2,0,0,ROW()-1,33),ROW()-1,FALSE))</f>
        <v>167.13200000000001</v>
      </c>
      <c r="Q125">
        <f ca="1">IF(AND(ISNUMBER($Q$541),$B$427=1),$Q$541,HLOOKUP(INDIRECT(ADDRESS(2,COLUMN())),OFFSET($AM$2,0,0,ROW()-1,33),ROW()-1,FALSE))</f>
        <v>170.01300000000001</v>
      </c>
      <c r="R125">
        <f ca="1">IF(AND(ISNUMBER($R$541),$B$427=1),$R$541,HLOOKUP(INDIRECT(ADDRESS(2,COLUMN())),OFFSET($AM$2,0,0,ROW()-1,33),ROW()-1,FALSE))</f>
        <v>138.03800000000001</v>
      </c>
      <c r="S125">
        <f ca="1">IF(AND(ISNUMBER($S$541),$B$427=1),$S$541,HLOOKUP(INDIRECT(ADDRESS(2,COLUMN())),OFFSET($AM$2,0,0,ROW()-1,33),ROW()-1,FALSE))</f>
        <v>120.578</v>
      </c>
      <c r="T125">
        <f ca="1">IF(AND(ISNUMBER($T$541),$B$427=1),$T$541,HLOOKUP(INDIRECT(ADDRESS(2,COLUMN())),OFFSET($AM$2,0,0,ROW()-1,33),ROW()-1,FALSE))</f>
        <v>100.875</v>
      </c>
      <c r="U125">
        <f ca="1">IF(AND(ISNUMBER($U$541),$B$427=1),$U$541,HLOOKUP(INDIRECT(ADDRESS(2,COLUMN())),OFFSET($AM$2,0,0,ROW()-1,33),ROW()-1,FALSE))</f>
        <v>47.101999999999997</v>
      </c>
      <c r="V125">
        <f ca="1">IF(AND(ISNUMBER($V$541),$B$427=1),$V$541,HLOOKUP(INDIRECT(ADDRESS(2,COLUMN())),OFFSET($AM$2,0,0,ROW()-1,33),ROW()-1,FALSE))</f>
        <v>77.932000000000002</v>
      </c>
      <c r="W125">
        <f ca="1">IF(AND(ISNUMBER($W$541),$B$427=1),$W$541,HLOOKUP(INDIRECT(ADDRESS(2,COLUMN())),OFFSET($AM$2,0,0,ROW()-1,33),ROW()-1,FALSE))</f>
        <v>83.388999999999996</v>
      </c>
      <c r="X125">
        <f ca="1">IF(AND(ISNUMBER($X$541),$B$427=1),$X$541,HLOOKUP(INDIRECT(ADDRESS(2,COLUMN())),OFFSET($AM$2,0,0,ROW()-1,33),ROW()-1,FALSE))</f>
        <v>128.13399999999999</v>
      </c>
      <c r="Y125">
        <f ca="1">IF(AND(ISNUMBER($Y$541),$B$427=1),$Y$541,HLOOKUP(INDIRECT(ADDRESS(2,COLUMN())),OFFSET($AM$2,0,0,ROW()-1,33),ROW()-1,FALSE))</f>
        <v>145.74199999999999</v>
      </c>
      <c r="Z125">
        <f ca="1">IF(AND(ISNUMBER($Z$541),$B$427=1),$Z$541,HLOOKUP(INDIRECT(ADDRESS(2,COLUMN())),OFFSET($AM$2,0,0,ROW()-1,33),ROW()-1,FALSE))</f>
        <v>159.91</v>
      </c>
      <c r="AA125">
        <f ca="1">IF(AND(ISNUMBER($AA$541),$B$427=1),$AA$541,HLOOKUP(INDIRECT(ADDRESS(2,COLUMN())),OFFSET($AM$2,0,0,ROW()-1,33),ROW()-1,FALSE))</f>
        <v>199.66399999999999</v>
      </c>
      <c r="AB125">
        <f ca="1">IF(AND(ISNUMBER($AB$541),$B$427=1),$AB$541,HLOOKUP(INDIRECT(ADDRESS(2,COLUMN())),OFFSET($AM$2,0,0,ROW()-1,33),ROW()-1,FALSE))</f>
        <v>0</v>
      </c>
      <c r="AC125">
        <f ca="1">IF(AND(ISNUMBER($AC$541),$B$427=1),$AC$541,HLOOKUP(INDIRECT(ADDRESS(2,COLUMN())),OFFSET($AM$2,0,0,ROW()-1,33),ROW()-1,FALSE))</f>
        <v>0</v>
      </c>
      <c r="AD125">
        <f ca="1">IF(AND(ISNUMBER($AD$541),$B$427=1),$AD$541,HLOOKUP(INDIRECT(ADDRESS(2,COLUMN())),OFFSET($AM$2,0,0,ROW()-1,33),ROW()-1,FALSE))</f>
        <v>0</v>
      </c>
      <c r="AE125">
        <f ca="1">IF(AND(ISNUMBER($AE$541),$B$427=1),$AE$541,HLOOKUP(INDIRECT(ADDRESS(2,COLUMN())),OFFSET($AM$2,0,0,ROW()-1,33),ROW()-1,FALSE))</f>
        <v>4.7670000000000003</v>
      </c>
      <c r="AF125">
        <f ca="1">IF(AND(ISNUMBER($AF$541),$B$427=1),$AF$541,HLOOKUP(INDIRECT(ADDRESS(2,COLUMN())),OFFSET($AM$2,0,0,ROW()-1,33),ROW()-1,FALSE))</f>
        <v>25.248000000000001</v>
      </c>
      <c r="AG125">
        <f ca="1">IF(AND(ISNUMBER($AG$541),$B$427=1),$AG$541,HLOOKUP(INDIRECT(ADDRESS(2,COLUMN())),OFFSET($AM$2,0,0,ROW()-1,33),ROW()-1,FALSE))</f>
        <v>4.96</v>
      </c>
      <c r="AH125">
        <f ca="1">IF(AND(ISNUMBER($AH$541),$B$427=1),$AH$541,HLOOKUP(INDIRECT(ADDRESS(2,COLUMN())),OFFSET($AM$2,0,0,ROW()-1,33),ROW()-1,FALSE))</f>
        <v>1.6779999999999999</v>
      </c>
      <c r="AI125">
        <f ca="1">IF(AND(ISNUMBER($AI$541),$B$427=1),$AI$541,HLOOKUP(INDIRECT(ADDRESS(2,COLUMN())),OFFSET($AM$2,0,0,ROW()-1,33),ROW()-1,FALSE))</f>
        <v>1.0960000000000001</v>
      </c>
      <c r="AJ125">
        <f ca="1">IF(AND(ISNUMBER($AJ$541),$B$427=1),$AJ$541,HLOOKUP(INDIRECT(ADDRESS(2,COLUMN())),OFFSET($AM$2,0,0,ROW()-1,33),ROW()-1,FALSE))</f>
        <v>1.222</v>
      </c>
      <c r="AK125">
        <f ca="1">IF(AND(ISNUMBER($AK$541),$B$427=1),$AK$541,HLOOKUP(INDIRECT(ADDRESS(2,COLUMN())),OFFSET($AM$2,0,0,ROW()-1,33),ROW()-1,FALSE))</f>
        <v>1.391</v>
      </c>
      <c r="AL125">
        <f ca="1">IF(AND(ISNUMBER($AL$541),$B$427=1),$AL$541,HLOOKUP(INDIRECT(ADDRESS(2,COLUMN())),OFFSET($AM$2,0,0,ROW()-1,33),ROW()-1,FALSE))</f>
        <v>1.774</v>
      </c>
      <c r="AM125">
        <f>71.186</f>
        <v>71.186000000000007</v>
      </c>
      <c r="AN125">
        <f>48.201</f>
        <v>48.201000000000001</v>
      </c>
      <c r="AO125">
        <f>72.314</f>
        <v>72.313999999999993</v>
      </c>
      <c r="AP125">
        <f>38.175</f>
        <v>38.174999999999997</v>
      </c>
      <c r="AQ125">
        <f>49.288</f>
        <v>49.287999999999997</v>
      </c>
      <c r="AR125">
        <f>92.291</f>
        <v>92.290999999999997</v>
      </c>
      <c r="AS125">
        <f>108.726</f>
        <v>108.726</v>
      </c>
      <c r="AT125">
        <f>76.544</f>
        <v>76.543999999999997</v>
      </c>
      <c r="AU125">
        <f>227.51</f>
        <v>227.51</v>
      </c>
      <c r="AV125">
        <f>191.11</f>
        <v>191.11</v>
      </c>
      <c r="AW125">
        <f>167.132</f>
        <v>167.13200000000001</v>
      </c>
      <c r="AX125">
        <f>170.013</f>
        <v>170.01300000000001</v>
      </c>
      <c r="AY125">
        <f>138.038</f>
        <v>138.03800000000001</v>
      </c>
      <c r="AZ125">
        <f>120.578</f>
        <v>120.578</v>
      </c>
      <c r="BA125">
        <f>100.875</f>
        <v>100.875</v>
      </c>
      <c r="BB125">
        <f>47.102</f>
        <v>47.101999999999997</v>
      </c>
      <c r="BC125">
        <f>77.932</f>
        <v>77.932000000000002</v>
      </c>
      <c r="BD125">
        <f>83.389</f>
        <v>83.388999999999996</v>
      </c>
      <c r="BE125">
        <f>128.134</f>
        <v>128.13399999999999</v>
      </c>
      <c r="BF125">
        <f>145.742</f>
        <v>145.74199999999999</v>
      </c>
      <c r="BG125">
        <f>159.91</f>
        <v>159.91</v>
      </c>
      <c r="BH125">
        <f>199.664</f>
        <v>199.66399999999999</v>
      </c>
      <c r="BI125">
        <f>0</f>
        <v>0</v>
      </c>
      <c r="BJ125">
        <f>0</f>
        <v>0</v>
      </c>
      <c r="BK125">
        <f>0</f>
        <v>0</v>
      </c>
      <c r="BL125">
        <f>4.767</f>
        <v>4.7670000000000003</v>
      </c>
      <c r="BM125">
        <f>25.248</f>
        <v>25.248000000000001</v>
      </c>
      <c r="BN125">
        <f>4.96</f>
        <v>4.96</v>
      </c>
      <c r="BO125">
        <f>1.678</f>
        <v>1.6779999999999999</v>
      </c>
      <c r="BP125">
        <f>1.096</f>
        <v>1.0960000000000001</v>
      </c>
      <c r="BQ125">
        <f>1.222</f>
        <v>1.222</v>
      </c>
      <c r="BR125">
        <f>1.391</f>
        <v>1.391</v>
      </c>
      <c r="BS125">
        <f>1.774</f>
        <v>1.774</v>
      </c>
    </row>
    <row r="126" spans="1:71" x14ac:dyDescent="0.25">
      <c r="A126" t="str">
        <f>"        PNC Financial Services Group I"</f>
        <v xml:space="preserve">        PNC Financial Services Group I</v>
      </c>
      <c r="B126" t="str">
        <f>"PNC US Equity"</f>
        <v>PNC US Equity</v>
      </c>
      <c r="C126" t="str">
        <f t="shared" si="15"/>
        <v>FC313</v>
      </c>
      <c r="D126" t="str">
        <f t="shared" si="16"/>
        <v>FDIC_C&amp;I_LOANS_NON-US</v>
      </c>
      <c r="E126" t="str">
        <f t="shared" si="17"/>
        <v>Dynamic</v>
      </c>
      <c r="F126" t="str">
        <f ca="1">IF(AND(ISNUMBER($F$542),$B$427=1),$F$542,HLOOKUP(INDIRECT(ADDRESS(2,COLUMN())),OFFSET($AM$2,0,0,ROW()-1,33),ROW()-1,FALSE))</f>
        <v/>
      </c>
      <c r="G126">
        <f ca="1">IF(AND(ISNUMBER($G$542),$B$427=1),$G$542,HLOOKUP(INDIRECT(ADDRESS(2,COLUMN())),OFFSET($AM$2,0,0,ROW()-1,33),ROW()-1,FALSE))</f>
        <v>10995.325000000001</v>
      </c>
      <c r="H126">
        <f ca="1">IF(AND(ISNUMBER($H$542),$B$427=1),$H$542,HLOOKUP(INDIRECT(ADDRESS(2,COLUMN())),OFFSET($AM$2,0,0,ROW()-1,33),ROW()-1,FALSE))</f>
        <v>11020.046</v>
      </c>
      <c r="I126">
        <f ca="1">IF(AND(ISNUMBER($I$542),$B$427=1),$I$542,HLOOKUP(INDIRECT(ADDRESS(2,COLUMN())),OFFSET($AM$2,0,0,ROW()-1,33),ROW()-1,FALSE))</f>
        <v>9055.2170000000006</v>
      </c>
      <c r="J126">
        <f ca="1">IF(AND(ISNUMBER($J$542),$B$427=1),$J$542,HLOOKUP(INDIRECT(ADDRESS(2,COLUMN())),OFFSET($AM$2,0,0,ROW()-1,33),ROW()-1,FALSE))</f>
        <v>7401.8360000000002</v>
      </c>
      <c r="K126">
        <f ca="1">IF(AND(ISNUMBER($K$542),$B$427=1),$K$542,HLOOKUP(INDIRECT(ADDRESS(2,COLUMN())),OFFSET($AM$2,0,0,ROW()-1,33),ROW()-1,FALSE))</f>
        <v>6735.8890000000001</v>
      </c>
      <c r="L126">
        <f ca="1">IF(AND(ISNUMBER($L$542),$B$427=1),$L$542,HLOOKUP(INDIRECT(ADDRESS(2,COLUMN())),OFFSET($AM$2,0,0,ROW()-1,33),ROW()-1,FALSE))</f>
        <v>5070.5119999999997</v>
      </c>
      <c r="M126">
        <f ca="1">IF(AND(ISNUMBER($M$542),$B$427=1),$M$542,HLOOKUP(INDIRECT(ADDRESS(2,COLUMN())),OFFSET($AM$2,0,0,ROW()-1,33),ROW()-1,FALSE))</f>
        <v>4181.4579999999996</v>
      </c>
      <c r="N126">
        <f ca="1">IF(AND(ISNUMBER($N$542),$B$427=1),$N$542,HLOOKUP(INDIRECT(ADDRESS(2,COLUMN())),OFFSET($AM$2,0,0,ROW()-1,33),ROW()-1,FALSE))</f>
        <v>3922.7269999999999</v>
      </c>
      <c r="O126">
        <f ca="1">IF(AND(ISNUMBER($O$542),$B$427=1),$O$542,HLOOKUP(INDIRECT(ADDRESS(2,COLUMN())),OFFSET($AM$2,0,0,ROW()-1,33),ROW()-1,FALSE))</f>
        <v>3733.886</v>
      </c>
      <c r="P126">
        <f ca="1">IF(AND(ISNUMBER($P$542),$B$427=1),$P$542,HLOOKUP(INDIRECT(ADDRESS(2,COLUMN())),OFFSET($AM$2,0,0,ROW()-1,33),ROW()-1,FALSE))</f>
        <v>2332.817</v>
      </c>
      <c r="Q126">
        <f ca="1">IF(AND(ISNUMBER($Q$542),$B$427=1),$Q$542,HLOOKUP(INDIRECT(ADDRESS(2,COLUMN())),OFFSET($AM$2,0,0,ROW()-1,33),ROW()-1,FALSE))</f>
        <v>2025.3589999999999</v>
      </c>
      <c r="R126">
        <f ca="1">IF(AND(ISNUMBER($R$542),$B$427=1),$R$542,HLOOKUP(INDIRECT(ADDRESS(2,COLUMN())),OFFSET($AM$2,0,0,ROW()-1,33),ROW()-1,FALSE))</f>
        <v>1790.05</v>
      </c>
      <c r="S126">
        <f ca="1">IF(AND(ISNUMBER($S$542),$B$427=1),$S$542,HLOOKUP(INDIRECT(ADDRESS(2,COLUMN())),OFFSET($AM$2,0,0,ROW()-1,33),ROW()-1,FALSE))</f>
        <v>1409.0509999999999</v>
      </c>
      <c r="T126">
        <f ca="1">IF(AND(ISNUMBER($T$542),$B$427=1),$T$542,HLOOKUP(INDIRECT(ADDRESS(2,COLUMN())),OFFSET($AM$2,0,0,ROW()-1,33),ROW()-1,FALSE))</f>
        <v>1031.8869999999999</v>
      </c>
      <c r="U126">
        <f ca="1">IF(AND(ISNUMBER($U$542),$B$427=1),$U$542,HLOOKUP(INDIRECT(ADDRESS(2,COLUMN())),OFFSET($AM$2,0,0,ROW()-1,33),ROW()-1,FALSE))</f>
        <v>938.85699999999997</v>
      </c>
      <c r="V126">
        <f ca="1">IF(AND(ISNUMBER($V$542),$B$427=1),$V$542,HLOOKUP(INDIRECT(ADDRESS(2,COLUMN())),OFFSET($AM$2,0,0,ROW()-1,33),ROW()-1,FALSE))</f>
        <v>739.62599999999998</v>
      </c>
      <c r="W126">
        <f ca="1">IF(AND(ISNUMBER($W$542),$B$427=1),$W$542,HLOOKUP(INDIRECT(ADDRESS(2,COLUMN())),OFFSET($AM$2,0,0,ROW()-1,33),ROW()-1,FALSE))</f>
        <v>239.36799999999999</v>
      </c>
      <c r="X126">
        <f ca="1">IF(AND(ISNUMBER($X$542),$B$427=1),$X$542,HLOOKUP(INDIRECT(ADDRESS(2,COLUMN())),OFFSET($AM$2,0,0,ROW()-1,33),ROW()-1,FALSE))</f>
        <v>211.458</v>
      </c>
      <c r="Y126">
        <f ca="1">IF(AND(ISNUMBER($Y$542),$B$427=1),$Y$542,HLOOKUP(INDIRECT(ADDRESS(2,COLUMN())),OFFSET($AM$2,0,0,ROW()-1,33),ROW()-1,FALSE))</f>
        <v>80.84</v>
      </c>
      <c r="Z126">
        <f ca="1">IF(AND(ISNUMBER($Z$542),$B$427=1),$Z$542,HLOOKUP(INDIRECT(ADDRESS(2,COLUMN())),OFFSET($AM$2,0,0,ROW()-1,33),ROW()-1,FALSE))</f>
        <v>67.603999999999999</v>
      </c>
      <c r="AA126">
        <f ca="1">IF(AND(ISNUMBER($AA$542),$B$427=1),$AA$542,HLOOKUP(INDIRECT(ADDRESS(2,COLUMN())),OFFSET($AM$2,0,0,ROW()-1,33),ROW()-1,FALSE))</f>
        <v>75.290000000000006</v>
      </c>
      <c r="AB126">
        <f ca="1">IF(AND(ISNUMBER($AB$542),$B$427=1),$AB$542,HLOOKUP(INDIRECT(ADDRESS(2,COLUMN())),OFFSET($AM$2,0,0,ROW()-1,33),ROW()-1,FALSE))</f>
        <v>79.244</v>
      </c>
      <c r="AC126">
        <f ca="1">IF(AND(ISNUMBER($AC$542),$B$427=1),$AC$542,HLOOKUP(INDIRECT(ADDRESS(2,COLUMN())),OFFSET($AM$2,0,0,ROW()-1,33),ROW()-1,FALSE))</f>
        <v>23.786999999999999</v>
      </c>
      <c r="AD126">
        <f ca="1">IF(AND(ISNUMBER($AD$542),$B$427=1),$AD$542,HLOOKUP(INDIRECT(ADDRESS(2,COLUMN())),OFFSET($AM$2,0,0,ROW()-1,33),ROW()-1,FALSE))</f>
        <v>95.296999999999997</v>
      </c>
      <c r="AE126">
        <f ca="1">IF(AND(ISNUMBER($AE$542),$B$427=1),$AE$542,HLOOKUP(INDIRECT(ADDRESS(2,COLUMN())),OFFSET($AM$2,0,0,ROW()-1,33),ROW()-1,FALSE))</f>
        <v>97.828999999999994</v>
      </c>
      <c r="AF126">
        <f ca="1">IF(AND(ISNUMBER($AF$542),$B$427=1),$AF$542,HLOOKUP(INDIRECT(ADDRESS(2,COLUMN())),OFFSET($AM$2,0,0,ROW()-1,33),ROW()-1,FALSE))</f>
        <v>100.07</v>
      </c>
      <c r="AG126">
        <f ca="1">IF(AND(ISNUMBER($AG$542),$B$427=1),$AG$542,HLOOKUP(INDIRECT(ADDRESS(2,COLUMN())),OFFSET($AM$2,0,0,ROW()-1,33),ROW()-1,FALSE))</f>
        <v>61.36</v>
      </c>
      <c r="AH126">
        <f ca="1">IF(AND(ISNUMBER($AH$542),$B$427=1),$AH$542,HLOOKUP(INDIRECT(ADDRESS(2,COLUMN())),OFFSET($AM$2,0,0,ROW()-1,33),ROW()-1,FALSE))</f>
        <v>84.748999999999995</v>
      </c>
      <c r="AI126">
        <f ca="1">IF(AND(ISNUMBER($AI$542),$B$427=1),$AI$542,HLOOKUP(INDIRECT(ADDRESS(2,COLUMN())),OFFSET($AM$2,0,0,ROW()-1,33),ROW()-1,FALSE))</f>
        <v>111.098</v>
      </c>
      <c r="AJ126">
        <f ca="1">IF(AND(ISNUMBER($AJ$542),$B$427=1),$AJ$542,HLOOKUP(INDIRECT(ADDRESS(2,COLUMN())),OFFSET($AM$2,0,0,ROW()-1,33),ROW()-1,FALSE))</f>
        <v>178.892</v>
      </c>
      <c r="AK126">
        <f ca="1">IF(AND(ISNUMBER($AK$542),$B$427=1),$AK$542,HLOOKUP(INDIRECT(ADDRESS(2,COLUMN())),OFFSET($AM$2,0,0,ROW()-1,33),ROW()-1,FALSE))</f>
        <v>146.74299999999999</v>
      </c>
      <c r="AL126">
        <f ca="1">IF(AND(ISNUMBER($AL$542),$B$427=1),$AL$542,HLOOKUP(INDIRECT(ADDRESS(2,COLUMN())),OFFSET($AM$2,0,0,ROW()-1,33),ROW()-1,FALSE))</f>
        <v>157.64400000000001</v>
      </c>
      <c r="AM126" t="str">
        <f>""</f>
        <v/>
      </c>
      <c r="AN126">
        <f>10995.325</f>
        <v>10995.325000000001</v>
      </c>
      <c r="AO126">
        <f>11020.046</f>
        <v>11020.046</v>
      </c>
      <c r="AP126">
        <f>9055.217</f>
        <v>9055.2170000000006</v>
      </c>
      <c r="AQ126">
        <f>7401.836</f>
        <v>7401.8360000000002</v>
      </c>
      <c r="AR126">
        <f>6735.889</f>
        <v>6735.8890000000001</v>
      </c>
      <c r="AS126">
        <f>5070.512</f>
        <v>5070.5119999999997</v>
      </c>
      <c r="AT126">
        <f>4181.458</f>
        <v>4181.4579999999996</v>
      </c>
      <c r="AU126">
        <f>3922.727</f>
        <v>3922.7269999999999</v>
      </c>
      <c r="AV126">
        <f>3733.886</f>
        <v>3733.886</v>
      </c>
      <c r="AW126">
        <f>2332.817</f>
        <v>2332.817</v>
      </c>
      <c r="AX126">
        <f>2025.359</f>
        <v>2025.3589999999999</v>
      </c>
      <c r="AY126">
        <f>1790.05</f>
        <v>1790.05</v>
      </c>
      <c r="AZ126">
        <f>1409.051</f>
        <v>1409.0509999999999</v>
      </c>
      <c r="BA126">
        <f>1031.887</f>
        <v>1031.8869999999999</v>
      </c>
      <c r="BB126">
        <f>938.857</f>
        <v>938.85699999999997</v>
      </c>
      <c r="BC126">
        <f>739.626</f>
        <v>739.62599999999998</v>
      </c>
      <c r="BD126">
        <f>239.368</f>
        <v>239.36799999999999</v>
      </c>
      <c r="BE126">
        <f>211.458</f>
        <v>211.458</v>
      </c>
      <c r="BF126">
        <f>80.84</f>
        <v>80.84</v>
      </c>
      <c r="BG126">
        <f>67.604</f>
        <v>67.603999999999999</v>
      </c>
      <c r="BH126">
        <f>75.29</f>
        <v>75.290000000000006</v>
      </c>
      <c r="BI126">
        <f>79.244</f>
        <v>79.244</v>
      </c>
      <c r="BJ126">
        <f>23.787</f>
        <v>23.786999999999999</v>
      </c>
      <c r="BK126">
        <f>95.297</f>
        <v>95.296999999999997</v>
      </c>
      <c r="BL126">
        <f>97.829</f>
        <v>97.828999999999994</v>
      </c>
      <c r="BM126">
        <f>100.07</f>
        <v>100.07</v>
      </c>
      <c r="BN126">
        <f>61.36</f>
        <v>61.36</v>
      </c>
      <c r="BO126">
        <f>84.749</f>
        <v>84.748999999999995</v>
      </c>
      <c r="BP126">
        <f>111.098</f>
        <v>111.098</v>
      </c>
      <c r="BQ126">
        <f>178.892</f>
        <v>178.892</v>
      </c>
      <c r="BR126">
        <f>146.743</f>
        <v>146.74299999999999</v>
      </c>
      <c r="BS126">
        <f>157.644</f>
        <v>157.64400000000001</v>
      </c>
    </row>
    <row r="127" spans="1:71" x14ac:dyDescent="0.25">
      <c r="A127" t="str">
        <f>"        Regions Financial Corp"</f>
        <v xml:space="preserve">        Regions Financial Corp</v>
      </c>
      <c r="B127" t="str">
        <f>"RF US Equity"</f>
        <v>RF US Equity</v>
      </c>
      <c r="C127" t="str">
        <f t="shared" si="15"/>
        <v>FC313</v>
      </c>
      <c r="D127" t="str">
        <f t="shared" si="16"/>
        <v>FDIC_C&amp;I_LOANS_NON-US</v>
      </c>
      <c r="E127" t="str">
        <f t="shared" si="17"/>
        <v>Dynamic</v>
      </c>
      <c r="F127" t="str">
        <f ca="1">IF(AND(ISNUMBER($F$543),$B$427=1),$F$543,HLOOKUP(INDIRECT(ADDRESS(2,COLUMN())),OFFSET($AM$2,0,0,ROW()-1,33),ROW()-1,FALSE))</f>
        <v/>
      </c>
      <c r="G127">
        <f ca="1">IF(AND(ISNUMBER($G$543),$B$427=1),$G$543,HLOOKUP(INDIRECT(ADDRESS(2,COLUMN())),OFFSET($AM$2,0,0,ROW()-1,33),ROW()-1,FALSE))</f>
        <v>635</v>
      </c>
      <c r="H127">
        <f ca="1">IF(AND(ISNUMBER($H$543),$B$427=1),$H$543,HLOOKUP(INDIRECT(ADDRESS(2,COLUMN())),OFFSET($AM$2,0,0,ROW()-1,33),ROW()-1,FALSE))</f>
        <v>517</v>
      </c>
      <c r="I127">
        <f ca="1">IF(AND(ISNUMBER($I$543),$B$427=1),$I$543,HLOOKUP(INDIRECT(ADDRESS(2,COLUMN())),OFFSET($AM$2,0,0,ROW()-1,33),ROW()-1,FALSE))</f>
        <v>689</v>
      </c>
      <c r="J127">
        <f ca="1">IF(AND(ISNUMBER($J$543),$B$427=1),$J$543,HLOOKUP(INDIRECT(ADDRESS(2,COLUMN())),OFFSET($AM$2,0,0,ROW()-1,33),ROW()-1,FALSE))</f>
        <v>110</v>
      </c>
      <c r="K127">
        <f ca="1">IF(AND(ISNUMBER($K$543),$B$427=1),$K$543,HLOOKUP(INDIRECT(ADDRESS(2,COLUMN())),OFFSET($AM$2,0,0,ROW()-1,33),ROW()-1,FALSE))</f>
        <v>205</v>
      </c>
      <c r="L127">
        <f ca="1">IF(AND(ISNUMBER($L$543),$B$427=1),$L$543,HLOOKUP(INDIRECT(ADDRESS(2,COLUMN())),OFFSET($AM$2,0,0,ROW()-1,33),ROW()-1,FALSE))</f>
        <v>180.483</v>
      </c>
      <c r="M127">
        <f ca="1">IF(AND(ISNUMBER($M$543),$B$427=1),$M$543,HLOOKUP(INDIRECT(ADDRESS(2,COLUMN())),OFFSET($AM$2,0,0,ROW()-1,33),ROW()-1,FALSE))</f>
        <v>148.28899999999999</v>
      </c>
      <c r="N127">
        <f ca="1">IF(AND(ISNUMBER($N$543),$B$427=1),$N$543,HLOOKUP(INDIRECT(ADDRESS(2,COLUMN())),OFFSET($AM$2,0,0,ROW()-1,33),ROW()-1,FALSE))</f>
        <v>36.156999999999996</v>
      </c>
      <c r="O127">
        <f ca="1">IF(AND(ISNUMBER($O$543),$B$427=1),$O$543,HLOOKUP(INDIRECT(ADDRESS(2,COLUMN())),OFFSET($AM$2,0,0,ROW()-1,33),ROW()-1,FALSE))</f>
        <v>103.095</v>
      </c>
      <c r="P127">
        <f ca="1">IF(AND(ISNUMBER($P$543),$B$427=1),$P$543,HLOOKUP(INDIRECT(ADDRESS(2,COLUMN())),OFFSET($AM$2,0,0,ROW()-1,33),ROW()-1,FALSE))</f>
        <v>100.39700000000001</v>
      </c>
      <c r="Q127">
        <f ca="1">IF(AND(ISNUMBER($Q$543),$B$427=1),$Q$543,HLOOKUP(INDIRECT(ADDRESS(2,COLUMN())),OFFSET($AM$2,0,0,ROW()-1,33),ROW()-1,FALSE))</f>
        <v>52.268000000000001</v>
      </c>
      <c r="R127">
        <f ca="1">IF(AND(ISNUMBER($R$543),$B$427=1),$R$543,HLOOKUP(INDIRECT(ADDRESS(2,COLUMN())),OFFSET($AM$2,0,0,ROW()-1,33),ROW()-1,FALSE))</f>
        <v>71.150999999999996</v>
      </c>
      <c r="S127">
        <f ca="1">IF(AND(ISNUMBER($S$543),$B$427=1),$S$543,HLOOKUP(INDIRECT(ADDRESS(2,COLUMN())),OFFSET($AM$2,0,0,ROW()-1,33),ROW()-1,FALSE))</f>
        <v>69.849000000000004</v>
      </c>
      <c r="T127">
        <f ca="1">IF(AND(ISNUMBER($T$543),$B$427=1),$T$543,HLOOKUP(INDIRECT(ADDRESS(2,COLUMN())),OFFSET($AM$2,0,0,ROW()-1,33),ROW()-1,FALSE))</f>
        <v>6.8339999999999996</v>
      </c>
      <c r="U127">
        <f ca="1">IF(AND(ISNUMBER($U$543),$B$427=1),$U$543,HLOOKUP(INDIRECT(ADDRESS(2,COLUMN())),OFFSET($AM$2,0,0,ROW()-1,33),ROW()-1,FALSE))</f>
        <v>24.28</v>
      </c>
      <c r="V127">
        <f ca="1">IF(AND(ISNUMBER($V$543),$B$427=1),$V$543,HLOOKUP(INDIRECT(ADDRESS(2,COLUMN())),OFFSET($AM$2,0,0,ROW()-1,33),ROW()-1,FALSE))</f>
        <v>30.338999999999999</v>
      </c>
      <c r="W127">
        <f ca="1">IF(AND(ISNUMBER($W$543),$B$427=1),$W$543,HLOOKUP(INDIRECT(ADDRESS(2,COLUMN())),OFFSET($AM$2,0,0,ROW()-1,33),ROW()-1,FALSE))</f>
        <v>42.664999999999999</v>
      </c>
      <c r="X127">
        <f ca="1">IF(AND(ISNUMBER($X$543),$B$427=1),$X$543,HLOOKUP(INDIRECT(ADDRESS(2,COLUMN())),OFFSET($AM$2,0,0,ROW()-1,33),ROW()-1,FALSE))</f>
        <v>43.966000000000001</v>
      </c>
      <c r="Y127">
        <f ca="1">IF(AND(ISNUMBER($Y$543),$B$427=1),$Y$543,HLOOKUP(INDIRECT(ADDRESS(2,COLUMN())),OFFSET($AM$2,0,0,ROW()-1,33),ROW()-1,FALSE))</f>
        <v>35.344999999999999</v>
      </c>
      <c r="Z127">
        <f ca="1">IF(AND(ISNUMBER($Z$543),$B$427=1),$Z$543,HLOOKUP(INDIRECT(ADDRESS(2,COLUMN())),OFFSET($AM$2,0,0,ROW()-1,33),ROW()-1,FALSE))</f>
        <v>41.487000000000002</v>
      </c>
      <c r="AA127" t="str">
        <f ca="1">IF(AND(ISNUMBER($AA$543),$B$427=1),$AA$543,HLOOKUP(INDIRECT(ADDRESS(2,COLUMN())),OFFSET($AM$2,0,0,ROW()-1,33),ROW()-1,FALSE))</f>
        <v/>
      </c>
      <c r="AB127" t="str">
        <f ca="1">IF(AND(ISNUMBER($AB$543),$B$427=1),$AB$543,HLOOKUP(INDIRECT(ADDRESS(2,COLUMN())),OFFSET($AM$2,0,0,ROW()-1,33),ROW()-1,FALSE))</f>
        <v/>
      </c>
      <c r="AC127" t="str">
        <f ca="1">IF(AND(ISNUMBER($AC$543),$B$427=1),$AC$543,HLOOKUP(INDIRECT(ADDRESS(2,COLUMN())),OFFSET($AM$2,0,0,ROW()-1,33),ROW()-1,FALSE))</f>
        <v/>
      </c>
      <c r="AD127" t="str">
        <f ca="1">IF(AND(ISNUMBER($AD$543),$B$427=1),$AD$543,HLOOKUP(INDIRECT(ADDRESS(2,COLUMN())),OFFSET($AM$2,0,0,ROW()-1,33),ROW()-1,FALSE))</f>
        <v/>
      </c>
      <c r="AE127" t="str">
        <f ca="1">IF(AND(ISNUMBER($AE$543),$B$427=1),$AE$543,HLOOKUP(INDIRECT(ADDRESS(2,COLUMN())),OFFSET($AM$2,0,0,ROW()-1,33),ROW()-1,FALSE))</f>
        <v/>
      </c>
      <c r="AF127" t="str">
        <f ca="1">IF(AND(ISNUMBER($AF$543),$B$427=1),$AF$543,HLOOKUP(INDIRECT(ADDRESS(2,COLUMN())),OFFSET($AM$2,0,0,ROW()-1,33),ROW()-1,FALSE))</f>
        <v/>
      </c>
      <c r="AG127" t="str">
        <f ca="1">IF(AND(ISNUMBER($AG$543),$B$427=1),$AG$543,HLOOKUP(INDIRECT(ADDRESS(2,COLUMN())),OFFSET($AM$2,0,0,ROW()-1,33),ROW()-1,FALSE))</f>
        <v/>
      </c>
      <c r="AH127" t="str">
        <f ca="1">IF(AND(ISNUMBER($AH$543),$B$427=1),$AH$543,HLOOKUP(INDIRECT(ADDRESS(2,COLUMN())),OFFSET($AM$2,0,0,ROW()-1,33),ROW()-1,FALSE))</f>
        <v/>
      </c>
      <c r="AI127" t="str">
        <f ca="1">IF(AND(ISNUMBER($AI$543),$B$427=1),$AI$543,HLOOKUP(INDIRECT(ADDRESS(2,COLUMN())),OFFSET($AM$2,0,0,ROW()-1,33),ROW()-1,FALSE))</f>
        <v/>
      </c>
      <c r="AJ127" t="str">
        <f ca="1">IF(AND(ISNUMBER($AJ$543),$B$427=1),$AJ$543,HLOOKUP(INDIRECT(ADDRESS(2,COLUMN())),OFFSET($AM$2,0,0,ROW()-1,33),ROW()-1,FALSE))</f>
        <v/>
      </c>
      <c r="AK127" t="str">
        <f ca="1">IF(AND(ISNUMBER($AK$543),$B$427=1),$AK$543,HLOOKUP(INDIRECT(ADDRESS(2,COLUMN())),OFFSET($AM$2,0,0,ROW()-1,33),ROW()-1,FALSE))</f>
        <v/>
      </c>
      <c r="AL127" t="str">
        <f ca="1">IF(AND(ISNUMBER($AL$543),$B$427=1),$AL$543,HLOOKUP(INDIRECT(ADDRESS(2,COLUMN())),OFFSET($AM$2,0,0,ROW()-1,33),ROW()-1,FALSE))</f>
        <v/>
      </c>
      <c r="AM127" t="str">
        <f>""</f>
        <v/>
      </c>
      <c r="AN127">
        <f>635</f>
        <v>635</v>
      </c>
      <c r="AO127">
        <f>517</f>
        <v>517</v>
      </c>
      <c r="AP127">
        <f>689</f>
        <v>689</v>
      </c>
      <c r="AQ127">
        <f>110</f>
        <v>110</v>
      </c>
      <c r="AR127">
        <f>205</f>
        <v>205</v>
      </c>
      <c r="AS127">
        <f>180.483</f>
        <v>180.483</v>
      </c>
      <c r="AT127">
        <f>148.289</f>
        <v>148.28899999999999</v>
      </c>
      <c r="AU127">
        <f>36.157</f>
        <v>36.156999999999996</v>
      </c>
      <c r="AV127">
        <f>103.095</f>
        <v>103.095</v>
      </c>
      <c r="AW127">
        <f>100.397</f>
        <v>100.39700000000001</v>
      </c>
      <c r="AX127">
        <f>52.268</f>
        <v>52.268000000000001</v>
      </c>
      <c r="AY127">
        <f>71.151</f>
        <v>71.150999999999996</v>
      </c>
      <c r="AZ127">
        <f>69.849</f>
        <v>69.849000000000004</v>
      </c>
      <c r="BA127">
        <f>6.834</f>
        <v>6.8339999999999996</v>
      </c>
      <c r="BB127">
        <f>24.28</f>
        <v>24.28</v>
      </c>
      <c r="BC127">
        <f>30.339</f>
        <v>30.338999999999999</v>
      </c>
      <c r="BD127">
        <f>42.665</f>
        <v>42.664999999999999</v>
      </c>
      <c r="BE127">
        <f>43.966</f>
        <v>43.966000000000001</v>
      </c>
      <c r="BF127">
        <f>35.345</f>
        <v>35.344999999999999</v>
      </c>
      <c r="BG127">
        <f>41.487</f>
        <v>41.487000000000002</v>
      </c>
      <c r="BH127" t="str">
        <f>""</f>
        <v/>
      </c>
      <c r="BI127" t="str">
        <f>""</f>
        <v/>
      </c>
      <c r="BJ127" t="str">
        <f>""</f>
        <v/>
      </c>
      <c r="BK127" t="str">
        <f>""</f>
        <v/>
      </c>
      <c r="BL127" t="str">
        <f>""</f>
        <v/>
      </c>
      <c r="BM127" t="str">
        <f>""</f>
        <v/>
      </c>
      <c r="BN127" t="str">
        <f>""</f>
        <v/>
      </c>
      <c r="BO127" t="str">
        <f>""</f>
        <v/>
      </c>
      <c r="BP127" t="str">
        <f>""</f>
        <v/>
      </c>
      <c r="BQ127" t="str">
        <f>""</f>
        <v/>
      </c>
      <c r="BR127" t="str">
        <f>""</f>
        <v/>
      </c>
      <c r="BS127" t="str">
        <f>""</f>
        <v/>
      </c>
    </row>
    <row r="128" spans="1:71" x14ac:dyDescent="0.25">
      <c r="A128" t="str">
        <f>"        Truist Financial Corp"</f>
        <v xml:space="preserve">        Truist Financial Corp</v>
      </c>
      <c r="B128" t="str">
        <f>"TFC US Equity"</f>
        <v>TFC US Equity</v>
      </c>
      <c r="C128" t="str">
        <f t="shared" si="15"/>
        <v>FC313</v>
      </c>
      <c r="D128" t="str">
        <f t="shared" si="16"/>
        <v>FDIC_C&amp;I_LOANS_NON-US</v>
      </c>
      <c r="E128" t="str">
        <f t="shared" si="17"/>
        <v>Dynamic</v>
      </c>
      <c r="F128">
        <f ca="1">IF(AND(ISNUMBER($F$544),$B$427=1),$F$544,HLOOKUP(INDIRECT(ADDRESS(2,COLUMN())),OFFSET($AM$2,0,0,ROW()-1,33),ROW()-1,FALSE))</f>
        <v>2388</v>
      </c>
      <c r="G128">
        <f ca="1">IF(AND(ISNUMBER($G$544),$B$427=1),$G$544,HLOOKUP(INDIRECT(ADDRESS(2,COLUMN())),OFFSET($AM$2,0,0,ROW()-1,33),ROW()-1,FALSE))</f>
        <v>1069</v>
      </c>
      <c r="H128">
        <f ca="1">IF(AND(ISNUMBER($H$544),$B$427=1),$H$544,HLOOKUP(INDIRECT(ADDRESS(2,COLUMN())),OFFSET($AM$2,0,0,ROW()-1,33),ROW()-1,FALSE))</f>
        <v>1360</v>
      </c>
      <c r="I128">
        <f ca="1">IF(AND(ISNUMBER($I$544),$B$427=1),$I$544,HLOOKUP(INDIRECT(ADDRESS(2,COLUMN())),OFFSET($AM$2,0,0,ROW()-1,33),ROW()-1,FALSE))</f>
        <v>2191</v>
      </c>
      <c r="J128">
        <f ca="1">IF(AND(ISNUMBER($J$544),$B$427=1),$J$544,HLOOKUP(INDIRECT(ADDRESS(2,COLUMN())),OFFSET($AM$2,0,0,ROW()-1,33),ROW()-1,FALSE))</f>
        <v>1913</v>
      </c>
      <c r="K128">
        <f ca="1">IF(AND(ISNUMBER($K$544),$B$427=1),$K$544,HLOOKUP(INDIRECT(ADDRESS(2,COLUMN())),OFFSET($AM$2,0,0,ROW()-1,33),ROW()-1,FALSE))</f>
        <v>1867</v>
      </c>
      <c r="L128">
        <f ca="1">IF(AND(ISNUMBER($L$544),$B$427=1),$L$544,HLOOKUP(INDIRECT(ADDRESS(2,COLUMN())),OFFSET($AM$2,0,0,ROW()-1,33),ROW()-1,FALSE))</f>
        <v>693</v>
      </c>
      <c r="M128">
        <f ca="1">IF(AND(ISNUMBER($M$544),$B$427=1),$M$544,HLOOKUP(INDIRECT(ADDRESS(2,COLUMN())),OFFSET($AM$2,0,0,ROW()-1,33),ROW()-1,FALSE))</f>
        <v>534</v>
      </c>
      <c r="N128">
        <f ca="1">IF(AND(ISNUMBER($N$544),$B$427=1),$N$544,HLOOKUP(INDIRECT(ADDRESS(2,COLUMN())),OFFSET($AM$2,0,0,ROW()-1,33),ROW()-1,FALSE))</f>
        <v>394.18099999999998</v>
      </c>
      <c r="O128">
        <f ca="1">IF(AND(ISNUMBER($O$544),$B$427=1),$O$544,HLOOKUP(INDIRECT(ADDRESS(2,COLUMN())),OFFSET($AM$2,0,0,ROW()-1,33),ROW()-1,FALSE))</f>
        <v>363.32100000000003</v>
      </c>
      <c r="P128">
        <f ca="1">IF(AND(ISNUMBER($P$544),$B$427=1),$P$544,HLOOKUP(INDIRECT(ADDRESS(2,COLUMN())),OFFSET($AM$2,0,0,ROW()-1,33),ROW()-1,FALSE))</f>
        <v>397.47899999999998</v>
      </c>
      <c r="Q128">
        <f ca="1">IF(AND(ISNUMBER($Q$544),$B$427=1),$Q$544,HLOOKUP(INDIRECT(ADDRESS(2,COLUMN())),OFFSET($AM$2,0,0,ROW()-1,33),ROW()-1,FALSE))</f>
        <v>392.935</v>
      </c>
      <c r="R128">
        <f ca="1">IF(AND(ISNUMBER($R$544),$B$427=1),$R$544,HLOOKUP(INDIRECT(ADDRESS(2,COLUMN())),OFFSET($AM$2,0,0,ROW()-1,33),ROW()-1,FALSE))</f>
        <v>400.786</v>
      </c>
      <c r="S128">
        <f ca="1">IF(AND(ISNUMBER($S$544),$B$427=1),$S$544,HLOOKUP(INDIRECT(ADDRESS(2,COLUMN())),OFFSET($AM$2,0,0,ROW()-1,33),ROW()-1,FALSE))</f>
        <v>318.04399999999998</v>
      </c>
      <c r="T128">
        <f ca="1">IF(AND(ISNUMBER($T$544),$B$427=1),$T$544,HLOOKUP(INDIRECT(ADDRESS(2,COLUMN())),OFFSET($AM$2,0,0,ROW()-1,33),ROW()-1,FALSE))</f>
        <v>262.93400000000003</v>
      </c>
      <c r="U128">
        <f ca="1">IF(AND(ISNUMBER($U$544),$B$427=1),$U$544,HLOOKUP(INDIRECT(ADDRESS(2,COLUMN())),OFFSET($AM$2,0,0,ROW()-1,33),ROW()-1,FALSE))</f>
        <v>252.006</v>
      </c>
      <c r="V128">
        <f ca="1">IF(AND(ISNUMBER($V$544),$B$427=1),$V$544,HLOOKUP(INDIRECT(ADDRESS(2,COLUMN())),OFFSET($AM$2,0,0,ROW()-1,33),ROW()-1,FALSE))</f>
        <v>188.28899999999999</v>
      </c>
      <c r="W128">
        <f ca="1">IF(AND(ISNUMBER($W$544),$B$427=1),$W$544,HLOOKUP(INDIRECT(ADDRESS(2,COLUMN())),OFFSET($AM$2,0,0,ROW()-1,33),ROW()-1,FALSE))</f>
        <v>211.16800000000001</v>
      </c>
      <c r="X128">
        <f ca="1">IF(AND(ISNUMBER($X$544),$B$427=1),$X$544,HLOOKUP(INDIRECT(ADDRESS(2,COLUMN())),OFFSET($AM$2,0,0,ROW()-1,33),ROW()-1,FALSE))</f>
        <v>0</v>
      </c>
      <c r="Y128">
        <f ca="1">IF(AND(ISNUMBER($Y$544),$B$427=1),$Y$544,HLOOKUP(INDIRECT(ADDRESS(2,COLUMN())),OFFSET($AM$2,0,0,ROW()-1,33),ROW()-1,FALSE))</f>
        <v>0</v>
      </c>
      <c r="Z128">
        <f ca="1">IF(AND(ISNUMBER($Z$544),$B$427=1),$Z$544,HLOOKUP(INDIRECT(ADDRESS(2,COLUMN())),OFFSET($AM$2,0,0,ROW()-1,33),ROW()-1,FALSE))</f>
        <v>0</v>
      </c>
      <c r="AA128">
        <f ca="1">IF(AND(ISNUMBER($AA$544),$B$427=1),$AA$544,HLOOKUP(INDIRECT(ADDRESS(2,COLUMN())),OFFSET($AM$2,0,0,ROW()-1,33),ROW()-1,FALSE))</f>
        <v>0</v>
      </c>
      <c r="AB128">
        <f ca="1">IF(AND(ISNUMBER($AB$544),$B$427=1),$AB$544,HLOOKUP(INDIRECT(ADDRESS(2,COLUMN())),OFFSET($AM$2,0,0,ROW()-1,33),ROW()-1,FALSE))</f>
        <v>0</v>
      </c>
      <c r="AC128">
        <f ca="1">IF(AND(ISNUMBER($AC$544),$B$427=1),$AC$544,HLOOKUP(INDIRECT(ADDRESS(2,COLUMN())),OFFSET($AM$2,0,0,ROW()-1,33),ROW()-1,FALSE))</f>
        <v>0</v>
      </c>
      <c r="AD128">
        <f ca="1">IF(AND(ISNUMBER($AD$544),$B$427=1),$AD$544,HLOOKUP(INDIRECT(ADDRESS(2,COLUMN())),OFFSET($AM$2,0,0,ROW()-1,33),ROW()-1,FALSE))</f>
        <v>0</v>
      </c>
      <c r="AE128">
        <f ca="1">IF(AND(ISNUMBER($AE$544),$B$427=1),$AE$544,HLOOKUP(INDIRECT(ADDRESS(2,COLUMN())),OFFSET($AM$2,0,0,ROW()-1,33),ROW()-1,FALSE))</f>
        <v>0</v>
      </c>
      <c r="AF128">
        <f ca="1">IF(AND(ISNUMBER($AF$544),$B$427=1),$AF$544,HLOOKUP(INDIRECT(ADDRESS(2,COLUMN())),OFFSET($AM$2,0,0,ROW()-1,33),ROW()-1,FALSE))</f>
        <v>0</v>
      </c>
      <c r="AG128">
        <f ca="1">IF(AND(ISNUMBER($AG$544),$B$427=1),$AG$544,HLOOKUP(INDIRECT(ADDRESS(2,COLUMN())),OFFSET($AM$2,0,0,ROW()-1,33),ROW()-1,FALSE))</f>
        <v>0</v>
      </c>
      <c r="AH128">
        <f ca="1">IF(AND(ISNUMBER($AH$544),$B$427=1),$AH$544,HLOOKUP(INDIRECT(ADDRESS(2,COLUMN())),OFFSET($AM$2,0,0,ROW()-1,33),ROW()-1,FALSE))</f>
        <v>0</v>
      </c>
      <c r="AI128">
        <f ca="1">IF(AND(ISNUMBER($AI$544),$B$427=1),$AI$544,HLOOKUP(INDIRECT(ADDRESS(2,COLUMN())),OFFSET($AM$2,0,0,ROW()-1,33),ROW()-1,FALSE))</f>
        <v>0</v>
      </c>
      <c r="AJ128">
        <f ca="1">IF(AND(ISNUMBER($AJ$544),$B$427=1),$AJ$544,HLOOKUP(INDIRECT(ADDRESS(2,COLUMN())),OFFSET($AM$2,0,0,ROW()-1,33),ROW()-1,FALSE))</f>
        <v>0</v>
      </c>
      <c r="AK128">
        <f ca="1">IF(AND(ISNUMBER($AK$544),$B$427=1),$AK$544,HLOOKUP(INDIRECT(ADDRESS(2,COLUMN())),OFFSET($AM$2,0,0,ROW()-1,33),ROW()-1,FALSE))</f>
        <v>0</v>
      </c>
      <c r="AL128">
        <f ca="1">IF(AND(ISNUMBER($AL$544),$B$427=1),$AL$544,HLOOKUP(INDIRECT(ADDRESS(2,COLUMN())),OFFSET($AM$2,0,0,ROW()-1,33),ROW()-1,FALSE))</f>
        <v>0</v>
      </c>
      <c r="AM128">
        <f>2388</f>
        <v>2388</v>
      </c>
      <c r="AN128">
        <f>1069</f>
        <v>1069</v>
      </c>
      <c r="AO128">
        <f>1360</f>
        <v>1360</v>
      </c>
      <c r="AP128">
        <f>2191</f>
        <v>2191</v>
      </c>
      <c r="AQ128">
        <f>1913</f>
        <v>1913</v>
      </c>
      <c r="AR128">
        <f>1867</f>
        <v>1867</v>
      </c>
      <c r="AS128">
        <f>693</f>
        <v>693</v>
      </c>
      <c r="AT128">
        <f>534</f>
        <v>534</v>
      </c>
      <c r="AU128">
        <f>394.181</f>
        <v>394.18099999999998</v>
      </c>
      <c r="AV128">
        <f>363.321</f>
        <v>363.32100000000003</v>
      </c>
      <c r="AW128">
        <f>397.479</f>
        <v>397.47899999999998</v>
      </c>
      <c r="AX128">
        <f>392.935</f>
        <v>392.935</v>
      </c>
      <c r="AY128">
        <f>400.786</f>
        <v>400.786</v>
      </c>
      <c r="AZ128">
        <f>318.044</f>
        <v>318.04399999999998</v>
      </c>
      <c r="BA128">
        <f>262.934</f>
        <v>262.93400000000003</v>
      </c>
      <c r="BB128">
        <f>252.006</f>
        <v>252.006</v>
      </c>
      <c r="BC128">
        <f>188.289</f>
        <v>188.28899999999999</v>
      </c>
      <c r="BD128">
        <f>211.168</f>
        <v>211.16800000000001</v>
      </c>
      <c r="BE128">
        <f>0</f>
        <v>0</v>
      </c>
      <c r="BF128">
        <f>0</f>
        <v>0</v>
      </c>
      <c r="BG128">
        <f>0</f>
        <v>0</v>
      </c>
      <c r="BH128">
        <f>0</f>
        <v>0</v>
      </c>
      <c r="BI128">
        <f>0</f>
        <v>0</v>
      </c>
      <c r="BJ128">
        <f>0</f>
        <v>0</v>
      </c>
      <c r="BK128">
        <f>0</f>
        <v>0</v>
      </c>
      <c r="BL128">
        <f>0</f>
        <v>0</v>
      </c>
      <c r="BM128">
        <f>0</f>
        <v>0</v>
      </c>
      <c r="BN128">
        <f>0</f>
        <v>0</v>
      </c>
      <c r="BO128">
        <f>0</f>
        <v>0</v>
      </c>
      <c r="BP128">
        <f>0</f>
        <v>0</v>
      </c>
      <c r="BQ128">
        <f>0</f>
        <v>0</v>
      </c>
      <c r="BR128">
        <f>0</f>
        <v>0</v>
      </c>
      <c r="BS128">
        <f>0</f>
        <v>0</v>
      </c>
    </row>
    <row r="129" spans="1:71" x14ac:dyDescent="0.25">
      <c r="A129" t="str">
        <f>"        US Bancorp"</f>
        <v xml:space="preserve">        US Bancorp</v>
      </c>
      <c r="B129" t="str">
        <f>"USB US Equity"</f>
        <v>USB US Equity</v>
      </c>
      <c r="C129" t="str">
        <f t="shared" si="15"/>
        <v>FC313</v>
      </c>
      <c r="D129" t="str">
        <f t="shared" si="16"/>
        <v>FDIC_C&amp;I_LOANS_NON-US</v>
      </c>
      <c r="E129" t="str">
        <f t="shared" si="17"/>
        <v>Dynamic</v>
      </c>
      <c r="F129">
        <f ca="1">IF(AND(ISNUMBER($F$545),$B$427=1),$F$545,HLOOKUP(INDIRECT(ADDRESS(2,COLUMN())),OFFSET($AM$2,0,0,ROW()-1,33),ROW()-1,FALSE))</f>
        <v>2198</v>
      </c>
      <c r="G129">
        <f ca="1">IF(AND(ISNUMBER($G$545),$B$427=1),$G$545,HLOOKUP(INDIRECT(ADDRESS(2,COLUMN())),OFFSET($AM$2,0,0,ROW()-1,33),ROW()-1,FALSE))</f>
        <v>1839</v>
      </c>
      <c r="H129">
        <f ca="1">IF(AND(ISNUMBER($H$545),$B$427=1),$H$545,HLOOKUP(INDIRECT(ADDRESS(2,COLUMN())),OFFSET($AM$2,0,0,ROW()-1,33),ROW()-1,FALSE))</f>
        <v>1712</v>
      </c>
      <c r="I129">
        <f ca="1">IF(AND(ISNUMBER($I$545),$B$427=1),$I$545,HLOOKUP(INDIRECT(ADDRESS(2,COLUMN())),OFFSET($AM$2,0,0,ROW()-1,33),ROW()-1,FALSE))</f>
        <v>1058</v>
      </c>
      <c r="J129">
        <f ca="1">IF(AND(ISNUMBER($J$545),$B$427=1),$J$545,HLOOKUP(INDIRECT(ADDRESS(2,COLUMN())),OFFSET($AM$2,0,0,ROW()-1,33),ROW()-1,FALSE))</f>
        <v>731</v>
      </c>
      <c r="K129">
        <f ca="1">IF(AND(ISNUMBER($K$545),$B$427=1),$K$545,HLOOKUP(INDIRECT(ADDRESS(2,COLUMN())),OFFSET($AM$2,0,0,ROW()-1,33),ROW()-1,FALSE))</f>
        <v>1080</v>
      </c>
      <c r="L129">
        <f ca="1">IF(AND(ISNUMBER($L$545),$B$427=1),$L$545,HLOOKUP(INDIRECT(ADDRESS(2,COLUMN())),OFFSET($AM$2,0,0,ROW()-1,33),ROW()-1,FALSE))</f>
        <v>1030</v>
      </c>
      <c r="M129">
        <f ca="1">IF(AND(ISNUMBER($M$545),$B$427=1),$M$545,HLOOKUP(INDIRECT(ADDRESS(2,COLUMN())),OFFSET($AM$2,0,0,ROW()-1,33),ROW()-1,FALSE))</f>
        <v>825</v>
      </c>
      <c r="N129">
        <f ca="1">IF(AND(ISNUMBER($N$545),$B$427=1),$N$545,HLOOKUP(INDIRECT(ADDRESS(2,COLUMN())),OFFSET($AM$2,0,0,ROW()-1,33),ROW()-1,FALSE))</f>
        <v>998</v>
      </c>
      <c r="O129">
        <f ca="1">IF(AND(ISNUMBER($O$545),$B$427=1),$O$545,HLOOKUP(INDIRECT(ADDRESS(2,COLUMN())),OFFSET($AM$2,0,0,ROW()-1,33),ROW()-1,FALSE))</f>
        <v>826</v>
      </c>
      <c r="P129">
        <f ca="1">IF(AND(ISNUMBER($P$545),$B$427=1),$P$545,HLOOKUP(INDIRECT(ADDRESS(2,COLUMN())),OFFSET($AM$2,0,0,ROW()-1,33),ROW()-1,FALSE))</f>
        <v>1045</v>
      </c>
      <c r="Q129">
        <f ca="1">IF(AND(ISNUMBER($Q$545),$B$427=1),$Q$545,HLOOKUP(INDIRECT(ADDRESS(2,COLUMN())),OFFSET($AM$2,0,0,ROW()-1,33),ROW()-1,FALSE))</f>
        <v>862</v>
      </c>
      <c r="R129">
        <f ca="1">IF(AND(ISNUMBER($R$545),$B$427=1),$R$545,HLOOKUP(INDIRECT(ADDRESS(2,COLUMN())),OFFSET($AM$2,0,0,ROW()-1,33),ROW()-1,FALSE))</f>
        <v>932</v>
      </c>
      <c r="S129">
        <f ca="1">IF(AND(ISNUMBER($S$545),$B$427=1),$S$545,HLOOKUP(INDIRECT(ADDRESS(2,COLUMN())),OFFSET($AM$2,0,0,ROW()-1,33),ROW()-1,FALSE))</f>
        <v>587</v>
      </c>
      <c r="T129">
        <f ca="1">IF(AND(ISNUMBER($T$545),$B$427=1),$T$545,HLOOKUP(INDIRECT(ADDRESS(2,COLUMN())),OFFSET($AM$2,0,0,ROW()-1,33),ROW()-1,FALSE))</f>
        <v>558</v>
      </c>
      <c r="U129">
        <f ca="1">IF(AND(ISNUMBER($U$545),$B$427=1),$U$545,HLOOKUP(INDIRECT(ADDRESS(2,COLUMN())),OFFSET($AM$2,0,0,ROW()-1,33),ROW()-1,FALSE))</f>
        <v>517</v>
      </c>
      <c r="V129">
        <f ca="1">IF(AND(ISNUMBER($V$545),$B$427=1),$V$545,HLOOKUP(INDIRECT(ADDRESS(2,COLUMN())),OFFSET($AM$2,0,0,ROW()-1,33),ROW()-1,FALSE))</f>
        <v>663</v>
      </c>
      <c r="W129">
        <f ca="1">IF(AND(ISNUMBER($W$545),$B$427=1),$W$545,HLOOKUP(INDIRECT(ADDRESS(2,COLUMN())),OFFSET($AM$2,0,0,ROW()-1,33),ROW()-1,FALSE))</f>
        <v>555</v>
      </c>
      <c r="X129">
        <f ca="1">IF(AND(ISNUMBER($X$545),$B$427=1),$X$545,HLOOKUP(INDIRECT(ADDRESS(2,COLUMN())),OFFSET($AM$2,0,0,ROW()-1,33),ROW()-1,FALSE))</f>
        <v>511</v>
      </c>
      <c r="Y129">
        <f ca="1">IF(AND(ISNUMBER($Y$545),$B$427=1),$Y$545,HLOOKUP(INDIRECT(ADDRESS(2,COLUMN())),OFFSET($AM$2,0,0,ROW()-1,33),ROW()-1,FALSE))</f>
        <v>433</v>
      </c>
      <c r="Z129">
        <f ca="1">IF(AND(ISNUMBER($Z$545),$B$427=1),$Z$545,HLOOKUP(INDIRECT(ADDRESS(2,COLUMN())),OFFSET($AM$2,0,0,ROW()-1,33),ROW()-1,FALSE))</f>
        <v>244</v>
      </c>
      <c r="AA129">
        <f ca="1">IF(AND(ISNUMBER($AA$545),$B$427=1),$AA$545,HLOOKUP(INDIRECT(ADDRESS(2,COLUMN())),OFFSET($AM$2,0,0,ROW()-1,33),ROW()-1,FALSE))</f>
        <v>168</v>
      </c>
      <c r="AB129">
        <f ca="1">IF(AND(ISNUMBER($AB$545),$B$427=1),$AB$545,HLOOKUP(INDIRECT(ADDRESS(2,COLUMN())),OFFSET($AM$2,0,0,ROW()-1,33),ROW()-1,FALSE))</f>
        <v>170</v>
      </c>
      <c r="AC129">
        <f ca="1">IF(AND(ISNUMBER($AC$545),$B$427=1),$AC$545,HLOOKUP(INDIRECT(ADDRESS(2,COLUMN())),OFFSET($AM$2,0,0,ROW()-1,33),ROW()-1,FALSE))</f>
        <v>132</v>
      </c>
      <c r="AD129">
        <f ca="1">IF(AND(ISNUMBER($AD$545),$B$427=1),$AD$545,HLOOKUP(INDIRECT(ADDRESS(2,COLUMN())),OFFSET($AM$2,0,0,ROW()-1,33),ROW()-1,FALSE))</f>
        <v>144.578</v>
      </c>
      <c r="AE129">
        <f ca="1">IF(AND(ISNUMBER($AE$545),$B$427=1),$AE$545,HLOOKUP(INDIRECT(ADDRESS(2,COLUMN())),OFFSET($AM$2,0,0,ROW()-1,33),ROW()-1,FALSE))</f>
        <v>91.531000000000006</v>
      </c>
      <c r="AF129">
        <f ca="1">IF(AND(ISNUMBER($AF$545),$B$427=1),$AF$545,HLOOKUP(INDIRECT(ADDRESS(2,COLUMN())),OFFSET($AM$2,0,0,ROW()-1,33),ROW()-1,FALSE))</f>
        <v>48.871000000000002</v>
      </c>
      <c r="AG129">
        <f ca="1">IF(AND(ISNUMBER($AG$545),$B$427=1),$AG$545,HLOOKUP(INDIRECT(ADDRESS(2,COLUMN())),OFFSET($AM$2,0,0,ROW()-1,33),ROW()-1,FALSE))</f>
        <v>60.628999999999998</v>
      </c>
      <c r="AH129">
        <f ca="1">IF(AND(ISNUMBER($AH$545),$B$427=1),$AH$545,HLOOKUP(INDIRECT(ADDRESS(2,COLUMN())),OFFSET($AM$2,0,0,ROW()-1,33),ROW()-1,FALSE))</f>
        <v>32.003999999999998</v>
      </c>
      <c r="AI129">
        <f ca="1">IF(AND(ISNUMBER($AI$545),$B$427=1),$AI$545,HLOOKUP(INDIRECT(ADDRESS(2,COLUMN())),OFFSET($AM$2,0,0,ROW()-1,33),ROW()-1,FALSE))</f>
        <v>1.96</v>
      </c>
      <c r="AJ129">
        <f ca="1">IF(AND(ISNUMBER($AJ$545),$B$427=1),$AJ$545,HLOOKUP(INDIRECT(ADDRESS(2,COLUMN())),OFFSET($AM$2,0,0,ROW()-1,33),ROW()-1,FALSE))</f>
        <v>3.3959999999999999</v>
      </c>
      <c r="AK129">
        <f ca="1">IF(AND(ISNUMBER($AK$545),$B$427=1),$AK$545,HLOOKUP(INDIRECT(ADDRESS(2,COLUMN())),OFFSET($AM$2,0,0,ROW()-1,33),ROW()-1,FALSE))</f>
        <v>1.2689999999999999</v>
      </c>
      <c r="AL129">
        <f ca="1">IF(AND(ISNUMBER($AL$545),$B$427=1),$AL$545,HLOOKUP(INDIRECT(ADDRESS(2,COLUMN())),OFFSET($AM$2,0,0,ROW()-1,33),ROW()-1,FALSE))</f>
        <v>5.63</v>
      </c>
      <c r="AM129">
        <f>2198</f>
        <v>2198</v>
      </c>
      <c r="AN129">
        <f>1839</f>
        <v>1839</v>
      </c>
      <c r="AO129">
        <f>1712</f>
        <v>1712</v>
      </c>
      <c r="AP129">
        <f>1058</f>
        <v>1058</v>
      </c>
      <c r="AQ129">
        <f>731</f>
        <v>731</v>
      </c>
      <c r="AR129">
        <f>1080</f>
        <v>1080</v>
      </c>
      <c r="AS129">
        <f>1030</f>
        <v>1030</v>
      </c>
      <c r="AT129">
        <f>825</f>
        <v>825</v>
      </c>
      <c r="AU129">
        <f>998</f>
        <v>998</v>
      </c>
      <c r="AV129">
        <f>826</f>
        <v>826</v>
      </c>
      <c r="AW129">
        <f>1045</f>
        <v>1045</v>
      </c>
      <c r="AX129">
        <f>862</f>
        <v>862</v>
      </c>
      <c r="AY129">
        <f>932</f>
        <v>932</v>
      </c>
      <c r="AZ129">
        <f>587</f>
        <v>587</v>
      </c>
      <c r="BA129">
        <f>558</f>
        <v>558</v>
      </c>
      <c r="BB129">
        <f>517</f>
        <v>517</v>
      </c>
      <c r="BC129">
        <f>663</f>
        <v>663</v>
      </c>
      <c r="BD129">
        <f>555</f>
        <v>555</v>
      </c>
      <c r="BE129">
        <f>511</f>
        <v>511</v>
      </c>
      <c r="BF129">
        <f>433</f>
        <v>433</v>
      </c>
      <c r="BG129">
        <f>244</f>
        <v>244</v>
      </c>
      <c r="BH129">
        <f>168</f>
        <v>168</v>
      </c>
      <c r="BI129">
        <f>170</f>
        <v>170</v>
      </c>
      <c r="BJ129">
        <f>132</f>
        <v>132</v>
      </c>
      <c r="BK129">
        <f>144.578</f>
        <v>144.578</v>
      </c>
      <c r="BL129">
        <f>91.531</f>
        <v>91.531000000000006</v>
      </c>
      <c r="BM129">
        <f>48.871</f>
        <v>48.871000000000002</v>
      </c>
      <c r="BN129">
        <f>60.629</f>
        <v>60.628999999999998</v>
      </c>
      <c r="BO129">
        <f>32.004</f>
        <v>32.003999999999998</v>
      </c>
      <c r="BP129">
        <f>1.96</f>
        <v>1.96</v>
      </c>
      <c r="BQ129">
        <f>3.396</f>
        <v>3.3959999999999999</v>
      </c>
      <c r="BR129">
        <f>1.269</f>
        <v>1.2689999999999999</v>
      </c>
      <c r="BS129">
        <f>5.63</f>
        <v>5.63</v>
      </c>
    </row>
    <row r="130" spans="1:71" x14ac:dyDescent="0.25">
      <c r="A130" t="str">
        <f>"        Wells Fargo &amp; Co"</f>
        <v xml:space="preserve">        Wells Fargo &amp; Co</v>
      </c>
      <c r="B130" t="str">
        <f>"WFC US Equity"</f>
        <v>WFC US Equity</v>
      </c>
      <c r="C130" t="str">
        <f t="shared" si="15"/>
        <v>FC313</v>
      </c>
      <c r="D130" t="str">
        <f t="shared" si="16"/>
        <v>FDIC_C&amp;I_LOANS_NON-US</v>
      </c>
      <c r="E130" t="str">
        <f t="shared" si="17"/>
        <v>Dynamic</v>
      </c>
      <c r="F130">
        <f ca="1">IF(AND(ISNUMBER($F$546),$B$427=1),$F$546,HLOOKUP(INDIRECT(ADDRESS(2,COLUMN())),OFFSET($AM$2,0,0,ROW()-1,33),ROW()-1,FALSE))</f>
        <v>17462</v>
      </c>
      <c r="G130">
        <f ca="1">IF(AND(ISNUMBER($G$546),$B$427=1),$G$546,HLOOKUP(INDIRECT(ADDRESS(2,COLUMN())),OFFSET($AM$2,0,0,ROW()-1,33),ROW()-1,FALSE))</f>
        <v>19203</v>
      </c>
      <c r="H130">
        <f ca="1">IF(AND(ISNUMBER($H$546),$B$427=1),$H$546,HLOOKUP(INDIRECT(ADDRESS(2,COLUMN())),OFFSET($AM$2,0,0,ROW()-1,33),ROW()-1,FALSE))</f>
        <v>17605</v>
      </c>
      <c r="I130">
        <f ca="1">IF(AND(ISNUMBER($I$546),$B$427=1),$I$546,HLOOKUP(INDIRECT(ADDRESS(2,COLUMN())),OFFSET($AM$2,0,0,ROW()-1,33),ROW()-1,FALSE))</f>
        <v>13524</v>
      </c>
      <c r="J130">
        <f ca="1">IF(AND(ISNUMBER($J$546),$B$427=1),$J$546,HLOOKUP(INDIRECT(ADDRESS(2,COLUMN())),OFFSET($AM$2,0,0,ROW()-1,33),ROW()-1,FALSE))</f>
        <v>14058</v>
      </c>
      <c r="K130">
        <f ca="1">IF(AND(ISNUMBER($K$546),$B$427=1),$K$546,HLOOKUP(INDIRECT(ADDRESS(2,COLUMN())),OFFSET($AM$2,0,0,ROW()-1,33),ROW()-1,FALSE))</f>
        <v>16866</v>
      </c>
      <c r="L130">
        <f ca="1">IF(AND(ISNUMBER($L$546),$B$427=1),$L$546,HLOOKUP(INDIRECT(ADDRESS(2,COLUMN())),OFFSET($AM$2,0,0,ROW()-1,33),ROW()-1,FALSE))</f>
        <v>17658</v>
      </c>
      <c r="M130">
        <f ca="1">IF(AND(ISNUMBER($M$546),$B$427=1),$M$546,HLOOKUP(INDIRECT(ADDRESS(2,COLUMN())),OFFSET($AM$2,0,0,ROW()-1,33),ROW()-1,FALSE))</f>
        <v>16989</v>
      </c>
      <c r="N130">
        <f ca="1">IF(AND(ISNUMBER($N$546),$B$427=1),$N$546,HLOOKUP(INDIRECT(ADDRESS(2,COLUMN())),OFFSET($AM$2,0,0,ROW()-1,33),ROW()-1,FALSE))</f>
        <v>17185</v>
      </c>
      <c r="O130">
        <f ca="1">IF(AND(ISNUMBER($O$546),$B$427=1),$O$546,HLOOKUP(INDIRECT(ADDRESS(2,COLUMN())),OFFSET($AM$2,0,0,ROW()-1,33),ROW()-1,FALSE))</f>
        <v>9607</v>
      </c>
      <c r="P130">
        <f ca="1">IF(AND(ISNUMBER($P$546),$B$427=1),$P$546,HLOOKUP(INDIRECT(ADDRESS(2,COLUMN())),OFFSET($AM$2,0,0,ROW()-1,33),ROW()-1,FALSE))</f>
        <v>9112</v>
      </c>
      <c r="Q130">
        <f ca="1">IF(AND(ISNUMBER($Q$546),$B$427=1),$Q$546,HLOOKUP(INDIRECT(ADDRESS(2,COLUMN())),OFFSET($AM$2,0,0,ROW()-1,33),ROW()-1,FALSE))</f>
        <v>6439</v>
      </c>
      <c r="R130">
        <f ca="1">IF(AND(ISNUMBER($R$546),$B$427=1),$R$546,HLOOKUP(INDIRECT(ADDRESS(2,COLUMN())),OFFSET($AM$2,0,0,ROW()-1,33),ROW()-1,FALSE))</f>
        <v>7144</v>
      </c>
      <c r="S130">
        <f ca="1">IF(AND(ISNUMBER($S$546),$B$427=1),$S$546,HLOOKUP(INDIRECT(ADDRESS(2,COLUMN())),OFFSET($AM$2,0,0,ROW()-1,33),ROW()-1,FALSE))</f>
        <v>5896</v>
      </c>
      <c r="T130">
        <f ca="1">IF(AND(ISNUMBER($T$546),$B$427=1),$T$546,HLOOKUP(INDIRECT(ADDRESS(2,COLUMN())),OFFSET($AM$2,0,0,ROW()-1,33),ROW()-1,FALSE))</f>
        <v>4783</v>
      </c>
      <c r="U130">
        <f ca="1">IF(AND(ISNUMBER($U$546),$B$427=1),$U$546,HLOOKUP(INDIRECT(ADDRESS(2,COLUMN())),OFFSET($AM$2,0,0,ROW()-1,33),ROW()-1,FALSE))</f>
        <v>8060</v>
      </c>
      <c r="V130">
        <f ca="1">IF(AND(ISNUMBER($V$546),$B$427=1),$V$546,HLOOKUP(INDIRECT(ADDRESS(2,COLUMN())),OFFSET($AM$2,0,0,ROW()-1,33),ROW()-1,FALSE))</f>
        <v>9870</v>
      </c>
      <c r="W130">
        <f ca="1">IF(AND(ISNUMBER($W$546),$B$427=1),$W$546,HLOOKUP(INDIRECT(ADDRESS(2,COLUMN())),OFFSET($AM$2,0,0,ROW()-1,33),ROW()-1,FALSE))</f>
        <v>1941</v>
      </c>
      <c r="X130">
        <f ca="1">IF(AND(ISNUMBER($X$546),$B$427=1),$X$546,HLOOKUP(INDIRECT(ADDRESS(2,COLUMN())),OFFSET($AM$2,0,0,ROW()-1,33),ROW()-1,FALSE))</f>
        <v>1335</v>
      </c>
      <c r="Y130">
        <f ca="1">IF(AND(ISNUMBER($Y$546),$B$427=1),$Y$546,HLOOKUP(INDIRECT(ADDRESS(2,COLUMN())),OFFSET($AM$2,0,0,ROW()-1,33),ROW()-1,FALSE))</f>
        <v>763</v>
      </c>
      <c r="Z130">
        <f ca="1">IF(AND(ISNUMBER($Z$546),$B$427=1),$Z$546,HLOOKUP(INDIRECT(ADDRESS(2,COLUMN())),OFFSET($AM$2,0,0,ROW()-1,33),ROW()-1,FALSE))</f>
        <v>492</v>
      </c>
      <c r="AA130">
        <f ca="1">IF(AND(ISNUMBER($AA$546),$B$427=1),$AA$546,HLOOKUP(INDIRECT(ADDRESS(2,COLUMN())),OFFSET($AM$2,0,0,ROW()-1,33),ROW()-1,FALSE))</f>
        <v>278</v>
      </c>
      <c r="AB130">
        <f ca="1">IF(AND(ISNUMBER($AB$546),$B$427=1),$AB$546,HLOOKUP(INDIRECT(ADDRESS(2,COLUMN())),OFFSET($AM$2,0,0,ROW()-1,33),ROW()-1,FALSE))</f>
        <v>54</v>
      </c>
      <c r="AC130">
        <f ca="1">IF(AND(ISNUMBER($AC$546),$B$427=1),$AC$546,HLOOKUP(INDIRECT(ADDRESS(2,COLUMN())),OFFSET($AM$2,0,0,ROW()-1,33),ROW()-1,FALSE))</f>
        <v>42</v>
      </c>
      <c r="AD130">
        <f ca="1">IF(AND(ISNUMBER($AD$546),$B$427=1),$AD$546,HLOOKUP(INDIRECT(ADDRESS(2,COLUMN())),OFFSET($AM$2,0,0,ROW()-1,33),ROW()-1,FALSE))</f>
        <v>218.53100000000001</v>
      </c>
      <c r="AE130">
        <f ca="1">IF(AND(ISNUMBER($AE$546),$B$427=1),$AE$546,HLOOKUP(INDIRECT(ADDRESS(2,COLUMN())),OFFSET($AM$2,0,0,ROW()-1,33),ROW()-1,FALSE))</f>
        <v>276.00700000000001</v>
      </c>
      <c r="AF130">
        <f ca="1">IF(AND(ISNUMBER($AF$546),$B$427=1),$AF$546,HLOOKUP(INDIRECT(ADDRESS(2,COLUMN())),OFFSET($AM$2,0,0,ROW()-1,33),ROW()-1,FALSE))</f>
        <v>160.52799999999999</v>
      </c>
      <c r="AG130">
        <f ca="1">IF(AND(ISNUMBER($AG$546),$B$427=1),$AG$546,HLOOKUP(INDIRECT(ADDRESS(2,COLUMN())),OFFSET($AM$2,0,0,ROW()-1,33),ROW()-1,FALSE))</f>
        <v>108.64</v>
      </c>
      <c r="AH130">
        <f ca="1">IF(AND(ISNUMBER($AH$546),$B$427=1),$AH$546,HLOOKUP(INDIRECT(ADDRESS(2,COLUMN())),OFFSET($AM$2,0,0,ROW()-1,33),ROW()-1,FALSE))</f>
        <v>96.637</v>
      </c>
      <c r="AI130">
        <f ca="1">IF(AND(ISNUMBER($AI$546),$B$427=1),$AI$546,HLOOKUP(INDIRECT(ADDRESS(2,COLUMN())),OFFSET($AM$2,0,0,ROW()-1,33),ROW()-1,FALSE))</f>
        <v>84.724000000000004</v>
      </c>
      <c r="AJ130">
        <f ca="1">IF(AND(ISNUMBER($AJ$546),$B$427=1),$AJ$546,HLOOKUP(INDIRECT(ADDRESS(2,COLUMN())),OFFSET($AM$2,0,0,ROW()-1,33),ROW()-1,FALSE))</f>
        <v>28.405999999999999</v>
      </c>
      <c r="AK130">
        <f ca="1">IF(AND(ISNUMBER($AK$546),$B$427=1),$AK$546,HLOOKUP(INDIRECT(ADDRESS(2,COLUMN())),OFFSET($AM$2,0,0,ROW()-1,33),ROW()-1,FALSE))</f>
        <v>12.619</v>
      </c>
      <c r="AL130">
        <f ca="1">IF(AND(ISNUMBER($AL$546),$B$427=1),$AL$546,HLOOKUP(INDIRECT(ADDRESS(2,COLUMN())),OFFSET($AM$2,0,0,ROW()-1,33),ROW()-1,FALSE))</f>
        <v>19.309999999999999</v>
      </c>
      <c r="AM130">
        <f>17462</f>
        <v>17462</v>
      </c>
      <c r="AN130">
        <f>19203</f>
        <v>19203</v>
      </c>
      <c r="AO130">
        <f>17605</f>
        <v>17605</v>
      </c>
      <c r="AP130">
        <f>13524</f>
        <v>13524</v>
      </c>
      <c r="AQ130">
        <f>14058</f>
        <v>14058</v>
      </c>
      <c r="AR130">
        <f>16866</f>
        <v>16866</v>
      </c>
      <c r="AS130">
        <f>17658</f>
        <v>17658</v>
      </c>
      <c r="AT130">
        <f>16989</f>
        <v>16989</v>
      </c>
      <c r="AU130">
        <f>17185</f>
        <v>17185</v>
      </c>
      <c r="AV130">
        <f>9607</f>
        <v>9607</v>
      </c>
      <c r="AW130">
        <f>9112</f>
        <v>9112</v>
      </c>
      <c r="AX130">
        <f>6439</f>
        <v>6439</v>
      </c>
      <c r="AY130">
        <f>7144</f>
        <v>7144</v>
      </c>
      <c r="AZ130">
        <f>5896</f>
        <v>5896</v>
      </c>
      <c r="BA130">
        <f>4783</f>
        <v>4783</v>
      </c>
      <c r="BB130">
        <f>8060</f>
        <v>8060</v>
      </c>
      <c r="BC130">
        <f>9870</f>
        <v>9870</v>
      </c>
      <c r="BD130">
        <f>1941</f>
        <v>1941</v>
      </c>
      <c r="BE130">
        <f>1335</f>
        <v>1335</v>
      </c>
      <c r="BF130">
        <f>763</f>
        <v>763</v>
      </c>
      <c r="BG130">
        <f>492</f>
        <v>492</v>
      </c>
      <c r="BH130">
        <f>278</f>
        <v>278</v>
      </c>
      <c r="BI130">
        <f>54</f>
        <v>54</v>
      </c>
      <c r="BJ130">
        <f>42</f>
        <v>42</v>
      </c>
      <c r="BK130">
        <f>218.531</f>
        <v>218.53100000000001</v>
      </c>
      <c r="BL130">
        <f>276.007</f>
        <v>276.00700000000001</v>
      </c>
      <c r="BM130">
        <f>160.528</f>
        <v>160.52799999999999</v>
      </c>
      <c r="BN130">
        <f>108.64</f>
        <v>108.64</v>
      </c>
      <c r="BO130">
        <f>96.637</f>
        <v>96.637</v>
      </c>
      <c r="BP130">
        <f>84.724</f>
        <v>84.724000000000004</v>
      </c>
      <c r="BQ130">
        <f>28.406</f>
        <v>28.405999999999999</v>
      </c>
      <c r="BR130">
        <f>12.619</f>
        <v>12.619</v>
      </c>
      <c r="BS130">
        <f>19.31</f>
        <v>19.309999999999999</v>
      </c>
    </row>
    <row r="131" spans="1:71" x14ac:dyDescent="0.25">
      <c r="A131" t="str">
        <f>"        Western Alliance Bancorp"</f>
        <v xml:space="preserve">        Western Alliance Bancorp</v>
      </c>
      <c r="B131" t="str">
        <f>"WAL US Equity"</f>
        <v>WAL US Equity</v>
      </c>
      <c r="C131" t="str">
        <f t="shared" si="15"/>
        <v>FC313</v>
      </c>
      <c r="D131" t="str">
        <f t="shared" si="16"/>
        <v>FDIC_C&amp;I_LOANS_NON-US</v>
      </c>
      <c r="E131" t="str">
        <f t="shared" si="17"/>
        <v>Dynamic</v>
      </c>
      <c r="F131">
        <f ca="1">IF(AND(ISNUMBER($F$547),$B$427=1),$F$547,HLOOKUP(INDIRECT(ADDRESS(2,COLUMN())),OFFSET($AM$2,0,0,ROW()-1,33),ROW()-1,FALSE))</f>
        <v>107.81399999999999</v>
      </c>
      <c r="G131">
        <f ca="1">IF(AND(ISNUMBER($G$547),$B$427=1),$G$547,HLOOKUP(INDIRECT(ADDRESS(2,COLUMN())),OFFSET($AM$2,0,0,ROW()-1,33),ROW()-1,FALSE))</f>
        <v>63.743000000000002</v>
      </c>
      <c r="H131">
        <f ca="1">IF(AND(ISNUMBER($H$547),$B$427=1),$H$547,HLOOKUP(INDIRECT(ADDRESS(2,COLUMN())),OFFSET($AM$2,0,0,ROW()-1,33),ROW()-1,FALSE))</f>
        <v>363.35300000000001</v>
      </c>
      <c r="I131">
        <f ca="1">IF(AND(ISNUMBER($I$547),$B$427=1),$I$547,HLOOKUP(INDIRECT(ADDRESS(2,COLUMN())),OFFSET($AM$2,0,0,ROW()-1,33),ROW()-1,FALSE))</f>
        <v>202.489</v>
      </c>
      <c r="J131">
        <f ca="1">IF(AND(ISNUMBER($J$547),$B$427=1),$J$547,HLOOKUP(INDIRECT(ADDRESS(2,COLUMN())),OFFSET($AM$2,0,0,ROW()-1,33),ROW()-1,FALSE))</f>
        <v>276.77</v>
      </c>
      <c r="K131">
        <f ca="1">IF(AND(ISNUMBER($K$547),$B$427=1),$K$547,HLOOKUP(INDIRECT(ADDRESS(2,COLUMN())),OFFSET($AM$2,0,0,ROW()-1,33),ROW()-1,FALSE))</f>
        <v>140.785</v>
      </c>
      <c r="L131">
        <f ca="1">IF(AND(ISNUMBER($L$547),$B$427=1),$L$547,HLOOKUP(INDIRECT(ADDRESS(2,COLUMN())),OFFSET($AM$2,0,0,ROW()-1,33),ROW()-1,FALSE))</f>
        <v>74.522000000000006</v>
      </c>
      <c r="M131">
        <f ca="1">IF(AND(ISNUMBER($M$547),$B$427=1),$M$547,HLOOKUP(INDIRECT(ADDRESS(2,COLUMN())),OFFSET($AM$2,0,0,ROW()-1,33),ROW()-1,FALSE))</f>
        <v>67.126000000000005</v>
      </c>
      <c r="N131">
        <f ca="1">IF(AND(ISNUMBER($N$547),$B$427=1),$N$547,HLOOKUP(INDIRECT(ADDRESS(2,COLUMN())),OFFSET($AM$2,0,0,ROW()-1,33),ROW()-1,FALSE))</f>
        <v>21.701000000000001</v>
      </c>
      <c r="O131">
        <f ca="1">IF(AND(ISNUMBER($O$547),$B$427=1),$O$547,HLOOKUP(INDIRECT(ADDRESS(2,COLUMN())),OFFSET($AM$2,0,0,ROW()-1,33),ROW()-1,FALSE))</f>
        <v>54.488999999999997</v>
      </c>
      <c r="P131">
        <f ca="1">IF(AND(ISNUMBER($P$547),$B$427=1),$P$547,HLOOKUP(INDIRECT(ADDRESS(2,COLUMN())),OFFSET($AM$2,0,0,ROW()-1,33),ROW()-1,FALSE))</f>
        <v>28.256</v>
      </c>
      <c r="Q131">
        <f ca="1">IF(AND(ISNUMBER($Q$547),$B$427=1),$Q$547,HLOOKUP(INDIRECT(ADDRESS(2,COLUMN())),OFFSET($AM$2,0,0,ROW()-1,33),ROW()-1,FALSE))</f>
        <v>15.102</v>
      </c>
      <c r="R131">
        <f ca="1">IF(AND(ISNUMBER($R$547),$B$427=1),$R$547,HLOOKUP(INDIRECT(ADDRESS(2,COLUMN())),OFFSET($AM$2,0,0,ROW()-1,33),ROW()-1,FALSE))</f>
        <v>0</v>
      </c>
      <c r="S131">
        <f ca="1">IF(AND(ISNUMBER($S$547),$B$427=1),$S$547,HLOOKUP(INDIRECT(ADDRESS(2,COLUMN())),OFFSET($AM$2,0,0,ROW()-1,33),ROW()-1,FALSE))</f>
        <v>0</v>
      </c>
      <c r="T131">
        <f ca="1">IF(AND(ISNUMBER($T$547),$B$427=1),$T$547,HLOOKUP(INDIRECT(ADDRESS(2,COLUMN())),OFFSET($AM$2,0,0,ROW()-1,33),ROW()-1,FALSE))</f>
        <v>0</v>
      </c>
      <c r="U131">
        <f ca="1">IF(AND(ISNUMBER($U$547),$B$427=1),$U$547,HLOOKUP(INDIRECT(ADDRESS(2,COLUMN())),OFFSET($AM$2,0,0,ROW()-1,33),ROW()-1,FALSE))</f>
        <v>0</v>
      </c>
      <c r="V131">
        <f ca="1">IF(AND(ISNUMBER($V$547),$B$427=1),$V$547,HLOOKUP(INDIRECT(ADDRESS(2,COLUMN())),OFFSET($AM$2,0,0,ROW()-1,33),ROW()-1,FALSE))</f>
        <v>0</v>
      </c>
      <c r="W131">
        <f ca="1">IF(AND(ISNUMBER($W$547),$B$427=1),$W$547,HLOOKUP(INDIRECT(ADDRESS(2,COLUMN())),OFFSET($AM$2,0,0,ROW()-1,33),ROW()-1,FALSE))</f>
        <v>0</v>
      </c>
      <c r="X131">
        <f ca="1">IF(AND(ISNUMBER($X$547),$B$427=1),$X$547,HLOOKUP(INDIRECT(ADDRESS(2,COLUMN())),OFFSET($AM$2,0,0,ROW()-1,33),ROW()-1,FALSE))</f>
        <v>0</v>
      </c>
      <c r="Y131">
        <f ca="1">IF(AND(ISNUMBER($Y$547),$B$427=1),$Y$547,HLOOKUP(INDIRECT(ADDRESS(2,COLUMN())),OFFSET($AM$2,0,0,ROW()-1,33),ROW()-1,FALSE))</f>
        <v>0</v>
      </c>
      <c r="Z131">
        <f ca="1">IF(AND(ISNUMBER($Z$547),$B$427=1),$Z$547,HLOOKUP(INDIRECT(ADDRESS(2,COLUMN())),OFFSET($AM$2,0,0,ROW()-1,33),ROW()-1,FALSE))</f>
        <v>0</v>
      </c>
      <c r="AA131">
        <f ca="1">IF(AND(ISNUMBER($AA$547),$B$427=1),$AA$547,HLOOKUP(INDIRECT(ADDRESS(2,COLUMN())),OFFSET($AM$2,0,0,ROW()-1,33),ROW()-1,FALSE))</f>
        <v>0</v>
      </c>
      <c r="AB131">
        <f ca="1">IF(AND(ISNUMBER($AB$547),$B$427=1),$AB$547,HLOOKUP(INDIRECT(ADDRESS(2,COLUMN())),OFFSET($AM$2,0,0,ROW()-1,33),ROW()-1,FALSE))</f>
        <v>0</v>
      </c>
      <c r="AC131">
        <f ca="1">IF(AND(ISNUMBER($AC$547),$B$427=1),$AC$547,HLOOKUP(INDIRECT(ADDRESS(2,COLUMN())),OFFSET($AM$2,0,0,ROW()-1,33),ROW()-1,FALSE))</f>
        <v>0</v>
      </c>
      <c r="AD131" t="str">
        <f ca="1">IF(AND(ISNUMBER($AD$547),$B$427=1),$AD$547,HLOOKUP(INDIRECT(ADDRESS(2,COLUMN())),OFFSET($AM$2,0,0,ROW()-1,33),ROW()-1,FALSE))</f>
        <v/>
      </c>
      <c r="AE131" t="str">
        <f ca="1">IF(AND(ISNUMBER($AE$547),$B$427=1),$AE$547,HLOOKUP(INDIRECT(ADDRESS(2,COLUMN())),OFFSET($AM$2,0,0,ROW()-1,33),ROW()-1,FALSE))</f>
        <v/>
      </c>
      <c r="AF131" t="str">
        <f ca="1">IF(AND(ISNUMBER($AF$547),$B$427=1),$AF$547,HLOOKUP(INDIRECT(ADDRESS(2,COLUMN())),OFFSET($AM$2,0,0,ROW()-1,33),ROW()-1,FALSE))</f>
        <v/>
      </c>
      <c r="AG131" t="str">
        <f ca="1">IF(AND(ISNUMBER($AG$547),$B$427=1),$AG$547,HLOOKUP(INDIRECT(ADDRESS(2,COLUMN())),OFFSET($AM$2,0,0,ROW()-1,33),ROW()-1,FALSE))</f>
        <v/>
      </c>
      <c r="AH131" t="str">
        <f ca="1">IF(AND(ISNUMBER($AH$547),$B$427=1),$AH$547,HLOOKUP(INDIRECT(ADDRESS(2,COLUMN())),OFFSET($AM$2,0,0,ROW()-1,33),ROW()-1,FALSE))</f>
        <v/>
      </c>
      <c r="AI131" t="str">
        <f ca="1">IF(AND(ISNUMBER($AI$547),$B$427=1),$AI$547,HLOOKUP(INDIRECT(ADDRESS(2,COLUMN())),OFFSET($AM$2,0,0,ROW()-1,33),ROW()-1,FALSE))</f>
        <v/>
      </c>
      <c r="AJ131" t="str">
        <f ca="1">IF(AND(ISNUMBER($AJ$547),$B$427=1),$AJ$547,HLOOKUP(INDIRECT(ADDRESS(2,COLUMN())),OFFSET($AM$2,0,0,ROW()-1,33),ROW()-1,FALSE))</f>
        <v/>
      </c>
      <c r="AK131" t="str">
        <f ca="1">IF(AND(ISNUMBER($AK$547),$B$427=1),$AK$547,HLOOKUP(INDIRECT(ADDRESS(2,COLUMN())),OFFSET($AM$2,0,0,ROW()-1,33),ROW()-1,FALSE))</f>
        <v/>
      </c>
      <c r="AL131" t="str">
        <f ca="1">IF(AND(ISNUMBER($AL$547),$B$427=1),$AL$547,HLOOKUP(INDIRECT(ADDRESS(2,COLUMN())),OFFSET($AM$2,0,0,ROW()-1,33),ROW()-1,FALSE))</f>
        <v/>
      </c>
      <c r="AM131">
        <f>107.814</f>
        <v>107.81399999999999</v>
      </c>
      <c r="AN131">
        <f>63.743</f>
        <v>63.743000000000002</v>
      </c>
      <c r="AO131">
        <f>363.353</f>
        <v>363.35300000000001</v>
      </c>
      <c r="AP131">
        <f>202.489</f>
        <v>202.489</v>
      </c>
      <c r="AQ131">
        <f>276.77</f>
        <v>276.77</v>
      </c>
      <c r="AR131">
        <f>140.785</f>
        <v>140.785</v>
      </c>
      <c r="AS131">
        <f>74.522</f>
        <v>74.522000000000006</v>
      </c>
      <c r="AT131">
        <f>67.126</f>
        <v>67.126000000000005</v>
      </c>
      <c r="AU131">
        <f>21.701</f>
        <v>21.701000000000001</v>
      </c>
      <c r="AV131">
        <f>54.489</f>
        <v>54.488999999999997</v>
      </c>
      <c r="AW131">
        <f>28.256</f>
        <v>28.256</v>
      </c>
      <c r="AX131">
        <f>15.102</f>
        <v>15.102</v>
      </c>
      <c r="AY131">
        <f>0</f>
        <v>0</v>
      </c>
      <c r="AZ131">
        <f>0</f>
        <v>0</v>
      </c>
      <c r="BA131">
        <f>0</f>
        <v>0</v>
      </c>
      <c r="BB131">
        <f>0</f>
        <v>0</v>
      </c>
      <c r="BC131">
        <f>0</f>
        <v>0</v>
      </c>
      <c r="BD131">
        <f>0</f>
        <v>0</v>
      </c>
      <c r="BE131">
        <f>0</f>
        <v>0</v>
      </c>
      <c r="BF131">
        <f>0</f>
        <v>0</v>
      </c>
      <c r="BG131">
        <f>0</f>
        <v>0</v>
      </c>
      <c r="BH131">
        <f>0</f>
        <v>0</v>
      </c>
      <c r="BI131">
        <f>0</f>
        <v>0</v>
      </c>
      <c r="BJ131">
        <f>0</f>
        <v>0</v>
      </c>
      <c r="BK131" t="str">
        <f>""</f>
        <v/>
      </c>
      <c r="BL131" t="str">
        <f>""</f>
        <v/>
      </c>
      <c r="BM131" t="str">
        <f>""</f>
        <v/>
      </c>
      <c r="BN131" t="str">
        <f>""</f>
        <v/>
      </c>
      <c r="BO131" t="str">
        <f>""</f>
        <v/>
      </c>
      <c r="BP131" t="str">
        <f>""</f>
        <v/>
      </c>
      <c r="BQ131" t="str">
        <f>""</f>
        <v/>
      </c>
      <c r="BR131" t="str">
        <f>""</f>
        <v/>
      </c>
      <c r="BS131" t="str">
        <f>""</f>
        <v/>
      </c>
    </row>
    <row r="132" spans="1:71" x14ac:dyDescent="0.25">
      <c r="A132" t="str">
        <f>"        Zions Bancorp NA"</f>
        <v xml:space="preserve">        Zions Bancorp NA</v>
      </c>
      <c r="B132" t="str">
        <f>"ZION US Equity"</f>
        <v>ZION US Equity</v>
      </c>
      <c r="C132" t="str">
        <f t="shared" si="15"/>
        <v>FC313</v>
      </c>
      <c r="D132" t="str">
        <f t="shared" si="16"/>
        <v>FDIC_C&amp;I_LOANS_NON-US</v>
      </c>
      <c r="E132" t="str">
        <f t="shared" si="17"/>
        <v>Dynamic</v>
      </c>
      <c r="F132" t="str">
        <f ca="1">IF(AND(ISNUMBER($F$548),$B$427=1),$F$548,HLOOKUP(INDIRECT(ADDRESS(2,COLUMN())),OFFSET($AM$2,0,0,ROW()-1,33),ROW()-1,FALSE))</f>
        <v/>
      </c>
      <c r="G132">
        <f ca="1">IF(AND(ISNUMBER($G$548),$B$427=1),$G$548,HLOOKUP(INDIRECT(ADDRESS(2,COLUMN())),OFFSET($AM$2,0,0,ROW()-1,33),ROW()-1,FALSE))</f>
        <v>0.502</v>
      </c>
      <c r="H132">
        <f ca="1">IF(AND(ISNUMBER($H$548),$B$427=1),$H$548,HLOOKUP(INDIRECT(ADDRESS(2,COLUMN())),OFFSET($AM$2,0,0,ROW()-1,33),ROW()-1,FALSE))</f>
        <v>30.603999999999999</v>
      </c>
      <c r="I132">
        <f ca="1">IF(AND(ISNUMBER($I$548),$B$427=1),$I$548,HLOOKUP(INDIRECT(ADDRESS(2,COLUMN())),OFFSET($AM$2,0,0,ROW()-1,33),ROW()-1,FALSE))</f>
        <v>34.831000000000003</v>
      </c>
      <c r="J132" t="str">
        <f ca="1">IF(AND(ISNUMBER($J$548),$B$427=1),$J$548,HLOOKUP(INDIRECT(ADDRESS(2,COLUMN())),OFFSET($AM$2,0,0,ROW()-1,33),ROW()-1,FALSE))</f>
        <v/>
      </c>
      <c r="K132" t="str">
        <f ca="1">IF(AND(ISNUMBER($K$548),$B$427=1),$K$548,HLOOKUP(INDIRECT(ADDRESS(2,COLUMN())),OFFSET($AM$2,0,0,ROW()-1,33),ROW()-1,FALSE))</f>
        <v/>
      </c>
      <c r="L132" t="str">
        <f ca="1">IF(AND(ISNUMBER($L$548),$B$427=1),$L$548,HLOOKUP(INDIRECT(ADDRESS(2,COLUMN())),OFFSET($AM$2,0,0,ROW()-1,33),ROW()-1,FALSE))</f>
        <v/>
      </c>
      <c r="M132" t="str">
        <f ca="1">IF(AND(ISNUMBER($M$548),$B$427=1),$M$548,HLOOKUP(INDIRECT(ADDRESS(2,COLUMN())),OFFSET($AM$2,0,0,ROW()-1,33),ROW()-1,FALSE))</f>
        <v/>
      </c>
      <c r="N132" t="str">
        <f ca="1">IF(AND(ISNUMBER($N$548),$B$427=1),$N$548,HLOOKUP(INDIRECT(ADDRESS(2,COLUMN())),OFFSET($AM$2,0,0,ROW()-1,33),ROW()-1,FALSE))</f>
        <v/>
      </c>
      <c r="O132" t="str">
        <f ca="1">IF(AND(ISNUMBER($O$548),$B$427=1),$O$548,HLOOKUP(INDIRECT(ADDRESS(2,COLUMN())),OFFSET($AM$2,0,0,ROW()-1,33),ROW()-1,FALSE))</f>
        <v/>
      </c>
      <c r="P132" t="str">
        <f ca="1">IF(AND(ISNUMBER($P$548),$B$427=1),$P$548,HLOOKUP(INDIRECT(ADDRESS(2,COLUMN())),OFFSET($AM$2,0,0,ROW()-1,33),ROW()-1,FALSE))</f>
        <v/>
      </c>
      <c r="Q132" t="str">
        <f ca="1">IF(AND(ISNUMBER($Q$548),$B$427=1),$Q$548,HLOOKUP(INDIRECT(ADDRESS(2,COLUMN())),OFFSET($AM$2,0,0,ROW()-1,33),ROW()-1,FALSE))</f>
        <v/>
      </c>
      <c r="R132" t="str">
        <f ca="1">IF(AND(ISNUMBER($R$548),$B$427=1),$R$548,HLOOKUP(INDIRECT(ADDRESS(2,COLUMN())),OFFSET($AM$2,0,0,ROW()-1,33),ROW()-1,FALSE))</f>
        <v/>
      </c>
      <c r="S132" t="str">
        <f ca="1">IF(AND(ISNUMBER($S$548),$B$427=1),$S$548,HLOOKUP(INDIRECT(ADDRESS(2,COLUMN())),OFFSET($AM$2,0,0,ROW()-1,33),ROW()-1,FALSE))</f>
        <v/>
      </c>
      <c r="T132" t="str">
        <f ca="1">IF(AND(ISNUMBER($T$548),$B$427=1),$T$548,HLOOKUP(INDIRECT(ADDRESS(2,COLUMN())),OFFSET($AM$2,0,0,ROW()-1,33),ROW()-1,FALSE))</f>
        <v/>
      </c>
      <c r="U132" t="str">
        <f ca="1">IF(AND(ISNUMBER($U$548),$B$427=1),$U$548,HLOOKUP(INDIRECT(ADDRESS(2,COLUMN())),OFFSET($AM$2,0,0,ROW()-1,33),ROW()-1,FALSE))</f>
        <v/>
      </c>
      <c r="V132" t="str">
        <f ca="1">IF(AND(ISNUMBER($V$548),$B$427=1),$V$548,HLOOKUP(INDIRECT(ADDRESS(2,COLUMN())),OFFSET($AM$2,0,0,ROW()-1,33),ROW()-1,FALSE))</f>
        <v/>
      </c>
      <c r="W132" t="str">
        <f ca="1">IF(AND(ISNUMBER($W$548),$B$427=1),$W$548,HLOOKUP(INDIRECT(ADDRESS(2,COLUMN())),OFFSET($AM$2,0,0,ROW()-1,33),ROW()-1,FALSE))</f>
        <v/>
      </c>
      <c r="X132" t="str">
        <f ca="1">IF(AND(ISNUMBER($X$548),$B$427=1),$X$548,HLOOKUP(INDIRECT(ADDRESS(2,COLUMN())),OFFSET($AM$2,0,0,ROW()-1,33),ROW()-1,FALSE))</f>
        <v/>
      </c>
      <c r="Y132" t="str">
        <f ca="1">IF(AND(ISNUMBER($Y$548),$B$427=1),$Y$548,HLOOKUP(INDIRECT(ADDRESS(2,COLUMN())),OFFSET($AM$2,0,0,ROW()-1,33),ROW()-1,FALSE))</f>
        <v/>
      </c>
      <c r="Z132" t="str">
        <f ca="1">IF(AND(ISNUMBER($Z$548),$B$427=1),$Z$548,HLOOKUP(INDIRECT(ADDRESS(2,COLUMN())),OFFSET($AM$2,0,0,ROW()-1,33),ROW()-1,FALSE))</f>
        <v/>
      </c>
      <c r="AA132" t="str">
        <f ca="1">IF(AND(ISNUMBER($AA$548),$B$427=1),$AA$548,HLOOKUP(INDIRECT(ADDRESS(2,COLUMN())),OFFSET($AM$2,0,0,ROW()-1,33),ROW()-1,FALSE))</f>
        <v/>
      </c>
      <c r="AB132" t="str">
        <f ca="1">IF(AND(ISNUMBER($AB$548),$B$427=1),$AB$548,HLOOKUP(INDIRECT(ADDRESS(2,COLUMN())),OFFSET($AM$2,0,0,ROW()-1,33),ROW()-1,FALSE))</f>
        <v/>
      </c>
      <c r="AC132" t="str">
        <f ca="1">IF(AND(ISNUMBER($AC$548),$B$427=1),$AC$548,HLOOKUP(INDIRECT(ADDRESS(2,COLUMN())),OFFSET($AM$2,0,0,ROW()-1,33),ROW()-1,FALSE))</f>
        <v/>
      </c>
      <c r="AD132" t="str">
        <f ca="1">IF(AND(ISNUMBER($AD$548),$B$427=1),$AD$548,HLOOKUP(INDIRECT(ADDRESS(2,COLUMN())),OFFSET($AM$2,0,0,ROW()-1,33),ROW()-1,FALSE))</f>
        <v/>
      </c>
      <c r="AE132" t="str">
        <f ca="1">IF(AND(ISNUMBER($AE$548),$B$427=1),$AE$548,HLOOKUP(INDIRECT(ADDRESS(2,COLUMN())),OFFSET($AM$2,0,0,ROW()-1,33),ROW()-1,FALSE))</f>
        <v/>
      </c>
      <c r="AF132" t="str">
        <f ca="1">IF(AND(ISNUMBER($AF$548),$B$427=1),$AF$548,HLOOKUP(INDIRECT(ADDRESS(2,COLUMN())),OFFSET($AM$2,0,0,ROW()-1,33),ROW()-1,FALSE))</f>
        <v/>
      </c>
      <c r="AG132" t="str">
        <f ca="1">IF(AND(ISNUMBER($AG$548),$B$427=1),$AG$548,HLOOKUP(INDIRECT(ADDRESS(2,COLUMN())),OFFSET($AM$2,0,0,ROW()-1,33),ROW()-1,FALSE))</f>
        <v/>
      </c>
      <c r="AH132" t="str">
        <f ca="1">IF(AND(ISNUMBER($AH$548),$B$427=1),$AH$548,HLOOKUP(INDIRECT(ADDRESS(2,COLUMN())),OFFSET($AM$2,0,0,ROW()-1,33),ROW()-1,FALSE))</f>
        <v/>
      </c>
      <c r="AI132" t="str">
        <f ca="1">IF(AND(ISNUMBER($AI$548),$B$427=1),$AI$548,HLOOKUP(INDIRECT(ADDRESS(2,COLUMN())),OFFSET($AM$2,0,0,ROW()-1,33),ROW()-1,FALSE))</f>
        <v/>
      </c>
      <c r="AJ132" t="str">
        <f ca="1">IF(AND(ISNUMBER($AJ$548),$B$427=1),$AJ$548,HLOOKUP(INDIRECT(ADDRESS(2,COLUMN())),OFFSET($AM$2,0,0,ROW()-1,33),ROW()-1,FALSE))</f>
        <v/>
      </c>
      <c r="AK132" t="str">
        <f ca="1">IF(AND(ISNUMBER($AK$548),$B$427=1),$AK$548,HLOOKUP(INDIRECT(ADDRESS(2,COLUMN())),OFFSET($AM$2,0,0,ROW()-1,33),ROW()-1,FALSE))</f>
        <v/>
      </c>
      <c r="AL132" t="str">
        <f ca="1">IF(AND(ISNUMBER($AL$548),$B$427=1),$AL$548,HLOOKUP(INDIRECT(ADDRESS(2,COLUMN())),OFFSET($AM$2,0,0,ROW()-1,33),ROW()-1,FALSE))</f>
        <v/>
      </c>
      <c r="AM132" t="str">
        <f>""</f>
        <v/>
      </c>
      <c r="AN132">
        <f>0.502</f>
        <v>0.502</v>
      </c>
      <c r="AO132">
        <f>30.604</f>
        <v>30.603999999999999</v>
      </c>
      <c r="AP132">
        <f>34.831</f>
        <v>34.831000000000003</v>
      </c>
      <c r="AQ132" t="str">
        <f>""</f>
        <v/>
      </c>
      <c r="AR132" t="str">
        <f>""</f>
        <v/>
      </c>
      <c r="AS132" t="str">
        <f>""</f>
        <v/>
      </c>
      <c r="AT132" t="str">
        <f>""</f>
        <v/>
      </c>
      <c r="AU132" t="str">
        <f>""</f>
        <v/>
      </c>
      <c r="AV132" t="str">
        <f>""</f>
        <v/>
      </c>
      <c r="AW132" t="str">
        <f>""</f>
        <v/>
      </c>
      <c r="AX132" t="str">
        <f>""</f>
        <v/>
      </c>
      <c r="AY132" t="str">
        <f>""</f>
        <v/>
      </c>
      <c r="AZ132" t="str">
        <f>""</f>
        <v/>
      </c>
      <c r="BA132" t="str">
        <f>""</f>
        <v/>
      </c>
      <c r="BB132" t="str">
        <f>""</f>
        <v/>
      </c>
      <c r="BC132" t="str">
        <f>""</f>
        <v/>
      </c>
      <c r="BD132" t="str">
        <f>""</f>
        <v/>
      </c>
      <c r="BE132" t="str">
        <f>""</f>
        <v/>
      </c>
      <c r="BF132" t="str">
        <f>""</f>
        <v/>
      </c>
      <c r="BG132" t="str">
        <f>""</f>
        <v/>
      </c>
      <c r="BH132" t="str">
        <f>""</f>
        <v/>
      </c>
      <c r="BI132" t="str">
        <f>""</f>
        <v/>
      </c>
      <c r="BJ132" t="str">
        <f>""</f>
        <v/>
      </c>
      <c r="BK132" t="str">
        <f>""</f>
        <v/>
      </c>
      <c r="BL132" t="str">
        <f>""</f>
        <v/>
      </c>
      <c r="BM132" t="str">
        <f>""</f>
        <v/>
      </c>
      <c r="BN132" t="str">
        <f>""</f>
        <v/>
      </c>
      <c r="BO132" t="str">
        <f>""</f>
        <v/>
      </c>
      <c r="BP132" t="str">
        <f>""</f>
        <v/>
      </c>
      <c r="BQ132" t="str">
        <f>""</f>
        <v/>
      </c>
      <c r="BR132" t="str">
        <f>""</f>
        <v/>
      </c>
      <c r="BS132" t="str">
        <f>""</f>
        <v/>
      </c>
    </row>
    <row r="133" spans="1:71" x14ac:dyDescent="0.25">
      <c r="A133" t="str">
        <f>"    C&amp;I Loans by Company"</f>
        <v xml:space="preserve">    C&amp;I Loans by Company</v>
      </c>
      <c r="B133" t="str">
        <f>""</f>
        <v/>
      </c>
      <c r="E133" t="str">
        <f>"Sum"</f>
        <v>Sum</v>
      </c>
      <c r="F133">
        <f ca="1">IF(ISERROR(IF(SUM($F$134:$F$153) = 0, "", SUM($F$134:$F$153))), "", (IF(SUM($F$134:$F$153) = 0, "", SUM($F$134:$F$153))))</f>
        <v>1319202.9620000001</v>
      </c>
      <c r="G133">
        <f ca="1">IF(ISERROR(IF(SUM($G$134:$G$153) = 0, "", SUM($G$134:$G$153))), "", (IF(SUM($G$134:$G$153) = 0, "", SUM($G$134:$G$153))))</f>
        <v>1552466.875</v>
      </c>
      <c r="H133">
        <f ca="1">IF(ISERROR(IF(SUM($H$134:$H$153) = 0, "", SUM($H$134:$H$153))), "", (IF(SUM($H$134:$H$153) = 0, "", SUM($H$134:$H$153))))</f>
        <v>1565602.754</v>
      </c>
      <c r="I133">
        <f ca="1">IF(ISERROR(IF(SUM($I$134:$I$153) = 0, "", SUM($I$134:$I$153))), "", (IF(SUM($I$134:$I$153) = 0, "", SUM($I$134:$I$153))))</f>
        <v>1360535.1539999999</v>
      </c>
      <c r="J133">
        <f ca="1">IF(ISERROR(IF(SUM($J$134:$J$153) = 0, "", SUM($J$134:$J$153))), "", (IF(SUM($J$134:$J$153) = 0, "", SUM($J$134:$J$153))))</f>
        <v>1352373.561</v>
      </c>
      <c r="K133">
        <f ca="1">IF(ISERROR(IF(SUM($K$134:$K$153) = 0, "", SUM($K$134:$K$153))), "", (IF(SUM($K$134:$K$153) = 0, "", SUM($K$134:$K$153))))</f>
        <v>1347599.6379999998</v>
      </c>
      <c r="L133">
        <f ca="1">IF(ISERROR(IF(SUM($L$134:$L$153) = 0, "", SUM($L$134:$L$153))), "", (IF(SUM($L$134:$L$153) = 0, "", SUM($L$134:$L$153))))</f>
        <v>1288551.925</v>
      </c>
      <c r="M133">
        <f ca="1">IF(ISERROR(IF(SUM($M$134:$M$153) = 0, "", SUM($M$134:$M$153))), "", (IF(SUM($M$134:$M$153) = 0, "", SUM($M$134:$M$153))))</f>
        <v>1204755.6539999996</v>
      </c>
      <c r="N133">
        <f ca="1">IF(ISERROR(IF(SUM($N$134:$N$153) = 0, "", SUM($N$134:$N$153))), "", (IF(SUM($N$134:$N$153) = 0, "", SUM($N$134:$N$153))))</f>
        <v>1147677.9549999998</v>
      </c>
      <c r="O133">
        <f ca="1">IF(ISERROR(IF(SUM($O$134:$O$153) = 0, "", SUM($O$134:$O$153))), "", (IF(SUM($O$134:$O$153) = 0, "", SUM($O$134:$O$153))))</f>
        <v>1066677.2590000001</v>
      </c>
      <c r="P133">
        <f ca="1">IF(ISERROR(IF(SUM($P$134:$P$153) = 0, "", SUM($P$134:$P$153))), "", (IF(SUM($P$134:$P$153) = 0, "", SUM($P$134:$P$153))))</f>
        <v>1001362.525</v>
      </c>
      <c r="Q133">
        <f ca="1">IF(ISERROR(IF(SUM($Q$134:$Q$153) = 0, "", SUM($Q$134:$Q$153))), "", (IF(SUM($Q$134:$Q$153) = 0, "", SUM($Q$134:$Q$153))))</f>
        <v>972730.19499999995</v>
      </c>
      <c r="R133">
        <f ca="1">IF(ISERROR(IF(SUM($R$134:$R$153) = 0, "", SUM($R$134:$R$153))), "", (IF(SUM($R$134:$R$153) = 0, "", SUM($R$134:$R$153))))</f>
        <v>934719.35100000002</v>
      </c>
      <c r="S133">
        <f ca="1">IF(ISERROR(IF(SUM($S$134:$S$153) = 0, "", SUM($S$134:$S$153))), "", (IF(SUM($S$134:$S$153) = 0, "", SUM($S$134:$S$153))))</f>
        <v>835969.0610000001</v>
      </c>
      <c r="T133">
        <f ca="1">IF(ISERROR(IF(SUM($T$134:$T$153) = 0, "", SUM($T$134:$T$153))), "", (IF(SUM($T$134:$T$153) = 0, "", SUM($T$134:$T$153))))</f>
        <v>713996.1449999999</v>
      </c>
      <c r="U133">
        <f ca="1">IF(ISERROR(IF(SUM($U$134:$U$153) = 0, "", SUM($U$134:$U$153))), "", (IF(SUM($U$134:$U$153) = 0, "", SUM($U$134:$U$153))))</f>
        <v>744072.02400000009</v>
      </c>
      <c r="V133">
        <f ca="1">IF(ISERROR(IF(SUM($V$134:$V$153) = 0, "", SUM($V$134:$V$153))), "", (IF(SUM($V$134:$V$153) = 0, "", SUM($V$134:$V$153))))</f>
        <v>932563.5229999997</v>
      </c>
      <c r="W133">
        <f ca="1">IF(ISERROR(IF(SUM($W$134:$W$153) = 0, "", SUM($W$134:$W$153))), "", (IF(SUM($W$134:$W$153) = 0, "", SUM($W$134:$W$153))))</f>
        <v>814802.09999999986</v>
      </c>
      <c r="X133">
        <f ca="1">IF(ISERROR(IF(SUM($X$134:$X$153) = 0, "", SUM($X$134:$X$153))), "", (IF(SUM($X$134:$X$153) = 0, "", SUM($X$134:$X$153))))</f>
        <v>626892.70199999993</v>
      </c>
      <c r="Y133">
        <f ca="1">IF(ISERROR(IF(SUM($Y$134:$Y$153) = 0, "", SUM($Y$134:$Y$153))), "", (IF(SUM($Y$134:$Y$153) = 0, "", SUM($Y$134:$Y$153))))</f>
        <v>547286.576</v>
      </c>
      <c r="Z133">
        <f ca="1">IF(ISERROR(IF(SUM($Z$134:$Z$153) = 0, "", SUM($Z$134:$Z$153))), "", (IF(SUM($Z$134:$Z$153) = 0, "", SUM($Z$134:$Z$153))))</f>
        <v>472336.03</v>
      </c>
      <c r="AA133">
        <f ca="1">IF(ISERROR(IF(SUM($AA$134:$AA$153) = 0, "", SUM($AA$134:$AA$153))), "", (IF(SUM($AA$134:$AA$153) = 0, "", SUM($AA$134:$AA$153))))</f>
        <v>374664.43300000002</v>
      </c>
      <c r="AB133">
        <f ca="1">IF(ISERROR(IF(SUM($AB$134:$AB$153) = 0, "", SUM($AB$134:$AB$153))), "", (IF(SUM($AB$134:$AB$153) = 0, "", SUM($AB$134:$AB$153))))</f>
        <v>404380.20200000005</v>
      </c>
      <c r="AC133">
        <f ca="1">IF(ISERROR(IF(SUM($AC$134:$AC$153) = 0, "", SUM($AC$134:$AC$153))), "", (IF(SUM($AC$134:$AC$153) = 0, "", SUM($AC$134:$AC$153))))</f>
        <v>448792.29299999995</v>
      </c>
      <c r="AD133" t="str">
        <f ca="1">IF(ISERROR(IF(SUM($AD$134:$AD$153) = 0, "", SUM($AD$134:$AD$153))), "", (IF(SUM($AD$134:$AD$153) = 0, "", SUM($AD$134:$AD$153))))</f>
        <v/>
      </c>
      <c r="AE133" t="str">
        <f ca="1">IF(ISERROR(IF(SUM($AE$134:$AE$153) = 0, "", SUM($AE$134:$AE$153))), "", (IF(SUM($AE$134:$AE$153) = 0, "", SUM($AE$134:$AE$153))))</f>
        <v/>
      </c>
      <c r="AF133" t="str">
        <f ca="1">IF(ISERROR(IF(SUM($AF$134:$AF$153) = 0, "", SUM($AF$134:$AF$153))), "", (IF(SUM($AF$134:$AF$153) = 0, "", SUM($AF$134:$AF$153))))</f>
        <v/>
      </c>
      <c r="AG133" t="str">
        <f ca="1">IF(ISERROR(IF(SUM($AG$134:$AG$153) = 0, "", SUM($AG$134:$AG$153))), "", (IF(SUM($AG$134:$AG$153) = 0, "", SUM($AG$134:$AG$153))))</f>
        <v/>
      </c>
      <c r="AH133" t="str">
        <f ca="1">IF(ISERROR(IF(SUM($AH$134:$AH$153) = 0, "", SUM($AH$134:$AH$153))), "", (IF(SUM($AH$134:$AH$153) = 0, "", SUM($AH$134:$AH$153))))</f>
        <v/>
      </c>
      <c r="AI133" t="str">
        <f ca="1">IF(ISERROR(IF(SUM($AI$134:$AI$153) = 0, "", SUM($AI$134:$AI$153))), "", (IF(SUM($AI$134:$AI$153) = 0, "", SUM($AI$134:$AI$153))))</f>
        <v/>
      </c>
      <c r="AJ133" t="str">
        <f ca="1">IF(ISERROR(IF(SUM($AJ$134:$AJ$153) = 0, "", SUM($AJ$134:$AJ$153))), "", (IF(SUM($AJ$134:$AJ$153) = 0, "", SUM($AJ$134:$AJ$153))))</f>
        <v/>
      </c>
      <c r="AK133" t="str">
        <f ca="1">IF(ISERROR(IF(SUM($AK$134:$AK$153) = 0, "", SUM($AK$134:$AK$153))), "", (IF(SUM($AK$134:$AK$153) = 0, "", SUM($AK$134:$AK$153))))</f>
        <v/>
      </c>
      <c r="AL133" t="str">
        <f ca="1">IF(ISERROR(IF(SUM($AL$134:$AL$153) = 0, "", SUM($AL$134:$AL$153))), "", (IF(SUM($AL$134:$AL$153) = 0, "", SUM($AL$134:$AL$153))))</f>
        <v/>
      </c>
      <c r="AM133">
        <f>1319202.962</f>
        <v>1319202.9620000001</v>
      </c>
      <c r="AN133">
        <f>1552466.875</f>
        <v>1552466.875</v>
      </c>
      <c r="AO133">
        <f>1565602.754</f>
        <v>1565602.754</v>
      </c>
      <c r="AP133">
        <f>1360535.154</f>
        <v>1360535.1540000001</v>
      </c>
      <c r="AQ133">
        <f>1352373.561</f>
        <v>1352373.561</v>
      </c>
      <c r="AR133">
        <f>1347599.638</f>
        <v>1347599.638</v>
      </c>
      <c r="AS133">
        <f>1288551.925</f>
        <v>1288551.925</v>
      </c>
      <c r="AT133">
        <f>1204755.654</f>
        <v>1204755.6540000001</v>
      </c>
      <c r="AU133">
        <f>1147677.955</f>
        <v>1147677.9550000001</v>
      </c>
      <c r="AV133">
        <f>1066677.259</f>
        <v>1066677.2590000001</v>
      </c>
      <c r="AW133">
        <f>1001362.525</f>
        <v>1001362.525</v>
      </c>
      <c r="AX133">
        <f>972730.195</f>
        <v>972730.19499999995</v>
      </c>
      <c r="AY133">
        <f>934719.351</f>
        <v>934719.35100000002</v>
      </c>
      <c r="AZ133">
        <f>835969.061</f>
        <v>835969.06099999999</v>
      </c>
      <c r="BA133">
        <f>713996.145</f>
        <v>713996.14500000002</v>
      </c>
      <c r="BB133">
        <f>744072.024</f>
        <v>744072.02399999998</v>
      </c>
      <c r="BC133">
        <f>932563.523</f>
        <v>932563.52300000004</v>
      </c>
      <c r="BD133">
        <f>814802.1</f>
        <v>814802.1</v>
      </c>
      <c r="BE133">
        <f>626892.702</f>
        <v>626892.70200000005</v>
      </c>
      <c r="BF133">
        <f>547286.576</f>
        <v>547286.576</v>
      </c>
      <c r="BG133">
        <f>472336.03</f>
        <v>472336.03</v>
      </c>
      <c r="BH133">
        <f>374664.433</f>
        <v>374664.43300000002</v>
      </c>
      <c r="BI133">
        <f>404380.202</f>
        <v>404380.20199999999</v>
      </c>
      <c r="BJ133">
        <f>448792.293</f>
        <v>448792.29300000001</v>
      </c>
      <c r="BK133" t="str">
        <f>""</f>
        <v/>
      </c>
      <c r="BL133" t="str">
        <f>""</f>
        <v/>
      </c>
      <c r="BM133" t="str">
        <f>""</f>
        <v/>
      </c>
      <c r="BN133" t="str">
        <f>""</f>
        <v/>
      </c>
      <c r="BO133" t="str">
        <f>""</f>
        <v/>
      </c>
      <c r="BP133" t="str">
        <f>""</f>
        <v/>
      </c>
      <c r="BQ133" t="str">
        <f>""</f>
        <v/>
      </c>
      <c r="BR133" t="str">
        <f>""</f>
        <v/>
      </c>
      <c r="BS133" t="str">
        <f>""</f>
        <v/>
      </c>
    </row>
    <row r="134" spans="1:71" x14ac:dyDescent="0.25">
      <c r="A134" t="str">
        <f>"        Bank of America Corp"</f>
        <v xml:space="preserve">        Bank of America Corp</v>
      </c>
      <c r="B134" t="str">
        <f>"BAC US Equity"</f>
        <v>BAC US Equity</v>
      </c>
      <c r="C134" t="str">
        <f t="shared" ref="C134:C153" si="18">"F0090"</f>
        <v>F0090</v>
      </c>
      <c r="D134" t="str">
        <f t="shared" ref="D134:D153" si="19">"FED_C&amp;I_LOANS_CONSOLIDATED"</f>
        <v>FED_C&amp;I_LOANS_CONSOLIDATED</v>
      </c>
      <c r="E134" t="str">
        <f t="shared" ref="E134:E153" si="20">"Dynamic"</f>
        <v>Dynamic</v>
      </c>
      <c r="F134">
        <f ca="1">IF(AND(ISNUMBER($F$549),$B$427=1),$F$549,HLOOKUP(INDIRECT(ADDRESS(2,COLUMN())),OFFSET($AM$2,0,0,ROW()-1,33),ROW()-1,FALSE))</f>
        <v>332420</v>
      </c>
      <c r="G134">
        <f ca="1">IF(AND(ISNUMBER($G$549),$B$427=1),$G$549,HLOOKUP(INDIRECT(ADDRESS(2,COLUMN())),OFFSET($AM$2,0,0,ROW()-1,33),ROW()-1,FALSE))</f>
        <v>318910</v>
      </c>
      <c r="H134">
        <f ca="1">IF(AND(ISNUMBER($H$549),$B$427=1),$H$549,HLOOKUP(INDIRECT(ADDRESS(2,COLUMN())),OFFSET($AM$2,0,0,ROW()-1,33),ROW()-1,FALSE))</f>
        <v>329384</v>
      </c>
      <c r="I134">
        <f ca="1">IF(AND(ISNUMBER($I$549),$B$427=1),$I$549,HLOOKUP(INDIRECT(ADDRESS(2,COLUMN())),OFFSET($AM$2,0,0,ROW()-1,33),ROW()-1,FALSE))</f>
        <v>298150</v>
      </c>
      <c r="J134">
        <f ca="1">IF(AND(ISNUMBER($J$549),$B$427=1),$J$549,HLOOKUP(INDIRECT(ADDRESS(2,COLUMN())),OFFSET($AM$2,0,0,ROW()-1,33),ROW()-1,FALSE))</f>
        <v>291121</v>
      </c>
      <c r="K134">
        <f ca="1">IF(AND(ISNUMBER($K$549),$B$427=1),$K$549,HLOOKUP(INDIRECT(ADDRESS(2,COLUMN())),OFFSET($AM$2,0,0,ROW()-1,33),ROW()-1,FALSE))</f>
        <v>297452</v>
      </c>
      <c r="L134">
        <f ca="1">IF(AND(ISNUMBER($L$549),$B$427=1),$L$549,HLOOKUP(INDIRECT(ADDRESS(2,COLUMN())),OFFSET($AM$2,0,0,ROW()-1,33),ROW()-1,FALSE))</f>
        <v>279685</v>
      </c>
      <c r="M134">
        <f ca="1">IF(AND(ISNUMBER($M$549),$B$427=1),$M$549,HLOOKUP(INDIRECT(ADDRESS(2,COLUMN())),OFFSET($AM$2,0,0,ROW()-1,33),ROW()-1,FALSE))</f>
        <v>271364</v>
      </c>
      <c r="N134">
        <f ca="1">IF(AND(ISNUMBER($N$549),$B$427=1),$N$549,HLOOKUP(INDIRECT(ADDRESS(2,COLUMN())),OFFSET($AM$2,0,0,ROW()-1,33),ROW()-1,FALSE))</f>
        <v>252712</v>
      </c>
      <c r="O134">
        <f ca="1">IF(AND(ISNUMBER($O$549),$B$427=1),$O$549,HLOOKUP(INDIRECT(ADDRESS(2,COLUMN())),OFFSET($AM$2,0,0,ROW()-1,33),ROW()-1,FALSE))</f>
        <v>234795</v>
      </c>
      <c r="P134">
        <f ca="1">IF(AND(ISNUMBER($P$549),$B$427=1),$P$549,HLOOKUP(INDIRECT(ADDRESS(2,COLUMN())),OFFSET($AM$2,0,0,ROW()-1,33),ROW()-1,FALSE))</f>
        <v>215543</v>
      </c>
      <c r="Q134">
        <f ca="1">IF(AND(ISNUMBER($Q$549),$B$427=1),$Q$549,HLOOKUP(INDIRECT(ADDRESS(2,COLUMN())),OFFSET($AM$2,0,0,ROW()-1,33),ROW()-1,FALSE))</f>
        <v>232009</v>
      </c>
      <c r="R134">
        <f ca="1">IF(AND(ISNUMBER($R$549),$B$427=1),$R$549,HLOOKUP(INDIRECT(ADDRESS(2,COLUMN())),OFFSET($AM$2,0,0,ROW()-1,33),ROW()-1,FALSE))</f>
        <v>210801.894</v>
      </c>
      <c r="S134">
        <f ca="1">IF(AND(ISNUMBER($S$549),$B$427=1),$S$549,HLOOKUP(INDIRECT(ADDRESS(2,COLUMN())),OFFSET($AM$2,0,0,ROW()-1,33),ROW()-1,FALSE))</f>
        <v>184957.22</v>
      </c>
      <c r="T134">
        <f ca="1">IF(AND(ISNUMBER($T$549),$B$427=1),$T$549,HLOOKUP(INDIRECT(ADDRESS(2,COLUMN())),OFFSET($AM$2,0,0,ROW()-1,33),ROW()-1,FALSE))</f>
        <v>157769.073</v>
      </c>
      <c r="U134">
        <f ca="1">IF(AND(ISNUMBER($U$549),$B$427=1),$U$549,HLOOKUP(INDIRECT(ADDRESS(2,COLUMN())),OFFSET($AM$2,0,0,ROW()-1,33),ROW()-1,FALSE))</f>
        <v>165589.22099999999</v>
      </c>
      <c r="V134">
        <f ca="1">IF(AND(ISNUMBER($V$549),$B$427=1),$V$549,HLOOKUP(INDIRECT(ADDRESS(2,COLUMN())),OFFSET($AM$2,0,0,ROW()-1,33),ROW()-1,FALSE))</f>
        <v>188845.91800000001</v>
      </c>
      <c r="W134">
        <f ca="1">IF(AND(ISNUMBER($W$549),$B$427=1),$W$549,HLOOKUP(INDIRECT(ADDRESS(2,COLUMN())),OFFSET($AM$2,0,0,ROW()-1,33),ROW()-1,FALSE))</f>
        <v>176878.61300000001</v>
      </c>
      <c r="X134">
        <f ca="1">IF(AND(ISNUMBER($X$549),$B$427=1),$X$549,HLOOKUP(INDIRECT(ADDRESS(2,COLUMN())),OFFSET($AM$2,0,0,ROW()-1,33),ROW()-1,FALSE))</f>
        <v>125175.06600000001</v>
      </c>
      <c r="Y134">
        <f ca="1">IF(AND(ISNUMBER($Y$549),$B$427=1),$Y$549,HLOOKUP(INDIRECT(ADDRESS(2,COLUMN())),OFFSET($AM$2,0,0,ROW()-1,33),ROW()-1,FALSE))</f>
        <v>112296.393</v>
      </c>
      <c r="Z134">
        <f ca="1">IF(AND(ISNUMBER($Z$549),$B$427=1),$Z$549,HLOOKUP(INDIRECT(ADDRESS(2,COLUMN())),OFFSET($AM$2,0,0,ROW()-1,33),ROW()-1,FALSE))</f>
        <v>94697.194000000003</v>
      </c>
      <c r="AA134">
        <f ca="1">IF(AND(ISNUMBER($AA$549),$B$427=1),$AA$549,HLOOKUP(INDIRECT(ADDRESS(2,COLUMN())),OFFSET($AM$2,0,0,ROW()-1,33),ROW()-1,FALSE))</f>
        <v>70584.608999999997</v>
      </c>
      <c r="AB134">
        <f ca="1">IF(AND(ISNUMBER($AB$549),$B$427=1),$AB$549,HLOOKUP(INDIRECT(ADDRESS(2,COLUMN())),OFFSET($AM$2,0,0,ROW()-1,33),ROW()-1,FALSE))</f>
        <v>84909</v>
      </c>
      <c r="AC134">
        <f ca="1">IF(AND(ISNUMBER($AC$549),$B$427=1),$AC$549,HLOOKUP(INDIRECT(ADDRESS(2,COLUMN())),OFFSET($AM$2,0,0,ROW()-1,33),ROW()-1,FALSE))</f>
        <v>103927</v>
      </c>
      <c r="AD134" t="str">
        <f ca="1">IF(AND(ISNUMBER($AD$549),$B$427=1),$AD$549,HLOOKUP(INDIRECT(ADDRESS(2,COLUMN())),OFFSET($AM$2,0,0,ROW()-1,33),ROW()-1,FALSE))</f>
        <v/>
      </c>
      <c r="AE134" t="str">
        <f ca="1">IF(AND(ISNUMBER($AE$549),$B$427=1),$AE$549,HLOOKUP(INDIRECT(ADDRESS(2,COLUMN())),OFFSET($AM$2,0,0,ROW()-1,33),ROW()-1,FALSE))</f>
        <v/>
      </c>
      <c r="AF134" t="str">
        <f ca="1">IF(AND(ISNUMBER($AF$549),$B$427=1),$AF$549,HLOOKUP(INDIRECT(ADDRESS(2,COLUMN())),OFFSET($AM$2,0,0,ROW()-1,33),ROW()-1,FALSE))</f>
        <v/>
      </c>
      <c r="AG134" t="str">
        <f ca="1">IF(AND(ISNUMBER($AG$549),$B$427=1),$AG$549,HLOOKUP(INDIRECT(ADDRESS(2,COLUMN())),OFFSET($AM$2,0,0,ROW()-1,33),ROW()-1,FALSE))</f>
        <v/>
      </c>
      <c r="AH134" t="str">
        <f ca="1">IF(AND(ISNUMBER($AH$549),$B$427=1),$AH$549,HLOOKUP(INDIRECT(ADDRESS(2,COLUMN())),OFFSET($AM$2,0,0,ROW()-1,33),ROW()-1,FALSE))</f>
        <v/>
      </c>
      <c r="AI134" t="str">
        <f ca="1">IF(AND(ISNUMBER($AI$549),$B$427=1),$AI$549,HLOOKUP(INDIRECT(ADDRESS(2,COLUMN())),OFFSET($AM$2,0,0,ROW()-1,33),ROW()-1,FALSE))</f>
        <v/>
      </c>
      <c r="AJ134" t="str">
        <f ca="1">IF(AND(ISNUMBER($AJ$549),$B$427=1),$AJ$549,HLOOKUP(INDIRECT(ADDRESS(2,COLUMN())),OFFSET($AM$2,0,0,ROW()-1,33),ROW()-1,FALSE))</f>
        <v/>
      </c>
      <c r="AK134" t="str">
        <f ca="1">IF(AND(ISNUMBER($AK$549),$B$427=1),$AK$549,HLOOKUP(INDIRECT(ADDRESS(2,COLUMN())),OFFSET($AM$2,0,0,ROW()-1,33),ROW()-1,FALSE))</f>
        <v/>
      </c>
      <c r="AL134" t="str">
        <f ca="1">IF(AND(ISNUMBER($AL$549),$B$427=1),$AL$549,HLOOKUP(INDIRECT(ADDRESS(2,COLUMN())),OFFSET($AM$2,0,0,ROW()-1,33),ROW()-1,FALSE))</f>
        <v/>
      </c>
      <c r="AM134">
        <f>332420</f>
        <v>332420</v>
      </c>
      <c r="AN134">
        <f>318910</f>
        <v>318910</v>
      </c>
      <c r="AO134">
        <f>329384</f>
        <v>329384</v>
      </c>
      <c r="AP134">
        <f>298150</f>
        <v>298150</v>
      </c>
      <c r="AQ134">
        <f>291121</f>
        <v>291121</v>
      </c>
      <c r="AR134">
        <f>297452</f>
        <v>297452</v>
      </c>
      <c r="AS134">
        <f>279685</f>
        <v>279685</v>
      </c>
      <c r="AT134">
        <f>271364</f>
        <v>271364</v>
      </c>
      <c r="AU134">
        <f>252712</f>
        <v>252712</v>
      </c>
      <c r="AV134">
        <f>234795</f>
        <v>234795</v>
      </c>
      <c r="AW134">
        <f>215543</f>
        <v>215543</v>
      </c>
      <c r="AX134">
        <f>232009</f>
        <v>232009</v>
      </c>
      <c r="AY134">
        <f>210801.894</f>
        <v>210801.894</v>
      </c>
      <c r="AZ134">
        <f>184957.22</f>
        <v>184957.22</v>
      </c>
      <c r="BA134">
        <f>157769.073</f>
        <v>157769.073</v>
      </c>
      <c r="BB134">
        <f>165589.221</f>
        <v>165589.22099999999</v>
      </c>
      <c r="BC134">
        <f>188845.918</f>
        <v>188845.91800000001</v>
      </c>
      <c r="BD134">
        <f>176878.613</f>
        <v>176878.61300000001</v>
      </c>
      <c r="BE134">
        <f>125175.066</f>
        <v>125175.06600000001</v>
      </c>
      <c r="BF134">
        <f>112296.393</f>
        <v>112296.393</v>
      </c>
      <c r="BG134">
        <f>94697.194</f>
        <v>94697.194000000003</v>
      </c>
      <c r="BH134">
        <f>70584.609</f>
        <v>70584.608999999997</v>
      </c>
      <c r="BI134">
        <f>84909</f>
        <v>84909</v>
      </c>
      <c r="BJ134">
        <f>103927</f>
        <v>103927</v>
      </c>
      <c r="BK134" t="str">
        <f>""</f>
        <v/>
      </c>
      <c r="BL134" t="str">
        <f>""</f>
        <v/>
      </c>
      <c r="BM134" t="str">
        <f>""</f>
        <v/>
      </c>
      <c r="BN134" t="str">
        <f>""</f>
        <v/>
      </c>
      <c r="BO134" t="str">
        <f>""</f>
        <v/>
      </c>
      <c r="BP134" t="str">
        <f>""</f>
        <v/>
      </c>
      <c r="BQ134" t="str">
        <f>""</f>
        <v/>
      </c>
      <c r="BR134" t="str">
        <f>""</f>
        <v/>
      </c>
      <c r="BS134" t="str">
        <f>""</f>
        <v/>
      </c>
    </row>
    <row r="135" spans="1:71" x14ac:dyDescent="0.25">
      <c r="A135" t="str">
        <f>"        Citigroup Inc"</f>
        <v xml:space="preserve">        Citigroup Inc</v>
      </c>
      <c r="B135" t="str">
        <f>"C US Equity"</f>
        <v>C US Equity</v>
      </c>
      <c r="C135" t="str">
        <f t="shared" si="18"/>
        <v>F0090</v>
      </c>
      <c r="D135" t="str">
        <f t="shared" si="19"/>
        <v>FED_C&amp;I_LOANS_CONSOLIDATED</v>
      </c>
      <c r="E135" t="str">
        <f t="shared" si="20"/>
        <v>Dynamic</v>
      </c>
      <c r="F135">
        <f ca="1">IF(AND(ISNUMBER($F$550),$B$427=1),$F$550,HLOOKUP(INDIRECT(ADDRESS(2,COLUMN())),OFFSET($AM$2,0,0,ROW()-1,33),ROW()-1,FALSE))</f>
        <v>158867</v>
      </c>
      <c r="G135">
        <f ca="1">IF(AND(ISNUMBER($G$550),$B$427=1),$G$550,HLOOKUP(INDIRECT(ADDRESS(2,COLUMN())),OFFSET($AM$2,0,0,ROW()-1,33),ROW()-1,FALSE))</f>
        <v>162637</v>
      </c>
      <c r="H135">
        <f ca="1">IF(AND(ISNUMBER($H$550),$B$427=1),$H$550,HLOOKUP(INDIRECT(ADDRESS(2,COLUMN())),OFFSET($AM$2,0,0,ROW()-1,33),ROW()-1,FALSE))</f>
        <v>157619</v>
      </c>
      <c r="I135">
        <f ca="1">IF(AND(ISNUMBER($I$550),$B$427=1),$I$550,HLOOKUP(INDIRECT(ADDRESS(2,COLUMN())),OFFSET($AM$2,0,0,ROW()-1,33),ROW()-1,FALSE))</f>
        <v>159164</v>
      </c>
      <c r="J135">
        <f ca="1">IF(AND(ISNUMBER($J$550),$B$427=1),$J$550,HLOOKUP(INDIRECT(ADDRESS(2,COLUMN())),OFFSET($AM$2,0,0,ROW()-1,33),ROW()-1,FALSE))</f>
        <v>167657</v>
      </c>
      <c r="K135">
        <f ca="1">IF(AND(ISNUMBER($K$550),$B$427=1),$K$550,HLOOKUP(INDIRECT(ADDRESS(2,COLUMN())),OFFSET($AM$2,0,0,ROW()-1,33),ROW()-1,FALSE))</f>
        <v>177036</v>
      </c>
      <c r="L135">
        <f ca="1">IF(AND(ISNUMBER($L$550),$B$427=1),$L$550,HLOOKUP(INDIRECT(ADDRESS(2,COLUMN())),OFFSET($AM$2,0,0,ROW()-1,33),ROW()-1,FALSE))</f>
        <v>178326</v>
      </c>
      <c r="M135">
        <f ca="1">IF(AND(ISNUMBER($M$550),$B$427=1),$M$550,HLOOKUP(INDIRECT(ADDRESS(2,COLUMN())),OFFSET($AM$2,0,0,ROW()-1,33),ROW()-1,FALSE))</f>
        <v>174748</v>
      </c>
      <c r="N135">
        <f ca="1">IF(AND(ISNUMBER($N$550),$B$427=1),$N$550,HLOOKUP(INDIRECT(ADDRESS(2,COLUMN())),OFFSET($AM$2,0,0,ROW()-1,33),ROW()-1,FALSE))</f>
        <v>155005</v>
      </c>
      <c r="O135">
        <f ca="1">IF(AND(ISNUMBER($O$550),$B$427=1),$O$550,HLOOKUP(INDIRECT(ADDRESS(2,COLUMN())),OFFSET($AM$2,0,0,ROW()-1,33),ROW()-1,FALSE))</f>
        <v>157099</v>
      </c>
      <c r="P135">
        <f ca="1">IF(AND(ISNUMBER($P$550),$B$427=1),$P$550,HLOOKUP(INDIRECT(ADDRESS(2,COLUMN())),OFFSET($AM$2,0,0,ROW()-1,33),ROW()-1,FALSE))</f>
        <v>151819</v>
      </c>
      <c r="Q135">
        <f ca="1">IF(AND(ISNUMBER($Q$550),$B$427=1),$Q$550,HLOOKUP(INDIRECT(ADDRESS(2,COLUMN())),OFFSET($AM$2,0,0,ROW()-1,33),ROW()-1,FALSE))</f>
        <v>150503</v>
      </c>
      <c r="R135">
        <f ca="1">IF(AND(ISNUMBER($R$550),$B$427=1),$R$550,HLOOKUP(INDIRECT(ADDRESS(2,COLUMN())),OFFSET($AM$2,0,0,ROW()-1,33),ROW()-1,FALSE))</f>
        <v>140323</v>
      </c>
      <c r="S135">
        <f ca="1">IF(AND(ISNUMBER($S$550),$B$427=1),$S$550,HLOOKUP(INDIRECT(ADDRESS(2,COLUMN())),OFFSET($AM$2,0,0,ROW()-1,33),ROW()-1,FALSE))</f>
        <v>129479</v>
      </c>
      <c r="T135">
        <f ca="1">IF(AND(ISNUMBER($T$550),$B$427=1),$T$550,HLOOKUP(INDIRECT(ADDRESS(2,COLUMN())),OFFSET($AM$2,0,0,ROW()-1,33),ROW()-1,FALSE))</f>
        <v>111870</v>
      </c>
      <c r="U135">
        <f ca="1">IF(AND(ISNUMBER($U$550),$B$427=1),$U$550,HLOOKUP(INDIRECT(ADDRESS(2,COLUMN())),OFFSET($AM$2,0,0,ROW()-1,33),ROW()-1,FALSE))</f>
        <v>116872</v>
      </c>
      <c r="V135">
        <f ca="1">IF(AND(ISNUMBER($V$550),$B$427=1),$V$550,HLOOKUP(INDIRECT(ADDRESS(2,COLUMN())),OFFSET($AM$2,0,0,ROW()-1,33),ROW()-1,FALSE))</f>
        <v>151178</v>
      </c>
      <c r="W135">
        <f ca="1">IF(AND(ISNUMBER($W$550),$B$427=1),$W$550,HLOOKUP(INDIRECT(ADDRESS(2,COLUMN())),OFFSET($AM$2,0,0,ROW()-1,33),ROW()-1,FALSE))</f>
        <v>204361</v>
      </c>
      <c r="X135">
        <f ca="1">IF(AND(ISNUMBER($X$550),$B$427=1),$X$550,HLOOKUP(INDIRECT(ADDRESS(2,COLUMN())),OFFSET($AM$2,0,0,ROW()-1,33),ROW()-1,FALSE))</f>
        <v>158656</v>
      </c>
      <c r="Y135">
        <f ca="1">IF(AND(ISNUMBER($Y$550),$B$427=1),$Y$550,HLOOKUP(INDIRECT(ADDRESS(2,COLUMN())),OFFSET($AM$2,0,0,ROW()-1,33),ROW()-1,FALSE))</f>
        <v>127959</v>
      </c>
      <c r="Z135">
        <f ca="1">IF(AND(ISNUMBER($Z$550),$B$427=1),$Z$550,HLOOKUP(INDIRECT(ADDRESS(2,COLUMN())),OFFSET($AM$2,0,0,ROW()-1,33),ROW()-1,FALSE))</f>
        <v>115232</v>
      </c>
      <c r="AA135">
        <f ca="1">IF(AND(ISNUMBER($AA$550),$B$427=1),$AA$550,HLOOKUP(INDIRECT(ADDRESS(2,COLUMN())),OFFSET($AM$2,0,0,ROW()-1,33),ROW()-1,FALSE))</f>
        <v>96264</v>
      </c>
      <c r="AB135">
        <f ca="1">IF(AND(ISNUMBER($AB$550),$B$427=1),$AB$550,HLOOKUP(INDIRECT(ADDRESS(2,COLUMN())),OFFSET($AM$2,0,0,ROW()-1,33),ROW()-1,FALSE))</f>
        <v>107091</v>
      </c>
      <c r="AC135">
        <f ca="1">IF(AND(ISNUMBER($AC$550),$B$427=1),$AC$550,HLOOKUP(INDIRECT(ADDRESS(2,COLUMN())),OFFSET($AM$2,0,0,ROW()-1,33),ROW()-1,FALSE))</f>
        <v>115477</v>
      </c>
      <c r="AD135" t="str">
        <f ca="1">IF(AND(ISNUMBER($AD$550),$B$427=1),$AD$550,HLOOKUP(INDIRECT(ADDRESS(2,COLUMN())),OFFSET($AM$2,0,0,ROW()-1,33),ROW()-1,FALSE))</f>
        <v/>
      </c>
      <c r="AE135" t="str">
        <f ca="1">IF(AND(ISNUMBER($AE$550),$B$427=1),$AE$550,HLOOKUP(INDIRECT(ADDRESS(2,COLUMN())),OFFSET($AM$2,0,0,ROW()-1,33),ROW()-1,FALSE))</f>
        <v/>
      </c>
      <c r="AF135" t="str">
        <f ca="1">IF(AND(ISNUMBER($AF$550),$B$427=1),$AF$550,HLOOKUP(INDIRECT(ADDRESS(2,COLUMN())),OFFSET($AM$2,0,0,ROW()-1,33),ROW()-1,FALSE))</f>
        <v/>
      </c>
      <c r="AG135" t="str">
        <f ca="1">IF(AND(ISNUMBER($AG$550),$B$427=1),$AG$550,HLOOKUP(INDIRECT(ADDRESS(2,COLUMN())),OFFSET($AM$2,0,0,ROW()-1,33),ROW()-1,FALSE))</f>
        <v/>
      </c>
      <c r="AH135" t="str">
        <f ca="1">IF(AND(ISNUMBER($AH$550),$B$427=1),$AH$550,HLOOKUP(INDIRECT(ADDRESS(2,COLUMN())),OFFSET($AM$2,0,0,ROW()-1,33),ROW()-1,FALSE))</f>
        <v/>
      </c>
      <c r="AI135" t="str">
        <f ca="1">IF(AND(ISNUMBER($AI$550),$B$427=1),$AI$550,HLOOKUP(INDIRECT(ADDRESS(2,COLUMN())),OFFSET($AM$2,0,0,ROW()-1,33),ROW()-1,FALSE))</f>
        <v/>
      </c>
      <c r="AJ135" t="str">
        <f ca="1">IF(AND(ISNUMBER($AJ$550),$B$427=1),$AJ$550,HLOOKUP(INDIRECT(ADDRESS(2,COLUMN())),OFFSET($AM$2,0,0,ROW()-1,33),ROW()-1,FALSE))</f>
        <v/>
      </c>
      <c r="AK135" t="str">
        <f ca="1">IF(AND(ISNUMBER($AK$550),$B$427=1),$AK$550,HLOOKUP(INDIRECT(ADDRESS(2,COLUMN())),OFFSET($AM$2,0,0,ROW()-1,33),ROW()-1,FALSE))</f>
        <v/>
      </c>
      <c r="AL135" t="str">
        <f ca="1">IF(AND(ISNUMBER($AL$550),$B$427=1),$AL$550,HLOOKUP(INDIRECT(ADDRESS(2,COLUMN())),OFFSET($AM$2,0,0,ROW()-1,33),ROW()-1,FALSE))</f>
        <v/>
      </c>
      <c r="AM135">
        <f>158867</f>
        <v>158867</v>
      </c>
      <c r="AN135">
        <f>162637</f>
        <v>162637</v>
      </c>
      <c r="AO135">
        <f>157619</f>
        <v>157619</v>
      </c>
      <c r="AP135">
        <f>159164</f>
        <v>159164</v>
      </c>
      <c r="AQ135">
        <f>167657</f>
        <v>167657</v>
      </c>
      <c r="AR135">
        <f>177036</f>
        <v>177036</v>
      </c>
      <c r="AS135">
        <f>178326</f>
        <v>178326</v>
      </c>
      <c r="AT135">
        <f>174748</f>
        <v>174748</v>
      </c>
      <c r="AU135">
        <f>155005</f>
        <v>155005</v>
      </c>
      <c r="AV135">
        <f>157099</f>
        <v>157099</v>
      </c>
      <c r="AW135">
        <f>151819</f>
        <v>151819</v>
      </c>
      <c r="AX135">
        <f>150503</f>
        <v>150503</v>
      </c>
      <c r="AY135">
        <f>140323</f>
        <v>140323</v>
      </c>
      <c r="AZ135">
        <f>129479</f>
        <v>129479</v>
      </c>
      <c r="BA135">
        <f>111870</f>
        <v>111870</v>
      </c>
      <c r="BB135">
        <f>116872</f>
        <v>116872</v>
      </c>
      <c r="BC135">
        <f>151178</f>
        <v>151178</v>
      </c>
      <c r="BD135">
        <f>204361</f>
        <v>204361</v>
      </c>
      <c r="BE135">
        <f>158656</f>
        <v>158656</v>
      </c>
      <c r="BF135">
        <f>127959</f>
        <v>127959</v>
      </c>
      <c r="BG135">
        <f>115232</f>
        <v>115232</v>
      </c>
      <c r="BH135">
        <f>96264</f>
        <v>96264</v>
      </c>
      <c r="BI135">
        <f>107091</f>
        <v>107091</v>
      </c>
      <c r="BJ135">
        <f>115477</f>
        <v>115477</v>
      </c>
      <c r="BK135" t="str">
        <f>""</f>
        <v/>
      </c>
      <c r="BL135" t="str">
        <f>""</f>
        <v/>
      </c>
      <c r="BM135" t="str">
        <f>""</f>
        <v/>
      </c>
      <c r="BN135" t="str">
        <f>""</f>
        <v/>
      </c>
      <c r="BO135" t="str">
        <f>""</f>
        <v/>
      </c>
      <c r="BP135" t="str">
        <f>""</f>
        <v/>
      </c>
      <c r="BQ135" t="str">
        <f>""</f>
        <v/>
      </c>
      <c r="BR135" t="str">
        <f>""</f>
        <v/>
      </c>
      <c r="BS135" t="str">
        <f>""</f>
        <v/>
      </c>
    </row>
    <row r="136" spans="1:71" x14ac:dyDescent="0.25">
      <c r="A136" t="str">
        <f>"        Citizens Financial Group Inc"</f>
        <v xml:space="preserve">        Citizens Financial Group Inc</v>
      </c>
      <c r="B136" t="str">
        <f>"CFG US Equity"</f>
        <v>CFG US Equity</v>
      </c>
      <c r="C136" t="str">
        <f t="shared" si="18"/>
        <v>F0090</v>
      </c>
      <c r="D136" t="str">
        <f t="shared" si="19"/>
        <v>FED_C&amp;I_LOANS_CONSOLIDATED</v>
      </c>
      <c r="E136" t="str">
        <f t="shared" si="20"/>
        <v>Dynamic</v>
      </c>
      <c r="F136">
        <f ca="1">IF(AND(ISNUMBER($F$551),$B$427=1),$F$551,HLOOKUP(INDIRECT(ADDRESS(2,COLUMN())),OFFSET($AM$2,0,0,ROW()-1,33),ROW()-1,FALSE))</f>
        <v>25848.716</v>
      </c>
      <c r="G136">
        <f ca="1">IF(AND(ISNUMBER($G$551),$B$427=1),$G$551,HLOOKUP(INDIRECT(ADDRESS(2,COLUMN())),OFFSET($AM$2,0,0,ROW()-1,33),ROW()-1,FALSE))</f>
        <v>39256.084000000003</v>
      </c>
      <c r="H136">
        <f ca="1">IF(AND(ISNUMBER($H$551),$B$427=1),$H$551,HLOOKUP(INDIRECT(ADDRESS(2,COLUMN())),OFFSET($AM$2,0,0,ROW()-1,33),ROW()-1,FALSE))</f>
        <v>46945.883000000002</v>
      </c>
      <c r="I136">
        <f ca="1">IF(AND(ISNUMBER($I$551),$B$427=1),$I$551,HLOOKUP(INDIRECT(ADDRESS(2,COLUMN())),OFFSET($AM$2,0,0,ROW()-1,33),ROW()-1,FALSE))</f>
        <v>41227.932000000001</v>
      </c>
      <c r="J136">
        <f ca="1">IF(AND(ISNUMBER($J$551),$B$427=1),$J$551,HLOOKUP(INDIRECT(ADDRESS(2,COLUMN())),OFFSET($AM$2,0,0,ROW()-1,33),ROW()-1,FALSE))</f>
        <v>39866.642999999996</v>
      </c>
      <c r="K136">
        <f ca="1">IF(AND(ISNUMBER($K$551),$B$427=1),$K$551,HLOOKUP(INDIRECT(ADDRESS(2,COLUMN())),OFFSET($AM$2,0,0,ROW()-1,33),ROW()-1,FALSE))</f>
        <v>36533.271999999997</v>
      </c>
      <c r="L136">
        <f ca="1">IF(AND(ISNUMBER($L$551),$B$427=1),$L$551,HLOOKUP(INDIRECT(ADDRESS(2,COLUMN())),OFFSET($AM$2,0,0,ROW()-1,33),ROW()-1,FALSE))</f>
        <v>35971.002</v>
      </c>
      <c r="M136">
        <f ca="1">IF(AND(ISNUMBER($M$551),$B$427=1),$M$551,HLOOKUP(INDIRECT(ADDRESS(2,COLUMN())),OFFSET($AM$2,0,0,ROW()-1,33),ROW()-1,FALSE))</f>
        <v>32006.120999999999</v>
      </c>
      <c r="N136">
        <f ca="1">IF(AND(ISNUMBER($N$551),$B$427=1),$N$551,HLOOKUP(INDIRECT(ADDRESS(2,COLUMN())),OFFSET($AM$2,0,0,ROW()-1,33),ROW()-1,FALSE))</f>
        <v>31774.93</v>
      </c>
      <c r="O136">
        <f ca="1">IF(AND(ISNUMBER($O$551),$B$427=1),$O$551,HLOOKUP(INDIRECT(ADDRESS(2,COLUMN())),OFFSET($AM$2,0,0,ROW()-1,33),ROW()-1,FALSE))</f>
        <v>27253.407999999999</v>
      </c>
      <c r="P136">
        <f ca="1">IF(AND(ISNUMBER($P$551),$B$427=1),$P$551,HLOOKUP(INDIRECT(ADDRESS(2,COLUMN())),OFFSET($AM$2,0,0,ROW()-1,33),ROW()-1,FALSE))</f>
        <v>25255.487000000001</v>
      </c>
      <c r="Q136">
        <f ca="1">IF(AND(ISNUMBER($Q$551),$B$427=1),$Q$551,HLOOKUP(INDIRECT(ADDRESS(2,COLUMN())),OFFSET($AM$2,0,0,ROW()-1,33),ROW()-1,FALSE))</f>
        <v>23103.087</v>
      </c>
      <c r="R136">
        <f ca="1">IF(AND(ISNUMBER($R$551),$B$427=1),$R$551,HLOOKUP(INDIRECT(ADDRESS(2,COLUMN())),OFFSET($AM$2,0,0,ROW()-1,33),ROW()-1,FALSE))</f>
        <v>21740.506000000001</v>
      </c>
      <c r="S136">
        <f ca="1">IF(AND(ISNUMBER($S$551),$B$427=1),$S$551,HLOOKUP(INDIRECT(ADDRESS(2,COLUMN())),OFFSET($AM$2,0,0,ROW()-1,33),ROW()-1,FALSE))</f>
        <v>18925.776000000002</v>
      </c>
      <c r="T136">
        <f ca="1">IF(AND(ISNUMBER($T$551),$B$427=1),$T$551,HLOOKUP(INDIRECT(ADDRESS(2,COLUMN())),OFFSET($AM$2,0,0,ROW()-1,33),ROW()-1,FALSE))</f>
        <v>15590.603999999999</v>
      </c>
      <c r="U136">
        <f ca="1">IF(AND(ISNUMBER($U$551),$B$427=1),$U$551,HLOOKUP(INDIRECT(ADDRESS(2,COLUMN())),OFFSET($AM$2,0,0,ROW()-1,33),ROW()-1,FALSE))</f>
        <v>15150.184999999999</v>
      </c>
      <c r="V136">
        <f ca="1">IF(AND(ISNUMBER($V$551),$B$427=1),$V$551,HLOOKUP(INDIRECT(ADDRESS(2,COLUMN())),OFFSET($AM$2,0,0,ROW()-1,33),ROW()-1,FALSE))</f>
        <v>19457.517</v>
      </c>
      <c r="W136">
        <f ca="1">IF(AND(ISNUMBER($W$551),$B$427=1),$W$551,HLOOKUP(INDIRECT(ADDRESS(2,COLUMN())),OFFSET($AM$2,0,0,ROW()-1,33),ROW()-1,FALSE))</f>
        <v>20440.324000000001</v>
      </c>
      <c r="X136">
        <f ca="1">IF(AND(ISNUMBER($X$551),$B$427=1),$X$551,HLOOKUP(INDIRECT(ADDRESS(2,COLUMN())),OFFSET($AM$2,0,0,ROW()-1,33),ROW()-1,FALSE))</f>
        <v>16240.373</v>
      </c>
      <c r="Y136">
        <f ca="1">IF(AND(ISNUMBER($Y$551),$B$427=1),$Y$551,HLOOKUP(INDIRECT(ADDRESS(2,COLUMN())),OFFSET($AM$2,0,0,ROW()-1,33),ROW()-1,FALSE))</f>
        <v>12011.245000000001</v>
      </c>
      <c r="Z136">
        <f ca="1">IF(AND(ISNUMBER($Z$551),$B$427=1),$Z$551,HLOOKUP(INDIRECT(ADDRESS(2,COLUMN())),OFFSET($AM$2,0,0,ROW()-1,33),ROW()-1,FALSE))</f>
        <v>10523.362999999999</v>
      </c>
      <c r="AA136">
        <f ca="1">IF(AND(ISNUMBER($AA$551),$B$427=1),$AA$551,HLOOKUP(INDIRECT(ADDRESS(2,COLUMN())),OFFSET($AM$2,0,0,ROW()-1,33),ROW()-1,FALSE))</f>
        <v>8742.0920000000006</v>
      </c>
      <c r="AB136">
        <f ca="1">IF(AND(ISNUMBER($AB$551),$B$427=1),$AB$551,HLOOKUP(INDIRECT(ADDRESS(2,COLUMN())),OFFSET($AM$2,0,0,ROW()-1,33),ROW()-1,FALSE))</f>
        <v>8231.3250000000007</v>
      </c>
      <c r="AC136">
        <f ca="1">IF(AND(ISNUMBER($AC$551),$B$427=1),$AC$551,HLOOKUP(INDIRECT(ADDRESS(2,COLUMN())),OFFSET($AM$2,0,0,ROW()-1,33),ROW()-1,FALSE))</f>
        <v>8680.4240000000009</v>
      </c>
      <c r="AD136" t="str">
        <f ca="1">IF(AND(ISNUMBER($AD$551),$B$427=1),$AD$551,HLOOKUP(INDIRECT(ADDRESS(2,COLUMN())),OFFSET($AM$2,0,0,ROW()-1,33),ROW()-1,FALSE))</f>
        <v/>
      </c>
      <c r="AE136" t="str">
        <f ca="1">IF(AND(ISNUMBER($AE$551),$B$427=1),$AE$551,HLOOKUP(INDIRECT(ADDRESS(2,COLUMN())),OFFSET($AM$2,0,0,ROW()-1,33),ROW()-1,FALSE))</f>
        <v/>
      </c>
      <c r="AF136" t="str">
        <f ca="1">IF(AND(ISNUMBER($AF$551),$B$427=1),$AF$551,HLOOKUP(INDIRECT(ADDRESS(2,COLUMN())),OFFSET($AM$2,0,0,ROW()-1,33),ROW()-1,FALSE))</f>
        <v/>
      </c>
      <c r="AG136" t="str">
        <f ca="1">IF(AND(ISNUMBER($AG$551),$B$427=1),$AG$551,HLOOKUP(INDIRECT(ADDRESS(2,COLUMN())),OFFSET($AM$2,0,0,ROW()-1,33),ROW()-1,FALSE))</f>
        <v/>
      </c>
      <c r="AH136" t="str">
        <f ca="1">IF(AND(ISNUMBER($AH$551),$B$427=1),$AH$551,HLOOKUP(INDIRECT(ADDRESS(2,COLUMN())),OFFSET($AM$2,0,0,ROW()-1,33),ROW()-1,FALSE))</f>
        <v/>
      </c>
      <c r="AI136" t="str">
        <f ca="1">IF(AND(ISNUMBER($AI$551),$B$427=1),$AI$551,HLOOKUP(INDIRECT(ADDRESS(2,COLUMN())),OFFSET($AM$2,0,0,ROW()-1,33),ROW()-1,FALSE))</f>
        <v/>
      </c>
      <c r="AJ136" t="str">
        <f ca="1">IF(AND(ISNUMBER($AJ$551),$B$427=1),$AJ$551,HLOOKUP(INDIRECT(ADDRESS(2,COLUMN())),OFFSET($AM$2,0,0,ROW()-1,33),ROW()-1,FALSE))</f>
        <v/>
      </c>
      <c r="AK136" t="str">
        <f ca="1">IF(AND(ISNUMBER($AK$551),$B$427=1),$AK$551,HLOOKUP(INDIRECT(ADDRESS(2,COLUMN())),OFFSET($AM$2,0,0,ROW()-1,33),ROW()-1,FALSE))</f>
        <v/>
      </c>
      <c r="AL136" t="str">
        <f ca="1">IF(AND(ISNUMBER($AL$551),$B$427=1),$AL$551,HLOOKUP(INDIRECT(ADDRESS(2,COLUMN())),OFFSET($AM$2,0,0,ROW()-1,33),ROW()-1,FALSE))</f>
        <v/>
      </c>
      <c r="AM136">
        <f>25848.716</f>
        <v>25848.716</v>
      </c>
      <c r="AN136">
        <f>39256.084</f>
        <v>39256.084000000003</v>
      </c>
      <c r="AO136">
        <f>46945.883</f>
        <v>46945.883000000002</v>
      </c>
      <c r="AP136">
        <f>41227.932</f>
        <v>41227.932000000001</v>
      </c>
      <c r="AQ136">
        <f>39866.643</f>
        <v>39866.642999999996</v>
      </c>
      <c r="AR136">
        <f>36533.272</f>
        <v>36533.271999999997</v>
      </c>
      <c r="AS136">
        <f>35971.002</f>
        <v>35971.002</v>
      </c>
      <c r="AT136">
        <f>32006.121</f>
        <v>32006.120999999999</v>
      </c>
      <c r="AU136">
        <f>31774.93</f>
        <v>31774.93</v>
      </c>
      <c r="AV136">
        <f>27253.408</f>
        <v>27253.407999999999</v>
      </c>
      <c r="AW136">
        <f>25255.487</f>
        <v>25255.487000000001</v>
      </c>
      <c r="AX136">
        <f>23103.087</f>
        <v>23103.087</v>
      </c>
      <c r="AY136">
        <f>21740.506</f>
        <v>21740.506000000001</v>
      </c>
      <c r="AZ136">
        <f>18925.776</f>
        <v>18925.776000000002</v>
      </c>
      <c r="BA136">
        <f>15590.604</f>
        <v>15590.603999999999</v>
      </c>
      <c r="BB136">
        <f>15150.185</f>
        <v>15150.184999999999</v>
      </c>
      <c r="BC136">
        <f>19457.517</f>
        <v>19457.517</v>
      </c>
      <c r="BD136">
        <f>20440.324</f>
        <v>20440.324000000001</v>
      </c>
      <c r="BE136">
        <f>16240.373</f>
        <v>16240.373</v>
      </c>
      <c r="BF136">
        <f>12011.245</f>
        <v>12011.245000000001</v>
      </c>
      <c r="BG136">
        <f>10523.363</f>
        <v>10523.362999999999</v>
      </c>
      <c r="BH136">
        <f>8742.092</f>
        <v>8742.0920000000006</v>
      </c>
      <c r="BI136">
        <f>8231.325</f>
        <v>8231.3250000000007</v>
      </c>
      <c r="BJ136">
        <f>8680.424</f>
        <v>8680.4240000000009</v>
      </c>
      <c r="BK136" t="str">
        <f>""</f>
        <v/>
      </c>
      <c r="BL136" t="str">
        <f>""</f>
        <v/>
      </c>
      <c r="BM136" t="str">
        <f>""</f>
        <v/>
      </c>
      <c r="BN136" t="str">
        <f>""</f>
        <v/>
      </c>
      <c r="BO136" t="str">
        <f>""</f>
        <v/>
      </c>
      <c r="BP136" t="str">
        <f>""</f>
        <v/>
      </c>
      <c r="BQ136" t="str">
        <f>""</f>
        <v/>
      </c>
      <c r="BR136" t="str">
        <f>""</f>
        <v/>
      </c>
      <c r="BS136" t="str">
        <f>""</f>
        <v/>
      </c>
    </row>
    <row r="137" spans="1:71" x14ac:dyDescent="0.25">
      <c r="A137" t="str">
        <f>"        Capital One Financial Corp"</f>
        <v xml:space="preserve">        Capital One Financial Corp</v>
      </c>
      <c r="B137" t="str">
        <f>"COF US Equity"</f>
        <v>COF US Equity</v>
      </c>
      <c r="C137" t="str">
        <f t="shared" si="18"/>
        <v>F0090</v>
      </c>
      <c r="D137" t="str">
        <f t="shared" si="19"/>
        <v>FED_C&amp;I_LOANS_CONSOLIDATED</v>
      </c>
      <c r="E137" t="str">
        <f t="shared" si="20"/>
        <v>Dynamic</v>
      </c>
      <c r="F137">
        <f ca="1">IF(AND(ISNUMBER($F$552),$B$427=1),$F$552,HLOOKUP(INDIRECT(ADDRESS(2,COLUMN())),OFFSET($AM$2,0,0,ROW()-1,33),ROW()-1,FALSE))</f>
        <v>45040.726000000002</v>
      </c>
      <c r="G137">
        <f ca="1">IF(AND(ISNUMBER($G$552),$B$427=1),$G$552,HLOOKUP(INDIRECT(ADDRESS(2,COLUMN())),OFFSET($AM$2,0,0,ROW()-1,33),ROW()-1,FALSE))</f>
        <v>46241.307000000001</v>
      </c>
      <c r="H137">
        <f ca="1">IF(AND(ISNUMBER($H$552),$B$427=1),$H$552,HLOOKUP(INDIRECT(ADDRESS(2,COLUMN())),OFFSET($AM$2,0,0,ROW()-1,33),ROW()-1,FALSE))</f>
        <v>47587.336000000003</v>
      </c>
      <c r="I137">
        <f ca="1">IF(AND(ISNUMBER($I$552),$B$427=1),$I$552,HLOOKUP(INDIRECT(ADDRESS(2,COLUMN())),OFFSET($AM$2,0,0,ROW()-1,33),ROW()-1,FALSE))</f>
        <v>40528.548000000003</v>
      </c>
      <c r="J137">
        <f ca="1">IF(AND(ISNUMBER($J$552),$B$427=1),$J$552,HLOOKUP(INDIRECT(ADDRESS(2,COLUMN())),OFFSET($AM$2,0,0,ROW()-1,33),ROW()-1,FALSE))</f>
        <v>35160.271000000001</v>
      </c>
      <c r="K137">
        <f ca="1">IF(AND(ISNUMBER($K$552),$B$427=1),$K$552,HLOOKUP(INDIRECT(ADDRESS(2,COLUMN())),OFFSET($AM$2,0,0,ROW()-1,33),ROW()-1,FALSE))</f>
        <v>37348.758000000002</v>
      </c>
      <c r="L137">
        <f ca="1">IF(AND(ISNUMBER($L$552),$B$427=1),$L$552,HLOOKUP(INDIRECT(ADDRESS(2,COLUMN())),OFFSET($AM$2,0,0,ROW()-1,33),ROW()-1,FALSE))</f>
        <v>33831.891000000003</v>
      </c>
      <c r="M137">
        <f ca="1">IF(AND(ISNUMBER($M$552),$B$427=1),$M$552,HLOOKUP(INDIRECT(ADDRESS(2,COLUMN())),OFFSET($AM$2,0,0,ROW()-1,33),ROW()-1,FALSE))</f>
        <v>29092.799999999999</v>
      </c>
      <c r="N137">
        <f ca="1">IF(AND(ISNUMBER($N$552),$B$427=1),$N$552,HLOOKUP(INDIRECT(ADDRESS(2,COLUMN())),OFFSET($AM$2,0,0,ROW()-1,33),ROW()-1,FALSE))</f>
        <v>29464.776999999998</v>
      </c>
      <c r="O137">
        <f ca="1">IF(AND(ISNUMBER($O$552),$B$427=1),$O$552,HLOOKUP(INDIRECT(ADDRESS(2,COLUMN())),OFFSET($AM$2,0,0,ROW()-1,33),ROW()-1,FALSE))</f>
        <v>26813.617999999999</v>
      </c>
      <c r="P137">
        <f ca="1">IF(AND(ISNUMBER($P$552),$B$427=1),$P$552,HLOOKUP(INDIRECT(ADDRESS(2,COLUMN())),OFFSET($AM$2,0,0,ROW()-1,33),ROW()-1,FALSE))</f>
        <v>22170.337</v>
      </c>
      <c r="Q137">
        <f ca="1">IF(AND(ISNUMBER($Q$552),$B$427=1),$Q$552,HLOOKUP(INDIRECT(ADDRESS(2,COLUMN())),OFFSET($AM$2,0,0,ROW()-1,33),ROW()-1,FALSE))</f>
        <v>19177.742999999999</v>
      </c>
      <c r="R137">
        <f ca="1">IF(AND(ISNUMBER($R$552),$B$427=1),$R$552,HLOOKUP(INDIRECT(ADDRESS(2,COLUMN())),OFFSET($AM$2,0,0,ROW()-1,33),ROW()-1,FALSE))</f>
        <v>18048.169999999998</v>
      </c>
      <c r="S137">
        <f ca="1">IF(AND(ISNUMBER($S$552),$B$427=1),$S$552,HLOOKUP(INDIRECT(ADDRESS(2,COLUMN())),OFFSET($AM$2,0,0,ROW()-1,33),ROW()-1,FALSE))</f>
        <v>17357.438999999998</v>
      </c>
      <c r="T137">
        <f ca="1">IF(AND(ISNUMBER($T$552),$B$427=1),$T$552,HLOOKUP(INDIRECT(ADDRESS(2,COLUMN())),OFFSET($AM$2,0,0,ROW()-1,33),ROW()-1,FALSE))</f>
        <v>16030.998</v>
      </c>
      <c r="U137">
        <f ca="1">IF(AND(ISNUMBER($U$552),$B$427=1),$U$552,HLOOKUP(INDIRECT(ADDRESS(2,COLUMN())),OFFSET($AM$2,0,0,ROW()-1,33),ROW()-1,FALSE))</f>
        <v>12551.282999999999</v>
      </c>
      <c r="V137">
        <f ca="1">IF(AND(ISNUMBER($V$552),$B$427=1),$V$552,HLOOKUP(INDIRECT(ADDRESS(2,COLUMN())),OFFSET($AM$2,0,0,ROW()-1,33),ROW()-1,FALSE))</f>
        <v>15633.941999999999</v>
      </c>
      <c r="W137">
        <f ca="1">IF(AND(ISNUMBER($W$552),$B$427=1),$W$552,HLOOKUP(INDIRECT(ADDRESS(2,COLUMN())),OFFSET($AM$2,0,0,ROW()-1,33),ROW()-1,FALSE))</f>
        <v>16430.575000000001</v>
      </c>
      <c r="X137">
        <f ca="1">IF(AND(ISNUMBER($X$552),$B$427=1),$X$552,HLOOKUP(INDIRECT(ADDRESS(2,COLUMN())),OFFSET($AM$2,0,0,ROW()-1,33),ROW()-1,FALSE))</f>
        <v>11447.866</v>
      </c>
      <c r="Y137">
        <f ca="1">IF(AND(ISNUMBER($Y$552),$B$427=1),$Y$552,HLOOKUP(INDIRECT(ADDRESS(2,COLUMN())),OFFSET($AM$2,0,0,ROW()-1,33),ROW()-1,FALSE))</f>
        <v>5637.5110000000004</v>
      </c>
      <c r="Z137">
        <f ca="1">IF(AND(ISNUMBER($Z$552),$B$427=1),$Z$552,HLOOKUP(INDIRECT(ADDRESS(2,COLUMN())),OFFSET($AM$2,0,0,ROW()-1,33),ROW()-1,FALSE))</f>
        <v>2692.8270000000002</v>
      </c>
      <c r="AA137" t="str">
        <f ca="1">IF(AND(ISNUMBER($AA$552),$B$427=1),$AA$552,HLOOKUP(INDIRECT(ADDRESS(2,COLUMN())),OFFSET($AM$2,0,0,ROW()-1,33),ROW()-1,FALSE))</f>
        <v/>
      </c>
      <c r="AB137" t="str">
        <f ca="1">IF(AND(ISNUMBER($AB$552),$B$427=1),$AB$552,HLOOKUP(INDIRECT(ADDRESS(2,COLUMN())),OFFSET($AM$2,0,0,ROW()-1,33),ROW()-1,FALSE))</f>
        <v/>
      </c>
      <c r="AC137" t="str">
        <f ca="1">IF(AND(ISNUMBER($AC$552),$B$427=1),$AC$552,HLOOKUP(INDIRECT(ADDRESS(2,COLUMN())),OFFSET($AM$2,0,0,ROW()-1,33),ROW()-1,FALSE))</f>
        <v/>
      </c>
      <c r="AD137" t="str">
        <f ca="1">IF(AND(ISNUMBER($AD$552),$B$427=1),$AD$552,HLOOKUP(INDIRECT(ADDRESS(2,COLUMN())),OFFSET($AM$2,0,0,ROW()-1,33),ROW()-1,FALSE))</f>
        <v/>
      </c>
      <c r="AE137" t="str">
        <f ca="1">IF(AND(ISNUMBER($AE$552),$B$427=1),$AE$552,HLOOKUP(INDIRECT(ADDRESS(2,COLUMN())),OFFSET($AM$2,0,0,ROW()-1,33),ROW()-1,FALSE))</f>
        <v/>
      </c>
      <c r="AF137" t="str">
        <f ca="1">IF(AND(ISNUMBER($AF$552),$B$427=1),$AF$552,HLOOKUP(INDIRECT(ADDRESS(2,COLUMN())),OFFSET($AM$2,0,0,ROW()-1,33),ROW()-1,FALSE))</f>
        <v/>
      </c>
      <c r="AG137" t="str">
        <f ca="1">IF(AND(ISNUMBER($AG$552),$B$427=1),$AG$552,HLOOKUP(INDIRECT(ADDRESS(2,COLUMN())),OFFSET($AM$2,0,0,ROW()-1,33),ROW()-1,FALSE))</f>
        <v/>
      </c>
      <c r="AH137" t="str">
        <f ca="1">IF(AND(ISNUMBER($AH$552),$B$427=1),$AH$552,HLOOKUP(INDIRECT(ADDRESS(2,COLUMN())),OFFSET($AM$2,0,0,ROW()-1,33),ROW()-1,FALSE))</f>
        <v/>
      </c>
      <c r="AI137" t="str">
        <f ca="1">IF(AND(ISNUMBER($AI$552),$B$427=1),$AI$552,HLOOKUP(INDIRECT(ADDRESS(2,COLUMN())),OFFSET($AM$2,0,0,ROW()-1,33),ROW()-1,FALSE))</f>
        <v/>
      </c>
      <c r="AJ137" t="str">
        <f ca="1">IF(AND(ISNUMBER($AJ$552),$B$427=1),$AJ$552,HLOOKUP(INDIRECT(ADDRESS(2,COLUMN())),OFFSET($AM$2,0,0,ROW()-1,33),ROW()-1,FALSE))</f>
        <v/>
      </c>
      <c r="AK137" t="str">
        <f ca="1">IF(AND(ISNUMBER($AK$552),$B$427=1),$AK$552,HLOOKUP(INDIRECT(ADDRESS(2,COLUMN())),OFFSET($AM$2,0,0,ROW()-1,33),ROW()-1,FALSE))</f>
        <v/>
      </c>
      <c r="AL137" t="str">
        <f ca="1">IF(AND(ISNUMBER($AL$552),$B$427=1),$AL$552,HLOOKUP(INDIRECT(ADDRESS(2,COLUMN())),OFFSET($AM$2,0,0,ROW()-1,33),ROW()-1,FALSE))</f>
        <v/>
      </c>
      <c r="AM137">
        <f>45040.726</f>
        <v>45040.726000000002</v>
      </c>
      <c r="AN137">
        <f>46241.307</f>
        <v>46241.307000000001</v>
      </c>
      <c r="AO137">
        <f>47587.336</f>
        <v>47587.336000000003</v>
      </c>
      <c r="AP137">
        <f>40528.548</f>
        <v>40528.548000000003</v>
      </c>
      <c r="AQ137">
        <f>35160.271</f>
        <v>35160.271000000001</v>
      </c>
      <c r="AR137">
        <f>37348.758</f>
        <v>37348.758000000002</v>
      </c>
      <c r="AS137">
        <f>33831.891</f>
        <v>33831.891000000003</v>
      </c>
      <c r="AT137">
        <f>29092.8</f>
        <v>29092.799999999999</v>
      </c>
      <c r="AU137">
        <f>29464.777</f>
        <v>29464.776999999998</v>
      </c>
      <c r="AV137">
        <f>26813.618</f>
        <v>26813.617999999999</v>
      </c>
      <c r="AW137">
        <f>22170.337</f>
        <v>22170.337</v>
      </c>
      <c r="AX137">
        <f>19177.743</f>
        <v>19177.742999999999</v>
      </c>
      <c r="AY137">
        <f>18048.17</f>
        <v>18048.169999999998</v>
      </c>
      <c r="AZ137">
        <f>17357.439</f>
        <v>17357.438999999998</v>
      </c>
      <c r="BA137">
        <f>16030.998</f>
        <v>16030.998</v>
      </c>
      <c r="BB137">
        <f>12551.283</f>
        <v>12551.282999999999</v>
      </c>
      <c r="BC137">
        <f>15633.942</f>
        <v>15633.941999999999</v>
      </c>
      <c r="BD137">
        <f>16430.575</f>
        <v>16430.575000000001</v>
      </c>
      <c r="BE137">
        <f>11447.866</f>
        <v>11447.866</v>
      </c>
      <c r="BF137">
        <f>5637.511</f>
        <v>5637.5110000000004</v>
      </c>
      <c r="BG137">
        <f>2692.827</f>
        <v>2692.8270000000002</v>
      </c>
      <c r="BH137" t="str">
        <f>""</f>
        <v/>
      </c>
      <c r="BI137" t="str">
        <f>""</f>
        <v/>
      </c>
      <c r="BJ137" t="str">
        <f>""</f>
        <v/>
      </c>
      <c r="BK137" t="str">
        <f>""</f>
        <v/>
      </c>
      <c r="BL137" t="str">
        <f>""</f>
        <v/>
      </c>
      <c r="BM137" t="str">
        <f>""</f>
        <v/>
      </c>
      <c r="BN137" t="str">
        <f>""</f>
        <v/>
      </c>
      <c r="BO137" t="str">
        <f>""</f>
        <v/>
      </c>
      <c r="BP137" t="str">
        <f>""</f>
        <v/>
      </c>
      <c r="BQ137" t="str">
        <f>""</f>
        <v/>
      </c>
      <c r="BR137" t="str">
        <f>""</f>
        <v/>
      </c>
      <c r="BS137" t="str">
        <f>""</f>
        <v/>
      </c>
    </row>
    <row r="138" spans="1:71" x14ac:dyDescent="0.25">
      <c r="A138" t="str">
        <f>"        Comerica Inc"</f>
        <v xml:space="preserve">        Comerica Inc</v>
      </c>
      <c r="B138" t="str">
        <f>"CMA US Equity"</f>
        <v>CMA US Equity</v>
      </c>
      <c r="C138" t="str">
        <f t="shared" si="18"/>
        <v>F0090</v>
      </c>
      <c r="D138" t="str">
        <f t="shared" si="19"/>
        <v>FED_C&amp;I_LOANS_CONSOLIDATED</v>
      </c>
      <c r="E138" t="str">
        <f t="shared" si="20"/>
        <v>Dynamic</v>
      </c>
      <c r="F138" t="str">
        <f ca="1">IF(AND(ISNUMBER($F$553),$B$427=1),$F$553,HLOOKUP(INDIRECT(ADDRESS(2,COLUMN())),OFFSET($AM$2,0,0,ROW()-1,33),ROW()-1,FALSE))</f>
        <v/>
      </c>
      <c r="G138">
        <f ca="1">IF(AND(ISNUMBER($G$553),$B$427=1),$G$553,HLOOKUP(INDIRECT(ADDRESS(2,COLUMN())),OFFSET($AM$2,0,0,ROW()-1,33),ROW()-1,FALSE))</f>
        <v>24769</v>
      </c>
      <c r="H138">
        <f ca="1">IF(AND(ISNUMBER($H$553),$B$427=1),$H$553,HLOOKUP(INDIRECT(ADDRESS(2,COLUMN())),OFFSET($AM$2,0,0,ROW()-1,33),ROW()-1,FALSE))</f>
        <v>25619</v>
      </c>
      <c r="I138">
        <f ca="1">IF(AND(ISNUMBER($I$553),$B$427=1),$I$553,HLOOKUP(INDIRECT(ADDRESS(2,COLUMN())),OFFSET($AM$2,0,0,ROW()-1,33),ROW()-1,FALSE))</f>
        <v>22935</v>
      </c>
      <c r="J138">
        <f ca="1">IF(AND(ISNUMBER($J$553),$B$427=1),$J$553,HLOOKUP(INDIRECT(ADDRESS(2,COLUMN())),OFFSET($AM$2,0,0,ROW()-1,33),ROW()-1,FALSE))</f>
        <v>25290</v>
      </c>
      <c r="K138">
        <f ca="1">IF(AND(ISNUMBER($K$553),$B$427=1),$K$553,HLOOKUP(INDIRECT(ADDRESS(2,COLUMN())),OFFSET($AM$2,0,0,ROW()-1,33),ROW()-1,FALSE))</f>
        <v>25882</v>
      </c>
      <c r="L138">
        <f ca="1">IF(AND(ISNUMBER($L$553),$B$427=1),$L$553,HLOOKUP(INDIRECT(ADDRESS(2,COLUMN())),OFFSET($AM$2,0,0,ROW()-1,33),ROW()-1,FALSE))</f>
        <v>27039.773000000001</v>
      </c>
      <c r="M138">
        <f ca="1">IF(AND(ISNUMBER($M$553),$B$427=1),$M$553,HLOOKUP(INDIRECT(ADDRESS(2,COLUMN())),OFFSET($AM$2,0,0,ROW()-1,33),ROW()-1,FALSE))</f>
        <v>26958.605</v>
      </c>
      <c r="N138">
        <f ca="1">IF(AND(ISNUMBER($N$553),$B$427=1),$N$553,HLOOKUP(INDIRECT(ADDRESS(2,COLUMN())),OFFSET($AM$2,0,0,ROW()-1,33),ROW()-1,FALSE))</f>
        <v>26638.668000000001</v>
      </c>
      <c r="O138">
        <f ca="1">IF(AND(ISNUMBER($O$553),$B$427=1),$O$553,HLOOKUP(INDIRECT(ADDRESS(2,COLUMN())),OFFSET($AM$2,0,0,ROW()-1,33),ROW()-1,FALSE))</f>
        <v>27443.327000000001</v>
      </c>
      <c r="P138">
        <f ca="1">IF(AND(ISNUMBER($P$553),$B$427=1),$P$553,HLOOKUP(INDIRECT(ADDRESS(2,COLUMN())),OFFSET($AM$2,0,0,ROW()-1,33),ROW()-1,FALSE))</f>
        <v>28661.366000000002</v>
      </c>
      <c r="Q138">
        <f ca="1">IF(AND(ISNUMBER($Q$553),$B$427=1),$Q$553,HLOOKUP(INDIRECT(ADDRESS(2,COLUMN())),OFFSET($AM$2,0,0,ROW()-1,33),ROW()-1,FALSE))</f>
        <v>26640.554</v>
      </c>
      <c r="R138">
        <f ca="1">IF(AND(ISNUMBER($R$553),$B$427=1),$R$553,HLOOKUP(INDIRECT(ADDRESS(2,COLUMN())),OFFSET($AM$2,0,0,ROW()-1,33),ROW()-1,FALSE))</f>
        <v>26080.764999999999</v>
      </c>
      <c r="S138">
        <f ca="1">IF(AND(ISNUMBER($S$553),$B$427=1),$S$553,HLOOKUP(INDIRECT(ADDRESS(2,COLUMN())),OFFSET($AM$2,0,0,ROW()-1,33),ROW()-1,FALSE))</f>
        <v>23400.526000000002</v>
      </c>
      <c r="T138">
        <f ca="1">IF(AND(ISNUMBER($T$553),$B$427=1),$T$553,HLOOKUP(INDIRECT(ADDRESS(2,COLUMN())),OFFSET($AM$2,0,0,ROW()-1,33),ROW()-1,FALSE))</f>
        <v>21251.794999999998</v>
      </c>
      <c r="U138">
        <f ca="1">IF(AND(ISNUMBER($U$553),$B$427=1),$U$553,HLOOKUP(INDIRECT(ADDRESS(2,COLUMN())),OFFSET($AM$2,0,0,ROW()-1,33),ROW()-1,FALSE))</f>
        <v>20559.135999999999</v>
      </c>
      <c r="V138">
        <f ca="1">IF(AND(ISNUMBER($V$553),$B$427=1),$V$553,HLOOKUP(INDIRECT(ADDRESS(2,COLUMN())),OFFSET($AM$2,0,0,ROW()-1,33),ROW()-1,FALSE))</f>
        <v>24451.203000000001</v>
      </c>
      <c r="W138">
        <f ca="1">IF(AND(ISNUMBER($W$553),$B$427=1),$W$553,HLOOKUP(INDIRECT(ADDRESS(2,COLUMN())),OFFSET($AM$2,0,0,ROW()-1,33),ROW()-1,FALSE))</f>
        <v>24784.782999999999</v>
      </c>
      <c r="X138">
        <f ca="1">IF(AND(ISNUMBER($X$553),$B$427=1),$X$553,HLOOKUP(INDIRECT(ADDRESS(2,COLUMN())),OFFSET($AM$2,0,0,ROW()-1,33),ROW()-1,FALSE))</f>
        <v>23483.136999999999</v>
      </c>
      <c r="Y138">
        <f ca="1">IF(AND(ISNUMBER($Y$553),$B$427=1),$Y$553,HLOOKUP(INDIRECT(ADDRESS(2,COLUMN())),OFFSET($AM$2,0,0,ROW()-1,33),ROW()-1,FALSE))</f>
        <v>21018.958999999999</v>
      </c>
      <c r="Z138">
        <f ca="1">IF(AND(ISNUMBER($Z$553),$B$427=1),$Z$553,HLOOKUP(INDIRECT(ADDRESS(2,COLUMN())),OFFSET($AM$2,0,0,ROW()-1,33),ROW()-1,FALSE))</f>
        <v>22096.056</v>
      </c>
      <c r="AA138">
        <f ca="1">IF(AND(ISNUMBER($AA$553),$B$427=1),$AA$553,HLOOKUP(INDIRECT(ADDRESS(2,COLUMN())),OFFSET($AM$2,0,0,ROW()-1,33),ROW()-1,FALSE))</f>
        <v>22399.882000000001</v>
      </c>
      <c r="AB138">
        <f ca="1">IF(AND(ISNUMBER($AB$553),$B$427=1),$AB$553,HLOOKUP(INDIRECT(ADDRESS(2,COLUMN())),OFFSET($AM$2,0,0,ROW()-1,33),ROW()-1,FALSE))</f>
        <v>24344.472000000002</v>
      </c>
      <c r="AC138">
        <f ca="1">IF(AND(ISNUMBER($AC$553),$B$427=1),$AC$553,HLOOKUP(INDIRECT(ADDRESS(2,COLUMN())),OFFSET($AM$2,0,0,ROW()-1,33),ROW()-1,FALSE))</f>
        <v>24553.081999999999</v>
      </c>
      <c r="AD138" t="str">
        <f ca="1">IF(AND(ISNUMBER($AD$553),$B$427=1),$AD$553,HLOOKUP(INDIRECT(ADDRESS(2,COLUMN())),OFFSET($AM$2,0,0,ROW()-1,33),ROW()-1,FALSE))</f>
        <v/>
      </c>
      <c r="AE138" t="str">
        <f ca="1">IF(AND(ISNUMBER($AE$553),$B$427=1),$AE$553,HLOOKUP(INDIRECT(ADDRESS(2,COLUMN())),OFFSET($AM$2,0,0,ROW()-1,33),ROW()-1,FALSE))</f>
        <v/>
      </c>
      <c r="AF138" t="str">
        <f ca="1">IF(AND(ISNUMBER($AF$553),$B$427=1),$AF$553,HLOOKUP(INDIRECT(ADDRESS(2,COLUMN())),OFFSET($AM$2,0,0,ROW()-1,33),ROW()-1,FALSE))</f>
        <v/>
      </c>
      <c r="AG138" t="str">
        <f ca="1">IF(AND(ISNUMBER($AG$553),$B$427=1),$AG$553,HLOOKUP(INDIRECT(ADDRESS(2,COLUMN())),OFFSET($AM$2,0,0,ROW()-1,33),ROW()-1,FALSE))</f>
        <v/>
      </c>
      <c r="AH138" t="str">
        <f ca="1">IF(AND(ISNUMBER($AH$553),$B$427=1),$AH$553,HLOOKUP(INDIRECT(ADDRESS(2,COLUMN())),OFFSET($AM$2,0,0,ROW()-1,33),ROW()-1,FALSE))</f>
        <v/>
      </c>
      <c r="AI138" t="str">
        <f ca="1">IF(AND(ISNUMBER($AI$553),$B$427=1),$AI$553,HLOOKUP(INDIRECT(ADDRESS(2,COLUMN())),OFFSET($AM$2,0,0,ROW()-1,33),ROW()-1,FALSE))</f>
        <v/>
      </c>
      <c r="AJ138" t="str">
        <f ca="1">IF(AND(ISNUMBER($AJ$553),$B$427=1),$AJ$553,HLOOKUP(INDIRECT(ADDRESS(2,COLUMN())),OFFSET($AM$2,0,0,ROW()-1,33),ROW()-1,FALSE))</f>
        <v/>
      </c>
      <c r="AK138" t="str">
        <f ca="1">IF(AND(ISNUMBER($AK$553),$B$427=1),$AK$553,HLOOKUP(INDIRECT(ADDRESS(2,COLUMN())),OFFSET($AM$2,0,0,ROW()-1,33),ROW()-1,FALSE))</f>
        <v/>
      </c>
      <c r="AL138" t="str">
        <f ca="1">IF(AND(ISNUMBER($AL$553),$B$427=1),$AL$553,HLOOKUP(INDIRECT(ADDRESS(2,COLUMN())),OFFSET($AM$2,0,0,ROW()-1,33),ROW()-1,FALSE))</f>
        <v/>
      </c>
      <c r="AM138" t="str">
        <f>""</f>
        <v/>
      </c>
      <c r="AN138">
        <f>24769</f>
        <v>24769</v>
      </c>
      <c r="AO138">
        <f>25619</f>
        <v>25619</v>
      </c>
      <c r="AP138">
        <f>22935</f>
        <v>22935</v>
      </c>
      <c r="AQ138">
        <f>25290</f>
        <v>25290</v>
      </c>
      <c r="AR138">
        <f>25882</f>
        <v>25882</v>
      </c>
      <c r="AS138">
        <f>27039.773</f>
        <v>27039.773000000001</v>
      </c>
      <c r="AT138">
        <f>26958.605</f>
        <v>26958.605</v>
      </c>
      <c r="AU138">
        <f>26638.668</f>
        <v>26638.668000000001</v>
      </c>
      <c r="AV138">
        <f>27443.327</f>
        <v>27443.327000000001</v>
      </c>
      <c r="AW138">
        <f>28661.366</f>
        <v>28661.366000000002</v>
      </c>
      <c r="AX138">
        <f>26640.554</f>
        <v>26640.554</v>
      </c>
      <c r="AY138">
        <f>26080.765</f>
        <v>26080.764999999999</v>
      </c>
      <c r="AZ138">
        <f>23400.526</f>
        <v>23400.526000000002</v>
      </c>
      <c r="BA138">
        <f>21251.795</f>
        <v>21251.794999999998</v>
      </c>
      <c r="BB138">
        <f>20559.136</f>
        <v>20559.135999999999</v>
      </c>
      <c r="BC138">
        <f>24451.203</f>
        <v>24451.203000000001</v>
      </c>
      <c r="BD138">
        <f>24784.783</f>
        <v>24784.782999999999</v>
      </c>
      <c r="BE138">
        <f>23483.137</f>
        <v>23483.136999999999</v>
      </c>
      <c r="BF138">
        <f>21018.959</f>
        <v>21018.958999999999</v>
      </c>
      <c r="BG138">
        <f>22096.056</f>
        <v>22096.056</v>
      </c>
      <c r="BH138">
        <f>22399.882</f>
        <v>22399.882000000001</v>
      </c>
      <c r="BI138">
        <f>24344.472</f>
        <v>24344.472000000002</v>
      </c>
      <c r="BJ138">
        <f>24553.082</f>
        <v>24553.081999999999</v>
      </c>
      <c r="BK138" t="str">
        <f>""</f>
        <v/>
      </c>
      <c r="BL138" t="str">
        <f>""</f>
        <v/>
      </c>
      <c r="BM138" t="str">
        <f>""</f>
        <v/>
      </c>
      <c r="BN138" t="str">
        <f>""</f>
        <v/>
      </c>
      <c r="BO138" t="str">
        <f>""</f>
        <v/>
      </c>
      <c r="BP138" t="str">
        <f>""</f>
        <v/>
      </c>
      <c r="BQ138" t="str">
        <f>""</f>
        <v/>
      </c>
      <c r="BR138" t="str">
        <f>""</f>
        <v/>
      </c>
      <c r="BS138" t="str">
        <f>""</f>
        <v/>
      </c>
    </row>
    <row r="139" spans="1:71" x14ac:dyDescent="0.25">
      <c r="A139" t="str">
        <f>"        East West Bancorp Inc"</f>
        <v xml:space="preserve">        East West Bancorp Inc</v>
      </c>
      <c r="B139" t="str">
        <f>"EWBC US Equity"</f>
        <v>EWBC US Equity</v>
      </c>
      <c r="C139" t="str">
        <f t="shared" si="18"/>
        <v>F0090</v>
      </c>
      <c r="D139" t="str">
        <f t="shared" si="19"/>
        <v>FED_C&amp;I_LOANS_CONSOLIDATED</v>
      </c>
      <c r="E139" t="str">
        <f t="shared" si="20"/>
        <v>Dynamic</v>
      </c>
      <c r="F139" t="str">
        <f ca="1">IF(AND(ISNUMBER($F$554),$B$427=1),$F$554,HLOOKUP(INDIRECT(ADDRESS(2,COLUMN())),OFFSET($AM$2,0,0,ROW()-1,33),ROW()-1,FALSE))</f>
        <v/>
      </c>
      <c r="G139">
        <f ca="1">IF(AND(ISNUMBER($G$554),$B$427=1),$G$554,HLOOKUP(INDIRECT(ADDRESS(2,COLUMN())),OFFSET($AM$2,0,0,ROW()-1,33),ROW()-1,FALSE))</f>
        <v>10236.644</v>
      </c>
      <c r="H139">
        <f ca="1">IF(AND(ISNUMBER($H$554),$B$427=1),$H$554,HLOOKUP(INDIRECT(ADDRESS(2,COLUMN())),OFFSET($AM$2,0,0,ROW()-1,33),ROW()-1,FALSE))</f>
        <v>9895.6759999999995</v>
      </c>
      <c r="I139">
        <f ca="1">IF(AND(ISNUMBER($I$554),$B$427=1),$I$554,HLOOKUP(INDIRECT(ADDRESS(2,COLUMN())),OFFSET($AM$2,0,0,ROW()-1,33),ROW()-1,FALSE))</f>
        <v>9756.241</v>
      </c>
      <c r="J139">
        <f ca="1">IF(AND(ISNUMBER($J$554),$B$427=1),$J$554,HLOOKUP(INDIRECT(ADDRESS(2,COLUMN())),OFFSET($AM$2,0,0,ROW()-1,33),ROW()-1,FALSE))</f>
        <v>10392.837</v>
      </c>
      <c r="K139">
        <f ca="1">IF(AND(ISNUMBER($K$554),$B$427=1),$K$554,HLOOKUP(INDIRECT(ADDRESS(2,COLUMN())),OFFSET($AM$2,0,0,ROW()-1,33),ROW()-1,FALSE))</f>
        <v>9746.7980000000007</v>
      </c>
      <c r="L139">
        <f ca="1">IF(AND(ISNUMBER($L$554),$B$427=1),$L$554,HLOOKUP(INDIRECT(ADDRESS(2,COLUMN())),OFFSET($AM$2,0,0,ROW()-1,33),ROW()-1,FALSE))</f>
        <v>9496.41</v>
      </c>
      <c r="M139">
        <f ca="1">IF(AND(ISNUMBER($M$554),$B$427=1),$M$554,HLOOKUP(INDIRECT(ADDRESS(2,COLUMN())),OFFSET($AM$2,0,0,ROW()-1,33),ROW()-1,FALSE))</f>
        <v>8704.6139999999996</v>
      </c>
      <c r="N139">
        <f ca="1">IF(AND(ISNUMBER($N$554),$B$427=1),$N$554,HLOOKUP(INDIRECT(ADDRESS(2,COLUMN())),OFFSET($AM$2,0,0,ROW()-1,33),ROW()-1,FALSE))</f>
        <v>7843.5559999999996</v>
      </c>
      <c r="O139">
        <f ca="1">IF(AND(ISNUMBER($O$554),$B$427=1),$O$554,HLOOKUP(INDIRECT(ADDRESS(2,COLUMN())),OFFSET($AM$2,0,0,ROW()-1,33),ROW()-1,FALSE))</f>
        <v>7471.7089999999998</v>
      </c>
      <c r="P139">
        <f ca="1">IF(AND(ISNUMBER($P$554),$B$427=1),$P$554,HLOOKUP(INDIRECT(ADDRESS(2,COLUMN())),OFFSET($AM$2,0,0,ROW()-1,33),ROW()-1,FALSE))</f>
        <v>7076.7929999999997</v>
      </c>
      <c r="Q139">
        <f ca="1">IF(AND(ISNUMBER($Q$554),$B$427=1),$Q$554,HLOOKUP(INDIRECT(ADDRESS(2,COLUMN())),OFFSET($AM$2,0,0,ROW()-1,33),ROW()-1,FALSE))</f>
        <v>5543.598</v>
      </c>
      <c r="R139">
        <f ca="1">IF(AND(ISNUMBER($R$554),$B$427=1),$R$554,HLOOKUP(INDIRECT(ADDRESS(2,COLUMN())),OFFSET($AM$2,0,0,ROW()-1,33),ROW()-1,FALSE))</f>
        <v>4753.6040000000003</v>
      </c>
      <c r="S139">
        <f ca="1">IF(AND(ISNUMBER($S$554),$B$427=1),$S$554,HLOOKUP(INDIRECT(ADDRESS(2,COLUMN())),OFFSET($AM$2,0,0,ROW()-1,33),ROW()-1,FALSE))</f>
        <v>3870.0749999999998</v>
      </c>
      <c r="T139">
        <f ca="1">IF(AND(ISNUMBER($T$554),$B$427=1),$T$554,HLOOKUP(INDIRECT(ADDRESS(2,COLUMN())),OFFSET($AM$2,0,0,ROW()-1,33),ROW()-1,FALSE))</f>
        <v>2880.0349999999999</v>
      </c>
      <c r="U139">
        <f ca="1">IF(AND(ISNUMBER($U$554),$B$427=1),$U$554,HLOOKUP(INDIRECT(ADDRESS(2,COLUMN())),OFFSET($AM$2,0,0,ROW()-1,33),ROW()-1,FALSE))</f>
        <v>2581.6950000000002</v>
      </c>
      <c r="V139">
        <f ca="1">IF(AND(ISNUMBER($V$554),$B$427=1),$V$554,HLOOKUP(INDIRECT(ADDRESS(2,COLUMN())),OFFSET($AM$2,0,0,ROW()-1,33),ROW()-1,FALSE))</f>
        <v>1554.5930000000001</v>
      </c>
      <c r="W139">
        <f ca="1">IF(AND(ISNUMBER($W$554),$B$427=1),$W$554,HLOOKUP(INDIRECT(ADDRESS(2,COLUMN())),OFFSET($AM$2,0,0,ROW()-1,33),ROW()-1,FALSE))</f>
        <v>1805.6210000000001</v>
      </c>
      <c r="X139">
        <f ca="1">IF(AND(ISNUMBER($X$554),$B$427=1),$X$554,HLOOKUP(INDIRECT(ADDRESS(2,COLUMN())),OFFSET($AM$2,0,0,ROW()-1,33),ROW()-1,FALSE))</f>
        <v>1232.1969999999999</v>
      </c>
      <c r="Y139">
        <f ca="1">IF(AND(ISNUMBER($Y$554),$B$427=1),$Y$554,HLOOKUP(INDIRECT(ADDRESS(2,COLUMN())),OFFSET($AM$2,0,0,ROW()-1,33),ROW()-1,FALSE))</f>
        <v>869.10400000000004</v>
      </c>
      <c r="Z139">
        <f ca="1">IF(AND(ISNUMBER($Z$554),$B$427=1),$Z$554,HLOOKUP(INDIRECT(ADDRESS(2,COLUMN())),OFFSET($AM$2,0,0,ROW()-1,33),ROW()-1,FALSE))</f>
        <v>588.38599999999997</v>
      </c>
      <c r="AA139">
        <f ca="1">IF(AND(ISNUMBER($AA$554),$B$427=1),$AA$554,HLOOKUP(INDIRECT(ADDRESS(2,COLUMN())),OFFSET($AM$2,0,0,ROW()-1,33),ROW()-1,FALSE))</f>
        <v>424.46499999999997</v>
      </c>
      <c r="AB139">
        <f ca="1">IF(AND(ISNUMBER($AB$554),$B$427=1),$AB$554,HLOOKUP(INDIRECT(ADDRESS(2,COLUMN())),OFFSET($AM$2,0,0,ROW()-1,33),ROW()-1,FALSE))</f>
        <v>330.358</v>
      </c>
      <c r="AC139">
        <f ca="1">IF(AND(ISNUMBER($AC$554),$B$427=1),$AC$554,HLOOKUP(INDIRECT(ADDRESS(2,COLUMN())),OFFSET($AM$2,0,0,ROW()-1,33),ROW()-1,FALSE))</f>
        <v>355.702</v>
      </c>
      <c r="AD139" t="str">
        <f ca="1">IF(AND(ISNUMBER($AD$554),$B$427=1),$AD$554,HLOOKUP(INDIRECT(ADDRESS(2,COLUMN())),OFFSET($AM$2,0,0,ROW()-1,33),ROW()-1,FALSE))</f>
        <v/>
      </c>
      <c r="AE139" t="str">
        <f ca="1">IF(AND(ISNUMBER($AE$554),$B$427=1),$AE$554,HLOOKUP(INDIRECT(ADDRESS(2,COLUMN())),OFFSET($AM$2,0,0,ROW()-1,33),ROW()-1,FALSE))</f>
        <v/>
      </c>
      <c r="AF139" t="str">
        <f ca="1">IF(AND(ISNUMBER($AF$554),$B$427=1),$AF$554,HLOOKUP(INDIRECT(ADDRESS(2,COLUMN())),OFFSET($AM$2,0,0,ROW()-1,33),ROW()-1,FALSE))</f>
        <v/>
      </c>
      <c r="AG139" t="str">
        <f ca="1">IF(AND(ISNUMBER($AG$554),$B$427=1),$AG$554,HLOOKUP(INDIRECT(ADDRESS(2,COLUMN())),OFFSET($AM$2,0,0,ROW()-1,33),ROW()-1,FALSE))</f>
        <v/>
      </c>
      <c r="AH139" t="str">
        <f ca="1">IF(AND(ISNUMBER($AH$554),$B$427=1),$AH$554,HLOOKUP(INDIRECT(ADDRESS(2,COLUMN())),OFFSET($AM$2,0,0,ROW()-1,33),ROW()-1,FALSE))</f>
        <v/>
      </c>
      <c r="AI139" t="str">
        <f ca="1">IF(AND(ISNUMBER($AI$554),$B$427=1),$AI$554,HLOOKUP(INDIRECT(ADDRESS(2,COLUMN())),OFFSET($AM$2,0,0,ROW()-1,33),ROW()-1,FALSE))</f>
        <v/>
      </c>
      <c r="AJ139" t="str">
        <f ca="1">IF(AND(ISNUMBER($AJ$554),$B$427=1),$AJ$554,HLOOKUP(INDIRECT(ADDRESS(2,COLUMN())),OFFSET($AM$2,0,0,ROW()-1,33),ROW()-1,FALSE))</f>
        <v/>
      </c>
      <c r="AK139" t="str">
        <f ca="1">IF(AND(ISNUMBER($AK$554),$B$427=1),$AK$554,HLOOKUP(INDIRECT(ADDRESS(2,COLUMN())),OFFSET($AM$2,0,0,ROW()-1,33),ROW()-1,FALSE))</f>
        <v/>
      </c>
      <c r="AL139" t="str">
        <f ca="1">IF(AND(ISNUMBER($AL$554),$B$427=1),$AL$554,HLOOKUP(INDIRECT(ADDRESS(2,COLUMN())),OFFSET($AM$2,0,0,ROW()-1,33),ROW()-1,FALSE))</f>
        <v/>
      </c>
      <c r="AM139" t="str">
        <f>""</f>
        <v/>
      </c>
      <c r="AN139">
        <f>10236.644</f>
        <v>10236.644</v>
      </c>
      <c r="AO139">
        <f>9895.676</f>
        <v>9895.6759999999995</v>
      </c>
      <c r="AP139">
        <f>9756.241</f>
        <v>9756.241</v>
      </c>
      <c r="AQ139">
        <f>10392.837</f>
        <v>10392.837</v>
      </c>
      <c r="AR139">
        <f>9746.798</f>
        <v>9746.7980000000007</v>
      </c>
      <c r="AS139">
        <f>9496.41</f>
        <v>9496.41</v>
      </c>
      <c r="AT139">
        <f>8704.614</f>
        <v>8704.6139999999996</v>
      </c>
      <c r="AU139">
        <f>7843.556</f>
        <v>7843.5559999999996</v>
      </c>
      <c r="AV139">
        <f>7471.709</f>
        <v>7471.7089999999998</v>
      </c>
      <c r="AW139">
        <f>7076.793</f>
        <v>7076.7929999999997</v>
      </c>
      <c r="AX139">
        <f>5543.598</f>
        <v>5543.598</v>
      </c>
      <c r="AY139">
        <f>4753.604</f>
        <v>4753.6040000000003</v>
      </c>
      <c r="AZ139">
        <f>3870.075</f>
        <v>3870.0749999999998</v>
      </c>
      <c r="BA139">
        <f>2880.035</f>
        <v>2880.0349999999999</v>
      </c>
      <c r="BB139">
        <f>2581.695</f>
        <v>2581.6950000000002</v>
      </c>
      <c r="BC139">
        <f>1554.593</f>
        <v>1554.5930000000001</v>
      </c>
      <c r="BD139">
        <f>1805.621</f>
        <v>1805.6210000000001</v>
      </c>
      <c r="BE139">
        <f>1232.197</f>
        <v>1232.1969999999999</v>
      </c>
      <c r="BF139">
        <f>869.104</f>
        <v>869.10400000000004</v>
      </c>
      <c r="BG139">
        <f>588.386</f>
        <v>588.38599999999997</v>
      </c>
      <c r="BH139">
        <f>424.465</f>
        <v>424.46499999999997</v>
      </c>
      <c r="BI139">
        <f>330.358</f>
        <v>330.358</v>
      </c>
      <c r="BJ139">
        <f>355.702</f>
        <v>355.702</v>
      </c>
      <c r="BK139" t="str">
        <f>""</f>
        <v/>
      </c>
      <c r="BL139" t="str">
        <f>""</f>
        <v/>
      </c>
      <c r="BM139" t="str">
        <f>""</f>
        <v/>
      </c>
      <c r="BN139" t="str">
        <f>""</f>
        <v/>
      </c>
      <c r="BO139" t="str">
        <f>""</f>
        <v/>
      </c>
      <c r="BP139" t="str">
        <f>""</f>
        <v/>
      </c>
      <c r="BQ139" t="str">
        <f>""</f>
        <v/>
      </c>
      <c r="BR139" t="str">
        <f>""</f>
        <v/>
      </c>
      <c r="BS139" t="str">
        <f>""</f>
        <v/>
      </c>
    </row>
    <row r="140" spans="1:71" x14ac:dyDescent="0.25">
      <c r="A140" t="str">
        <f>"        Fifth Third Bancorp"</f>
        <v xml:space="preserve">        Fifth Third Bancorp</v>
      </c>
      <c r="B140" t="str">
        <f>"FITB US Equity"</f>
        <v>FITB US Equity</v>
      </c>
      <c r="C140" t="str">
        <f t="shared" si="18"/>
        <v>F0090</v>
      </c>
      <c r="D140" t="str">
        <f t="shared" si="19"/>
        <v>FED_C&amp;I_LOANS_CONSOLIDATED</v>
      </c>
      <c r="E140" t="str">
        <f t="shared" si="20"/>
        <v>Dynamic</v>
      </c>
      <c r="F140">
        <f ca="1">IF(AND(ISNUMBER($F$555),$B$427=1),$F$555,HLOOKUP(INDIRECT(ADDRESS(2,COLUMN())),OFFSET($AM$2,0,0,ROW()-1,33),ROW()-1,FALSE))</f>
        <v>43671</v>
      </c>
      <c r="G140">
        <f ca="1">IF(AND(ISNUMBER($G$555),$B$427=1),$G$555,HLOOKUP(INDIRECT(ADDRESS(2,COLUMN())),OFFSET($AM$2,0,0,ROW()-1,33),ROW()-1,FALSE))</f>
        <v>44862</v>
      </c>
      <c r="H140">
        <f ca="1">IF(AND(ISNUMBER($H$555),$B$427=1),$H$555,HLOOKUP(INDIRECT(ADDRESS(2,COLUMN())),OFFSET($AM$2,0,0,ROW()-1,33),ROW()-1,FALSE))</f>
        <v>48994.118999999999</v>
      </c>
      <c r="I140">
        <f ca="1">IF(AND(ISNUMBER($I$555),$B$427=1),$I$555,HLOOKUP(INDIRECT(ADDRESS(2,COLUMN())),OFFSET($AM$2,0,0,ROW()-1,33),ROW()-1,FALSE))</f>
        <v>43503.324999999997</v>
      </c>
      <c r="J140">
        <f ca="1">IF(AND(ISNUMBER($J$555),$B$427=1),$J$555,HLOOKUP(INDIRECT(ADDRESS(2,COLUMN())),OFFSET($AM$2,0,0,ROW()-1,33),ROW()-1,FALSE))</f>
        <v>45052.552000000003</v>
      </c>
      <c r="K140">
        <f ca="1">IF(AND(ISNUMBER($K$555),$B$427=1),$K$555,HLOOKUP(INDIRECT(ADDRESS(2,COLUMN())),OFFSET($AM$2,0,0,ROW()-1,33),ROW()-1,FALSE))</f>
        <v>45717.123</v>
      </c>
      <c r="L140">
        <f ca="1">IF(AND(ISNUMBER($L$555),$B$427=1),$L$555,HLOOKUP(INDIRECT(ADDRESS(2,COLUMN())),OFFSET($AM$2,0,0,ROW()-1,33),ROW()-1,FALSE))</f>
        <v>38231.862999999998</v>
      </c>
      <c r="M140">
        <f ca="1">IF(AND(ISNUMBER($M$555),$B$427=1),$M$555,HLOOKUP(INDIRECT(ADDRESS(2,COLUMN())),OFFSET($AM$2,0,0,ROW()-1,33),ROW()-1,FALSE))</f>
        <v>36089.591</v>
      </c>
      <c r="N140">
        <f ca="1">IF(AND(ISNUMBER($N$555),$B$427=1),$N$555,HLOOKUP(INDIRECT(ADDRESS(2,COLUMN())),OFFSET($AM$2,0,0,ROW()-1,33),ROW()-1,FALSE))</f>
        <v>35907.538999999997</v>
      </c>
      <c r="O140">
        <f ca="1">IF(AND(ISNUMBER($O$555),$B$427=1),$O$555,HLOOKUP(INDIRECT(ADDRESS(2,COLUMN())),OFFSET($AM$2,0,0,ROW()-1,33),ROW()-1,FALSE))</f>
        <v>36057.894999999997</v>
      </c>
      <c r="P140">
        <f ca="1">IF(AND(ISNUMBER($P$555),$B$427=1),$P$555,HLOOKUP(INDIRECT(ADDRESS(2,COLUMN())),OFFSET($AM$2,0,0,ROW()-1,33),ROW()-1,FALSE))</f>
        <v>34472.421000000002</v>
      </c>
      <c r="Q140">
        <f ca="1">IF(AND(ISNUMBER($Q$555),$B$427=1),$Q$555,HLOOKUP(INDIRECT(ADDRESS(2,COLUMN())),OFFSET($AM$2,0,0,ROW()-1,33),ROW()-1,FALSE))</f>
        <v>33343.266000000003</v>
      </c>
      <c r="R140">
        <f ca="1">IF(AND(ISNUMBER($R$555),$B$427=1),$R$555,HLOOKUP(INDIRECT(ADDRESS(2,COLUMN())),OFFSET($AM$2,0,0,ROW()-1,33),ROW()-1,FALSE))</f>
        <v>30938.088</v>
      </c>
      <c r="S140">
        <f ca="1">IF(AND(ISNUMBER($S$555),$B$427=1),$S$555,HLOOKUP(INDIRECT(ADDRESS(2,COLUMN())),OFFSET($AM$2,0,0,ROW()-1,33),ROW()-1,FALSE))</f>
        <v>25592.778999999999</v>
      </c>
      <c r="T140">
        <f ca="1">IF(AND(ISNUMBER($T$555),$B$427=1),$T$555,HLOOKUP(INDIRECT(ADDRESS(2,COLUMN())),OFFSET($AM$2,0,0,ROW()-1,33),ROW()-1,FALSE))</f>
        <v>22374.27</v>
      </c>
      <c r="U140">
        <f ca="1">IF(AND(ISNUMBER($U$555),$B$427=1),$U$555,HLOOKUP(INDIRECT(ADDRESS(2,COLUMN())),OFFSET($AM$2,0,0,ROW()-1,33),ROW()-1,FALSE))</f>
        <v>22051.252</v>
      </c>
      <c r="V140">
        <f ca="1">IF(AND(ISNUMBER($V$555),$B$427=1),$V$555,HLOOKUP(INDIRECT(ADDRESS(2,COLUMN())),OFFSET($AM$2,0,0,ROW()-1,33),ROW()-1,FALSE))</f>
        <v>25109.757000000001</v>
      </c>
      <c r="W140">
        <f ca="1">IF(AND(ISNUMBER($W$555),$B$427=1),$W$555,HLOOKUP(INDIRECT(ADDRESS(2,COLUMN())),OFFSET($AM$2,0,0,ROW()-1,33),ROW()-1,FALSE))</f>
        <v>21752.419000000002</v>
      </c>
      <c r="X140">
        <f ca="1">IF(AND(ISNUMBER($X$555),$B$427=1),$X$555,HLOOKUP(INDIRECT(ADDRESS(2,COLUMN())),OFFSET($AM$2,0,0,ROW()-1,33),ROW()-1,FALSE))</f>
        <v>16189.016</v>
      </c>
      <c r="Y140">
        <f ca="1">IF(AND(ISNUMBER($Y$555),$B$427=1),$Y$555,HLOOKUP(INDIRECT(ADDRESS(2,COLUMN())),OFFSET($AM$2,0,0,ROW()-1,33),ROW()-1,FALSE))</f>
        <v>20833.276999999998</v>
      </c>
      <c r="Z140">
        <f ca="1">IF(AND(ISNUMBER($Z$555),$B$427=1),$Z$555,HLOOKUP(INDIRECT(ADDRESS(2,COLUMN())),OFFSET($AM$2,0,0,ROW()-1,33),ROW()-1,FALSE))</f>
        <v>16652.796999999999</v>
      </c>
      <c r="AA140">
        <f ca="1">IF(AND(ISNUMBER($AA$555),$B$427=1),$AA$555,HLOOKUP(INDIRECT(ADDRESS(2,COLUMN())),OFFSET($AM$2,0,0,ROW()-1,33),ROW()-1,FALSE))</f>
        <v>13338.079</v>
      </c>
      <c r="AB140">
        <f ca="1">IF(AND(ISNUMBER($AB$555),$B$427=1),$AB$555,HLOOKUP(INDIRECT(ADDRESS(2,COLUMN())),OFFSET($AM$2,0,0,ROW()-1,33),ROW()-1,FALSE))</f>
        <v>11277.380999999999</v>
      </c>
      <c r="AC140">
        <f ca="1">IF(AND(ISNUMBER($AC$555),$B$427=1),$AC$555,HLOOKUP(INDIRECT(ADDRESS(2,COLUMN())),OFFSET($AM$2,0,0,ROW()-1,33),ROW()-1,FALSE))</f>
        <v>9294.0020000000004</v>
      </c>
      <c r="AD140" t="str">
        <f ca="1">IF(AND(ISNUMBER($AD$555),$B$427=1),$AD$555,HLOOKUP(INDIRECT(ADDRESS(2,COLUMN())),OFFSET($AM$2,0,0,ROW()-1,33),ROW()-1,FALSE))</f>
        <v/>
      </c>
      <c r="AE140" t="str">
        <f ca="1">IF(AND(ISNUMBER($AE$555),$B$427=1),$AE$555,HLOOKUP(INDIRECT(ADDRESS(2,COLUMN())),OFFSET($AM$2,0,0,ROW()-1,33),ROW()-1,FALSE))</f>
        <v/>
      </c>
      <c r="AF140" t="str">
        <f ca="1">IF(AND(ISNUMBER($AF$555),$B$427=1),$AF$555,HLOOKUP(INDIRECT(ADDRESS(2,COLUMN())),OFFSET($AM$2,0,0,ROW()-1,33),ROW()-1,FALSE))</f>
        <v/>
      </c>
      <c r="AG140" t="str">
        <f ca="1">IF(AND(ISNUMBER($AG$555),$B$427=1),$AG$555,HLOOKUP(INDIRECT(ADDRESS(2,COLUMN())),OFFSET($AM$2,0,0,ROW()-1,33),ROW()-1,FALSE))</f>
        <v/>
      </c>
      <c r="AH140" t="str">
        <f ca="1">IF(AND(ISNUMBER($AH$555),$B$427=1),$AH$555,HLOOKUP(INDIRECT(ADDRESS(2,COLUMN())),OFFSET($AM$2,0,0,ROW()-1,33),ROW()-1,FALSE))</f>
        <v/>
      </c>
      <c r="AI140" t="str">
        <f ca="1">IF(AND(ISNUMBER($AI$555),$B$427=1),$AI$555,HLOOKUP(INDIRECT(ADDRESS(2,COLUMN())),OFFSET($AM$2,0,0,ROW()-1,33),ROW()-1,FALSE))</f>
        <v/>
      </c>
      <c r="AJ140" t="str">
        <f ca="1">IF(AND(ISNUMBER($AJ$555),$B$427=1),$AJ$555,HLOOKUP(INDIRECT(ADDRESS(2,COLUMN())),OFFSET($AM$2,0,0,ROW()-1,33),ROW()-1,FALSE))</f>
        <v/>
      </c>
      <c r="AK140" t="str">
        <f ca="1">IF(AND(ISNUMBER($AK$555),$B$427=1),$AK$555,HLOOKUP(INDIRECT(ADDRESS(2,COLUMN())),OFFSET($AM$2,0,0,ROW()-1,33),ROW()-1,FALSE))</f>
        <v/>
      </c>
      <c r="AL140" t="str">
        <f ca="1">IF(AND(ISNUMBER($AL$555),$B$427=1),$AL$555,HLOOKUP(INDIRECT(ADDRESS(2,COLUMN())),OFFSET($AM$2,0,0,ROW()-1,33),ROW()-1,FALSE))</f>
        <v/>
      </c>
      <c r="AM140">
        <f>43671</f>
        <v>43671</v>
      </c>
      <c r="AN140">
        <f>44862</f>
        <v>44862</v>
      </c>
      <c r="AO140">
        <f>48994.119</f>
        <v>48994.118999999999</v>
      </c>
      <c r="AP140">
        <f>43503.325</f>
        <v>43503.324999999997</v>
      </c>
      <c r="AQ140">
        <f>45052.552</f>
        <v>45052.552000000003</v>
      </c>
      <c r="AR140">
        <f>45717.123</f>
        <v>45717.123</v>
      </c>
      <c r="AS140">
        <f>38231.863</f>
        <v>38231.862999999998</v>
      </c>
      <c r="AT140">
        <f>36089.591</f>
        <v>36089.591</v>
      </c>
      <c r="AU140">
        <f>35907.539</f>
        <v>35907.538999999997</v>
      </c>
      <c r="AV140">
        <f>36057.895</f>
        <v>36057.894999999997</v>
      </c>
      <c r="AW140">
        <f>34472.421</f>
        <v>34472.421000000002</v>
      </c>
      <c r="AX140">
        <f>33343.266</f>
        <v>33343.266000000003</v>
      </c>
      <c r="AY140">
        <f>30938.088</f>
        <v>30938.088</v>
      </c>
      <c r="AZ140">
        <f>25592.779</f>
        <v>25592.778999999999</v>
      </c>
      <c r="BA140">
        <f>22374.27</f>
        <v>22374.27</v>
      </c>
      <c r="BB140">
        <f>22051.252</f>
        <v>22051.252</v>
      </c>
      <c r="BC140">
        <f>25109.757</f>
        <v>25109.757000000001</v>
      </c>
      <c r="BD140">
        <f>21752.419</f>
        <v>21752.419000000002</v>
      </c>
      <c r="BE140">
        <f>16189.016</f>
        <v>16189.016</v>
      </c>
      <c r="BF140">
        <f>20833.277</f>
        <v>20833.276999999998</v>
      </c>
      <c r="BG140">
        <f>16652.797</f>
        <v>16652.796999999999</v>
      </c>
      <c r="BH140">
        <f>13338.079</f>
        <v>13338.079</v>
      </c>
      <c r="BI140">
        <f>11277.381</f>
        <v>11277.380999999999</v>
      </c>
      <c r="BJ140">
        <f>9294.002</f>
        <v>9294.0020000000004</v>
      </c>
      <c r="BK140" t="str">
        <f>""</f>
        <v/>
      </c>
      <c r="BL140" t="str">
        <f>""</f>
        <v/>
      </c>
      <c r="BM140" t="str">
        <f>""</f>
        <v/>
      </c>
      <c r="BN140" t="str">
        <f>""</f>
        <v/>
      </c>
      <c r="BO140" t="str">
        <f>""</f>
        <v/>
      </c>
      <c r="BP140" t="str">
        <f>""</f>
        <v/>
      </c>
      <c r="BQ140" t="str">
        <f>""</f>
        <v/>
      </c>
      <c r="BR140" t="str">
        <f>""</f>
        <v/>
      </c>
      <c r="BS140" t="str">
        <f>""</f>
        <v/>
      </c>
    </row>
    <row r="141" spans="1:71" x14ac:dyDescent="0.25">
      <c r="A141" t="str">
        <f>"        First Citizens BancShares Inc/"</f>
        <v xml:space="preserve">        First Citizens BancShares Inc/</v>
      </c>
      <c r="B141" t="str">
        <f>"FCNCA US Equity"</f>
        <v>FCNCA US Equity</v>
      </c>
      <c r="C141" t="str">
        <f t="shared" si="18"/>
        <v>F0090</v>
      </c>
      <c r="D141" t="str">
        <f t="shared" si="19"/>
        <v>FED_C&amp;I_LOANS_CONSOLIDATED</v>
      </c>
      <c r="E141" t="str">
        <f t="shared" si="20"/>
        <v>Dynamic</v>
      </c>
      <c r="F141">
        <f ca="1">IF(AND(ISNUMBER($F$556),$B$427=1),$F$556,HLOOKUP(INDIRECT(ADDRESS(2,COLUMN())),OFFSET($AM$2,0,0,ROW()-1,33),ROW()-1,FALSE))</f>
        <v>37527</v>
      </c>
      <c r="G141">
        <f ca="1">IF(AND(ISNUMBER($G$556),$B$427=1),$G$556,HLOOKUP(INDIRECT(ADDRESS(2,COLUMN())),OFFSET($AM$2,0,0,ROW()-1,33),ROW()-1,FALSE))</f>
        <v>37800.85</v>
      </c>
      <c r="H141">
        <f ca="1">IF(AND(ISNUMBER($H$556),$B$427=1),$H$556,HLOOKUP(INDIRECT(ADDRESS(2,COLUMN())),OFFSET($AM$2,0,0,ROW()-1,33),ROW()-1,FALSE))</f>
        <v>19669.96</v>
      </c>
      <c r="I141">
        <f ca="1">IF(AND(ISNUMBER($I$556),$B$427=1),$I$556,HLOOKUP(INDIRECT(ADDRESS(2,COLUMN())),OFFSET($AM$2,0,0,ROW()-1,33),ROW()-1,FALSE))</f>
        <v>4960.9650000000001</v>
      </c>
      <c r="J141">
        <f ca="1">IF(AND(ISNUMBER($J$556),$B$427=1),$J$556,HLOOKUP(INDIRECT(ADDRESS(2,COLUMN())),OFFSET($AM$2,0,0,ROW()-1,33),ROW()-1,FALSE))</f>
        <v>6164.8919999999998</v>
      </c>
      <c r="K141">
        <f ca="1">IF(AND(ISNUMBER($K$556),$B$427=1),$K$556,HLOOKUP(INDIRECT(ADDRESS(2,COLUMN())),OFFSET($AM$2,0,0,ROW()-1,33),ROW()-1,FALSE))</f>
        <v>3461.8989999999999</v>
      </c>
      <c r="L141">
        <f ca="1">IF(AND(ISNUMBER($L$556),$B$427=1),$L$556,HLOOKUP(INDIRECT(ADDRESS(2,COLUMN())),OFFSET($AM$2,0,0,ROW()-1,33),ROW()-1,FALSE))</f>
        <v>2867.4810000000002</v>
      </c>
      <c r="M141">
        <f ca="1">IF(AND(ISNUMBER($M$556),$B$427=1),$M$556,HLOOKUP(INDIRECT(ADDRESS(2,COLUMN())),OFFSET($AM$2,0,0,ROW()-1,33),ROW()-1,FALSE))</f>
        <v>2303.0500000000002</v>
      </c>
      <c r="N141">
        <f ca="1">IF(AND(ISNUMBER($N$556),$B$427=1),$N$556,HLOOKUP(INDIRECT(ADDRESS(2,COLUMN())),OFFSET($AM$2,0,0,ROW()-1,33),ROW()-1,FALSE))</f>
        <v>2168.393</v>
      </c>
      <c r="O141">
        <f ca="1">IF(AND(ISNUMBER($O$556),$B$427=1),$O$556,HLOOKUP(INDIRECT(ADDRESS(2,COLUMN())),OFFSET($AM$2,0,0,ROW()-1,33),ROW()-1,FALSE))</f>
        <v>1973.182</v>
      </c>
      <c r="P141">
        <f ca="1">IF(AND(ISNUMBER($P$556),$B$427=1),$P$556,HLOOKUP(INDIRECT(ADDRESS(2,COLUMN())),OFFSET($AM$2,0,0,ROW()-1,33),ROW()-1,FALSE))</f>
        <v>1650.8320000000001</v>
      </c>
      <c r="Q141">
        <f ca="1">IF(AND(ISNUMBER($Q$556),$B$427=1),$Q$556,HLOOKUP(INDIRECT(ADDRESS(2,COLUMN())),OFFSET($AM$2,0,0,ROW()-1,33),ROW()-1,FALSE))</f>
        <v>966.49099999999999</v>
      </c>
      <c r="R141">
        <f ca="1">IF(AND(ISNUMBER($R$556),$B$427=1),$R$556,HLOOKUP(INDIRECT(ADDRESS(2,COLUMN())),OFFSET($AM$2,0,0,ROW()-1,33),ROW()-1,FALSE))</f>
        <v>1701.5419999999999</v>
      </c>
      <c r="S141">
        <f ca="1">IF(AND(ISNUMBER($S$556),$B$427=1),$S$556,HLOOKUP(INDIRECT(ADDRESS(2,COLUMN())),OFFSET($AM$2,0,0,ROW()-1,33),ROW()-1,FALSE))</f>
        <v>1758.124</v>
      </c>
      <c r="T141">
        <f ca="1">IF(AND(ISNUMBER($T$556),$B$427=1),$T$556,HLOOKUP(INDIRECT(ADDRESS(2,COLUMN())),OFFSET($AM$2,0,0,ROW()-1,33),ROW()-1,FALSE))</f>
        <v>1800.2249999999999</v>
      </c>
      <c r="U141">
        <f ca="1">IF(AND(ISNUMBER($U$556),$B$427=1),$U$556,HLOOKUP(INDIRECT(ADDRESS(2,COLUMN())),OFFSET($AM$2,0,0,ROW()-1,33),ROW()-1,FALSE))</f>
        <v>1730.212</v>
      </c>
      <c r="V141">
        <f ca="1">IF(AND(ISNUMBER($V$556),$B$427=1),$V$556,HLOOKUP(INDIRECT(ADDRESS(2,COLUMN())),OFFSET($AM$2,0,0,ROW()-1,33),ROW()-1,FALSE))</f>
        <v>1695.9739999999999</v>
      </c>
      <c r="W141">
        <f ca="1">IF(AND(ISNUMBER($W$556),$B$427=1),$W$556,HLOOKUP(INDIRECT(ADDRESS(2,COLUMN())),OFFSET($AM$2,0,0,ROW()-1,33),ROW()-1,FALSE))</f>
        <v>1490.4960000000001</v>
      </c>
      <c r="X141">
        <f ca="1">IF(AND(ISNUMBER($X$556),$B$427=1),$X$556,HLOOKUP(INDIRECT(ADDRESS(2,COLUMN())),OFFSET($AM$2,0,0,ROW()-1,33),ROW()-1,FALSE))</f>
        <v>1275.7550000000001</v>
      </c>
      <c r="Y141">
        <f ca="1">IF(AND(ISNUMBER($Y$556),$B$427=1),$Y$556,HLOOKUP(INDIRECT(ADDRESS(2,COLUMN())),OFFSET($AM$2,0,0,ROW()-1,33),ROW()-1,FALSE))</f>
        <v>1047.2950000000001</v>
      </c>
      <c r="Z141">
        <f ca="1">IF(AND(ISNUMBER($Z$556),$B$427=1),$Z$556,HLOOKUP(INDIRECT(ADDRESS(2,COLUMN())),OFFSET($AM$2,0,0,ROW()-1,33),ROW()-1,FALSE))</f>
        <v>900.58299999999997</v>
      </c>
      <c r="AA141">
        <f ca="1">IF(AND(ISNUMBER($AA$556),$B$427=1),$AA$556,HLOOKUP(INDIRECT(ADDRESS(2,COLUMN())),OFFSET($AM$2,0,0,ROW()-1,33),ROW()-1,FALSE))</f>
        <v>862.37</v>
      </c>
      <c r="AB141">
        <f ca="1">IF(AND(ISNUMBER($AB$556),$B$427=1),$AB$556,HLOOKUP(INDIRECT(ADDRESS(2,COLUMN())),OFFSET($AM$2,0,0,ROW()-1,33),ROW()-1,FALSE))</f>
        <v>857.26499999999999</v>
      </c>
      <c r="AC141">
        <f ca="1">IF(AND(ISNUMBER($AC$556),$B$427=1),$AC$556,HLOOKUP(INDIRECT(ADDRESS(2,COLUMN())),OFFSET($AM$2,0,0,ROW()-1,33),ROW()-1,FALSE))</f>
        <v>854.32600000000002</v>
      </c>
      <c r="AD141" t="str">
        <f ca="1">IF(AND(ISNUMBER($AD$556),$B$427=1),$AD$556,HLOOKUP(INDIRECT(ADDRESS(2,COLUMN())),OFFSET($AM$2,0,0,ROW()-1,33),ROW()-1,FALSE))</f>
        <v/>
      </c>
      <c r="AE141" t="str">
        <f ca="1">IF(AND(ISNUMBER($AE$556),$B$427=1),$AE$556,HLOOKUP(INDIRECT(ADDRESS(2,COLUMN())),OFFSET($AM$2,0,0,ROW()-1,33),ROW()-1,FALSE))</f>
        <v/>
      </c>
      <c r="AF141" t="str">
        <f ca="1">IF(AND(ISNUMBER($AF$556),$B$427=1),$AF$556,HLOOKUP(INDIRECT(ADDRESS(2,COLUMN())),OFFSET($AM$2,0,0,ROW()-1,33),ROW()-1,FALSE))</f>
        <v/>
      </c>
      <c r="AG141" t="str">
        <f ca="1">IF(AND(ISNUMBER($AG$556),$B$427=1),$AG$556,HLOOKUP(INDIRECT(ADDRESS(2,COLUMN())),OFFSET($AM$2,0,0,ROW()-1,33),ROW()-1,FALSE))</f>
        <v/>
      </c>
      <c r="AH141" t="str">
        <f ca="1">IF(AND(ISNUMBER($AH$556),$B$427=1),$AH$556,HLOOKUP(INDIRECT(ADDRESS(2,COLUMN())),OFFSET($AM$2,0,0,ROW()-1,33),ROW()-1,FALSE))</f>
        <v/>
      </c>
      <c r="AI141" t="str">
        <f ca="1">IF(AND(ISNUMBER($AI$556),$B$427=1),$AI$556,HLOOKUP(INDIRECT(ADDRESS(2,COLUMN())),OFFSET($AM$2,0,0,ROW()-1,33),ROW()-1,FALSE))</f>
        <v/>
      </c>
      <c r="AJ141" t="str">
        <f ca="1">IF(AND(ISNUMBER($AJ$556),$B$427=1),$AJ$556,HLOOKUP(INDIRECT(ADDRESS(2,COLUMN())),OFFSET($AM$2,0,0,ROW()-1,33),ROW()-1,FALSE))</f>
        <v/>
      </c>
      <c r="AK141" t="str">
        <f ca="1">IF(AND(ISNUMBER($AK$556),$B$427=1),$AK$556,HLOOKUP(INDIRECT(ADDRESS(2,COLUMN())),OFFSET($AM$2,0,0,ROW()-1,33),ROW()-1,FALSE))</f>
        <v/>
      </c>
      <c r="AL141" t="str">
        <f ca="1">IF(AND(ISNUMBER($AL$556),$B$427=1),$AL$556,HLOOKUP(INDIRECT(ADDRESS(2,COLUMN())),OFFSET($AM$2,0,0,ROW()-1,33),ROW()-1,FALSE))</f>
        <v/>
      </c>
      <c r="AM141">
        <f>37527</f>
        <v>37527</v>
      </c>
      <c r="AN141">
        <f>37800.85</f>
        <v>37800.85</v>
      </c>
      <c r="AO141">
        <f>19669.96</f>
        <v>19669.96</v>
      </c>
      <c r="AP141">
        <f>4960.965</f>
        <v>4960.9650000000001</v>
      </c>
      <c r="AQ141">
        <f>6164.892</f>
        <v>6164.8919999999998</v>
      </c>
      <c r="AR141">
        <f>3461.899</f>
        <v>3461.8989999999999</v>
      </c>
      <c r="AS141">
        <f>2867.481</f>
        <v>2867.4810000000002</v>
      </c>
      <c r="AT141">
        <f>2303.05</f>
        <v>2303.0500000000002</v>
      </c>
      <c r="AU141">
        <f>2168.393</f>
        <v>2168.393</v>
      </c>
      <c r="AV141">
        <f>1973.182</f>
        <v>1973.182</v>
      </c>
      <c r="AW141">
        <f>1650.832</f>
        <v>1650.8320000000001</v>
      </c>
      <c r="AX141">
        <f>966.491</f>
        <v>966.49099999999999</v>
      </c>
      <c r="AY141">
        <f>1701.542</f>
        <v>1701.5419999999999</v>
      </c>
      <c r="AZ141">
        <f>1758.124</f>
        <v>1758.124</v>
      </c>
      <c r="BA141">
        <f>1800.225</f>
        <v>1800.2249999999999</v>
      </c>
      <c r="BB141">
        <f>1730.212</f>
        <v>1730.212</v>
      </c>
      <c r="BC141">
        <f>1695.974</f>
        <v>1695.9739999999999</v>
      </c>
      <c r="BD141">
        <f>1490.496</f>
        <v>1490.4960000000001</v>
      </c>
      <c r="BE141">
        <f>1275.755</f>
        <v>1275.7550000000001</v>
      </c>
      <c r="BF141">
        <f>1047.295</f>
        <v>1047.2950000000001</v>
      </c>
      <c r="BG141">
        <f>900.583</f>
        <v>900.58299999999997</v>
      </c>
      <c r="BH141">
        <f>862.37</f>
        <v>862.37</v>
      </c>
      <c r="BI141">
        <f>857.265</f>
        <v>857.26499999999999</v>
      </c>
      <c r="BJ141">
        <f>854.326</f>
        <v>854.32600000000002</v>
      </c>
      <c r="BK141" t="str">
        <f>""</f>
        <v/>
      </c>
      <c r="BL141" t="str">
        <f>""</f>
        <v/>
      </c>
      <c r="BM141" t="str">
        <f>""</f>
        <v/>
      </c>
      <c r="BN141" t="str">
        <f>""</f>
        <v/>
      </c>
      <c r="BO141" t="str">
        <f>""</f>
        <v/>
      </c>
      <c r="BP141" t="str">
        <f>""</f>
        <v/>
      </c>
      <c r="BQ141" t="str">
        <f>""</f>
        <v/>
      </c>
      <c r="BR141" t="str">
        <f>""</f>
        <v/>
      </c>
      <c r="BS141" t="str">
        <f>""</f>
        <v/>
      </c>
    </row>
    <row r="142" spans="1:71" x14ac:dyDescent="0.25">
      <c r="A142" t="str">
        <f>"        Flagstar Financial Inc"</f>
        <v xml:space="preserve">        Flagstar Financial Inc</v>
      </c>
      <c r="B142" t="str">
        <f>"FLG US Equity"</f>
        <v>FLG US Equity</v>
      </c>
      <c r="C142" t="str">
        <f t="shared" si="18"/>
        <v>F0090</v>
      </c>
      <c r="D142" t="str">
        <f t="shared" si="19"/>
        <v>FED_C&amp;I_LOANS_CONSOLIDATED</v>
      </c>
      <c r="E142" t="str">
        <f t="shared" si="20"/>
        <v>Dynamic</v>
      </c>
      <c r="F142">
        <f ca="1">IF(AND(ISNUMBER($F$557),$B$427=1),$F$557,HLOOKUP(INDIRECT(ADDRESS(2,COLUMN())),OFFSET($AM$2,0,0,ROW()-1,33),ROW()-1,FALSE))</f>
        <v>9367.3770000000004</v>
      </c>
      <c r="G142">
        <f ca="1">IF(AND(ISNUMBER($G$557),$B$427=1),$G$557,HLOOKUP(INDIRECT(ADDRESS(2,COLUMN())),OFFSET($AM$2,0,0,ROW()-1,33),ROW()-1,FALSE))</f>
        <v>12136.962</v>
      </c>
      <c r="H142">
        <f ca="1">IF(AND(ISNUMBER($H$557),$B$427=1),$H$557,HLOOKUP(INDIRECT(ADDRESS(2,COLUMN())),OFFSET($AM$2,0,0,ROW()-1,33),ROW()-1,FALSE))</f>
        <v>5116.49</v>
      </c>
      <c r="I142">
        <f ca="1">IF(AND(ISNUMBER($I$557),$B$427=1),$I$557,HLOOKUP(INDIRECT(ADDRESS(2,COLUMN())),OFFSET($AM$2,0,0,ROW()-1,33),ROW()-1,FALSE))</f>
        <v>2042.838</v>
      </c>
      <c r="J142">
        <f ca="1">IF(AND(ISNUMBER($J$557),$B$427=1),$J$557,HLOOKUP(INDIRECT(ADDRESS(2,COLUMN())),OFFSET($AM$2,0,0,ROW()-1,33),ROW()-1,FALSE))</f>
        <v>1801.171</v>
      </c>
      <c r="K142">
        <f ca="1">IF(AND(ISNUMBER($K$557),$B$427=1),$K$557,HLOOKUP(INDIRECT(ADDRESS(2,COLUMN())),OFFSET($AM$2,0,0,ROW()-1,33),ROW()-1,FALSE))</f>
        <v>1744.7380000000001</v>
      </c>
      <c r="L142">
        <f ca="1">IF(AND(ISNUMBER($L$557),$B$427=1),$L$557,HLOOKUP(INDIRECT(ADDRESS(2,COLUMN())),OFFSET($AM$2,0,0,ROW()-1,33),ROW()-1,FALSE))</f>
        <v>1705.713</v>
      </c>
      <c r="M142">
        <f ca="1">IF(AND(ISNUMBER($M$557),$B$427=1),$M$557,HLOOKUP(INDIRECT(ADDRESS(2,COLUMN())),OFFSET($AM$2,0,0,ROW()-1,33),ROW()-1,FALSE))</f>
        <v>1376.492</v>
      </c>
      <c r="N142">
        <f ca="1">IF(AND(ISNUMBER($N$557),$B$427=1),$N$557,HLOOKUP(INDIRECT(ADDRESS(2,COLUMN())),OFFSET($AM$2,0,0,ROW()-1,33),ROW()-1,FALSE))</f>
        <v>1340.1389999999999</v>
      </c>
      <c r="O142">
        <f ca="1">IF(AND(ISNUMBER($O$557),$B$427=1),$O$557,HLOOKUP(INDIRECT(ADDRESS(2,COLUMN())),OFFSET($AM$2,0,0,ROW()-1,33),ROW()-1,FALSE))</f>
        <v>1084.0119999999999</v>
      </c>
      <c r="P142">
        <f ca="1">IF(AND(ISNUMBER($P$557),$B$427=1),$P$557,HLOOKUP(INDIRECT(ADDRESS(2,COLUMN())),OFFSET($AM$2,0,0,ROW()-1,33),ROW()-1,FALSE))</f>
        <v>1065.683</v>
      </c>
      <c r="Q142">
        <f ca="1">IF(AND(ISNUMBER($Q$557),$B$427=1),$Q$557,HLOOKUP(INDIRECT(ADDRESS(2,COLUMN())),OFFSET($AM$2,0,0,ROW()-1,33),ROW()-1,FALSE))</f>
        <v>728.32299999999998</v>
      </c>
      <c r="R142">
        <f ca="1">IF(AND(ISNUMBER($R$557),$B$427=1),$R$557,HLOOKUP(INDIRECT(ADDRESS(2,COLUMN())),OFFSET($AM$2,0,0,ROW()-1,33),ROW()-1,FALSE))</f>
        <v>619.80499999999995</v>
      </c>
      <c r="S142">
        <f ca="1">IF(AND(ISNUMBER($S$557),$B$427=1),$S$557,HLOOKUP(INDIRECT(ADDRESS(2,COLUMN())),OFFSET($AM$2,0,0,ROW()-1,33),ROW()-1,FALSE))</f>
        <v>657.20100000000002</v>
      </c>
      <c r="T142">
        <f ca="1">IF(AND(ISNUMBER($T$557),$B$427=1),$T$557,HLOOKUP(INDIRECT(ADDRESS(2,COLUMN())),OFFSET($AM$2,0,0,ROW()-1,33),ROW()-1,FALSE))</f>
        <v>712.38499999999999</v>
      </c>
      <c r="U142">
        <f ca="1">IF(AND(ISNUMBER($U$557),$B$427=1),$U$557,HLOOKUP(INDIRECT(ADDRESS(2,COLUMN())),OFFSET($AM$2,0,0,ROW()-1,33),ROW()-1,FALSE))</f>
        <v>653.65099999999995</v>
      </c>
      <c r="V142">
        <f ca="1">IF(AND(ISNUMBER($V$557),$B$427=1),$V$557,HLOOKUP(INDIRECT(ADDRESS(2,COLUMN())),OFFSET($AM$2,0,0,ROW()-1,33),ROW()-1,FALSE))</f>
        <v>713.53099999999995</v>
      </c>
      <c r="W142">
        <f ca="1">IF(AND(ISNUMBER($W$557),$B$427=1),$W$557,HLOOKUP(INDIRECT(ADDRESS(2,COLUMN())),OFFSET($AM$2,0,0,ROW()-1,33),ROW()-1,FALSE))</f>
        <v>706.56200000000001</v>
      </c>
      <c r="X142">
        <f ca="1">IF(AND(ISNUMBER($X$557),$B$427=1),$X$557,HLOOKUP(INDIRECT(ADDRESS(2,COLUMN())),OFFSET($AM$2,0,0,ROW()-1,33),ROW()-1,FALSE))</f>
        <v>643.14700000000005</v>
      </c>
      <c r="Y142">
        <f ca="1">IF(AND(ISNUMBER($Y$557),$B$427=1),$Y$557,HLOOKUP(INDIRECT(ADDRESS(2,COLUMN())),OFFSET($AM$2,0,0,ROW()-1,33),ROW()-1,FALSE))</f>
        <v>163.548</v>
      </c>
      <c r="Z142">
        <f ca="1">IF(AND(ISNUMBER($Z$557),$B$427=1),$Z$557,HLOOKUP(INDIRECT(ADDRESS(2,COLUMN())),OFFSET($AM$2,0,0,ROW()-1,33),ROW()-1,FALSE))</f>
        <v>89.19</v>
      </c>
      <c r="AA142">
        <f ca="1">IF(AND(ISNUMBER($AA$557),$B$427=1),$AA$557,HLOOKUP(INDIRECT(ADDRESS(2,COLUMN())),OFFSET($AM$2,0,0,ROW()-1,33),ROW()-1,FALSE))</f>
        <v>65.518000000000001</v>
      </c>
      <c r="AB142">
        <f ca="1">IF(AND(ISNUMBER($AB$557),$B$427=1),$AB$557,HLOOKUP(INDIRECT(ADDRESS(2,COLUMN())),OFFSET($AM$2,0,0,ROW()-1,33),ROW()-1,FALSE))</f>
        <v>60.158999999999999</v>
      </c>
      <c r="AC142">
        <f ca="1">IF(AND(ISNUMBER($AC$557),$B$427=1),$AC$557,HLOOKUP(INDIRECT(ADDRESS(2,COLUMN())),OFFSET($AM$2,0,0,ROW()-1,33),ROW()-1,FALSE))</f>
        <v>1.1160000000000001</v>
      </c>
      <c r="AD142" t="str">
        <f ca="1">IF(AND(ISNUMBER($AD$557),$B$427=1),$AD$557,HLOOKUP(INDIRECT(ADDRESS(2,COLUMN())),OFFSET($AM$2,0,0,ROW()-1,33),ROW()-1,FALSE))</f>
        <v/>
      </c>
      <c r="AE142" t="str">
        <f ca="1">IF(AND(ISNUMBER($AE$557),$B$427=1),$AE$557,HLOOKUP(INDIRECT(ADDRESS(2,COLUMN())),OFFSET($AM$2,0,0,ROW()-1,33),ROW()-1,FALSE))</f>
        <v/>
      </c>
      <c r="AF142" t="str">
        <f ca="1">IF(AND(ISNUMBER($AF$557),$B$427=1),$AF$557,HLOOKUP(INDIRECT(ADDRESS(2,COLUMN())),OFFSET($AM$2,0,0,ROW()-1,33),ROW()-1,FALSE))</f>
        <v/>
      </c>
      <c r="AG142" t="str">
        <f ca="1">IF(AND(ISNUMBER($AG$557),$B$427=1),$AG$557,HLOOKUP(INDIRECT(ADDRESS(2,COLUMN())),OFFSET($AM$2,0,0,ROW()-1,33),ROW()-1,FALSE))</f>
        <v/>
      </c>
      <c r="AH142" t="str">
        <f ca="1">IF(AND(ISNUMBER($AH$557),$B$427=1),$AH$557,HLOOKUP(INDIRECT(ADDRESS(2,COLUMN())),OFFSET($AM$2,0,0,ROW()-1,33),ROW()-1,FALSE))</f>
        <v/>
      </c>
      <c r="AI142" t="str">
        <f ca="1">IF(AND(ISNUMBER($AI$557),$B$427=1),$AI$557,HLOOKUP(INDIRECT(ADDRESS(2,COLUMN())),OFFSET($AM$2,0,0,ROW()-1,33),ROW()-1,FALSE))</f>
        <v/>
      </c>
      <c r="AJ142" t="str">
        <f ca="1">IF(AND(ISNUMBER($AJ$557),$B$427=1),$AJ$557,HLOOKUP(INDIRECT(ADDRESS(2,COLUMN())),OFFSET($AM$2,0,0,ROW()-1,33),ROW()-1,FALSE))</f>
        <v/>
      </c>
      <c r="AK142" t="str">
        <f ca="1">IF(AND(ISNUMBER($AK$557),$B$427=1),$AK$557,HLOOKUP(INDIRECT(ADDRESS(2,COLUMN())),OFFSET($AM$2,0,0,ROW()-1,33),ROW()-1,FALSE))</f>
        <v/>
      </c>
      <c r="AL142" t="str">
        <f ca="1">IF(AND(ISNUMBER($AL$557),$B$427=1),$AL$557,HLOOKUP(INDIRECT(ADDRESS(2,COLUMN())),OFFSET($AM$2,0,0,ROW()-1,33),ROW()-1,FALSE))</f>
        <v/>
      </c>
      <c r="AM142">
        <f>9367.377</f>
        <v>9367.3770000000004</v>
      </c>
      <c r="AN142">
        <f>12136.962</f>
        <v>12136.962</v>
      </c>
      <c r="AO142">
        <f>5116.49</f>
        <v>5116.49</v>
      </c>
      <c r="AP142">
        <f>2042.838</f>
        <v>2042.838</v>
      </c>
      <c r="AQ142">
        <f>1801.171</f>
        <v>1801.171</v>
      </c>
      <c r="AR142">
        <f>1744.738</f>
        <v>1744.7380000000001</v>
      </c>
      <c r="AS142">
        <f>1705.713</f>
        <v>1705.713</v>
      </c>
      <c r="AT142">
        <f>1376.492</f>
        <v>1376.492</v>
      </c>
      <c r="AU142">
        <f>1340.139</f>
        <v>1340.1389999999999</v>
      </c>
      <c r="AV142">
        <f>1084.012</f>
        <v>1084.0119999999999</v>
      </c>
      <c r="AW142">
        <f>1065.683</f>
        <v>1065.683</v>
      </c>
      <c r="AX142">
        <f>728.323</f>
        <v>728.32299999999998</v>
      </c>
      <c r="AY142">
        <f>619.805</f>
        <v>619.80499999999995</v>
      </c>
      <c r="AZ142">
        <f>657.201</f>
        <v>657.20100000000002</v>
      </c>
      <c r="BA142">
        <f>712.385</f>
        <v>712.38499999999999</v>
      </c>
      <c r="BB142">
        <f>653.651</f>
        <v>653.65099999999995</v>
      </c>
      <c r="BC142">
        <f>713.531</f>
        <v>713.53099999999995</v>
      </c>
      <c r="BD142">
        <f>706.562</f>
        <v>706.56200000000001</v>
      </c>
      <c r="BE142">
        <f>643.147</f>
        <v>643.14700000000005</v>
      </c>
      <c r="BF142">
        <f>163.548</f>
        <v>163.548</v>
      </c>
      <c r="BG142">
        <f>89.19</f>
        <v>89.19</v>
      </c>
      <c r="BH142">
        <f>65.518</f>
        <v>65.518000000000001</v>
      </c>
      <c r="BI142">
        <f>60.159</f>
        <v>60.158999999999999</v>
      </c>
      <c r="BJ142">
        <f>1.116</f>
        <v>1.1160000000000001</v>
      </c>
      <c r="BK142" t="str">
        <f>""</f>
        <v/>
      </c>
      <c r="BL142" t="str">
        <f>""</f>
        <v/>
      </c>
      <c r="BM142" t="str">
        <f>""</f>
        <v/>
      </c>
      <c r="BN142" t="str">
        <f>""</f>
        <v/>
      </c>
      <c r="BO142" t="str">
        <f>""</f>
        <v/>
      </c>
      <c r="BP142" t="str">
        <f>""</f>
        <v/>
      </c>
      <c r="BQ142" t="str">
        <f>""</f>
        <v/>
      </c>
      <c r="BR142" t="str">
        <f>""</f>
        <v/>
      </c>
      <c r="BS142" t="str">
        <f>""</f>
        <v/>
      </c>
    </row>
    <row r="143" spans="1:71" x14ac:dyDescent="0.25">
      <c r="A143" t="str">
        <f>"        Huntington Bancshares Inc/OH"</f>
        <v xml:space="preserve">        Huntington Bancshares Inc/OH</v>
      </c>
      <c r="B143" t="str">
        <f>"HBAN US Equity"</f>
        <v>HBAN US Equity</v>
      </c>
      <c r="C143" t="str">
        <f t="shared" si="18"/>
        <v>F0090</v>
      </c>
      <c r="D143" t="str">
        <f t="shared" si="19"/>
        <v>FED_C&amp;I_LOANS_CONSOLIDATED</v>
      </c>
      <c r="E143" t="str">
        <f t="shared" si="20"/>
        <v>Dynamic</v>
      </c>
      <c r="F143">
        <f ca="1">IF(AND(ISNUMBER($F$558),$B$427=1),$F$558,HLOOKUP(INDIRECT(ADDRESS(2,COLUMN())),OFFSET($AM$2,0,0,ROW()-1,33),ROW()-1,FALSE))</f>
        <v>37489.752999999997</v>
      </c>
      <c r="G143">
        <f ca="1">IF(AND(ISNUMBER($G$558),$B$427=1),$G$558,HLOOKUP(INDIRECT(ADDRESS(2,COLUMN())),OFFSET($AM$2,0,0,ROW()-1,33),ROW()-1,FALSE))</f>
        <v>34994.381999999998</v>
      </c>
      <c r="H143">
        <f ca="1">IF(AND(ISNUMBER($H$558),$B$427=1),$H$558,HLOOKUP(INDIRECT(ADDRESS(2,COLUMN())),OFFSET($AM$2,0,0,ROW()-1,33),ROW()-1,FALSE))</f>
        <v>32896.283000000003</v>
      </c>
      <c r="I143">
        <f ca="1">IF(AND(ISNUMBER($I$558),$B$427=1),$I$558,HLOOKUP(INDIRECT(ADDRESS(2,COLUMN())),OFFSET($AM$2,0,0,ROW()-1,33),ROW()-1,FALSE))</f>
        <v>32538.832999999999</v>
      </c>
      <c r="J143">
        <f ca="1">IF(AND(ISNUMBER($J$558),$B$427=1),$J$558,HLOOKUP(INDIRECT(ADDRESS(2,COLUMN())),OFFSET($AM$2,0,0,ROW()-1,33),ROW()-1,FALSE))</f>
        <v>26412.388999999999</v>
      </c>
      <c r="K143">
        <f ca="1">IF(AND(ISNUMBER($K$558),$B$427=1),$K$558,HLOOKUP(INDIRECT(ADDRESS(2,COLUMN())),OFFSET($AM$2,0,0,ROW()-1,33),ROW()-1,FALSE))</f>
        <v>22656.544999999998</v>
      </c>
      <c r="L143">
        <f ca="1">IF(AND(ISNUMBER($L$558),$B$427=1),$L$558,HLOOKUP(INDIRECT(ADDRESS(2,COLUMN())),OFFSET($AM$2,0,0,ROW()-1,33),ROW()-1,FALSE))</f>
        <v>22602.984</v>
      </c>
      <c r="M143">
        <f ca="1">IF(AND(ISNUMBER($M$558),$B$427=1),$M$558,HLOOKUP(INDIRECT(ADDRESS(2,COLUMN())),OFFSET($AM$2,0,0,ROW()-1,33),ROW()-1,FALSE))</f>
        <v>19914.337</v>
      </c>
      <c r="N143">
        <f ca="1">IF(AND(ISNUMBER($N$558),$B$427=1),$N$558,HLOOKUP(INDIRECT(ADDRESS(2,COLUMN())),OFFSET($AM$2,0,0,ROW()-1,33),ROW()-1,FALSE))</f>
        <v>19320.076000000001</v>
      </c>
      <c r="O143">
        <f ca="1">IF(AND(ISNUMBER($O$558),$B$427=1),$O$558,HLOOKUP(INDIRECT(ADDRESS(2,COLUMN())),OFFSET($AM$2,0,0,ROW()-1,33),ROW()-1,FALSE))</f>
        <v>14331.906999999999</v>
      </c>
      <c r="P143">
        <f ca="1">IF(AND(ISNUMBER($P$558),$B$427=1),$P$558,HLOOKUP(INDIRECT(ADDRESS(2,COLUMN())),OFFSET($AM$2,0,0,ROW()-1,33),ROW()-1,FALSE))</f>
        <v>12924.835999999999</v>
      </c>
      <c r="Q143">
        <f ca="1">IF(AND(ISNUMBER($Q$558),$B$427=1),$Q$558,HLOOKUP(INDIRECT(ADDRESS(2,COLUMN())),OFFSET($AM$2,0,0,ROW()-1,33),ROW()-1,FALSE))</f>
        <v>11933.986000000001</v>
      </c>
      <c r="R143">
        <f ca="1">IF(AND(ISNUMBER($R$558),$B$427=1),$R$558,HLOOKUP(INDIRECT(ADDRESS(2,COLUMN())),OFFSET($AM$2,0,0,ROW()-1,33),ROW()-1,FALSE))</f>
        <v>11541.575999999999</v>
      </c>
      <c r="S143">
        <f ca="1">IF(AND(ISNUMBER($S$558),$B$427=1),$S$558,HLOOKUP(INDIRECT(ADDRESS(2,COLUMN())),OFFSET($AM$2,0,0,ROW()-1,33),ROW()-1,FALSE))</f>
        <v>9903.9040000000005</v>
      </c>
      <c r="T143">
        <f ca="1">IF(AND(ISNUMBER($T$558),$B$427=1),$T$558,HLOOKUP(INDIRECT(ADDRESS(2,COLUMN())),OFFSET($AM$2,0,0,ROW()-1,33),ROW()-1,FALSE))</f>
        <v>8355.0220000000008</v>
      </c>
      <c r="U143">
        <f ca="1">IF(AND(ISNUMBER($U$558),$B$427=1),$U$558,HLOOKUP(INDIRECT(ADDRESS(2,COLUMN())),OFFSET($AM$2,0,0,ROW()-1,33),ROW()-1,FALSE))</f>
        <v>7280.3559999999998</v>
      </c>
      <c r="V143">
        <f ca="1">IF(AND(ISNUMBER($V$558),$B$427=1),$V$558,HLOOKUP(INDIRECT(ADDRESS(2,COLUMN())),OFFSET($AM$2,0,0,ROW()-1,33),ROW()-1,FALSE))</f>
        <v>7461.7690000000002</v>
      </c>
      <c r="W143">
        <f ca="1">IF(AND(ISNUMBER($W$558),$B$427=1),$W$558,HLOOKUP(INDIRECT(ADDRESS(2,COLUMN())),OFFSET($AM$2,0,0,ROW()-1,33),ROW()-1,FALSE))</f>
        <v>6589.402</v>
      </c>
      <c r="X143">
        <f ca="1">IF(AND(ISNUMBER($X$558),$B$427=1),$X$558,HLOOKUP(INDIRECT(ADDRESS(2,COLUMN())),OFFSET($AM$2,0,0,ROW()-1,33),ROW()-1,FALSE))</f>
        <v>4290.0709999999999</v>
      </c>
      <c r="Y143">
        <f ca="1">IF(AND(ISNUMBER($Y$558),$B$427=1),$Y$558,HLOOKUP(INDIRECT(ADDRESS(2,COLUMN())),OFFSET($AM$2,0,0,ROW()-1,33),ROW()-1,FALSE))</f>
        <v>3818.864</v>
      </c>
      <c r="Z143">
        <f ca="1">IF(AND(ISNUMBER($Z$558),$B$427=1),$Z$558,HLOOKUP(INDIRECT(ADDRESS(2,COLUMN())),OFFSET($AM$2,0,0,ROW()-1,33),ROW()-1,FALSE))</f>
        <v>3787.2489999999998</v>
      </c>
      <c r="AA143">
        <f ca="1">IF(AND(ISNUMBER($AA$558),$B$427=1),$AA$558,HLOOKUP(INDIRECT(ADDRESS(2,COLUMN())),OFFSET($AM$2,0,0,ROW()-1,33),ROW()-1,FALSE))</f>
        <v>3911.26</v>
      </c>
      <c r="AB143">
        <f ca="1">IF(AND(ISNUMBER($AB$558),$B$427=1),$AB$558,HLOOKUP(INDIRECT(ADDRESS(2,COLUMN())),OFFSET($AM$2,0,0,ROW()-1,33),ROW()-1,FALSE))</f>
        <v>4066.3939999999998</v>
      </c>
      <c r="AC143">
        <f ca="1">IF(AND(ISNUMBER($AC$558),$B$427=1),$AC$558,HLOOKUP(INDIRECT(ADDRESS(2,COLUMN())),OFFSET($AM$2,0,0,ROW()-1,33),ROW()-1,FALSE))</f>
        <v>4976.098</v>
      </c>
      <c r="AD143" t="str">
        <f ca="1">IF(AND(ISNUMBER($AD$558),$B$427=1),$AD$558,HLOOKUP(INDIRECT(ADDRESS(2,COLUMN())),OFFSET($AM$2,0,0,ROW()-1,33),ROW()-1,FALSE))</f>
        <v/>
      </c>
      <c r="AE143" t="str">
        <f ca="1">IF(AND(ISNUMBER($AE$558),$B$427=1),$AE$558,HLOOKUP(INDIRECT(ADDRESS(2,COLUMN())),OFFSET($AM$2,0,0,ROW()-1,33),ROW()-1,FALSE))</f>
        <v/>
      </c>
      <c r="AF143" t="str">
        <f ca="1">IF(AND(ISNUMBER($AF$558),$B$427=1),$AF$558,HLOOKUP(INDIRECT(ADDRESS(2,COLUMN())),OFFSET($AM$2,0,0,ROW()-1,33),ROW()-1,FALSE))</f>
        <v/>
      </c>
      <c r="AG143" t="str">
        <f ca="1">IF(AND(ISNUMBER($AG$558),$B$427=1),$AG$558,HLOOKUP(INDIRECT(ADDRESS(2,COLUMN())),OFFSET($AM$2,0,0,ROW()-1,33),ROW()-1,FALSE))</f>
        <v/>
      </c>
      <c r="AH143" t="str">
        <f ca="1">IF(AND(ISNUMBER($AH$558),$B$427=1),$AH$558,HLOOKUP(INDIRECT(ADDRESS(2,COLUMN())),OFFSET($AM$2,0,0,ROW()-1,33),ROW()-1,FALSE))</f>
        <v/>
      </c>
      <c r="AI143" t="str">
        <f ca="1">IF(AND(ISNUMBER($AI$558),$B$427=1),$AI$558,HLOOKUP(INDIRECT(ADDRESS(2,COLUMN())),OFFSET($AM$2,0,0,ROW()-1,33),ROW()-1,FALSE))</f>
        <v/>
      </c>
      <c r="AJ143" t="str">
        <f ca="1">IF(AND(ISNUMBER($AJ$558),$B$427=1),$AJ$558,HLOOKUP(INDIRECT(ADDRESS(2,COLUMN())),OFFSET($AM$2,0,0,ROW()-1,33),ROW()-1,FALSE))</f>
        <v/>
      </c>
      <c r="AK143" t="str">
        <f ca="1">IF(AND(ISNUMBER($AK$558),$B$427=1),$AK$558,HLOOKUP(INDIRECT(ADDRESS(2,COLUMN())),OFFSET($AM$2,0,0,ROW()-1,33),ROW()-1,FALSE))</f>
        <v/>
      </c>
      <c r="AL143" t="str">
        <f ca="1">IF(AND(ISNUMBER($AL$558),$B$427=1),$AL$558,HLOOKUP(INDIRECT(ADDRESS(2,COLUMN())),OFFSET($AM$2,0,0,ROW()-1,33),ROW()-1,FALSE))</f>
        <v/>
      </c>
      <c r="AM143">
        <f>37489.753</f>
        <v>37489.752999999997</v>
      </c>
      <c r="AN143">
        <f>34994.382</f>
        <v>34994.381999999998</v>
      </c>
      <c r="AO143">
        <f>32896.283</f>
        <v>32896.283000000003</v>
      </c>
      <c r="AP143">
        <f>32538.833</f>
        <v>32538.832999999999</v>
      </c>
      <c r="AQ143">
        <f>26412.389</f>
        <v>26412.388999999999</v>
      </c>
      <c r="AR143">
        <f>22656.545</f>
        <v>22656.544999999998</v>
      </c>
      <c r="AS143">
        <f>22602.984</f>
        <v>22602.984</v>
      </c>
      <c r="AT143">
        <f>19914.337</f>
        <v>19914.337</v>
      </c>
      <c r="AU143">
        <f>19320.076</f>
        <v>19320.076000000001</v>
      </c>
      <c r="AV143">
        <f>14331.907</f>
        <v>14331.906999999999</v>
      </c>
      <c r="AW143">
        <f>12924.836</f>
        <v>12924.835999999999</v>
      </c>
      <c r="AX143">
        <f>11933.986</f>
        <v>11933.986000000001</v>
      </c>
      <c r="AY143">
        <f>11541.576</f>
        <v>11541.575999999999</v>
      </c>
      <c r="AZ143">
        <f>9903.904</f>
        <v>9903.9040000000005</v>
      </c>
      <c r="BA143">
        <f>8355.022</f>
        <v>8355.0220000000008</v>
      </c>
      <c r="BB143">
        <f>7280.356</f>
        <v>7280.3559999999998</v>
      </c>
      <c r="BC143">
        <f>7461.769</f>
        <v>7461.7690000000002</v>
      </c>
      <c r="BD143">
        <f>6589.402</f>
        <v>6589.402</v>
      </c>
      <c r="BE143">
        <f>4290.071</f>
        <v>4290.0709999999999</v>
      </c>
      <c r="BF143">
        <f>3818.864</f>
        <v>3818.864</v>
      </c>
      <c r="BG143">
        <f>3787.249</f>
        <v>3787.2489999999998</v>
      </c>
      <c r="BH143">
        <f>3911.26</f>
        <v>3911.26</v>
      </c>
      <c r="BI143">
        <f>4066.394</f>
        <v>4066.3939999999998</v>
      </c>
      <c r="BJ143">
        <f>4976.098</f>
        <v>4976.098</v>
      </c>
      <c r="BK143" t="str">
        <f>""</f>
        <v/>
      </c>
      <c r="BL143" t="str">
        <f>""</f>
        <v/>
      </c>
      <c r="BM143" t="str">
        <f>""</f>
        <v/>
      </c>
      <c r="BN143" t="str">
        <f>""</f>
        <v/>
      </c>
      <c r="BO143" t="str">
        <f>""</f>
        <v/>
      </c>
      <c r="BP143" t="str">
        <f>""</f>
        <v/>
      </c>
      <c r="BQ143" t="str">
        <f>""</f>
        <v/>
      </c>
      <c r="BR143" t="str">
        <f>""</f>
        <v/>
      </c>
      <c r="BS143" t="str">
        <f>""</f>
        <v/>
      </c>
    </row>
    <row r="144" spans="1:71" x14ac:dyDescent="0.25">
      <c r="A144" t="str">
        <f>"        JPMorgan Chase &amp; Co"</f>
        <v xml:space="preserve">        JPMorgan Chase &amp; Co</v>
      </c>
      <c r="B144" t="str">
        <f>"JPM US Equity"</f>
        <v>JPM US Equity</v>
      </c>
      <c r="C144" t="str">
        <f t="shared" si="18"/>
        <v>F0090</v>
      </c>
      <c r="D144" t="str">
        <f t="shared" si="19"/>
        <v>FED_C&amp;I_LOANS_CONSOLIDATED</v>
      </c>
      <c r="E144" t="str">
        <f t="shared" si="20"/>
        <v>Dynamic</v>
      </c>
      <c r="F144">
        <f ca="1">IF(AND(ISNUMBER($F$559),$B$427=1),$F$559,HLOOKUP(INDIRECT(ADDRESS(2,COLUMN())),OFFSET($AM$2,0,0,ROW()-1,33),ROW()-1,FALSE))</f>
        <v>209303</v>
      </c>
      <c r="G144">
        <f ca="1">IF(AND(ISNUMBER($G$559),$B$427=1),$G$559,HLOOKUP(INDIRECT(ADDRESS(2,COLUMN())),OFFSET($AM$2,0,0,ROW()-1,33),ROW()-1,FALSE))</f>
        <v>203463</v>
      </c>
      <c r="H144">
        <f ca="1">IF(AND(ISNUMBER($H$559),$B$427=1),$H$559,HLOOKUP(INDIRECT(ADDRESS(2,COLUMN())),OFFSET($AM$2,0,0,ROW()-1,33),ROW()-1,FALSE))</f>
        <v>203114</v>
      </c>
      <c r="I144">
        <f ca="1">IF(AND(ISNUMBER($I$559),$B$427=1),$I$559,HLOOKUP(INDIRECT(ADDRESS(2,COLUMN())),OFFSET($AM$2,0,0,ROW()-1,33),ROW()-1,FALSE))</f>
        <v>184118</v>
      </c>
      <c r="J144">
        <f ca="1">IF(AND(ISNUMBER($J$559),$B$427=1),$J$559,HLOOKUP(INDIRECT(ADDRESS(2,COLUMN())),OFFSET($AM$2,0,0,ROW()-1,33),ROW()-1,FALSE))</f>
        <v>194307</v>
      </c>
      <c r="K144">
        <f ca="1">IF(AND(ISNUMBER($K$559),$B$427=1),$K$559,HLOOKUP(INDIRECT(ADDRESS(2,COLUMN())),OFFSET($AM$2,0,0,ROW()-1,33),ROW()-1,FALSE))</f>
        <v>170132</v>
      </c>
      <c r="L144">
        <f ca="1">IF(AND(ISNUMBER($L$559),$B$427=1),$L$559,HLOOKUP(INDIRECT(ADDRESS(2,COLUMN())),OFFSET($AM$2,0,0,ROW()-1,33),ROW()-1,FALSE))</f>
        <v>187705</v>
      </c>
      <c r="M144">
        <f ca="1">IF(AND(ISNUMBER($M$559),$B$427=1),$M$559,HLOOKUP(INDIRECT(ADDRESS(2,COLUMN())),OFFSET($AM$2,0,0,ROW()-1,33),ROW()-1,FALSE))</f>
        <v>163990</v>
      </c>
      <c r="N144">
        <f ca="1">IF(AND(ISNUMBER($N$559),$B$427=1),$N$559,HLOOKUP(INDIRECT(ADDRESS(2,COLUMN())),OFFSET($AM$2,0,0,ROW()-1,33),ROW()-1,FALSE))</f>
        <v>159097</v>
      </c>
      <c r="O144">
        <f ca="1">IF(AND(ISNUMBER($O$559),$B$427=1),$O$559,HLOOKUP(INDIRECT(ADDRESS(2,COLUMN())),OFFSET($AM$2,0,0,ROW()-1,33),ROW()-1,FALSE))</f>
        <v>142509</v>
      </c>
      <c r="P144">
        <f ca="1">IF(AND(ISNUMBER($P$559),$B$427=1),$P$559,HLOOKUP(INDIRECT(ADDRESS(2,COLUMN())),OFFSET($AM$2,0,0,ROW()-1,33),ROW()-1,FALSE))</f>
        <v>132264</v>
      </c>
      <c r="Q144">
        <f ca="1">IF(AND(ISNUMBER($Q$559),$B$427=1),$Q$559,HLOOKUP(INDIRECT(ADDRESS(2,COLUMN())),OFFSET($AM$2,0,0,ROW()-1,33),ROW()-1,FALSE))</f>
        <v>131108</v>
      </c>
      <c r="R144">
        <f ca="1">IF(AND(ISNUMBER($R$559),$B$427=1),$R$559,HLOOKUP(INDIRECT(ADDRESS(2,COLUMN())),OFFSET($AM$2,0,0,ROW()-1,33),ROW()-1,FALSE))</f>
        <v>140042</v>
      </c>
      <c r="S144">
        <f ca="1">IF(AND(ISNUMBER($S$559),$B$427=1),$S$559,HLOOKUP(INDIRECT(ADDRESS(2,COLUMN())),OFFSET($AM$2,0,0,ROW()-1,33),ROW()-1,FALSE))</f>
        <v>122986</v>
      </c>
      <c r="T144">
        <f ca="1">IF(AND(ISNUMBER($T$559),$B$427=1),$T$559,HLOOKUP(INDIRECT(ADDRESS(2,COLUMN())),OFFSET($AM$2,0,0,ROW()-1,33),ROW()-1,FALSE))</f>
        <v>98133</v>
      </c>
      <c r="U144">
        <f ca="1">IF(AND(ISNUMBER($U$559),$B$427=1),$U$559,HLOOKUP(INDIRECT(ADDRESS(2,COLUMN())),OFFSET($AM$2,0,0,ROW()-1,33),ROW()-1,FALSE))</f>
        <v>104288</v>
      </c>
      <c r="V144">
        <f ca="1">IF(AND(ISNUMBER($V$559),$B$427=1),$V$559,HLOOKUP(INDIRECT(ADDRESS(2,COLUMN())),OFFSET($AM$2,0,0,ROW()-1,33),ROW()-1,FALSE))</f>
        <v>151237</v>
      </c>
      <c r="W144">
        <f ca="1">IF(AND(ISNUMBER($W$559),$B$427=1),$W$559,HLOOKUP(INDIRECT(ADDRESS(2,COLUMN())),OFFSET($AM$2,0,0,ROW()-1,33),ROW()-1,FALSE))</f>
        <v>140945</v>
      </c>
      <c r="X144">
        <f ca="1">IF(AND(ISNUMBER($X$559),$B$427=1),$X$559,HLOOKUP(INDIRECT(ADDRESS(2,COLUMN())),OFFSET($AM$2,0,0,ROW()-1,33),ROW()-1,FALSE))</f>
        <v>102957</v>
      </c>
      <c r="Y144">
        <f ca="1">IF(AND(ISNUMBER($Y$559),$B$427=1),$Y$559,HLOOKUP(INDIRECT(ADDRESS(2,COLUMN())),OFFSET($AM$2,0,0,ROW()-1,33),ROW()-1,FALSE))</f>
        <v>95807</v>
      </c>
      <c r="Z144">
        <f ca="1">IF(AND(ISNUMBER($Z$559),$B$427=1),$Z$559,HLOOKUP(INDIRECT(ADDRESS(2,COLUMN())),OFFSET($AM$2,0,0,ROW()-1,33),ROW()-1,FALSE))</f>
        <v>71071</v>
      </c>
      <c r="AA144">
        <f ca="1">IF(AND(ISNUMBER($AA$559),$B$427=1),$AA$559,HLOOKUP(INDIRECT(ADDRESS(2,COLUMN())),OFFSET($AM$2,0,0,ROW()-1,33),ROW()-1,FALSE))</f>
        <v>45508</v>
      </c>
      <c r="AB144">
        <f ca="1">IF(AND(ISNUMBER($AB$559),$B$427=1),$AB$559,HLOOKUP(INDIRECT(ADDRESS(2,COLUMN())),OFFSET($AM$2,0,0,ROW()-1,33),ROW()-1,FALSE))</f>
        <v>52377</v>
      </c>
      <c r="AC144">
        <f ca="1">IF(AND(ISNUMBER($AC$559),$B$427=1),$AC$559,HLOOKUP(INDIRECT(ADDRESS(2,COLUMN())),OFFSET($AM$2,0,0,ROW()-1,33),ROW()-1,FALSE))</f>
        <v>62210</v>
      </c>
      <c r="AD144" t="str">
        <f ca="1">IF(AND(ISNUMBER($AD$559),$B$427=1),$AD$559,HLOOKUP(INDIRECT(ADDRESS(2,COLUMN())),OFFSET($AM$2,0,0,ROW()-1,33),ROW()-1,FALSE))</f>
        <v/>
      </c>
      <c r="AE144" t="str">
        <f ca="1">IF(AND(ISNUMBER($AE$559),$B$427=1),$AE$559,HLOOKUP(INDIRECT(ADDRESS(2,COLUMN())),OFFSET($AM$2,0,0,ROW()-1,33),ROW()-1,FALSE))</f>
        <v/>
      </c>
      <c r="AF144" t="str">
        <f ca="1">IF(AND(ISNUMBER($AF$559),$B$427=1),$AF$559,HLOOKUP(INDIRECT(ADDRESS(2,COLUMN())),OFFSET($AM$2,0,0,ROW()-1,33),ROW()-1,FALSE))</f>
        <v/>
      </c>
      <c r="AG144" t="str">
        <f ca="1">IF(AND(ISNUMBER($AG$559),$B$427=1),$AG$559,HLOOKUP(INDIRECT(ADDRESS(2,COLUMN())),OFFSET($AM$2,0,0,ROW()-1,33),ROW()-1,FALSE))</f>
        <v/>
      </c>
      <c r="AH144" t="str">
        <f ca="1">IF(AND(ISNUMBER($AH$559),$B$427=1),$AH$559,HLOOKUP(INDIRECT(ADDRESS(2,COLUMN())),OFFSET($AM$2,0,0,ROW()-1,33),ROW()-1,FALSE))</f>
        <v/>
      </c>
      <c r="AI144" t="str">
        <f ca="1">IF(AND(ISNUMBER($AI$559),$B$427=1),$AI$559,HLOOKUP(INDIRECT(ADDRESS(2,COLUMN())),OFFSET($AM$2,0,0,ROW()-1,33),ROW()-1,FALSE))</f>
        <v/>
      </c>
      <c r="AJ144" t="str">
        <f ca="1">IF(AND(ISNUMBER($AJ$559),$B$427=1),$AJ$559,HLOOKUP(INDIRECT(ADDRESS(2,COLUMN())),OFFSET($AM$2,0,0,ROW()-1,33),ROW()-1,FALSE))</f>
        <v/>
      </c>
      <c r="AK144" t="str">
        <f ca="1">IF(AND(ISNUMBER($AK$559),$B$427=1),$AK$559,HLOOKUP(INDIRECT(ADDRESS(2,COLUMN())),OFFSET($AM$2,0,0,ROW()-1,33),ROW()-1,FALSE))</f>
        <v/>
      </c>
      <c r="AL144" t="str">
        <f ca="1">IF(AND(ISNUMBER($AL$559),$B$427=1),$AL$559,HLOOKUP(INDIRECT(ADDRESS(2,COLUMN())),OFFSET($AM$2,0,0,ROW()-1,33),ROW()-1,FALSE))</f>
        <v/>
      </c>
      <c r="AM144">
        <f>209303</f>
        <v>209303</v>
      </c>
      <c r="AN144">
        <f>203463</f>
        <v>203463</v>
      </c>
      <c r="AO144">
        <f>203114</f>
        <v>203114</v>
      </c>
      <c r="AP144">
        <f>184118</f>
        <v>184118</v>
      </c>
      <c r="AQ144">
        <f>194307</f>
        <v>194307</v>
      </c>
      <c r="AR144">
        <f>170132</f>
        <v>170132</v>
      </c>
      <c r="AS144">
        <f>187705</f>
        <v>187705</v>
      </c>
      <c r="AT144">
        <f>163990</f>
        <v>163990</v>
      </c>
      <c r="AU144">
        <f>159097</f>
        <v>159097</v>
      </c>
      <c r="AV144">
        <f>142509</f>
        <v>142509</v>
      </c>
      <c r="AW144">
        <f>132264</f>
        <v>132264</v>
      </c>
      <c r="AX144">
        <f>131108</f>
        <v>131108</v>
      </c>
      <c r="AY144">
        <f>140042</f>
        <v>140042</v>
      </c>
      <c r="AZ144">
        <f>122986</f>
        <v>122986</v>
      </c>
      <c r="BA144">
        <f>98133</f>
        <v>98133</v>
      </c>
      <c r="BB144">
        <f>104288</f>
        <v>104288</v>
      </c>
      <c r="BC144">
        <f>151237</f>
        <v>151237</v>
      </c>
      <c r="BD144">
        <f>140945</f>
        <v>140945</v>
      </c>
      <c r="BE144">
        <f>102957</f>
        <v>102957</v>
      </c>
      <c r="BF144">
        <f>95807</f>
        <v>95807</v>
      </c>
      <c r="BG144">
        <f>71071</f>
        <v>71071</v>
      </c>
      <c r="BH144">
        <f>45508</f>
        <v>45508</v>
      </c>
      <c r="BI144">
        <f>52377</f>
        <v>52377</v>
      </c>
      <c r="BJ144">
        <f>62210</f>
        <v>62210</v>
      </c>
      <c r="BK144" t="str">
        <f>""</f>
        <v/>
      </c>
      <c r="BL144" t="str">
        <f>""</f>
        <v/>
      </c>
      <c r="BM144" t="str">
        <f>""</f>
        <v/>
      </c>
      <c r="BN144" t="str">
        <f>""</f>
        <v/>
      </c>
      <c r="BO144" t="str">
        <f>""</f>
        <v/>
      </c>
      <c r="BP144" t="str">
        <f>""</f>
        <v/>
      </c>
      <c r="BQ144" t="str">
        <f>""</f>
        <v/>
      </c>
      <c r="BR144" t="str">
        <f>""</f>
        <v/>
      </c>
      <c r="BS144" t="str">
        <f>""</f>
        <v/>
      </c>
    </row>
    <row r="145" spans="1:71" x14ac:dyDescent="0.25">
      <c r="A145" t="str">
        <f>"        KeyCorp"</f>
        <v xml:space="preserve">        KeyCorp</v>
      </c>
      <c r="B145" t="str">
        <f>"KEY US Equity"</f>
        <v>KEY US Equity</v>
      </c>
      <c r="C145" t="str">
        <f t="shared" si="18"/>
        <v>F0090</v>
      </c>
      <c r="D145" t="str">
        <f t="shared" si="19"/>
        <v>FED_C&amp;I_LOANS_CONSOLIDATED</v>
      </c>
      <c r="E145" t="str">
        <f t="shared" si="20"/>
        <v>Dynamic</v>
      </c>
      <c r="F145">
        <f ca="1">IF(AND(ISNUMBER($F$560),$B$427=1),$F$560,HLOOKUP(INDIRECT(ADDRESS(2,COLUMN())),OFFSET($AM$2,0,0,ROW()-1,33),ROW()-1,FALSE))</f>
        <v>29882.120999999999</v>
      </c>
      <c r="G145">
        <f ca="1">IF(AND(ISNUMBER($G$560),$B$427=1),$G$560,HLOOKUP(INDIRECT(ADDRESS(2,COLUMN())),OFFSET($AM$2,0,0,ROW()-1,33),ROW()-1,FALSE))</f>
        <v>43611.724999999999</v>
      </c>
      <c r="H145">
        <f ca="1">IF(AND(ISNUMBER($H$560),$B$427=1),$H$560,HLOOKUP(INDIRECT(ADDRESS(2,COLUMN())),OFFSET($AM$2,0,0,ROW()-1,33),ROW()-1,FALSE))</f>
        <v>47814.218000000001</v>
      </c>
      <c r="I145">
        <f ca="1">IF(AND(ISNUMBER($I$560),$B$427=1),$I$560,HLOOKUP(INDIRECT(ADDRESS(2,COLUMN())),OFFSET($AM$2,0,0,ROW()-1,33),ROW()-1,FALSE))</f>
        <v>40951.442000000003</v>
      </c>
      <c r="J145">
        <f ca="1">IF(AND(ISNUMBER($J$560),$B$427=1),$J$560,HLOOKUP(INDIRECT(ADDRESS(2,COLUMN())),OFFSET($AM$2,0,0,ROW()-1,33),ROW()-1,FALSE))</f>
        <v>42458.186999999998</v>
      </c>
      <c r="K145">
        <f ca="1">IF(AND(ISNUMBER($K$560),$B$427=1),$K$560,HLOOKUP(INDIRECT(ADDRESS(2,COLUMN())),OFFSET($AM$2,0,0,ROW()-1,33),ROW()-1,FALSE))</f>
        <v>37877.345999999998</v>
      </c>
      <c r="L145">
        <f ca="1">IF(AND(ISNUMBER($L$560),$B$427=1),$L$560,HLOOKUP(INDIRECT(ADDRESS(2,COLUMN())),OFFSET($AM$2,0,0,ROW()-1,33),ROW()-1,FALSE))</f>
        <v>35782.658000000003</v>
      </c>
      <c r="M145">
        <f ca="1">IF(AND(ISNUMBER($M$560),$B$427=1),$M$560,HLOOKUP(INDIRECT(ADDRESS(2,COLUMN())),OFFSET($AM$2,0,0,ROW()-1,33),ROW()-1,FALSE))</f>
        <v>32186.217000000001</v>
      </c>
      <c r="N145">
        <f ca="1">IF(AND(ISNUMBER($N$560),$B$427=1),$N$560,HLOOKUP(INDIRECT(ADDRESS(2,COLUMN())),OFFSET($AM$2,0,0,ROW()-1,33),ROW()-1,FALSE))</f>
        <v>31327.346000000001</v>
      </c>
      <c r="O145">
        <f ca="1">IF(AND(ISNUMBER($O$560),$B$427=1),$O$560,HLOOKUP(INDIRECT(ADDRESS(2,COLUMN())),OFFSET($AM$2,0,0,ROW()-1,33),ROW()-1,FALSE))</f>
        <v>23833.455999999998</v>
      </c>
      <c r="P145">
        <f ca="1">IF(AND(ISNUMBER($P$560),$B$427=1),$P$560,HLOOKUP(INDIRECT(ADDRESS(2,COLUMN())),OFFSET($AM$2,0,0,ROW()-1,33),ROW()-1,FALSE))</f>
        <v>21897.774000000001</v>
      </c>
      <c r="Q145">
        <f ca="1">IF(AND(ISNUMBER($Q$560),$B$427=1),$Q$560,HLOOKUP(INDIRECT(ADDRESS(2,COLUMN())),OFFSET($AM$2,0,0,ROW()-1,33),ROW()-1,FALSE))</f>
        <v>19705.674999999999</v>
      </c>
      <c r="R145">
        <f ca="1">IF(AND(ISNUMBER($R$560),$B$427=1),$R$560,HLOOKUP(INDIRECT(ADDRESS(2,COLUMN())),OFFSET($AM$2,0,0,ROW()-1,33),ROW()-1,FALSE))</f>
        <v>18111.273000000001</v>
      </c>
      <c r="S145">
        <f ca="1">IF(AND(ISNUMBER($S$560),$B$427=1),$S$560,HLOOKUP(INDIRECT(ADDRESS(2,COLUMN())),OFFSET($AM$2,0,0,ROW()-1,33),ROW()-1,FALSE))</f>
        <v>15107.800999999999</v>
      </c>
      <c r="T145">
        <f ca="1">IF(AND(ISNUMBER($T$560),$B$427=1),$T$560,HLOOKUP(INDIRECT(ADDRESS(2,COLUMN())),OFFSET($AM$2,0,0,ROW()-1,33),ROW()-1,FALSE))</f>
        <v>13088.797</v>
      </c>
      <c r="U145">
        <f ca="1">IF(AND(ISNUMBER($U$560),$B$427=1),$U$560,HLOOKUP(INDIRECT(ADDRESS(2,COLUMN())),OFFSET($AM$2,0,0,ROW()-1,33),ROW()-1,FALSE))</f>
        <v>15471.279</v>
      </c>
      <c r="V145">
        <f ca="1">IF(AND(ISNUMBER($V$560),$B$427=1),$V$560,HLOOKUP(INDIRECT(ADDRESS(2,COLUMN())),OFFSET($AM$2,0,0,ROW()-1,33),ROW()-1,FALSE))</f>
        <v>22045.314999999999</v>
      </c>
      <c r="W145">
        <f ca="1">IF(AND(ISNUMBER($W$560),$B$427=1),$W$560,HLOOKUP(INDIRECT(ADDRESS(2,COLUMN())),OFFSET($AM$2,0,0,ROW()-1,33),ROW()-1,FALSE))</f>
        <v>20982.507000000001</v>
      </c>
      <c r="X145">
        <f ca="1">IF(AND(ISNUMBER($X$560),$B$427=1),$X$560,HLOOKUP(INDIRECT(ADDRESS(2,COLUMN())),OFFSET($AM$2,0,0,ROW()-1,33),ROW()-1,FALSE))</f>
        <v>19018.858</v>
      </c>
      <c r="Y145">
        <f ca="1">IF(AND(ISNUMBER($Y$560),$B$427=1),$Y$560,HLOOKUP(INDIRECT(ADDRESS(2,COLUMN())),OFFSET($AM$2,0,0,ROW()-1,33),ROW()-1,FALSE))</f>
        <v>20026.053</v>
      </c>
      <c r="Z145">
        <f ca="1">IF(AND(ISNUMBER($Z$560),$B$427=1),$Z$560,HLOOKUP(INDIRECT(ADDRESS(2,COLUMN())),OFFSET($AM$2,0,0,ROW()-1,33),ROW()-1,FALSE))</f>
        <v>17603.861000000001</v>
      </c>
      <c r="AA145">
        <f ca="1">IF(AND(ISNUMBER($AA$560),$B$427=1),$AA$560,HLOOKUP(INDIRECT(ADDRESS(2,COLUMN())),OFFSET($AM$2,0,0,ROW()-1,33),ROW()-1,FALSE))</f>
        <v>15819.625</v>
      </c>
      <c r="AB145">
        <f ca="1">IF(AND(ISNUMBER($AB$560),$B$427=1),$AB$560,HLOOKUP(INDIRECT(ADDRESS(2,COLUMN())),OFFSET($AM$2,0,0,ROW()-1,33),ROW()-1,FALSE))</f>
        <v>16393.400000000001</v>
      </c>
      <c r="AC145">
        <f ca="1">IF(AND(ISNUMBER($AC$560),$B$427=1),$AC$560,HLOOKUP(INDIRECT(ADDRESS(2,COLUMN())),OFFSET($AM$2,0,0,ROW()-1,33),ROW()-1,FALSE))</f>
        <v>16986.830999999998</v>
      </c>
      <c r="AD145" t="str">
        <f ca="1">IF(AND(ISNUMBER($AD$560),$B$427=1),$AD$560,HLOOKUP(INDIRECT(ADDRESS(2,COLUMN())),OFFSET($AM$2,0,0,ROW()-1,33),ROW()-1,FALSE))</f>
        <v/>
      </c>
      <c r="AE145" t="str">
        <f ca="1">IF(AND(ISNUMBER($AE$560),$B$427=1),$AE$560,HLOOKUP(INDIRECT(ADDRESS(2,COLUMN())),OFFSET($AM$2,0,0,ROW()-1,33),ROW()-1,FALSE))</f>
        <v/>
      </c>
      <c r="AF145" t="str">
        <f ca="1">IF(AND(ISNUMBER($AF$560),$B$427=1),$AF$560,HLOOKUP(INDIRECT(ADDRESS(2,COLUMN())),OFFSET($AM$2,0,0,ROW()-1,33),ROW()-1,FALSE))</f>
        <v/>
      </c>
      <c r="AG145" t="str">
        <f ca="1">IF(AND(ISNUMBER($AG$560),$B$427=1),$AG$560,HLOOKUP(INDIRECT(ADDRESS(2,COLUMN())),OFFSET($AM$2,0,0,ROW()-1,33),ROW()-1,FALSE))</f>
        <v/>
      </c>
      <c r="AH145" t="str">
        <f ca="1">IF(AND(ISNUMBER($AH$560),$B$427=1),$AH$560,HLOOKUP(INDIRECT(ADDRESS(2,COLUMN())),OFFSET($AM$2,0,0,ROW()-1,33),ROW()-1,FALSE))</f>
        <v/>
      </c>
      <c r="AI145" t="str">
        <f ca="1">IF(AND(ISNUMBER($AI$560),$B$427=1),$AI$560,HLOOKUP(INDIRECT(ADDRESS(2,COLUMN())),OFFSET($AM$2,0,0,ROW()-1,33),ROW()-1,FALSE))</f>
        <v/>
      </c>
      <c r="AJ145" t="str">
        <f ca="1">IF(AND(ISNUMBER($AJ$560),$B$427=1),$AJ$560,HLOOKUP(INDIRECT(ADDRESS(2,COLUMN())),OFFSET($AM$2,0,0,ROW()-1,33),ROW()-1,FALSE))</f>
        <v/>
      </c>
      <c r="AK145" t="str">
        <f ca="1">IF(AND(ISNUMBER($AK$560),$B$427=1),$AK$560,HLOOKUP(INDIRECT(ADDRESS(2,COLUMN())),OFFSET($AM$2,0,0,ROW()-1,33),ROW()-1,FALSE))</f>
        <v/>
      </c>
      <c r="AL145" t="str">
        <f ca="1">IF(AND(ISNUMBER($AL$560),$B$427=1),$AL$560,HLOOKUP(INDIRECT(ADDRESS(2,COLUMN())),OFFSET($AM$2,0,0,ROW()-1,33),ROW()-1,FALSE))</f>
        <v/>
      </c>
      <c r="AM145">
        <f>29882.121</f>
        <v>29882.120999999999</v>
      </c>
      <c r="AN145">
        <f>43611.725</f>
        <v>43611.724999999999</v>
      </c>
      <c r="AO145">
        <f>47814.218</f>
        <v>47814.218000000001</v>
      </c>
      <c r="AP145">
        <f>40951.442</f>
        <v>40951.442000000003</v>
      </c>
      <c r="AQ145">
        <f>42458.187</f>
        <v>42458.186999999998</v>
      </c>
      <c r="AR145">
        <f>37877.346</f>
        <v>37877.345999999998</v>
      </c>
      <c r="AS145">
        <f>35782.658</f>
        <v>35782.658000000003</v>
      </c>
      <c r="AT145">
        <f>32186.217</f>
        <v>32186.217000000001</v>
      </c>
      <c r="AU145">
        <f>31327.346</f>
        <v>31327.346000000001</v>
      </c>
      <c r="AV145">
        <f>23833.456</f>
        <v>23833.455999999998</v>
      </c>
      <c r="AW145">
        <f>21897.774</f>
        <v>21897.774000000001</v>
      </c>
      <c r="AX145">
        <f>19705.675</f>
        <v>19705.674999999999</v>
      </c>
      <c r="AY145">
        <f>18111.273</f>
        <v>18111.273000000001</v>
      </c>
      <c r="AZ145">
        <f>15107.801</f>
        <v>15107.800999999999</v>
      </c>
      <c r="BA145">
        <f>13088.797</f>
        <v>13088.797</v>
      </c>
      <c r="BB145">
        <f>15471.279</f>
        <v>15471.279</v>
      </c>
      <c r="BC145">
        <f>22045.315</f>
        <v>22045.314999999999</v>
      </c>
      <c r="BD145">
        <f>20982.507</f>
        <v>20982.507000000001</v>
      </c>
      <c r="BE145">
        <f>19018.858</f>
        <v>19018.858</v>
      </c>
      <c r="BF145">
        <f>20026.053</f>
        <v>20026.053</v>
      </c>
      <c r="BG145">
        <f>17603.861</f>
        <v>17603.861000000001</v>
      </c>
      <c r="BH145">
        <f>15819.625</f>
        <v>15819.625</v>
      </c>
      <c r="BI145">
        <f>16393.4</f>
        <v>16393.400000000001</v>
      </c>
      <c r="BJ145">
        <f>16986.831</f>
        <v>16986.830999999998</v>
      </c>
      <c r="BK145" t="str">
        <f>""</f>
        <v/>
      </c>
      <c r="BL145" t="str">
        <f>""</f>
        <v/>
      </c>
      <c r="BM145" t="str">
        <f>""</f>
        <v/>
      </c>
      <c r="BN145" t="str">
        <f>""</f>
        <v/>
      </c>
      <c r="BO145" t="str">
        <f>""</f>
        <v/>
      </c>
      <c r="BP145" t="str">
        <f>""</f>
        <v/>
      </c>
      <c r="BQ145" t="str">
        <f>""</f>
        <v/>
      </c>
      <c r="BR145" t="str">
        <f>""</f>
        <v/>
      </c>
      <c r="BS145" t="str">
        <f>""</f>
        <v/>
      </c>
    </row>
    <row r="146" spans="1:71" x14ac:dyDescent="0.25">
      <c r="A146" t="str">
        <f>"        M&amp;T Bank Corp"</f>
        <v xml:space="preserve">        M&amp;T Bank Corp</v>
      </c>
      <c r="B146" t="str">
        <f>"MTB US Equity"</f>
        <v>MTB US Equity</v>
      </c>
      <c r="C146" t="str">
        <f t="shared" si="18"/>
        <v>F0090</v>
      </c>
      <c r="D146" t="str">
        <f t="shared" si="19"/>
        <v>FED_C&amp;I_LOANS_CONSOLIDATED</v>
      </c>
      <c r="E146" t="str">
        <f t="shared" si="20"/>
        <v>Dynamic</v>
      </c>
      <c r="F146">
        <f ca="1">IF(AND(ISNUMBER($F$561),$B$427=1),$F$561,HLOOKUP(INDIRECT(ADDRESS(2,COLUMN())),OFFSET($AM$2,0,0,ROW()-1,33),ROW()-1,FALSE))</f>
        <v>34222.269</v>
      </c>
      <c r="G146">
        <f ca="1">IF(AND(ISNUMBER($G$561),$B$427=1),$G$561,HLOOKUP(INDIRECT(ADDRESS(2,COLUMN())),OFFSET($AM$2,0,0,ROW()-1,33),ROW()-1,FALSE))</f>
        <v>32253.179</v>
      </c>
      <c r="H146">
        <f ca="1">IF(AND(ISNUMBER($H$561),$B$427=1),$H$561,HLOOKUP(INDIRECT(ADDRESS(2,COLUMN())),OFFSET($AM$2,0,0,ROW()-1,33),ROW()-1,FALSE))</f>
        <v>30117.152999999998</v>
      </c>
      <c r="I146">
        <f ca="1">IF(AND(ISNUMBER($I$561),$B$427=1),$I$561,HLOOKUP(INDIRECT(ADDRESS(2,COLUMN())),OFFSET($AM$2,0,0,ROW()-1,33),ROW()-1,FALSE))</f>
        <v>18072.280999999999</v>
      </c>
      <c r="J146">
        <f ca="1">IF(AND(ISNUMBER($J$561),$B$427=1),$J$561,HLOOKUP(INDIRECT(ADDRESS(2,COLUMN())),OFFSET($AM$2,0,0,ROW()-1,33),ROW()-1,FALSE))</f>
        <v>22431.38</v>
      </c>
      <c r="K146">
        <f ca="1">IF(AND(ISNUMBER($K$561),$B$427=1),$K$561,HLOOKUP(INDIRECT(ADDRESS(2,COLUMN())),OFFSET($AM$2,0,0,ROW()-1,33),ROW()-1,FALSE))</f>
        <v>19110.425999999999</v>
      </c>
      <c r="L146">
        <f ca="1">IF(AND(ISNUMBER($L$561),$B$427=1),$L$561,HLOOKUP(INDIRECT(ADDRESS(2,COLUMN())),OFFSET($AM$2,0,0,ROW()-1,33),ROW()-1,FALSE))</f>
        <v>18208.703000000001</v>
      </c>
      <c r="M146">
        <f ca="1">IF(AND(ISNUMBER($M$561),$B$427=1),$M$561,HLOOKUP(INDIRECT(ADDRESS(2,COLUMN())),OFFSET($AM$2,0,0,ROW()-1,33),ROW()-1,FALSE))</f>
        <v>16995.805</v>
      </c>
      <c r="N146">
        <f ca="1">IF(AND(ISNUMBER($N$561),$B$427=1),$N$561,HLOOKUP(INDIRECT(ADDRESS(2,COLUMN())),OFFSET($AM$2,0,0,ROW()-1,33),ROW()-1,FALSE))</f>
        <v>17866.157999999999</v>
      </c>
      <c r="O146">
        <f ca="1">IF(AND(ISNUMBER($O$561),$B$427=1),$O$561,HLOOKUP(INDIRECT(ADDRESS(2,COLUMN())),OFFSET($AM$2,0,0,ROW()-1,33),ROW()-1,FALSE))</f>
        <v>16635.322</v>
      </c>
      <c r="P146">
        <f ca="1">IF(AND(ISNUMBER($P$561),$B$427=1),$P$561,HLOOKUP(INDIRECT(ADDRESS(2,COLUMN())),OFFSET($AM$2,0,0,ROW()-1,33),ROW()-1,FALSE))</f>
        <v>15919.504999999999</v>
      </c>
      <c r="Q146">
        <f ca="1">IF(AND(ISNUMBER($Q$561),$B$427=1),$Q$561,HLOOKUP(INDIRECT(ADDRESS(2,COLUMN())),OFFSET($AM$2,0,0,ROW()-1,33),ROW()-1,FALSE))</f>
        <v>15264.999</v>
      </c>
      <c r="R146">
        <f ca="1">IF(AND(ISNUMBER($R$561),$B$427=1),$R$561,HLOOKUP(INDIRECT(ADDRESS(2,COLUMN())),OFFSET($AM$2,0,0,ROW()-1,33),ROW()-1,FALSE))</f>
        <v>14285.958000000001</v>
      </c>
      <c r="S146">
        <f ca="1">IF(AND(ISNUMBER($S$561),$B$427=1),$S$561,HLOOKUP(INDIRECT(ADDRESS(2,COLUMN())),OFFSET($AM$2,0,0,ROW()-1,33),ROW()-1,FALSE))</f>
        <v>12775.628000000001</v>
      </c>
      <c r="T146">
        <f ca="1">IF(AND(ISNUMBER($T$561),$B$427=1),$T$561,HLOOKUP(INDIRECT(ADDRESS(2,COLUMN())),OFFSET($AM$2,0,0,ROW()-1,33),ROW()-1,FALSE))</f>
        <v>10645.817999999999</v>
      </c>
      <c r="U146">
        <f ca="1">IF(AND(ISNUMBER($U$561),$B$427=1),$U$561,HLOOKUP(INDIRECT(ADDRESS(2,COLUMN())),OFFSET($AM$2,0,0,ROW()-1,33),ROW()-1,FALSE))</f>
        <v>10409.481</v>
      </c>
      <c r="V146">
        <f ca="1">IF(AND(ISNUMBER($V$561),$B$427=1),$V$561,HLOOKUP(INDIRECT(ADDRESS(2,COLUMN())),OFFSET($AM$2,0,0,ROW()-1,33),ROW()-1,FALSE))</f>
        <v>11162.627</v>
      </c>
      <c r="W146">
        <f ca="1">IF(AND(ISNUMBER($W$561),$B$427=1),$W$561,HLOOKUP(INDIRECT(ADDRESS(2,COLUMN())),OFFSET($AM$2,0,0,ROW()-1,33),ROW()-1,FALSE))</f>
        <v>10633.120999999999</v>
      </c>
      <c r="X146">
        <f ca="1">IF(AND(ISNUMBER($X$561),$B$427=1),$X$561,HLOOKUP(INDIRECT(ADDRESS(2,COLUMN())),OFFSET($AM$2,0,0,ROW()-1,33),ROW()-1,FALSE))</f>
        <v>9832.6039999999994</v>
      </c>
      <c r="Y146">
        <f ca="1">IF(AND(ISNUMBER($Y$561),$B$427=1),$Y$561,HLOOKUP(INDIRECT(ADDRESS(2,COLUMN())),OFFSET($AM$2,0,0,ROW()-1,33),ROW()-1,FALSE))</f>
        <v>9060.1</v>
      </c>
      <c r="Z146">
        <f ca="1">IF(AND(ISNUMBER($Z$561),$B$427=1),$Z$561,HLOOKUP(INDIRECT(ADDRESS(2,COLUMN())),OFFSET($AM$2,0,0,ROW()-1,33),ROW()-1,FALSE))</f>
        <v>8106.2020000000002</v>
      </c>
      <c r="AA146">
        <f ca="1">IF(AND(ISNUMBER($AA$561),$B$427=1),$AA$561,HLOOKUP(INDIRECT(ADDRESS(2,COLUMN())),OFFSET($AM$2,0,0,ROW()-1,33),ROW()-1,FALSE))</f>
        <v>7628.7240000000002</v>
      </c>
      <c r="AB146">
        <f ca="1">IF(AND(ISNUMBER($AB$561),$B$427=1),$AB$561,HLOOKUP(INDIRECT(ADDRESS(2,COLUMN())),OFFSET($AM$2,0,0,ROW()-1,33),ROW()-1,FALSE))</f>
        <v>4855.3549999999996</v>
      </c>
      <c r="AC146">
        <f ca="1">IF(AND(ISNUMBER($AC$561),$B$427=1),$AC$561,HLOOKUP(INDIRECT(ADDRESS(2,COLUMN())),OFFSET($AM$2,0,0,ROW()-1,33),ROW()-1,FALSE))</f>
        <v>4681.1670000000004</v>
      </c>
      <c r="AD146" t="str">
        <f ca="1">IF(AND(ISNUMBER($AD$561),$B$427=1),$AD$561,HLOOKUP(INDIRECT(ADDRESS(2,COLUMN())),OFFSET($AM$2,0,0,ROW()-1,33),ROW()-1,FALSE))</f>
        <v/>
      </c>
      <c r="AE146" t="str">
        <f ca="1">IF(AND(ISNUMBER($AE$561),$B$427=1),$AE$561,HLOOKUP(INDIRECT(ADDRESS(2,COLUMN())),OFFSET($AM$2,0,0,ROW()-1,33),ROW()-1,FALSE))</f>
        <v/>
      </c>
      <c r="AF146" t="str">
        <f ca="1">IF(AND(ISNUMBER($AF$561),$B$427=1),$AF$561,HLOOKUP(INDIRECT(ADDRESS(2,COLUMN())),OFFSET($AM$2,0,0,ROW()-1,33),ROW()-1,FALSE))</f>
        <v/>
      </c>
      <c r="AG146" t="str">
        <f ca="1">IF(AND(ISNUMBER($AG$561),$B$427=1),$AG$561,HLOOKUP(INDIRECT(ADDRESS(2,COLUMN())),OFFSET($AM$2,0,0,ROW()-1,33),ROW()-1,FALSE))</f>
        <v/>
      </c>
      <c r="AH146" t="str">
        <f ca="1">IF(AND(ISNUMBER($AH$561),$B$427=1),$AH$561,HLOOKUP(INDIRECT(ADDRESS(2,COLUMN())),OFFSET($AM$2,0,0,ROW()-1,33),ROW()-1,FALSE))</f>
        <v/>
      </c>
      <c r="AI146" t="str">
        <f ca="1">IF(AND(ISNUMBER($AI$561),$B$427=1),$AI$561,HLOOKUP(INDIRECT(ADDRESS(2,COLUMN())),OFFSET($AM$2,0,0,ROW()-1,33),ROW()-1,FALSE))</f>
        <v/>
      </c>
      <c r="AJ146" t="str">
        <f ca="1">IF(AND(ISNUMBER($AJ$561),$B$427=1),$AJ$561,HLOOKUP(INDIRECT(ADDRESS(2,COLUMN())),OFFSET($AM$2,0,0,ROW()-1,33),ROW()-1,FALSE))</f>
        <v/>
      </c>
      <c r="AK146" t="str">
        <f ca="1">IF(AND(ISNUMBER($AK$561),$B$427=1),$AK$561,HLOOKUP(INDIRECT(ADDRESS(2,COLUMN())),OFFSET($AM$2,0,0,ROW()-1,33),ROW()-1,FALSE))</f>
        <v/>
      </c>
      <c r="AL146" t="str">
        <f ca="1">IF(AND(ISNUMBER($AL$561),$B$427=1),$AL$561,HLOOKUP(INDIRECT(ADDRESS(2,COLUMN())),OFFSET($AM$2,0,0,ROW()-1,33),ROW()-1,FALSE))</f>
        <v/>
      </c>
      <c r="AM146">
        <f>34222.269</f>
        <v>34222.269</v>
      </c>
      <c r="AN146">
        <f>32253.179</f>
        <v>32253.179</v>
      </c>
      <c r="AO146">
        <f>30117.153</f>
        <v>30117.152999999998</v>
      </c>
      <c r="AP146">
        <f>18072.281</f>
        <v>18072.280999999999</v>
      </c>
      <c r="AQ146">
        <f>22431.38</f>
        <v>22431.38</v>
      </c>
      <c r="AR146">
        <f>19110.426</f>
        <v>19110.425999999999</v>
      </c>
      <c r="AS146">
        <f>18208.703</f>
        <v>18208.703000000001</v>
      </c>
      <c r="AT146">
        <f>16995.805</f>
        <v>16995.805</v>
      </c>
      <c r="AU146">
        <f>17866.158</f>
        <v>17866.157999999999</v>
      </c>
      <c r="AV146">
        <f>16635.322</f>
        <v>16635.322</v>
      </c>
      <c r="AW146">
        <f>15919.505</f>
        <v>15919.504999999999</v>
      </c>
      <c r="AX146">
        <f>15264.999</f>
        <v>15264.999</v>
      </c>
      <c r="AY146">
        <f>14285.958</f>
        <v>14285.958000000001</v>
      </c>
      <c r="AZ146">
        <f>12775.628</f>
        <v>12775.628000000001</v>
      </c>
      <c r="BA146">
        <f>10645.818</f>
        <v>10645.817999999999</v>
      </c>
      <c r="BB146">
        <f>10409.481</f>
        <v>10409.481</v>
      </c>
      <c r="BC146">
        <f>11162.627</f>
        <v>11162.627</v>
      </c>
      <c r="BD146">
        <f>10633.121</f>
        <v>10633.120999999999</v>
      </c>
      <c r="BE146">
        <f>9832.604</f>
        <v>9832.6039999999994</v>
      </c>
      <c r="BF146">
        <f>9060.1</f>
        <v>9060.1</v>
      </c>
      <c r="BG146">
        <f>8106.202</f>
        <v>8106.2020000000002</v>
      </c>
      <c r="BH146">
        <f>7628.724</f>
        <v>7628.7240000000002</v>
      </c>
      <c r="BI146">
        <f>4855.355</f>
        <v>4855.3549999999996</v>
      </c>
      <c r="BJ146">
        <f>4681.167</f>
        <v>4681.1670000000004</v>
      </c>
      <c r="BK146" t="str">
        <f>""</f>
        <v/>
      </c>
      <c r="BL146" t="str">
        <f>""</f>
        <v/>
      </c>
      <c r="BM146" t="str">
        <f>""</f>
        <v/>
      </c>
      <c r="BN146" t="str">
        <f>""</f>
        <v/>
      </c>
      <c r="BO146" t="str">
        <f>""</f>
        <v/>
      </c>
      <c r="BP146" t="str">
        <f>""</f>
        <v/>
      </c>
      <c r="BQ146" t="str">
        <f>""</f>
        <v/>
      </c>
      <c r="BR146" t="str">
        <f>""</f>
        <v/>
      </c>
      <c r="BS146" t="str">
        <f>""</f>
        <v/>
      </c>
    </row>
    <row r="147" spans="1:71" x14ac:dyDescent="0.25">
      <c r="A147" t="str">
        <f>"        PNC Financial Services Group I"</f>
        <v xml:space="preserve">        PNC Financial Services Group I</v>
      </c>
      <c r="B147" t="str">
        <f>"PNC US Equity"</f>
        <v>PNC US Equity</v>
      </c>
      <c r="C147" t="str">
        <f t="shared" si="18"/>
        <v>F0090</v>
      </c>
      <c r="D147" t="str">
        <f t="shared" si="19"/>
        <v>FED_C&amp;I_LOANS_CONSOLIDATED</v>
      </c>
      <c r="E147" t="str">
        <f t="shared" si="20"/>
        <v>Dynamic</v>
      </c>
      <c r="F147" t="str">
        <f ca="1">IF(AND(ISNUMBER($F$562),$B$427=1),$F$562,HLOOKUP(INDIRECT(ADDRESS(2,COLUMN())),OFFSET($AM$2,0,0,ROW()-1,33),ROW()-1,FALSE))</f>
        <v/>
      </c>
      <c r="G147">
        <f ca="1">IF(AND(ISNUMBER($G$562),$B$427=1),$G$562,HLOOKUP(INDIRECT(ADDRESS(2,COLUMN())),OFFSET($AM$2,0,0,ROW()-1,33),ROW()-1,FALSE))</f>
        <v>125994.44500000001</v>
      </c>
      <c r="H147">
        <f ca="1">IF(AND(ISNUMBER($H$562),$B$427=1),$H$562,HLOOKUP(INDIRECT(ADDRESS(2,COLUMN())),OFFSET($AM$2,0,0,ROW()-1,33),ROW()-1,FALSE))</f>
        <v>132314.62899999999</v>
      </c>
      <c r="I147">
        <f ca="1">IF(AND(ISNUMBER($I$562),$B$427=1),$I$562,HLOOKUP(INDIRECT(ADDRESS(2,COLUMN())),OFFSET($AM$2,0,0,ROW()-1,33),ROW()-1,FALSE))</f>
        <v>106428.61900000001</v>
      </c>
      <c r="J147">
        <f ca="1">IF(AND(ISNUMBER($J$562),$B$427=1),$J$562,HLOOKUP(INDIRECT(ADDRESS(2,COLUMN())),OFFSET($AM$2,0,0,ROW()-1,33),ROW()-1,FALSE))</f>
        <v>95486.464999999997</v>
      </c>
      <c r="K147">
        <f ca="1">IF(AND(ISNUMBER($K$562),$B$427=1),$K$562,HLOOKUP(INDIRECT(ADDRESS(2,COLUMN())),OFFSET($AM$2,0,0,ROW()-1,33),ROW()-1,FALSE))</f>
        <v>93254.900999999998</v>
      </c>
      <c r="L147">
        <f ca="1">IF(AND(ISNUMBER($L$562),$B$427=1),$L$562,HLOOKUP(INDIRECT(ADDRESS(2,COLUMN())),OFFSET($AM$2,0,0,ROW()-1,33),ROW()-1,FALSE))</f>
        <v>85762.775999999998</v>
      </c>
      <c r="M147">
        <f ca="1">IF(AND(ISNUMBER($M$562),$B$427=1),$M$562,HLOOKUP(INDIRECT(ADDRESS(2,COLUMN())),OFFSET($AM$2,0,0,ROW()-1,33),ROW()-1,FALSE))</f>
        <v>77382.951000000001</v>
      </c>
      <c r="N147">
        <f ca="1">IF(AND(ISNUMBER($N$562),$B$427=1),$N$562,HLOOKUP(INDIRECT(ADDRESS(2,COLUMN())),OFFSET($AM$2,0,0,ROW()-1,33),ROW()-1,FALSE))</f>
        <v>70593.168999999994</v>
      </c>
      <c r="O147">
        <f ca="1">IF(AND(ISNUMBER($O$562),$B$427=1),$O$562,HLOOKUP(INDIRECT(ADDRESS(2,COLUMN())),OFFSET($AM$2,0,0,ROW()-1,33),ROW()-1,FALSE))</f>
        <v>66632.725999999995</v>
      </c>
      <c r="P147">
        <f ca="1">IF(AND(ISNUMBER($P$562),$B$427=1),$P$562,HLOOKUP(INDIRECT(ADDRESS(2,COLUMN())),OFFSET($AM$2,0,0,ROW()-1,33),ROW()-1,FALSE))</f>
        <v>65413.718999999997</v>
      </c>
      <c r="Q147">
        <f ca="1">IF(AND(ISNUMBER($Q$562),$B$427=1),$Q$562,HLOOKUP(INDIRECT(ADDRESS(2,COLUMN())),OFFSET($AM$2,0,0,ROW()-1,33),ROW()-1,FALSE))</f>
        <v>58732.574999999997</v>
      </c>
      <c r="R147">
        <f ca="1">IF(AND(ISNUMBER($R$562),$B$427=1),$R$562,HLOOKUP(INDIRECT(ADDRESS(2,COLUMN())),OFFSET($AM$2,0,0,ROW()-1,33),ROW()-1,FALSE))</f>
        <v>55374.694000000003</v>
      </c>
      <c r="S147">
        <f ca="1">IF(AND(ISNUMBER($S$562),$B$427=1),$S$562,HLOOKUP(INDIRECT(ADDRESS(2,COLUMN())),OFFSET($AM$2,0,0,ROW()-1,33),ROW()-1,FALSE))</f>
        <v>46823.828999999998</v>
      </c>
      <c r="T147">
        <f ca="1">IF(AND(ISNUMBER($T$562),$B$427=1),$T$562,HLOOKUP(INDIRECT(ADDRESS(2,COLUMN())),OFFSET($AM$2,0,0,ROW()-1,33),ROW()-1,FALSE))</f>
        <v>41165.542000000001</v>
      </c>
      <c r="U147">
        <f ca="1">IF(AND(ISNUMBER($U$562),$B$427=1),$U$562,HLOOKUP(INDIRECT(ADDRESS(2,COLUMN())),OFFSET($AM$2,0,0,ROW()-1,33),ROW()-1,FALSE))</f>
        <v>41526.555999999997</v>
      </c>
      <c r="V147">
        <f ca="1">IF(AND(ISNUMBER($V$562),$B$427=1),$V$562,HLOOKUP(INDIRECT(ADDRESS(2,COLUMN())),OFFSET($AM$2,0,0,ROW()-1,33),ROW()-1,FALSE))</f>
        <v>53163.866999999998</v>
      </c>
      <c r="W147">
        <f ca="1">IF(AND(ISNUMBER($W$562),$B$427=1),$W$562,HLOOKUP(INDIRECT(ADDRESS(2,COLUMN())),OFFSET($AM$2,0,0,ROW()-1,33),ROW()-1,FALSE))</f>
        <v>21373.972000000002</v>
      </c>
      <c r="X147">
        <f ca="1">IF(AND(ISNUMBER($X$562),$B$427=1),$X$562,HLOOKUP(INDIRECT(ADDRESS(2,COLUMN())),OFFSET($AM$2,0,0,ROW()-1,33),ROW()-1,FALSE))</f>
        <v>16803.666000000001</v>
      </c>
      <c r="Y147">
        <f ca="1">IF(AND(ISNUMBER($Y$562),$B$427=1),$Y$562,HLOOKUP(INDIRECT(ADDRESS(2,COLUMN())),OFFSET($AM$2,0,0,ROW()-1,33),ROW()-1,FALSE))</f>
        <v>14883.858</v>
      </c>
      <c r="Z147">
        <f ca="1">IF(AND(ISNUMBER($Z$562),$B$427=1),$Z$562,HLOOKUP(INDIRECT(ADDRESS(2,COLUMN())),OFFSET($AM$2,0,0,ROW()-1,33),ROW()-1,FALSE))</f>
        <v>14506.432000000001</v>
      </c>
      <c r="AA147">
        <f ca="1">IF(AND(ISNUMBER($AA$562),$B$427=1),$AA$562,HLOOKUP(INDIRECT(ADDRESS(2,COLUMN())),OFFSET($AM$2,0,0,ROW()-1,33),ROW()-1,FALSE))</f>
        <v>11833.71</v>
      </c>
      <c r="AB147">
        <f ca="1">IF(AND(ISNUMBER($AB$562),$B$427=1),$AB$562,HLOOKUP(INDIRECT(ADDRESS(2,COLUMN())),OFFSET($AM$2,0,0,ROW()-1,33),ROW()-1,FALSE))</f>
        <v>12741.907999999999</v>
      </c>
      <c r="AC147">
        <f ca="1">IF(AND(ISNUMBER($AC$562),$B$427=1),$AC$562,HLOOKUP(INDIRECT(ADDRESS(2,COLUMN())),OFFSET($AM$2,0,0,ROW()-1,33),ROW()-1,FALSE))</f>
        <v>14637.947</v>
      </c>
      <c r="AD147" t="str">
        <f ca="1">IF(AND(ISNUMBER($AD$562),$B$427=1),$AD$562,HLOOKUP(INDIRECT(ADDRESS(2,COLUMN())),OFFSET($AM$2,0,0,ROW()-1,33),ROW()-1,FALSE))</f>
        <v/>
      </c>
      <c r="AE147" t="str">
        <f ca="1">IF(AND(ISNUMBER($AE$562),$B$427=1),$AE$562,HLOOKUP(INDIRECT(ADDRESS(2,COLUMN())),OFFSET($AM$2,0,0,ROW()-1,33),ROW()-1,FALSE))</f>
        <v/>
      </c>
      <c r="AF147" t="str">
        <f ca="1">IF(AND(ISNUMBER($AF$562),$B$427=1),$AF$562,HLOOKUP(INDIRECT(ADDRESS(2,COLUMN())),OFFSET($AM$2,0,0,ROW()-1,33),ROW()-1,FALSE))</f>
        <v/>
      </c>
      <c r="AG147" t="str">
        <f ca="1">IF(AND(ISNUMBER($AG$562),$B$427=1),$AG$562,HLOOKUP(INDIRECT(ADDRESS(2,COLUMN())),OFFSET($AM$2,0,0,ROW()-1,33),ROW()-1,FALSE))</f>
        <v/>
      </c>
      <c r="AH147" t="str">
        <f ca="1">IF(AND(ISNUMBER($AH$562),$B$427=1),$AH$562,HLOOKUP(INDIRECT(ADDRESS(2,COLUMN())),OFFSET($AM$2,0,0,ROW()-1,33),ROW()-1,FALSE))</f>
        <v/>
      </c>
      <c r="AI147" t="str">
        <f ca="1">IF(AND(ISNUMBER($AI$562),$B$427=1),$AI$562,HLOOKUP(INDIRECT(ADDRESS(2,COLUMN())),OFFSET($AM$2,0,0,ROW()-1,33),ROW()-1,FALSE))</f>
        <v/>
      </c>
      <c r="AJ147" t="str">
        <f ca="1">IF(AND(ISNUMBER($AJ$562),$B$427=1),$AJ$562,HLOOKUP(INDIRECT(ADDRESS(2,COLUMN())),OFFSET($AM$2,0,0,ROW()-1,33),ROW()-1,FALSE))</f>
        <v/>
      </c>
      <c r="AK147" t="str">
        <f ca="1">IF(AND(ISNUMBER($AK$562),$B$427=1),$AK$562,HLOOKUP(INDIRECT(ADDRESS(2,COLUMN())),OFFSET($AM$2,0,0,ROW()-1,33),ROW()-1,FALSE))</f>
        <v/>
      </c>
      <c r="AL147" t="str">
        <f ca="1">IF(AND(ISNUMBER($AL$562),$B$427=1),$AL$562,HLOOKUP(INDIRECT(ADDRESS(2,COLUMN())),OFFSET($AM$2,0,0,ROW()-1,33),ROW()-1,FALSE))</f>
        <v/>
      </c>
      <c r="AM147" t="str">
        <f>""</f>
        <v/>
      </c>
      <c r="AN147">
        <f>125994.445</f>
        <v>125994.44500000001</v>
      </c>
      <c r="AO147">
        <f>132314.629</f>
        <v>132314.62899999999</v>
      </c>
      <c r="AP147">
        <f>106428.619</f>
        <v>106428.61900000001</v>
      </c>
      <c r="AQ147">
        <f>95486.465</f>
        <v>95486.464999999997</v>
      </c>
      <c r="AR147">
        <f>93254.901</f>
        <v>93254.900999999998</v>
      </c>
      <c r="AS147">
        <f>85762.776</f>
        <v>85762.775999999998</v>
      </c>
      <c r="AT147">
        <f>77382.951</f>
        <v>77382.951000000001</v>
      </c>
      <c r="AU147">
        <f>70593.169</f>
        <v>70593.168999999994</v>
      </c>
      <c r="AV147">
        <f>66632.726</f>
        <v>66632.725999999995</v>
      </c>
      <c r="AW147">
        <f>65413.719</f>
        <v>65413.718999999997</v>
      </c>
      <c r="AX147">
        <f>58732.575</f>
        <v>58732.574999999997</v>
      </c>
      <c r="AY147">
        <f>55374.694</f>
        <v>55374.694000000003</v>
      </c>
      <c r="AZ147">
        <f>46823.829</f>
        <v>46823.828999999998</v>
      </c>
      <c r="BA147">
        <f>41165.542</f>
        <v>41165.542000000001</v>
      </c>
      <c r="BB147">
        <f>41526.556</f>
        <v>41526.555999999997</v>
      </c>
      <c r="BC147">
        <f>53163.867</f>
        <v>53163.866999999998</v>
      </c>
      <c r="BD147">
        <f>21373.972</f>
        <v>21373.972000000002</v>
      </c>
      <c r="BE147">
        <f>16803.666</f>
        <v>16803.666000000001</v>
      </c>
      <c r="BF147">
        <f>14883.858</f>
        <v>14883.858</v>
      </c>
      <c r="BG147">
        <f>14506.432</f>
        <v>14506.432000000001</v>
      </c>
      <c r="BH147">
        <f>11833.71</f>
        <v>11833.71</v>
      </c>
      <c r="BI147">
        <f>12741.908</f>
        <v>12741.907999999999</v>
      </c>
      <c r="BJ147">
        <f>14637.947</f>
        <v>14637.947</v>
      </c>
      <c r="BK147" t="str">
        <f>""</f>
        <v/>
      </c>
      <c r="BL147" t="str">
        <f>""</f>
        <v/>
      </c>
      <c r="BM147" t="str">
        <f>""</f>
        <v/>
      </c>
      <c r="BN147" t="str">
        <f>""</f>
        <v/>
      </c>
      <c r="BO147" t="str">
        <f>""</f>
        <v/>
      </c>
      <c r="BP147" t="str">
        <f>""</f>
        <v/>
      </c>
      <c r="BQ147" t="str">
        <f>""</f>
        <v/>
      </c>
      <c r="BR147" t="str">
        <f>""</f>
        <v/>
      </c>
      <c r="BS147" t="str">
        <f>""</f>
        <v/>
      </c>
    </row>
    <row r="148" spans="1:71" x14ac:dyDescent="0.25">
      <c r="A148" t="str">
        <f>"        Regions Financial Corp"</f>
        <v xml:space="preserve">        Regions Financial Corp</v>
      </c>
      <c r="B148" t="str">
        <f>"RF US Equity"</f>
        <v>RF US Equity</v>
      </c>
      <c r="C148" t="str">
        <f t="shared" si="18"/>
        <v>F0090</v>
      </c>
      <c r="D148" t="str">
        <f t="shared" si="19"/>
        <v>FED_C&amp;I_LOANS_CONSOLIDATED</v>
      </c>
      <c r="E148" t="str">
        <f t="shared" si="20"/>
        <v>Dynamic</v>
      </c>
      <c r="F148" t="str">
        <f ca="1">IF(AND(ISNUMBER($F$563),$B$427=1),$F$563,HLOOKUP(INDIRECT(ADDRESS(2,COLUMN())),OFFSET($AM$2,0,0,ROW()-1,33),ROW()-1,FALSE))</f>
        <v/>
      </c>
      <c r="G148">
        <f ca="1">IF(AND(ISNUMBER($G$563),$B$427=1),$G$563,HLOOKUP(INDIRECT(ADDRESS(2,COLUMN())),OFFSET($AM$2,0,0,ROW()-1,33),ROW()-1,FALSE))</f>
        <v>31885</v>
      </c>
      <c r="H148">
        <f ca="1">IF(AND(ISNUMBER($H$563),$B$427=1),$H$563,HLOOKUP(INDIRECT(ADDRESS(2,COLUMN())),OFFSET($AM$2,0,0,ROW()-1,33),ROW()-1,FALSE))</f>
        <v>32769</v>
      </c>
      <c r="I148">
        <f ca="1">IF(AND(ISNUMBER($I$563),$B$427=1),$I$563,HLOOKUP(INDIRECT(ADDRESS(2,COLUMN())),OFFSET($AM$2,0,0,ROW()-1,33),ROW()-1,FALSE))</f>
        <v>28262</v>
      </c>
      <c r="J148">
        <f ca="1">IF(AND(ISNUMBER($J$563),$B$427=1),$J$563,HLOOKUP(INDIRECT(ADDRESS(2,COLUMN())),OFFSET($AM$2,0,0,ROW()-1,33),ROW()-1,FALSE))</f>
        <v>27535</v>
      </c>
      <c r="K148">
        <f ca="1">IF(AND(ISNUMBER($K$563),$B$427=1),$K$563,HLOOKUP(INDIRECT(ADDRESS(2,COLUMN())),OFFSET($AM$2,0,0,ROW()-1,33),ROW()-1,FALSE))</f>
        <v>24694</v>
      </c>
      <c r="L148">
        <f ca="1">IF(AND(ISNUMBER($L$563),$B$427=1),$L$563,HLOOKUP(INDIRECT(ADDRESS(2,COLUMN())),OFFSET($AM$2,0,0,ROW()-1,33),ROW()-1,FALSE))</f>
        <v>24341.149000000001</v>
      </c>
      <c r="M148">
        <f ca="1">IF(AND(ISNUMBER($M$563),$B$427=1),$M$563,HLOOKUP(INDIRECT(ADDRESS(2,COLUMN())),OFFSET($AM$2,0,0,ROW()-1,33),ROW()-1,FALSE))</f>
        <v>22355.168000000001</v>
      </c>
      <c r="N148">
        <f ca="1">IF(AND(ISNUMBER($N$563),$B$427=1),$N$563,HLOOKUP(INDIRECT(ADDRESS(2,COLUMN())),OFFSET($AM$2,0,0,ROW()-1,33),ROW()-1,FALSE))</f>
        <v>22264.366000000002</v>
      </c>
      <c r="O148">
        <f ca="1">IF(AND(ISNUMBER($O$563),$B$427=1),$O$563,HLOOKUP(INDIRECT(ADDRESS(2,COLUMN())),OFFSET($AM$2,0,0,ROW()-1,33),ROW()-1,FALSE))</f>
        <v>24129.534</v>
      </c>
      <c r="P148">
        <f ca="1">IF(AND(ISNUMBER($P$563),$B$427=1),$P$563,HLOOKUP(INDIRECT(ADDRESS(2,COLUMN())),OFFSET($AM$2,0,0,ROW()-1,33),ROW()-1,FALSE))</f>
        <v>23025.473000000002</v>
      </c>
      <c r="Q148">
        <f ca="1">IF(AND(ISNUMBER($Q$563),$B$427=1),$Q$563,HLOOKUP(INDIRECT(ADDRESS(2,COLUMN())),OFFSET($AM$2,0,0,ROW()-1,33),ROW()-1,FALSE))</f>
        <v>20479.853999999999</v>
      </c>
      <c r="R148">
        <f ca="1">IF(AND(ISNUMBER($R$563),$B$427=1),$R$563,HLOOKUP(INDIRECT(ADDRESS(2,COLUMN())),OFFSET($AM$2,0,0,ROW()-1,33),ROW()-1,FALSE))</f>
        <v>18619.994999999999</v>
      </c>
      <c r="S148">
        <f ca="1">IF(AND(ISNUMBER($S$563),$B$427=1),$S$563,HLOOKUP(INDIRECT(ADDRESS(2,COLUMN())),OFFSET($AM$2,0,0,ROW()-1,33),ROW()-1,FALSE))</f>
        <v>16891.184000000001</v>
      </c>
      <c r="T148">
        <f ca="1">IF(AND(ISNUMBER($T$563),$B$427=1),$T$563,HLOOKUP(INDIRECT(ADDRESS(2,COLUMN())),OFFSET($AM$2,0,0,ROW()-1,33),ROW()-1,FALSE))</f>
        <v>15042.178</v>
      </c>
      <c r="U148">
        <f ca="1">IF(AND(ISNUMBER($U$563),$B$427=1),$U$563,HLOOKUP(INDIRECT(ADDRESS(2,COLUMN())),OFFSET($AM$2,0,0,ROW()-1,33),ROW()-1,FALSE))</f>
        <v>13600.87</v>
      </c>
      <c r="V148">
        <f ca="1">IF(AND(ISNUMBER($V$563),$B$427=1),$V$563,HLOOKUP(INDIRECT(ADDRESS(2,COLUMN())),OFFSET($AM$2,0,0,ROW()-1,33),ROW()-1,FALSE))</f>
        <v>16538.911</v>
      </c>
      <c r="W148">
        <f ca="1">IF(AND(ISNUMBER($W$563),$B$427=1),$W$563,HLOOKUP(INDIRECT(ADDRESS(2,COLUMN())),OFFSET($AM$2,0,0,ROW()-1,33),ROW()-1,FALSE))</f>
        <v>15742.521000000001</v>
      </c>
      <c r="X148">
        <f ca="1">IF(AND(ISNUMBER($X$563),$B$427=1),$X$563,HLOOKUP(INDIRECT(ADDRESS(2,COLUMN())),OFFSET($AM$2,0,0,ROW()-1,33),ROW()-1,FALSE))</f>
        <v>15510.133</v>
      </c>
      <c r="Y148">
        <f ca="1">IF(AND(ISNUMBER($Y$563),$B$427=1),$Y$563,HLOOKUP(INDIRECT(ADDRESS(2,COLUMN())),OFFSET($AM$2,0,0,ROW()-1,33),ROW()-1,FALSE))</f>
        <v>9745.3590000000004</v>
      </c>
      <c r="Z148">
        <f ca="1">IF(AND(ISNUMBER($Z$563),$B$427=1),$Z$563,HLOOKUP(INDIRECT(ADDRESS(2,COLUMN())),OFFSET($AM$2,0,0,ROW()-1,33),ROW()-1,FALSE))</f>
        <v>10144.789000000001</v>
      </c>
      <c r="AA148" t="str">
        <f ca="1">IF(AND(ISNUMBER($AA$563),$B$427=1),$AA$563,HLOOKUP(INDIRECT(ADDRESS(2,COLUMN())),OFFSET($AM$2,0,0,ROW()-1,33),ROW()-1,FALSE))</f>
        <v/>
      </c>
      <c r="AB148" t="str">
        <f ca="1">IF(AND(ISNUMBER($AB$563),$B$427=1),$AB$563,HLOOKUP(INDIRECT(ADDRESS(2,COLUMN())),OFFSET($AM$2,0,0,ROW()-1,33),ROW()-1,FALSE))</f>
        <v/>
      </c>
      <c r="AC148" t="str">
        <f ca="1">IF(AND(ISNUMBER($AC$563),$B$427=1),$AC$563,HLOOKUP(INDIRECT(ADDRESS(2,COLUMN())),OFFSET($AM$2,0,0,ROW()-1,33),ROW()-1,FALSE))</f>
        <v/>
      </c>
      <c r="AD148" t="str">
        <f ca="1">IF(AND(ISNUMBER($AD$563),$B$427=1),$AD$563,HLOOKUP(INDIRECT(ADDRESS(2,COLUMN())),OFFSET($AM$2,0,0,ROW()-1,33),ROW()-1,FALSE))</f>
        <v/>
      </c>
      <c r="AE148" t="str">
        <f ca="1">IF(AND(ISNUMBER($AE$563),$B$427=1),$AE$563,HLOOKUP(INDIRECT(ADDRESS(2,COLUMN())),OFFSET($AM$2,0,0,ROW()-1,33),ROW()-1,FALSE))</f>
        <v/>
      </c>
      <c r="AF148" t="str">
        <f ca="1">IF(AND(ISNUMBER($AF$563),$B$427=1),$AF$563,HLOOKUP(INDIRECT(ADDRESS(2,COLUMN())),OFFSET($AM$2,0,0,ROW()-1,33),ROW()-1,FALSE))</f>
        <v/>
      </c>
      <c r="AG148" t="str">
        <f ca="1">IF(AND(ISNUMBER($AG$563),$B$427=1),$AG$563,HLOOKUP(INDIRECT(ADDRESS(2,COLUMN())),OFFSET($AM$2,0,0,ROW()-1,33),ROW()-1,FALSE))</f>
        <v/>
      </c>
      <c r="AH148" t="str">
        <f ca="1">IF(AND(ISNUMBER($AH$563),$B$427=1),$AH$563,HLOOKUP(INDIRECT(ADDRESS(2,COLUMN())),OFFSET($AM$2,0,0,ROW()-1,33),ROW()-1,FALSE))</f>
        <v/>
      </c>
      <c r="AI148" t="str">
        <f ca="1">IF(AND(ISNUMBER($AI$563),$B$427=1),$AI$563,HLOOKUP(INDIRECT(ADDRESS(2,COLUMN())),OFFSET($AM$2,0,0,ROW()-1,33),ROW()-1,FALSE))</f>
        <v/>
      </c>
      <c r="AJ148" t="str">
        <f ca="1">IF(AND(ISNUMBER($AJ$563),$B$427=1),$AJ$563,HLOOKUP(INDIRECT(ADDRESS(2,COLUMN())),OFFSET($AM$2,0,0,ROW()-1,33),ROW()-1,FALSE))</f>
        <v/>
      </c>
      <c r="AK148" t="str">
        <f ca="1">IF(AND(ISNUMBER($AK$563),$B$427=1),$AK$563,HLOOKUP(INDIRECT(ADDRESS(2,COLUMN())),OFFSET($AM$2,0,0,ROW()-1,33),ROW()-1,FALSE))</f>
        <v/>
      </c>
      <c r="AL148" t="str">
        <f ca="1">IF(AND(ISNUMBER($AL$563),$B$427=1),$AL$563,HLOOKUP(INDIRECT(ADDRESS(2,COLUMN())),OFFSET($AM$2,0,0,ROW()-1,33),ROW()-1,FALSE))</f>
        <v/>
      </c>
      <c r="AM148" t="str">
        <f>""</f>
        <v/>
      </c>
      <c r="AN148">
        <f>31885</f>
        <v>31885</v>
      </c>
      <c r="AO148">
        <f>32769</f>
        <v>32769</v>
      </c>
      <c r="AP148">
        <f>28262</f>
        <v>28262</v>
      </c>
      <c r="AQ148">
        <f>27535</f>
        <v>27535</v>
      </c>
      <c r="AR148">
        <f>24694</f>
        <v>24694</v>
      </c>
      <c r="AS148">
        <f>24341.149</f>
        <v>24341.149000000001</v>
      </c>
      <c r="AT148">
        <f>22355.168</f>
        <v>22355.168000000001</v>
      </c>
      <c r="AU148">
        <f>22264.366</f>
        <v>22264.366000000002</v>
      </c>
      <c r="AV148">
        <f>24129.534</f>
        <v>24129.534</v>
      </c>
      <c r="AW148">
        <f>23025.473</f>
        <v>23025.473000000002</v>
      </c>
      <c r="AX148">
        <f>20479.854</f>
        <v>20479.853999999999</v>
      </c>
      <c r="AY148">
        <f>18619.995</f>
        <v>18619.994999999999</v>
      </c>
      <c r="AZ148">
        <f>16891.184</f>
        <v>16891.184000000001</v>
      </c>
      <c r="BA148">
        <f>15042.178</f>
        <v>15042.178</v>
      </c>
      <c r="BB148">
        <f>13600.87</f>
        <v>13600.87</v>
      </c>
      <c r="BC148">
        <f>16538.911</f>
        <v>16538.911</v>
      </c>
      <c r="BD148">
        <f>15742.521</f>
        <v>15742.521000000001</v>
      </c>
      <c r="BE148">
        <f>15510.133</f>
        <v>15510.133</v>
      </c>
      <c r="BF148">
        <f>9745.359</f>
        <v>9745.3590000000004</v>
      </c>
      <c r="BG148">
        <f>10144.789</f>
        <v>10144.789000000001</v>
      </c>
      <c r="BH148" t="str">
        <f>""</f>
        <v/>
      </c>
      <c r="BI148" t="str">
        <f>""</f>
        <v/>
      </c>
      <c r="BJ148" t="str">
        <f>""</f>
        <v/>
      </c>
      <c r="BK148" t="str">
        <f>""</f>
        <v/>
      </c>
      <c r="BL148" t="str">
        <f>""</f>
        <v/>
      </c>
      <c r="BM148" t="str">
        <f>""</f>
        <v/>
      </c>
      <c r="BN148" t="str">
        <f>""</f>
        <v/>
      </c>
      <c r="BO148" t="str">
        <f>""</f>
        <v/>
      </c>
      <c r="BP148" t="str">
        <f>""</f>
        <v/>
      </c>
      <c r="BQ148" t="str">
        <f>""</f>
        <v/>
      </c>
      <c r="BR148" t="str">
        <f>""</f>
        <v/>
      </c>
      <c r="BS148" t="str">
        <f>""</f>
        <v/>
      </c>
    </row>
    <row r="149" spans="1:71" x14ac:dyDescent="0.25">
      <c r="A149" t="str">
        <f>"        Truist Financial Corp"</f>
        <v xml:space="preserve">        Truist Financial Corp</v>
      </c>
      <c r="B149" t="str">
        <f>"TFC US Equity"</f>
        <v>TFC US Equity</v>
      </c>
      <c r="C149" t="str">
        <f t="shared" si="18"/>
        <v>F0090</v>
      </c>
      <c r="D149" t="str">
        <f t="shared" si="19"/>
        <v>FED_C&amp;I_LOANS_CONSOLIDATED</v>
      </c>
      <c r="E149" t="str">
        <f t="shared" si="20"/>
        <v>Dynamic</v>
      </c>
      <c r="F149">
        <f ca="1">IF(AND(ISNUMBER($F$564),$B$427=1),$F$564,HLOOKUP(INDIRECT(ADDRESS(2,COLUMN())),OFFSET($AM$2,0,0,ROW()-1,33),ROW()-1,FALSE))</f>
        <v>73044</v>
      </c>
      <c r="G149">
        <f ca="1">IF(AND(ISNUMBER($G$564),$B$427=1),$G$564,HLOOKUP(INDIRECT(ADDRESS(2,COLUMN())),OFFSET($AM$2,0,0,ROW()-1,33),ROW()-1,FALSE))</f>
        <v>84868</v>
      </c>
      <c r="H149">
        <f ca="1">IF(AND(ISNUMBER($H$564),$B$427=1),$H$564,HLOOKUP(INDIRECT(ADDRESS(2,COLUMN())),OFFSET($AM$2,0,0,ROW()-1,33),ROW()-1,FALSE))</f>
        <v>85975</v>
      </c>
      <c r="I149">
        <f ca="1">IF(AND(ISNUMBER($I$564),$B$427=1),$I$564,HLOOKUP(INDIRECT(ADDRESS(2,COLUMN())),OFFSET($AM$2,0,0,ROW()-1,33),ROW()-1,FALSE))</f>
        <v>67662</v>
      </c>
      <c r="J149">
        <f ca="1">IF(AND(ISNUMBER($J$564),$B$427=1),$J$564,HLOOKUP(INDIRECT(ADDRESS(2,COLUMN())),OFFSET($AM$2,0,0,ROW()-1,33),ROW()-1,FALSE))</f>
        <v>74317</v>
      </c>
      <c r="K149">
        <f ca="1">IF(AND(ISNUMBER($K$564),$B$427=1),$K$564,HLOOKUP(INDIRECT(ADDRESS(2,COLUMN())),OFFSET($AM$2,0,0,ROW()-1,33),ROW()-1,FALSE))</f>
        <v>72918</v>
      </c>
      <c r="L149">
        <f ca="1">IF(AND(ISNUMBER($L$564),$B$427=1),$L$564,HLOOKUP(INDIRECT(ADDRESS(2,COLUMN())),OFFSET($AM$2,0,0,ROW()-1,33),ROW()-1,FALSE))</f>
        <v>30585</v>
      </c>
      <c r="M149">
        <f ca="1">IF(AND(ISNUMBER($M$564),$B$427=1),$M$564,HLOOKUP(INDIRECT(ADDRESS(2,COLUMN())),OFFSET($AM$2,0,0,ROW()-1,33),ROW()-1,FALSE))</f>
        <v>27295</v>
      </c>
      <c r="N149">
        <f ca="1">IF(AND(ISNUMBER($N$564),$B$427=1),$N$564,HLOOKUP(INDIRECT(ADDRESS(2,COLUMN())),OFFSET($AM$2,0,0,ROW()-1,33),ROW()-1,FALSE))</f>
        <v>26347.428</v>
      </c>
      <c r="O149">
        <f ca="1">IF(AND(ISNUMBER($O$564),$B$427=1),$O$564,HLOOKUP(INDIRECT(ADDRESS(2,COLUMN())),OFFSET($AM$2,0,0,ROW()-1,33),ROW()-1,FALSE))</f>
        <v>23704.774000000001</v>
      </c>
      <c r="P149">
        <f ca="1">IF(AND(ISNUMBER($P$564),$B$427=1),$P$564,HLOOKUP(INDIRECT(ADDRESS(2,COLUMN())),OFFSET($AM$2,0,0,ROW()-1,33),ROW()-1,FALSE))</f>
        <v>19240.063999999998</v>
      </c>
      <c r="Q149">
        <f ca="1">IF(AND(ISNUMBER($Q$564),$B$427=1),$Q$564,HLOOKUP(INDIRECT(ADDRESS(2,COLUMN())),OFFSET($AM$2,0,0,ROW()-1,33),ROW()-1,FALSE))</f>
        <v>17216.150000000001</v>
      </c>
      <c r="R149">
        <f ca="1">IF(AND(ISNUMBER($R$564),$B$427=1),$R$564,HLOOKUP(INDIRECT(ADDRESS(2,COLUMN())),OFFSET($AM$2,0,0,ROW()-1,33),ROW()-1,FALSE))</f>
        <v>16377.409</v>
      </c>
      <c r="S149">
        <f ca="1">IF(AND(ISNUMBER($S$564),$B$427=1),$S$564,HLOOKUP(INDIRECT(ADDRESS(2,COLUMN())),OFFSET($AM$2,0,0,ROW()-1,33),ROW()-1,FALSE))</f>
        <v>15111.341</v>
      </c>
      <c r="T149">
        <f ca="1">IF(AND(ISNUMBER($T$564),$B$427=1),$T$564,HLOOKUP(INDIRECT(ADDRESS(2,COLUMN())),OFFSET($AM$2,0,0,ROW()-1,33),ROW()-1,FALSE))</f>
        <v>13657.004000000001</v>
      </c>
      <c r="U149">
        <f ca="1">IF(AND(ISNUMBER($U$564),$B$427=1),$U$564,HLOOKUP(INDIRECT(ADDRESS(2,COLUMN())),OFFSET($AM$2,0,0,ROW()-1,33),ROW()-1,FALSE))</f>
        <v>14351.191999999999</v>
      </c>
      <c r="V149">
        <f ca="1">IF(AND(ISNUMBER($V$564),$B$427=1),$V$564,HLOOKUP(INDIRECT(ADDRESS(2,COLUMN())),OFFSET($AM$2,0,0,ROW()-1,33),ROW()-1,FALSE))</f>
        <v>14575.347</v>
      </c>
      <c r="W149">
        <f ca="1">IF(AND(ISNUMBER($W$564),$B$427=1),$W$564,HLOOKUP(INDIRECT(ADDRESS(2,COLUMN())),OFFSET($AM$2,0,0,ROW()-1,33),ROW()-1,FALSE))</f>
        <v>12358.584999999999</v>
      </c>
      <c r="X149">
        <f ca="1">IF(AND(ISNUMBER($X$564),$B$427=1),$X$564,HLOOKUP(INDIRECT(ADDRESS(2,COLUMN())),OFFSET($AM$2,0,0,ROW()-1,33),ROW()-1,FALSE))</f>
        <v>9170.2209999999995</v>
      </c>
      <c r="Y149">
        <f ca="1">IF(AND(ISNUMBER($Y$564),$B$427=1),$Y$564,HLOOKUP(INDIRECT(ADDRESS(2,COLUMN())),OFFSET($AM$2,0,0,ROW()-1,33),ROW()-1,FALSE))</f>
        <v>8152.5309999999999</v>
      </c>
      <c r="Z149">
        <f ca="1">IF(AND(ISNUMBER($Z$564),$B$427=1),$Z$564,HLOOKUP(INDIRECT(ADDRESS(2,COLUMN())),OFFSET($AM$2,0,0,ROW()-1,33),ROW()-1,FALSE))</f>
        <v>7594.5249999999996</v>
      </c>
      <c r="AA149">
        <f ca="1">IF(AND(ISNUMBER($AA$564),$B$427=1),$AA$564,HLOOKUP(INDIRECT(ADDRESS(2,COLUMN())),OFFSET($AM$2,0,0,ROW()-1,33),ROW()-1,FALSE))</f>
        <v>7181.3829999999998</v>
      </c>
      <c r="AB149">
        <f ca="1">IF(AND(ISNUMBER($AB$564),$B$427=1),$AB$564,HLOOKUP(INDIRECT(ADDRESS(2,COLUMN())),OFFSET($AM$2,0,0,ROW()-1,33),ROW()-1,FALSE))</f>
        <v>6909.3459999999995</v>
      </c>
      <c r="AC149">
        <f ca="1">IF(AND(ISNUMBER($AC$564),$B$427=1),$AC$564,HLOOKUP(INDIRECT(ADDRESS(2,COLUMN())),OFFSET($AM$2,0,0,ROW()-1,33),ROW()-1,FALSE))</f>
        <v>6450.5479999999998</v>
      </c>
      <c r="AD149" t="str">
        <f ca="1">IF(AND(ISNUMBER($AD$564),$B$427=1),$AD$564,HLOOKUP(INDIRECT(ADDRESS(2,COLUMN())),OFFSET($AM$2,0,0,ROW()-1,33),ROW()-1,FALSE))</f>
        <v/>
      </c>
      <c r="AE149" t="str">
        <f ca="1">IF(AND(ISNUMBER($AE$564),$B$427=1),$AE$564,HLOOKUP(INDIRECT(ADDRESS(2,COLUMN())),OFFSET($AM$2,0,0,ROW()-1,33),ROW()-1,FALSE))</f>
        <v/>
      </c>
      <c r="AF149" t="str">
        <f ca="1">IF(AND(ISNUMBER($AF$564),$B$427=1),$AF$564,HLOOKUP(INDIRECT(ADDRESS(2,COLUMN())),OFFSET($AM$2,0,0,ROW()-1,33),ROW()-1,FALSE))</f>
        <v/>
      </c>
      <c r="AG149" t="str">
        <f ca="1">IF(AND(ISNUMBER($AG$564),$B$427=1),$AG$564,HLOOKUP(INDIRECT(ADDRESS(2,COLUMN())),OFFSET($AM$2,0,0,ROW()-1,33),ROW()-1,FALSE))</f>
        <v/>
      </c>
      <c r="AH149" t="str">
        <f ca="1">IF(AND(ISNUMBER($AH$564),$B$427=1),$AH$564,HLOOKUP(INDIRECT(ADDRESS(2,COLUMN())),OFFSET($AM$2,0,0,ROW()-1,33),ROW()-1,FALSE))</f>
        <v/>
      </c>
      <c r="AI149" t="str">
        <f ca="1">IF(AND(ISNUMBER($AI$564),$B$427=1),$AI$564,HLOOKUP(INDIRECT(ADDRESS(2,COLUMN())),OFFSET($AM$2,0,0,ROW()-1,33),ROW()-1,FALSE))</f>
        <v/>
      </c>
      <c r="AJ149" t="str">
        <f ca="1">IF(AND(ISNUMBER($AJ$564),$B$427=1),$AJ$564,HLOOKUP(INDIRECT(ADDRESS(2,COLUMN())),OFFSET($AM$2,0,0,ROW()-1,33),ROW()-1,FALSE))</f>
        <v/>
      </c>
      <c r="AK149" t="str">
        <f ca="1">IF(AND(ISNUMBER($AK$564),$B$427=1),$AK$564,HLOOKUP(INDIRECT(ADDRESS(2,COLUMN())),OFFSET($AM$2,0,0,ROW()-1,33),ROW()-1,FALSE))</f>
        <v/>
      </c>
      <c r="AL149" t="str">
        <f ca="1">IF(AND(ISNUMBER($AL$564),$B$427=1),$AL$564,HLOOKUP(INDIRECT(ADDRESS(2,COLUMN())),OFFSET($AM$2,0,0,ROW()-1,33),ROW()-1,FALSE))</f>
        <v/>
      </c>
      <c r="AM149">
        <f>73044</f>
        <v>73044</v>
      </c>
      <c r="AN149">
        <f>84868</f>
        <v>84868</v>
      </c>
      <c r="AO149">
        <f>85975</f>
        <v>85975</v>
      </c>
      <c r="AP149">
        <f>67662</f>
        <v>67662</v>
      </c>
      <c r="AQ149">
        <f>74317</f>
        <v>74317</v>
      </c>
      <c r="AR149">
        <f>72918</f>
        <v>72918</v>
      </c>
      <c r="AS149">
        <f>30585</f>
        <v>30585</v>
      </c>
      <c r="AT149">
        <f>27295</f>
        <v>27295</v>
      </c>
      <c r="AU149">
        <f>26347.428</f>
        <v>26347.428</v>
      </c>
      <c r="AV149">
        <f>23704.774</f>
        <v>23704.774000000001</v>
      </c>
      <c r="AW149">
        <f>19240.064</f>
        <v>19240.063999999998</v>
      </c>
      <c r="AX149">
        <f>17216.15</f>
        <v>17216.150000000001</v>
      </c>
      <c r="AY149">
        <f>16377.409</f>
        <v>16377.409</v>
      </c>
      <c r="AZ149">
        <f>15111.341</f>
        <v>15111.341</v>
      </c>
      <c r="BA149">
        <f>13657.004</f>
        <v>13657.004000000001</v>
      </c>
      <c r="BB149">
        <f>14351.192</f>
        <v>14351.191999999999</v>
      </c>
      <c r="BC149">
        <f>14575.347</f>
        <v>14575.347</v>
      </c>
      <c r="BD149">
        <f>12358.585</f>
        <v>12358.584999999999</v>
      </c>
      <c r="BE149">
        <f>9170.221</f>
        <v>9170.2209999999995</v>
      </c>
      <c r="BF149">
        <f>8152.531</f>
        <v>8152.5309999999999</v>
      </c>
      <c r="BG149">
        <f>7594.525</f>
        <v>7594.5249999999996</v>
      </c>
      <c r="BH149">
        <f>7181.383</f>
        <v>7181.3829999999998</v>
      </c>
      <c r="BI149">
        <f>6909.346</f>
        <v>6909.3459999999995</v>
      </c>
      <c r="BJ149">
        <f>6450.548</f>
        <v>6450.5479999999998</v>
      </c>
      <c r="BK149" t="str">
        <f>""</f>
        <v/>
      </c>
      <c r="BL149" t="str">
        <f>""</f>
        <v/>
      </c>
      <c r="BM149" t="str">
        <f>""</f>
        <v/>
      </c>
      <c r="BN149" t="str">
        <f>""</f>
        <v/>
      </c>
      <c r="BO149" t="str">
        <f>""</f>
        <v/>
      </c>
      <c r="BP149" t="str">
        <f>""</f>
        <v/>
      </c>
      <c r="BQ149" t="str">
        <f>""</f>
        <v/>
      </c>
      <c r="BR149" t="str">
        <f>""</f>
        <v/>
      </c>
      <c r="BS149" t="str">
        <f>""</f>
        <v/>
      </c>
    </row>
    <row r="150" spans="1:71" x14ac:dyDescent="0.25">
      <c r="A150" t="str">
        <f>"        US Bancorp"</f>
        <v xml:space="preserve">        US Bancorp</v>
      </c>
      <c r="B150" t="str">
        <f>"USB US Equity"</f>
        <v>USB US Equity</v>
      </c>
      <c r="C150" t="str">
        <f t="shared" si="18"/>
        <v>F0090</v>
      </c>
      <c r="D150" t="str">
        <f t="shared" si="19"/>
        <v>FED_C&amp;I_LOANS_CONSOLIDATED</v>
      </c>
      <c r="E150" t="str">
        <f t="shared" si="20"/>
        <v>Dynamic</v>
      </c>
      <c r="F150">
        <f ca="1">IF(AND(ISNUMBER($F$565),$B$427=1),$F$565,HLOOKUP(INDIRECT(ADDRESS(2,COLUMN())),OFFSET($AM$2,0,0,ROW()-1,33),ROW()-1,FALSE))</f>
        <v>95678</v>
      </c>
      <c r="G150">
        <f ca="1">IF(AND(ISNUMBER($G$565),$B$427=1),$G$565,HLOOKUP(INDIRECT(ADDRESS(2,COLUMN())),OFFSET($AM$2,0,0,ROW()-1,33),ROW()-1,FALSE))</f>
        <v>97762</v>
      </c>
      <c r="H150">
        <f ca="1">IF(AND(ISNUMBER($H$565),$B$427=1),$H$565,HLOOKUP(INDIRECT(ADDRESS(2,COLUMN())),OFFSET($AM$2,0,0,ROW()-1,33),ROW()-1,FALSE))</f>
        <v>102781</v>
      </c>
      <c r="I150">
        <f ca="1">IF(AND(ISNUMBER($I$565),$B$427=1),$I$565,HLOOKUP(INDIRECT(ADDRESS(2,COLUMN())),OFFSET($AM$2,0,0,ROW()-1,33),ROW()-1,FALSE))</f>
        <v>81410</v>
      </c>
      <c r="J150">
        <f ca="1">IF(AND(ISNUMBER($J$565),$B$427=1),$J$565,HLOOKUP(INDIRECT(ADDRESS(2,COLUMN())),OFFSET($AM$2,0,0,ROW()-1,33),ROW()-1,FALSE))</f>
        <v>76481</v>
      </c>
      <c r="K150">
        <f ca="1">IF(AND(ISNUMBER($K$565),$B$427=1),$K$565,HLOOKUP(INDIRECT(ADDRESS(2,COLUMN())),OFFSET($AM$2,0,0,ROW()-1,33),ROW()-1,FALSE))</f>
        <v>78746</v>
      </c>
      <c r="L150">
        <f ca="1">IF(AND(ISNUMBER($L$565),$B$427=1),$L$565,HLOOKUP(INDIRECT(ADDRESS(2,COLUMN())),OFFSET($AM$2,0,0,ROW()-1,33),ROW()-1,FALSE))</f>
        <v>78395</v>
      </c>
      <c r="M150">
        <f ca="1">IF(AND(ISNUMBER($M$565),$B$427=1),$M$565,HLOOKUP(INDIRECT(ADDRESS(2,COLUMN())),OFFSET($AM$2,0,0,ROW()-1,33),ROW()-1,FALSE))</f>
        <v>72328</v>
      </c>
      <c r="N150">
        <f ca="1">IF(AND(ISNUMBER($N$565),$B$427=1),$N$565,HLOOKUP(INDIRECT(ADDRESS(2,COLUMN())),OFFSET($AM$2,0,0,ROW()-1,33),ROW()-1,FALSE))</f>
        <v>69077</v>
      </c>
      <c r="O150">
        <f ca="1">IF(AND(ISNUMBER($O$565),$B$427=1),$O$565,HLOOKUP(INDIRECT(ADDRESS(2,COLUMN())),OFFSET($AM$2,0,0,ROW()-1,33),ROW()-1,FALSE))</f>
        <v>66463</v>
      </c>
      <c r="P150">
        <f ca="1">IF(AND(ISNUMBER($P$565),$B$427=1),$P$565,HLOOKUP(INDIRECT(ADDRESS(2,COLUMN())),OFFSET($AM$2,0,0,ROW()-1,33),ROW()-1,FALSE))</f>
        <v>60541</v>
      </c>
      <c r="Q150">
        <f ca="1">IF(AND(ISNUMBER($Q$565),$B$427=1),$Q$565,HLOOKUP(INDIRECT(ADDRESS(2,COLUMN())),OFFSET($AM$2,0,0,ROW()-1,33),ROW()-1,FALSE))</f>
        <v>52220</v>
      </c>
      <c r="R150">
        <f ca="1">IF(AND(ISNUMBER($R$565),$B$427=1),$R$565,HLOOKUP(INDIRECT(ADDRESS(2,COLUMN())),OFFSET($AM$2,0,0,ROW()-1,33),ROW()-1,FALSE))</f>
        <v>48329</v>
      </c>
      <c r="S150">
        <f ca="1">IF(AND(ISNUMBER($S$565),$B$427=1),$S$565,HLOOKUP(INDIRECT(ADDRESS(2,COLUMN())),OFFSET($AM$2,0,0,ROW()-1,33),ROW()-1,FALSE))</f>
        <v>41648</v>
      </c>
      <c r="T150">
        <f ca="1">IF(AND(ISNUMBER($T$565),$B$427=1),$T$565,HLOOKUP(INDIRECT(ADDRESS(2,COLUMN())),OFFSET($AM$2,0,0,ROW()-1,33),ROW()-1,FALSE))</f>
        <v>35626</v>
      </c>
      <c r="U150">
        <f ca="1">IF(AND(ISNUMBER($U$565),$B$427=1),$U$565,HLOOKUP(INDIRECT(ADDRESS(2,COLUMN())),OFFSET($AM$2,0,0,ROW()-1,33),ROW()-1,FALSE))</f>
        <v>35985</v>
      </c>
      <c r="V150">
        <f ca="1">IF(AND(ISNUMBER($V$565),$B$427=1),$V$565,HLOOKUP(INDIRECT(ADDRESS(2,COLUMN())),OFFSET($AM$2,0,0,ROW()-1,33),ROW()-1,FALSE))</f>
        <v>41983</v>
      </c>
      <c r="W150">
        <f ca="1">IF(AND(ISNUMBER($W$565),$B$427=1),$W$565,HLOOKUP(INDIRECT(ADDRESS(2,COLUMN())),OFFSET($AM$2,0,0,ROW()-1,33),ROW()-1,FALSE))</f>
        <v>37337</v>
      </c>
      <c r="X150">
        <f ca="1">IF(AND(ISNUMBER($X$565),$B$427=1),$X$565,HLOOKUP(INDIRECT(ADDRESS(2,COLUMN())),OFFSET($AM$2,0,0,ROW()-1,33),ROW()-1,FALSE))</f>
        <v>33502</v>
      </c>
      <c r="Y150">
        <f ca="1">IF(AND(ISNUMBER($Y$565),$B$427=1),$Y$565,HLOOKUP(INDIRECT(ADDRESS(2,COLUMN())),OFFSET($AM$2,0,0,ROW()-1,33),ROW()-1,FALSE))</f>
        <v>31291</v>
      </c>
      <c r="Z150">
        <f ca="1">IF(AND(ISNUMBER($Z$565),$B$427=1),$Z$565,HLOOKUP(INDIRECT(ADDRESS(2,COLUMN())),OFFSET($AM$2,0,0,ROW()-1,33),ROW()-1,FALSE))</f>
        <v>29203</v>
      </c>
      <c r="AA150">
        <f ca="1">IF(AND(ISNUMBER($AA$565),$B$427=1),$AA$565,HLOOKUP(INDIRECT(ADDRESS(2,COLUMN())),OFFSET($AM$2,0,0,ROW()-1,33),ROW()-1,FALSE))</f>
        <v>27605</v>
      </c>
      <c r="AB150">
        <f ca="1">IF(AND(ISNUMBER($AB$565),$B$427=1),$AB$565,HLOOKUP(INDIRECT(ADDRESS(2,COLUMN())),OFFSET($AM$2,0,0,ROW()-1,33),ROW()-1,FALSE))</f>
        <v>29337</v>
      </c>
      <c r="AC150">
        <f ca="1">IF(AND(ISNUMBER($AC$565),$B$427=1),$AC$565,HLOOKUP(INDIRECT(ADDRESS(2,COLUMN())),OFFSET($AM$2,0,0,ROW()-1,33),ROW()-1,FALSE))</f>
        <v>34288</v>
      </c>
      <c r="AD150" t="str">
        <f ca="1">IF(AND(ISNUMBER($AD$565),$B$427=1),$AD$565,HLOOKUP(INDIRECT(ADDRESS(2,COLUMN())),OFFSET($AM$2,0,0,ROW()-1,33),ROW()-1,FALSE))</f>
        <v/>
      </c>
      <c r="AE150" t="str">
        <f ca="1">IF(AND(ISNUMBER($AE$565),$B$427=1),$AE$565,HLOOKUP(INDIRECT(ADDRESS(2,COLUMN())),OFFSET($AM$2,0,0,ROW()-1,33),ROW()-1,FALSE))</f>
        <v/>
      </c>
      <c r="AF150" t="str">
        <f ca="1">IF(AND(ISNUMBER($AF$565),$B$427=1),$AF$565,HLOOKUP(INDIRECT(ADDRESS(2,COLUMN())),OFFSET($AM$2,0,0,ROW()-1,33),ROW()-1,FALSE))</f>
        <v/>
      </c>
      <c r="AG150" t="str">
        <f ca="1">IF(AND(ISNUMBER($AG$565),$B$427=1),$AG$565,HLOOKUP(INDIRECT(ADDRESS(2,COLUMN())),OFFSET($AM$2,0,0,ROW()-1,33),ROW()-1,FALSE))</f>
        <v/>
      </c>
      <c r="AH150" t="str">
        <f ca="1">IF(AND(ISNUMBER($AH$565),$B$427=1),$AH$565,HLOOKUP(INDIRECT(ADDRESS(2,COLUMN())),OFFSET($AM$2,0,0,ROW()-1,33),ROW()-1,FALSE))</f>
        <v/>
      </c>
      <c r="AI150" t="str">
        <f ca="1">IF(AND(ISNUMBER($AI$565),$B$427=1),$AI$565,HLOOKUP(INDIRECT(ADDRESS(2,COLUMN())),OFFSET($AM$2,0,0,ROW()-1,33),ROW()-1,FALSE))</f>
        <v/>
      </c>
      <c r="AJ150" t="str">
        <f ca="1">IF(AND(ISNUMBER($AJ$565),$B$427=1),$AJ$565,HLOOKUP(INDIRECT(ADDRESS(2,COLUMN())),OFFSET($AM$2,0,0,ROW()-1,33),ROW()-1,FALSE))</f>
        <v/>
      </c>
      <c r="AK150" t="str">
        <f ca="1">IF(AND(ISNUMBER($AK$565),$B$427=1),$AK$565,HLOOKUP(INDIRECT(ADDRESS(2,COLUMN())),OFFSET($AM$2,0,0,ROW()-1,33),ROW()-1,FALSE))</f>
        <v/>
      </c>
      <c r="AL150" t="str">
        <f ca="1">IF(AND(ISNUMBER($AL$565),$B$427=1),$AL$565,HLOOKUP(INDIRECT(ADDRESS(2,COLUMN())),OFFSET($AM$2,0,0,ROW()-1,33),ROW()-1,FALSE))</f>
        <v/>
      </c>
      <c r="AM150">
        <f>95678</f>
        <v>95678</v>
      </c>
      <c r="AN150">
        <f>97762</f>
        <v>97762</v>
      </c>
      <c r="AO150">
        <f>102781</f>
        <v>102781</v>
      </c>
      <c r="AP150">
        <f>81410</f>
        <v>81410</v>
      </c>
      <c r="AQ150">
        <f>76481</f>
        <v>76481</v>
      </c>
      <c r="AR150">
        <f>78746</f>
        <v>78746</v>
      </c>
      <c r="AS150">
        <f>78395</f>
        <v>78395</v>
      </c>
      <c r="AT150">
        <f>72328</f>
        <v>72328</v>
      </c>
      <c r="AU150">
        <f>69077</f>
        <v>69077</v>
      </c>
      <c r="AV150">
        <f>66463</f>
        <v>66463</v>
      </c>
      <c r="AW150">
        <f>60541</f>
        <v>60541</v>
      </c>
      <c r="AX150">
        <f>52220</f>
        <v>52220</v>
      </c>
      <c r="AY150">
        <f>48329</f>
        <v>48329</v>
      </c>
      <c r="AZ150">
        <f>41648</f>
        <v>41648</v>
      </c>
      <c r="BA150">
        <f>35626</f>
        <v>35626</v>
      </c>
      <c r="BB150">
        <f>35985</f>
        <v>35985</v>
      </c>
      <c r="BC150">
        <f>41983</f>
        <v>41983</v>
      </c>
      <c r="BD150">
        <f>37337</f>
        <v>37337</v>
      </c>
      <c r="BE150">
        <f>33502</f>
        <v>33502</v>
      </c>
      <c r="BF150">
        <f>31291</f>
        <v>31291</v>
      </c>
      <c r="BG150">
        <f>29203</f>
        <v>29203</v>
      </c>
      <c r="BH150">
        <f>27605</f>
        <v>27605</v>
      </c>
      <c r="BI150">
        <f>29337</f>
        <v>29337</v>
      </c>
      <c r="BJ150">
        <f>34288</f>
        <v>34288</v>
      </c>
      <c r="BK150" t="str">
        <f>""</f>
        <v/>
      </c>
      <c r="BL150" t="str">
        <f>""</f>
        <v/>
      </c>
      <c r="BM150" t="str">
        <f>""</f>
        <v/>
      </c>
      <c r="BN150" t="str">
        <f>""</f>
        <v/>
      </c>
      <c r="BO150" t="str">
        <f>""</f>
        <v/>
      </c>
      <c r="BP150" t="str">
        <f>""</f>
        <v/>
      </c>
      <c r="BQ150" t="str">
        <f>""</f>
        <v/>
      </c>
      <c r="BR150" t="str">
        <f>""</f>
        <v/>
      </c>
      <c r="BS150" t="str">
        <f>""</f>
        <v/>
      </c>
    </row>
    <row r="151" spans="1:71" x14ac:dyDescent="0.25">
      <c r="A151" t="str">
        <f>"        Wells Fargo &amp; Co"</f>
        <v xml:space="preserve">        Wells Fargo &amp; Co</v>
      </c>
      <c r="B151" t="str">
        <f>"WFC US Equity"</f>
        <v>WFC US Equity</v>
      </c>
      <c r="C151" t="str">
        <f t="shared" si="18"/>
        <v>F0090</v>
      </c>
      <c r="D151" t="str">
        <f t="shared" si="19"/>
        <v>FED_C&amp;I_LOANS_CONSOLIDATED</v>
      </c>
      <c r="E151" t="str">
        <f t="shared" si="20"/>
        <v>Dynamic</v>
      </c>
      <c r="F151">
        <f ca="1">IF(AND(ISNUMBER($F$566),$B$427=1),$F$566,HLOOKUP(INDIRECT(ADDRESS(2,COLUMN())),OFFSET($AM$2,0,0,ROW()-1,33),ROW()-1,FALSE))</f>
        <v>186842</v>
      </c>
      <c r="G151">
        <f ca="1">IF(AND(ISNUMBER($G$566),$B$427=1),$G$566,HLOOKUP(INDIRECT(ADDRESS(2,COLUMN())),OFFSET($AM$2,0,0,ROW()-1,33),ROW()-1,FALSE))</f>
        <v>191935</v>
      </c>
      <c r="H151">
        <f ca="1">IF(AND(ISNUMBER($H$566),$B$427=1),$H$566,HLOOKUP(INDIRECT(ADDRESS(2,COLUMN())),OFFSET($AM$2,0,0,ROW()-1,33),ROW()-1,FALSE))</f>
        <v>195014</v>
      </c>
      <c r="I151">
        <f ca="1">IF(AND(ISNUMBER($I$566),$B$427=1),$I$566,HLOOKUP(INDIRECT(ADDRESS(2,COLUMN())),OFFSET($AM$2,0,0,ROW()-1,33),ROW()-1,FALSE))</f>
        <v>167959</v>
      </c>
      <c r="J151">
        <f ca="1">IF(AND(ISNUMBER($J$566),$B$427=1),$J$566,HLOOKUP(INDIRECT(ADDRESS(2,COLUMN())),OFFSET($AM$2,0,0,ROW()-1,33),ROW()-1,FALSE))</f>
        <v>162803</v>
      </c>
      <c r="K151">
        <f ca="1">IF(AND(ISNUMBER($K$566),$B$427=1),$K$566,HLOOKUP(INDIRECT(ADDRESS(2,COLUMN())),OFFSET($AM$2,0,0,ROW()-1,33),ROW()-1,FALSE))</f>
        <v>188066</v>
      </c>
      <c r="L151">
        <f ca="1">IF(AND(ISNUMBER($L$566),$B$427=1),$L$566,HLOOKUP(INDIRECT(ADDRESS(2,COLUMN())),OFFSET($AM$2,0,0,ROW()-1,33),ROW()-1,FALSE))</f>
        <v>193655</v>
      </c>
      <c r="M151">
        <f ca="1">IF(AND(ISNUMBER($M$566),$B$427=1),$M$566,HLOOKUP(INDIRECT(ADDRESS(2,COLUMN())),OFFSET($AM$2,0,0,ROW()-1,33),ROW()-1,FALSE))</f>
        <v>185652</v>
      </c>
      <c r="N151">
        <f ca="1">IF(AND(ISNUMBER($N$566),$B$427=1),$N$566,HLOOKUP(INDIRECT(ADDRESS(2,COLUMN())),OFFSET($AM$2,0,0,ROW()-1,33),ROW()-1,FALSE))</f>
        <v>185552</v>
      </c>
      <c r="O151">
        <f ca="1">IF(AND(ISNUMBER($O$566),$B$427=1),$O$566,HLOOKUP(INDIRECT(ADDRESS(2,COLUMN())),OFFSET($AM$2,0,0,ROW()-1,33),ROW()-1,FALSE))</f>
        <v>165255</v>
      </c>
      <c r="P151">
        <f ca="1">IF(AND(ISNUMBER($P$566),$B$427=1),$P$566,HLOOKUP(INDIRECT(ADDRESS(2,COLUMN())),OFFSET($AM$2,0,0,ROW()-1,33),ROW()-1,FALSE))</f>
        <v>160499</v>
      </c>
      <c r="Q151">
        <f ca="1">IF(AND(ISNUMBER($Q$566),$B$427=1),$Q$566,HLOOKUP(INDIRECT(ADDRESS(2,COLUMN())),OFFSET($AM$2,0,0,ROW()-1,33),ROW()-1,FALSE))</f>
        <v>152748</v>
      </c>
      <c r="R151">
        <f ca="1">IF(AND(ISNUMBER($R$566),$B$427=1),$R$566,HLOOKUP(INDIRECT(ADDRESS(2,COLUMN())),OFFSET($AM$2,0,0,ROW()-1,33),ROW()-1,FALSE))</f>
        <v>155987</v>
      </c>
      <c r="S151">
        <f ca="1">IF(AND(ISNUMBER($S$566),$B$427=1),$S$566,HLOOKUP(INDIRECT(ADDRESS(2,COLUMN())),OFFSET($AM$2,0,0,ROW()-1,33),ROW()-1,FALSE))</f>
        <v>147906</v>
      </c>
      <c r="T151">
        <f ca="1">IF(AND(ISNUMBER($T$566),$B$427=1),$T$566,HLOOKUP(INDIRECT(ADDRESS(2,COLUMN())),OFFSET($AM$2,0,0,ROW()-1,33),ROW()-1,FALSE))</f>
        <v>127306</v>
      </c>
      <c r="U151">
        <f ca="1">IF(AND(ISNUMBER($U$566),$B$427=1),$U$566,HLOOKUP(INDIRECT(ADDRESS(2,COLUMN())),OFFSET($AM$2,0,0,ROW()-1,33),ROW()-1,FALSE))</f>
        <v>142755</v>
      </c>
      <c r="V151">
        <f ca="1">IF(AND(ISNUMBER($V$566),$B$427=1),$V$566,HLOOKUP(INDIRECT(ADDRESS(2,COLUMN())),OFFSET($AM$2,0,0,ROW()-1,33),ROW()-1,FALSE))</f>
        <v>184957</v>
      </c>
      <c r="W151">
        <f ca="1">IF(AND(ISNUMBER($W$566),$B$427=1),$W$566,HLOOKUP(INDIRECT(ADDRESS(2,COLUMN())),OFFSET($AM$2,0,0,ROW()-1,33),ROW()-1,FALSE))</f>
        <v>79462</v>
      </c>
      <c r="X151">
        <f ca="1">IF(AND(ISNUMBER($X$566),$B$427=1),$X$566,HLOOKUP(INDIRECT(ADDRESS(2,COLUMN())),OFFSET($AM$2,0,0,ROW()-1,33),ROW()-1,FALSE))</f>
        <v>60843</v>
      </c>
      <c r="Y151">
        <f ca="1">IF(AND(ISNUMBER($Y$566),$B$427=1),$Y$566,HLOOKUP(INDIRECT(ADDRESS(2,COLUMN())),OFFSET($AM$2,0,0,ROW()-1,33),ROW()-1,FALSE))</f>
        <v>52327</v>
      </c>
      <c r="Z151">
        <f ca="1">IF(AND(ISNUMBER($Z$566),$B$427=1),$Z$566,HLOOKUP(INDIRECT(ADDRESS(2,COLUMN())),OFFSET($AM$2,0,0,ROW()-1,33),ROW()-1,FALSE))</f>
        <v>46607</v>
      </c>
      <c r="AA151">
        <f ca="1">IF(AND(ISNUMBER($AA$566),$B$427=1),$AA$566,HLOOKUP(INDIRECT(ADDRESS(2,COLUMN())),OFFSET($AM$2,0,0,ROW()-1,33),ROW()-1,FALSE))</f>
        <v>42337</v>
      </c>
      <c r="AB151">
        <f ca="1">IF(AND(ISNUMBER($AB$566),$B$427=1),$AB$566,HLOOKUP(INDIRECT(ADDRESS(2,COLUMN())),OFFSET($AM$2,0,0,ROW()-1,33),ROW()-1,FALSE))</f>
        <v>40505</v>
      </c>
      <c r="AC151">
        <f ca="1">IF(AND(ISNUMBER($AC$566),$B$427=1),$AC$566,HLOOKUP(INDIRECT(ADDRESS(2,COLUMN())),OFFSET($AM$2,0,0,ROW()-1,33),ROW()-1,FALSE))</f>
        <v>41334</v>
      </c>
      <c r="AD151" t="str">
        <f ca="1">IF(AND(ISNUMBER($AD$566),$B$427=1),$AD$566,HLOOKUP(INDIRECT(ADDRESS(2,COLUMN())),OFFSET($AM$2,0,0,ROW()-1,33),ROW()-1,FALSE))</f>
        <v/>
      </c>
      <c r="AE151" t="str">
        <f ca="1">IF(AND(ISNUMBER($AE$566),$B$427=1),$AE$566,HLOOKUP(INDIRECT(ADDRESS(2,COLUMN())),OFFSET($AM$2,0,0,ROW()-1,33),ROW()-1,FALSE))</f>
        <v/>
      </c>
      <c r="AF151" t="str">
        <f ca="1">IF(AND(ISNUMBER($AF$566),$B$427=1),$AF$566,HLOOKUP(INDIRECT(ADDRESS(2,COLUMN())),OFFSET($AM$2,0,0,ROW()-1,33),ROW()-1,FALSE))</f>
        <v/>
      </c>
      <c r="AG151" t="str">
        <f ca="1">IF(AND(ISNUMBER($AG$566),$B$427=1),$AG$566,HLOOKUP(INDIRECT(ADDRESS(2,COLUMN())),OFFSET($AM$2,0,0,ROW()-1,33),ROW()-1,FALSE))</f>
        <v/>
      </c>
      <c r="AH151" t="str">
        <f ca="1">IF(AND(ISNUMBER($AH$566),$B$427=1),$AH$566,HLOOKUP(INDIRECT(ADDRESS(2,COLUMN())),OFFSET($AM$2,0,0,ROW()-1,33),ROW()-1,FALSE))</f>
        <v/>
      </c>
      <c r="AI151" t="str">
        <f ca="1">IF(AND(ISNUMBER($AI$566),$B$427=1),$AI$566,HLOOKUP(INDIRECT(ADDRESS(2,COLUMN())),OFFSET($AM$2,0,0,ROW()-1,33),ROW()-1,FALSE))</f>
        <v/>
      </c>
      <c r="AJ151" t="str">
        <f ca="1">IF(AND(ISNUMBER($AJ$566),$B$427=1),$AJ$566,HLOOKUP(INDIRECT(ADDRESS(2,COLUMN())),OFFSET($AM$2,0,0,ROW()-1,33),ROW()-1,FALSE))</f>
        <v/>
      </c>
      <c r="AK151" t="str">
        <f ca="1">IF(AND(ISNUMBER($AK$566),$B$427=1),$AK$566,HLOOKUP(INDIRECT(ADDRESS(2,COLUMN())),OFFSET($AM$2,0,0,ROW()-1,33),ROW()-1,FALSE))</f>
        <v/>
      </c>
      <c r="AL151" t="str">
        <f ca="1">IF(AND(ISNUMBER($AL$566),$B$427=1),$AL$566,HLOOKUP(INDIRECT(ADDRESS(2,COLUMN())),OFFSET($AM$2,0,0,ROW()-1,33),ROW()-1,FALSE))</f>
        <v/>
      </c>
      <c r="AM151">
        <f>186842</f>
        <v>186842</v>
      </c>
      <c r="AN151">
        <f>191935</f>
        <v>191935</v>
      </c>
      <c r="AO151">
        <f>195014</f>
        <v>195014</v>
      </c>
      <c r="AP151">
        <f>167959</f>
        <v>167959</v>
      </c>
      <c r="AQ151">
        <f>162803</f>
        <v>162803</v>
      </c>
      <c r="AR151">
        <f>188066</f>
        <v>188066</v>
      </c>
      <c r="AS151">
        <f>193655</f>
        <v>193655</v>
      </c>
      <c r="AT151">
        <f>185652</f>
        <v>185652</v>
      </c>
      <c r="AU151">
        <f>185552</f>
        <v>185552</v>
      </c>
      <c r="AV151">
        <f>165255</f>
        <v>165255</v>
      </c>
      <c r="AW151">
        <f>160499</f>
        <v>160499</v>
      </c>
      <c r="AX151">
        <f>152748</f>
        <v>152748</v>
      </c>
      <c r="AY151">
        <f>155987</f>
        <v>155987</v>
      </c>
      <c r="AZ151">
        <f>147906</f>
        <v>147906</v>
      </c>
      <c r="BA151">
        <f>127306</f>
        <v>127306</v>
      </c>
      <c r="BB151">
        <f>142755</f>
        <v>142755</v>
      </c>
      <c r="BC151">
        <f>184957</f>
        <v>184957</v>
      </c>
      <c r="BD151">
        <f>79462</f>
        <v>79462</v>
      </c>
      <c r="BE151">
        <f>60843</f>
        <v>60843</v>
      </c>
      <c r="BF151">
        <f>52327</f>
        <v>52327</v>
      </c>
      <c r="BG151">
        <f>46607</f>
        <v>46607</v>
      </c>
      <c r="BH151">
        <f>42337</f>
        <v>42337</v>
      </c>
      <c r="BI151">
        <f>40505</f>
        <v>40505</v>
      </c>
      <c r="BJ151">
        <f>41334</f>
        <v>41334</v>
      </c>
      <c r="BK151" t="str">
        <f>""</f>
        <v/>
      </c>
      <c r="BL151" t="str">
        <f>""</f>
        <v/>
      </c>
      <c r="BM151" t="str">
        <f>""</f>
        <v/>
      </c>
      <c r="BN151" t="str">
        <f>""</f>
        <v/>
      </c>
      <c r="BO151" t="str">
        <f>""</f>
        <v/>
      </c>
      <c r="BP151" t="str">
        <f>""</f>
        <v/>
      </c>
      <c r="BQ151" t="str">
        <f>""</f>
        <v/>
      </c>
      <c r="BR151" t="str">
        <f>""</f>
        <v/>
      </c>
      <c r="BS151" t="str">
        <f>""</f>
        <v/>
      </c>
    </row>
    <row r="152" spans="1:71" x14ac:dyDescent="0.25">
      <c r="A152" t="str">
        <f>"        Western Alliance Bancorp"</f>
        <v xml:space="preserve">        Western Alliance Bancorp</v>
      </c>
      <c r="B152" t="str">
        <f>"WAL US Equity"</f>
        <v>WAL US Equity</v>
      </c>
      <c r="C152" t="str">
        <f t="shared" si="18"/>
        <v>F0090</v>
      </c>
      <c r="D152" t="str">
        <f t="shared" si="19"/>
        <v>FED_C&amp;I_LOANS_CONSOLIDATED</v>
      </c>
      <c r="E152" t="str">
        <f t="shared" si="20"/>
        <v>Dynamic</v>
      </c>
      <c r="F152" t="str">
        <f ca="1">IF(AND(ISNUMBER($F$567),$B$427=1),$F$567,HLOOKUP(INDIRECT(ADDRESS(2,COLUMN())),OFFSET($AM$2,0,0,ROW()-1,33),ROW()-1,FALSE))</f>
        <v/>
      </c>
      <c r="G152">
        <f ca="1">IF(AND(ISNUMBER($G$567),$B$427=1),$G$567,HLOOKUP(INDIRECT(ADDRESS(2,COLUMN())),OFFSET($AM$2,0,0,ROW()-1,33),ROW()-1,FALSE))</f>
        <v>8850.2970000000005</v>
      </c>
      <c r="H152">
        <f ca="1">IF(AND(ISNUMBER($H$567),$B$427=1),$H$567,HLOOKUP(INDIRECT(ADDRESS(2,COLUMN())),OFFSET($AM$2,0,0,ROW()-1,33),ROW()-1,FALSE))</f>
        <v>11976.007</v>
      </c>
      <c r="I152">
        <f ca="1">IF(AND(ISNUMBER($I$567),$B$427=1),$I$567,HLOOKUP(INDIRECT(ADDRESS(2,COLUMN())),OFFSET($AM$2,0,0,ROW()-1,33),ROW()-1,FALSE))</f>
        <v>10864.13</v>
      </c>
      <c r="J152">
        <f ca="1">IF(AND(ISNUMBER($J$567),$B$427=1),$J$567,HLOOKUP(INDIRECT(ADDRESS(2,COLUMN())),OFFSET($AM$2,0,0,ROW()-1,33),ROW()-1,FALSE))</f>
        <v>7635.7740000000003</v>
      </c>
      <c r="K152">
        <f ca="1">IF(AND(ISNUMBER($K$567),$B$427=1),$K$567,HLOOKUP(INDIRECT(ADDRESS(2,COLUMN())),OFFSET($AM$2,0,0,ROW()-1,33),ROW()-1,FALSE))</f>
        <v>5221.8320000000003</v>
      </c>
      <c r="L152">
        <f ca="1">IF(AND(ISNUMBER($L$567),$B$427=1),$L$567,HLOOKUP(INDIRECT(ADDRESS(2,COLUMN())),OFFSET($AM$2,0,0,ROW()-1,33),ROW()-1,FALSE))</f>
        <v>4358.5219999999999</v>
      </c>
      <c r="M152">
        <f ca="1">IF(AND(ISNUMBER($M$567),$B$427=1),$M$567,HLOOKUP(INDIRECT(ADDRESS(2,COLUMN())),OFFSET($AM$2,0,0,ROW()-1,33),ROW()-1,FALSE))</f>
        <v>4012.9029999999998</v>
      </c>
      <c r="N152">
        <f ca="1">IF(AND(ISNUMBER($N$567),$B$427=1),$N$567,HLOOKUP(INDIRECT(ADDRESS(2,COLUMN())),OFFSET($AM$2,0,0,ROW()-1,33),ROW()-1,FALSE))</f>
        <v>3378.41</v>
      </c>
      <c r="O152">
        <f ca="1">IF(AND(ISNUMBER($O$567),$B$427=1),$O$567,HLOOKUP(INDIRECT(ADDRESS(2,COLUMN())),OFFSET($AM$2,0,0,ROW()-1,33),ROW()-1,FALSE))</f>
        <v>3191.3890000000001</v>
      </c>
      <c r="P152">
        <f ca="1">IF(AND(ISNUMBER($P$567),$B$427=1),$P$567,HLOOKUP(INDIRECT(ADDRESS(2,COLUMN())),OFFSET($AM$2,0,0,ROW()-1,33),ROW()-1,FALSE))</f>
        <v>1922.2349999999999</v>
      </c>
      <c r="Q152">
        <f ca="1">IF(AND(ISNUMBER($Q$567),$B$427=1),$Q$567,HLOOKUP(INDIRECT(ADDRESS(2,COLUMN())),OFFSET($AM$2,0,0,ROW()-1,33),ROW()-1,FALSE))</f>
        <v>1305.894</v>
      </c>
      <c r="R152">
        <f ca="1">IF(AND(ISNUMBER($R$567),$B$427=1),$R$567,HLOOKUP(INDIRECT(ADDRESS(2,COLUMN())),OFFSET($AM$2,0,0,ROW()-1,33),ROW()-1,FALSE))</f>
        <v>1043.0719999999999</v>
      </c>
      <c r="S152">
        <f ca="1">IF(AND(ISNUMBER($S$567),$B$427=1),$S$567,HLOOKUP(INDIRECT(ADDRESS(2,COLUMN())),OFFSET($AM$2,0,0,ROW()-1,33),ROW()-1,FALSE))</f>
        <v>817.23400000000004</v>
      </c>
      <c r="T152">
        <f ca="1">IF(AND(ISNUMBER($T$567),$B$427=1),$T$567,HLOOKUP(INDIRECT(ADDRESS(2,COLUMN())),OFFSET($AM$2,0,0,ROW()-1,33),ROW()-1,FALSE))</f>
        <v>697.399</v>
      </c>
      <c r="U152">
        <f ca="1">IF(AND(ISNUMBER($U$567),$B$427=1),$U$567,HLOOKUP(INDIRECT(ADDRESS(2,COLUMN())),OFFSET($AM$2,0,0,ROW()-1,33),ROW()-1,FALSE))</f>
        <v>665.65499999999997</v>
      </c>
      <c r="V152">
        <f ca="1">IF(AND(ISNUMBER($V$567),$B$427=1),$V$567,HLOOKUP(INDIRECT(ADDRESS(2,COLUMN())),OFFSET($AM$2,0,0,ROW()-1,33),ROW()-1,FALSE))</f>
        <v>798.25199999999995</v>
      </c>
      <c r="W152">
        <f ca="1">IF(AND(ISNUMBER($W$567),$B$427=1),$W$567,HLOOKUP(INDIRECT(ADDRESS(2,COLUMN())),OFFSET($AM$2,0,0,ROW()-1,33),ROW()-1,FALSE))</f>
        <v>727.59900000000005</v>
      </c>
      <c r="X152">
        <f ca="1">IF(AND(ISNUMBER($X$567),$B$427=1),$X$567,HLOOKUP(INDIRECT(ADDRESS(2,COLUMN())),OFFSET($AM$2,0,0,ROW()-1,33),ROW()-1,FALSE))</f>
        <v>622.59199999999998</v>
      </c>
      <c r="Y152">
        <f ca="1">IF(AND(ISNUMBER($Y$567),$B$427=1),$Y$567,HLOOKUP(INDIRECT(ADDRESS(2,COLUMN())),OFFSET($AM$2,0,0,ROW()-1,33),ROW()-1,FALSE))</f>
        <v>338.47899999999998</v>
      </c>
      <c r="Z152">
        <f ca="1">IF(AND(ISNUMBER($Z$567),$B$427=1),$Z$567,HLOOKUP(INDIRECT(ADDRESS(2,COLUMN())),OFFSET($AM$2,0,0,ROW()-1,33),ROW()-1,FALSE))</f>
        <v>239.57599999999999</v>
      </c>
      <c r="AA152">
        <f ca="1">IF(AND(ISNUMBER($AA$567),$B$427=1),$AA$567,HLOOKUP(INDIRECT(ADDRESS(2,COLUMN())),OFFSET($AM$2,0,0,ROW()-1,33),ROW()-1,FALSE))</f>
        <v>158.71600000000001</v>
      </c>
      <c r="AB152">
        <f ca="1">IF(AND(ISNUMBER($AB$567),$B$427=1),$AB$567,HLOOKUP(INDIRECT(ADDRESS(2,COLUMN())),OFFSET($AM$2,0,0,ROW()-1,33),ROW()-1,FALSE))</f>
        <v>93.838999999999999</v>
      </c>
      <c r="AC152">
        <f ca="1">IF(AND(ISNUMBER($AC$567),$B$427=1),$AC$567,HLOOKUP(INDIRECT(ADDRESS(2,COLUMN())),OFFSET($AM$2,0,0,ROW()-1,33),ROW()-1,FALSE))</f>
        <v>85.05</v>
      </c>
      <c r="AD152" t="str">
        <f ca="1">IF(AND(ISNUMBER($AD$567),$B$427=1),$AD$567,HLOOKUP(INDIRECT(ADDRESS(2,COLUMN())),OFFSET($AM$2,0,0,ROW()-1,33),ROW()-1,FALSE))</f>
        <v/>
      </c>
      <c r="AE152" t="str">
        <f ca="1">IF(AND(ISNUMBER($AE$567),$B$427=1),$AE$567,HLOOKUP(INDIRECT(ADDRESS(2,COLUMN())),OFFSET($AM$2,0,0,ROW()-1,33),ROW()-1,FALSE))</f>
        <v/>
      </c>
      <c r="AF152" t="str">
        <f ca="1">IF(AND(ISNUMBER($AF$567),$B$427=1),$AF$567,HLOOKUP(INDIRECT(ADDRESS(2,COLUMN())),OFFSET($AM$2,0,0,ROW()-1,33),ROW()-1,FALSE))</f>
        <v/>
      </c>
      <c r="AG152" t="str">
        <f ca="1">IF(AND(ISNUMBER($AG$567),$B$427=1),$AG$567,HLOOKUP(INDIRECT(ADDRESS(2,COLUMN())),OFFSET($AM$2,0,0,ROW()-1,33),ROW()-1,FALSE))</f>
        <v/>
      </c>
      <c r="AH152" t="str">
        <f ca="1">IF(AND(ISNUMBER($AH$567),$B$427=1),$AH$567,HLOOKUP(INDIRECT(ADDRESS(2,COLUMN())),OFFSET($AM$2,0,0,ROW()-1,33),ROW()-1,FALSE))</f>
        <v/>
      </c>
      <c r="AI152" t="str">
        <f ca="1">IF(AND(ISNUMBER($AI$567),$B$427=1),$AI$567,HLOOKUP(INDIRECT(ADDRESS(2,COLUMN())),OFFSET($AM$2,0,0,ROW()-1,33),ROW()-1,FALSE))</f>
        <v/>
      </c>
      <c r="AJ152" t="str">
        <f ca="1">IF(AND(ISNUMBER($AJ$567),$B$427=1),$AJ$567,HLOOKUP(INDIRECT(ADDRESS(2,COLUMN())),OFFSET($AM$2,0,0,ROW()-1,33),ROW()-1,FALSE))</f>
        <v/>
      </c>
      <c r="AK152" t="str">
        <f ca="1">IF(AND(ISNUMBER($AK$567),$B$427=1),$AK$567,HLOOKUP(INDIRECT(ADDRESS(2,COLUMN())),OFFSET($AM$2,0,0,ROW()-1,33),ROW()-1,FALSE))</f>
        <v/>
      </c>
      <c r="AL152" t="str">
        <f ca="1">IF(AND(ISNUMBER($AL$567),$B$427=1),$AL$567,HLOOKUP(INDIRECT(ADDRESS(2,COLUMN())),OFFSET($AM$2,0,0,ROW()-1,33),ROW()-1,FALSE))</f>
        <v/>
      </c>
      <c r="AM152" t="str">
        <f>""</f>
        <v/>
      </c>
      <c r="AN152">
        <f>8850.297</f>
        <v>8850.2970000000005</v>
      </c>
      <c r="AO152">
        <f>11976.007</f>
        <v>11976.007</v>
      </c>
      <c r="AP152">
        <f>10864.13</f>
        <v>10864.13</v>
      </c>
      <c r="AQ152">
        <f>7635.774</f>
        <v>7635.7740000000003</v>
      </c>
      <c r="AR152">
        <f>5221.832</f>
        <v>5221.8320000000003</v>
      </c>
      <c r="AS152">
        <f>4358.522</f>
        <v>4358.5219999999999</v>
      </c>
      <c r="AT152">
        <f>4012.903</f>
        <v>4012.9029999999998</v>
      </c>
      <c r="AU152">
        <f>3378.41</f>
        <v>3378.41</v>
      </c>
      <c r="AV152">
        <f>3191.389</f>
        <v>3191.3890000000001</v>
      </c>
      <c r="AW152">
        <f>1922.235</f>
        <v>1922.2349999999999</v>
      </c>
      <c r="AX152">
        <f>1305.894</f>
        <v>1305.894</v>
      </c>
      <c r="AY152">
        <f>1043.072</f>
        <v>1043.0719999999999</v>
      </c>
      <c r="AZ152">
        <f>817.234</f>
        <v>817.23400000000004</v>
      </c>
      <c r="BA152">
        <f>697.399</f>
        <v>697.399</v>
      </c>
      <c r="BB152">
        <f>665.655</f>
        <v>665.65499999999997</v>
      </c>
      <c r="BC152">
        <f>798.252</f>
        <v>798.25199999999995</v>
      </c>
      <c r="BD152">
        <f>727.599</f>
        <v>727.59900000000005</v>
      </c>
      <c r="BE152">
        <f>622.592</f>
        <v>622.59199999999998</v>
      </c>
      <c r="BF152">
        <f>338.479</f>
        <v>338.47899999999998</v>
      </c>
      <c r="BG152">
        <f>239.576</f>
        <v>239.57599999999999</v>
      </c>
      <c r="BH152">
        <f>158.716</f>
        <v>158.71600000000001</v>
      </c>
      <c r="BI152">
        <f>93.839</f>
        <v>93.838999999999999</v>
      </c>
      <c r="BJ152">
        <f>85.05</f>
        <v>85.05</v>
      </c>
      <c r="BK152" t="str">
        <f>""</f>
        <v/>
      </c>
      <c r="BL152" t="str">
        <f>""</f>
        <v/>
      </c>
      <c r="BM152" t="str">
        <f>""</f>
        <v/>
      </c>
      <c r="BN152" t="str">
        <f>""</f>
        <v/>
      </c>
      <c r="BO152" t="str">
        <f>""</f>
        <v/>
      </c>
      <c r="BP152" t="str">
        <f>""</f>
        <v/>
      </c>
      <c r="BQ152" t="str">
        <f>""</f>
        <v/>
      </c>
      <c r="BR152" t="str">
        <f>""</f>
        <v/>
      </c>
      <c r="BS152" t="str">
        <f>""</f>
        <v/>
      </c>
    </row>
    <row r="153" spans="1:71" x14ac:dyDescent="0.25">
      <c r="A153" t="str">
        <f>"        Zions Bancorp NA"</f>
        <v xml:space="preserve">        Zions Bancorp NA</v>
      </c>
      <c r="B153" t="str">
        <f>"ZION US Equity"</f>
        <v>ZION US Equity</v>
      </c>
      <c r="C153" t="str">
        <f t="shared" si="18"/>
        <v>F0090</v>
      </c>
      <c r="D153" t="str">
        <f t="shared" si="19"/>
        <v>FED_C&amp;I_LOANS_CONSOLIDATED</v>
      </c>
      <c r="E153" t="str">
        <f t="shared" si="20"/>
        <v>Dynamic</v>
      </c>
      <c r="F153" t="str">
        <f ca="1">IF(AND(ISNUMBER($F$568),$B$427=1),$F$568,HLOOKUP(INDIRECT(ADDRESS(2,COLUMN())),OFFSET($AM$2,0,0,ROW()-1,33),ROW()-1,FALSE))</f>
        <v/>
      </c>
      <c r="G153" t="str">
        <f ca="1">IF(AND(ISNUMBER($G$568),$B$427=1),$G$568,HLOOKUP(INDIRECT(ADDRESS(2,COLUMN())),OFFSET($AM$2,0,0,ROW()-1,33),ROW()-1,FALSE))</f>
        <v/>
      </c>
      <c r="H153" t="str">
        <f ca="1">IF(AND(ISNUMBER($H$568),$B$427=1),$H$568,HLOOKUP(INDIRECT(ADDRESS(2,COLUMN())),OFFSET($AM$2,0,0,ROW()-1,33),ROW()-1,FALSE))</f>
        <v/>
      </c>
      <c r="I153" t="str">
        <f ca="1">IF(AND(ISNUMBER($I$568),$B$427=1),$I$568,HLOOKUP(INDIRECT(ADDRESS(2,COLUMN())),OFFSET($AM$2,0,0,ROW()-1,33),ROW()-1,FALSE))</f>
        <v/>
      </c>
      <c r="J153" t="str">
        <f ca="1">IF(AND(ISNUMBER($J$568),$B$427=1),$J$568,HLOOKUP(INDIRECT(ADDRESS(2,COLUMN())),OFFSET($AM$2,0,0,ROW()-1,33),ROW()-1,FALSE))</f>
        <v/>
      </c>
      <c r="K153" t="str">
        <f ca="1">IF(AND(ISNUMBER($K$568),$B$427=1),$K$568,HLOOKUP(INDIRECT(ADDRESS(2,COLUMN())),OFFSET($AM$2,0,0,ROW()-1,33),ROW()-1,FALSE))</f>
        <v/>
      </c>
      <c r="L153" t="str">
        <f ca="1">IF(AND(ISNUMBER($L$568),$B$427=1),$L$568,HLOOKUP(INDIRECT(ADDRESS(2,COLUMN())),OFFSET($AM$2,0,0,ROW()-1,33),ROW()-1,FALSE))</f>
        <v/>
      </c>
      <c r="M153" t="str">
        <f ca="1">IF(AND(ISNUMBER($M$568),$B$427=1),$M$568,HLOOKUP(INDIRECT(ADDRESS(2,COLUMN())),OFFSET($AM$2,0,0,ROW()-1,33),ROW()-1,FALSE))</f>
        <v/>
      </c>
      <c r="N153" t="str">
        <f ca="1">IF(AND(ISNUMBER($N$568),$B$427=1),$N$568,HLOOKUP(INDIRECT(ADDRESS(2,COLUMN())),OFFSET($AM$2,0,0,ROW()-1,33),ROW()-1,FALSE))</f>
        <v/>
      </c>
      <c r="O153" t="str">
        <f ca="1">IF(AND(ISNUMBER($O$568),$B$427=1),$O$568,HLOOKUP(INDIRECT(ADDRESS(2,COLUMN())),OFFSET($AM$2,0,0,ROW()-1,33),ROW()-1,FALSE))</f>
        <v/>
      </c>
      <c r="P153" t="str">
        <f ca="1">IF(AND(ISNUMBER($P$568),$B$427=1),$P$568,HLOOKUP(INDIRECT(ADDRESS(2,COLUMN())),OFFSET($AM$2,0,0,ROW()-1,33),ROW()-1,FALSE))</f>
        <v/>
      </c>
      <c r="Q153" t="str">
        <f ca="1">IF(AND(ISNUMBER($Q$568),$B$427=1),$Q$568,HLOOKUP(INDIRECT(ADDRESS(2,COLUMN())),OFFSET($AM$2,0,0,ROW()-1,33),ROW()-1,FALSE))</f>
        <v/>
      </c>
      <c r="R153" t="str">
        <f ca="1">IF(AND(ISNUMBER($R$568),$B$427=1),$R$568,HLOOKUP(INDIRECT(ADDRESS(2,COLUMN())),OFFSET($AM$2,0,0,ROW()-1,33),ROW()-1,FALSE))</f>
        <v/>
      </c>
      <c r="S153" t="str">
        <f ca="1">IF(AND(ISNUMBER($S$568),$B$427=1),$S$568,HLOOKUP(INDIRECT(ADDRESS(2,COLUMN())),OFFSET($AM$2,0,0,ROW()-1,33),ROW()-1,FALSE))</f>
        <v/>
      </c>
      <c r="T153" t="str">
        <f ca="1">IF(AND(ISNUMBER($T$568),$B$427=1),$T$568,HLOOKUP(INDIRECT(ADDRESS(2,COLUMN())),OFFSET($AM$2,0,0,ROW()-1,33),ROW()-1,FALSE))</f>
        <v/>
      </c>
      <c r="U153" t="str">
        <f ca="1">IF(AND(ISNUMBER($U$568),$B$427=1),$U$568,HLOOKUP(INDIRECT(ADDRESS(2,COLUMN())),OFFSET($AM$2,0,0,ROW()-1,33),ROW()-1,FALSE))</f>
        <v/>
      </c>
      <c r="V153" t="str">
        <f ca="1">IF(AND(ISNUMBER($V$568),$B$427=1),$V$568,HLOOKUP(INDIRECT(ADDRESS(2,COLUMN())),OFFSET($AM$2,0,0,ROW()-1,33),ROW()-1,FALSE))</f>
        <v/>
      </c>
      <c r="W153" t="str">
        <f ca="1">IF(AND(ISNUMBER($W$568),$B$427=1),$W$568,HLOOKUP(INDIRECT(ADDRESS(2,COLUMN())),OFFSET($AM$2,0,0,ROW()-1,33),ROW()-1,FALSE))</f>
        <v/>
      </c>
      <c r="X153" t="str">
        <f ca="1">IF(AND(ISNUMBER($X$568),$B$427=1),$X$568,HLOOKUP(INDIRECT(ADDRESS(2,COLUMN())),OFFSET($AM$2,0,0,ROW()-1,33),ROW()-1,FALSE))</f>
        <v/>
      </c>
      <c r="Y153" t="str">
        <f ca="1">IF(AND(ISNUMBER($Y$568),$B$427=1),$Y$568,HLOOKUP(INDIRECT(ADDRESS(2,COLUMN())),OFFSET($AM$2,0,0,ROW()-1,33),ROW()-1,FALSE))</f>
        <v/>
      </c>
      <c r="Z153" t="str">
        <f ca="1">IF(AND(ISNUMBER($Z$568),$B$427=1),$Z$568,HLOOKUP(INDIRECT(ADDRESS(2,COLUMN())),OFFSET($AM$2,0,0,ROW()-1,33),ROW()-1,FALSE))</f>
        <v/>
      </c>
      <c r="AA153" t="str">
        <f ca="1">IF(AND(ISNUMBER($AA$568),$B$427=1),$AA$568,HLOOKUP(INDIRECT(ADDRESS(2,COLUMN())),OFFSET($AM$2,0,0,ROW()-1,33),ROW()-1,FALSE))</f>
        <v/>
      </c>
      <c r="AB153" t="str">
        <f ca="1">IF(AND(ISNUMBER($AB$568),$B$427=1),$AB$568,HLOOKUP(INDIRECT(ADDRESS(2,COLUMN())),OFFSET($AM$2,0,0,ROW()-1,33),ROW()-1,FALSE))</f>
        <v/>
      </c>
      <c r="AC153" t="str">
        <f ca="1">IF(AND(ISNUMBER($AC$568),$B$427=1),$AC$568,HLOOKUP(INDIRECT(ADDRESS(2,COLUMN())),OFFSET($AM$2,0,0,ROW()-1,33),ROW()-1,FALSE))</f>
        <v/>
      </c>
      <c r="AD153" t="str">
        <f ca="1">IF(AND(ISNUMBER($AD$568),$B$427=1),$AD$568,HLOOKUP(INDIRECT(ADDRESS(2,COLUMN())),OFFSET($AM$2,0,0,ROW()-1,33),ROW()-1,FALSE))</f>
        <v/>
      </c>
      <c r="AE153" t="str">
        <f ca="1">IF(AND(ISNUMBER($AE$568),$B$427=1),$AE$568,HLOOKUP(INDIRECT(ADDRESS(2,COLUMN())),OFFSET($AM$2,0,0,ROW()-1,33),ROW()-1,FALSE))</f>
        <v/>
      </c>
      <c r="AF153" t="str">
        <f ca="1">IF(AND(ISNUMBER($AF$568),$B$427=1),$AF$568,HLOOKUP(INDIRECT(ADDRESS(2,COLUMN())),OFFSET($AM$2,0,0,ROW()-1,33),ROW()-1,FALSE))</f>
        <v/>
      </c>
      <c r="AG153" t="str">
        <f ca="1">IF(AND(ISNUMBER($AG$568),$B$427=1),$AG$568,HLOOKUP(INDIRECT(ADDRESS(2,COLUMN())),OFFSET($AM$2,0,0,ROW()-1,33),ROW()-1,FALSE))</f>
        <v/>
      </c>
      <c r="AH153" t="str">
        <f ca="1">IF(AND(ISNUMBER($AH$568),$B$427=1),$AH$568,HLOOKUP(INDIRECT(ADDRESS(2,COLUMN())),OFFSET($AM$2,0,0,ROW()-1,33),ROW()-1,FALSE))</f>
        <v/>
      </c>
      <c r="AI153" t="str">
        <f ca="1">IF(AND(ISNUMBER($AI$568),$B$427=1),$AI$568,HLOOKUP(INDIRECT(ADDRESS(2,COLUMN())),OFFSET($AM$2,0,0,ROW()-1,33),ROW()-1,FALSE))</f>
        <v/>
      </c>
      <c r="AJ153" t="str">
        <f ca="1">IF(AND(ISNUMBER($AJ$568),$B$427=1),$AJ$568,HLOOKUP(INDIRECT(ADDRESS(2,COLUMN())),OFFSET($AM$2,0,0,ROW()-1,33),ROW()-1,FALSE))</f>
        <v/>
      </c>
      <c r="AK153" t="str">
        <f ca="1">IF(AND(ISNUMBER($AK$568),$B$427=1),$AK$568,HLOOKUP(INDIRECT(ADDRESS(2,COLUMN())),OFFSET($AM$2,0,0,ROW()-1,33),ROW()-1,FALSE))</f>
        <v/>
      </c>
      <c r="AL153" t="str">
        <f ca="1">IF(AND(ISNUMBER($AL$568),$B$427=1),$AL$568,HLOOKUP(INDIRECT(ADDRESS(2,COLUMN())),OFFSET($AM$2,0,0,ROW()-1,33),ROW()-1,FALSE))</f>
        <v/>
      </c>
      <c r="AM153" t="str">
        <f>""</f>
        <v/>
      </c>
      <c r="AN153" t="str">
        <f>""</f>
        <v/>
      </c>
      <c r="AO153" t="str">
        <f>""</f>
        <v/>
      </c>
      <c r="AP153" t="str">
        <f>""</f>
        <v/>
      </c>
      <c r="AQ153" t="str">
        <f>""</f>
        <v/>
      </c>
      <c r="AR153" t="str">
        <f>""</f>
        <v/>
      </c>
      <c r="AS153" t="str">
        <f>""</f>
        <v/>
      </c>
      <c r="AT153" t="str">
        <f>""</f>
        <v/>
      </c>
      <c r="AU153" t="str">
        <f>""</f>
        <v/>
      </c>
      <c r="AV153" t="str">
        <f>""</f>
        <v/>
      </c>
      <c r="AW153" t="str">
        <f>""</f>
        <v/>
      </c>
      <c r="AX153" t="str">
        <f>""</f>
        <v/>
      </c>
      <c r="AY153" t="str">
        <f>""</f>
        <v/>
      </c>
      <c r="AZ153" t="str">
        <f>""</f>
        <v/>
      </c>
      <c r="BA153" t="str">
        <f>""</f>
        <v/>
      </c>
      <c r="BB153" t="str">
        <f>""</f>
        <v/>
      </c>
      <c r="BC153" t="str">
        <f>""</f>
        <v/>
      </c>
      <c r="BD153" t="str">
        <f>""</f>
        <v/>
      </c>
      <c r="BE153" t="str">
        <f>""</f>
        <v/>
      </c>
      <c r="BF153" t="str">
        <f>""</f>
        <v/>
      </c>
      <c r="BG153" t="str">
        <f>""</f>
        <v/>
      </c>
      <c r="BH153" t="str">
        <f>""</f>
        <v/>
      </c>
      <c r="BI153" t="str">
        <f>""</f>
        <v/>
      </c>
      <c r="BJ153" t="str">
        <f>""</f>
        <v/>
      </c>
      <c r="BK153" t="str">
        <f>""</f>
        <v/>
      </c>
      <c r="BL153" t="str">
        <f>""</f>
        <v/>
      </c>
      <c r="BM153" t="str">
        <f>""</f>
        <v/>
      </c>
      <c r="BN153" t="str">
        <f>""</f>
        <v/>
      </c>
      <c r="BO153" t="str">
        <f>""</f>
        <v/>
      </c>
      <c r="BP153" t="str">
        <f>""</f>
        <v/>
      </c>
      <c r="BQ153" t="str">
        <f>""</f>
        <v/>
      </c>
      <c r="BR153" t="str">
        <f>""</f>
        <v/>
      </c>
      <c r="BS153" t="str">
        <f>""</f>
        <v/>
      </c>
    </row>
    <row r="154" spans="1:71" x14ac:dyDescent="0.25">
      <c r="A154" t="str">
        <f>"Consumer loans &amp; leases"</f>
        <v>Consumer loans &amp; leases</v>
      </c>
      <c r="B154" t="str">
        <f>""</f>
        <v/>
      </c>
      <c r="E154" t="str">
        <f>"Expression"</f>
        <v>Expression</v>
      </c>
      <c r="F154">
        <f ca="1">IF(AND($B$427=1,LEN($F$155)&gt;0),$F$155,HLOOKUP(INDIRECT(ADDRESS(2,COLUMN())),OFFSET($AM$2,0,0,ROW()-1,33),ROW()-1,FALSE))</f>
        <v>1227593.1499999999</v>
      </c>
      <c r="G154">
        <f ca="1">IF(AND($B$427=1,LEN($G$155)&gt;0),$G$155,HLOOKUP(INDIRECT(ADDRESS(2,COLUMN())),OFFSET($AM$2,0,0,ROW()-1,33),ROW()-1,FALSE))</f>
        <v>1236870.74</v>
      </c>
      <c r="H154">
        <f ca="1">IF(AND($B$427=1,LEN($H$155)&gt;0),$H$155,HLOOKUP(INDIRECT(ADDRESS(2,COLUMN())),OFFSET($AM$2,0,0,ROW()-1,33),ROW()-1,FALSE))</f>
        <v>1202860.2890000001</v>
      </c>
      <c r="I154">
        <f ca="1">IF(AND($B$427=1,LEN($I$155)&gt;0),$I$155,HLOOKUP(INDIRECT(ADDRESS(2,COLUMN())),OFFSET($AM$2,0,0,ROW()-1,33),ROW()-1,FALSE))</f>
        <v>1134448.3959999999</v>
      </c>
      <c r="J154">
        <f ca="1">IF(AND($B$427=1,LEN($J$155)&gt;0),$J$155,HLOOKUP(INDIRECT(ADDRESS(2,COLUMN())),OFFSET($AM$2,0,0,ROW()-1,33),ROW()-1,FALSE))</f>
        <v>1059079.6980000001</v>
      </c>
      <c r="K154">
        <f ca="1">IF(AND($B$427=1,LEN($K$155)&gt;0),$K$155,HLOOKUP(INDIRECT(ADDRESS(2,COLUMN())),OFFSET($AM$2,0,0,ROW()-1,33),ROW()-1,FALSE))</f>
        <v>1133981.8910000001</v>
      </c>
      <c r="L154">
        <f ca="1">IF(AND($B$427=1,LEN($L$155)&gt;0),$L$155,HLOOKUP(INDIRECT(ADDRESS(2,COLUMN())),OFFSET($AM$2,0,0,ROW()-1,33),ROW()-1,FALSE))</f>
        <v>1044406.723</v>
      </c>
      <c r="M154">
        <f ca="1">IF(AND($B$427=1,LEN($M$155)&gt;0),$M$155,HLOOKUP(INDIRECT(ADDRESS(2,COLUMN())),OFFSET($AM$2,0,0,ROW()-1,33),ROW()-1,FALSE))</f>
        <v>1040221.652</v>
      </c>
      <c r="N154">
        <f ca="1">IF(AND($B$427=1,LEN($N$155)&gt;0),$N$155,HLOOKUP(INDIRECT(ADDRESS(2,COLUMN())),OFFSET($AM$2,0,0,ROW()-1,33),ROW()-1,FALSE))</f>
        <v>1014389.939</v>
      </c>
      <c r="O154">
        <f ca="1">IF(AND($B$427=1,LEN($O$155)&gt;0),$O$155,HLOOKUP(INDIRECT(ADDRESS(2,COLUMN())),OFFSET($AM$2,0,0,ROW()-1,33),ROW()-1,FALSE))</f>
        <v>959991.13399999996</v>
      </c>
      <c r="P154">
        <f ca="1">IF(AND($B$427=1,LEN($P$155)&gt;0),$P$155,HLOOKUP(INDIRECT(ADDRESS(2,COLUMN())),OFFSET($AM$2,0,0,ROW()-1,33),ROW()-1,FALSE))</f>
        <v>944672.37399999995</v>
      </c>
      <c r="Q154">
        <f ca="1">IF(AND($B$427=1,LEN($Q$155)&gt;0),$Q$155,HLOOKUP(INDIRECT(ADDRESS(2,COLUMN())),OFFSET($AM$2,0,0,ROW()-1,33),ROW()-1,FALSE))</f>
        <v>929920.93400000001</v>
      </c>
      <c r="R154">
        <f ca="1">IF(AND($B$427=1,LEN($R$155)&gt;0),$R$155,HLOOKUP(INDIRECT(ADDRESS(2,COLUMN())),OFFSET($AM$2,0,0,ROW()-1,33),ROW()-1,FALSE))</f>
        <v>927456.05</v>
      </c>
      <c r="S154">
        <f ca="1">IF(AND($B$427=1,LEN($S$155)&gt;0),$S$155,HLOOKUP(INDIRECT(ADDRESS(2,COLUMN())),OFFSET($AM$2,0,0,ROW()-1,33),ROW()-1,FALSE))</f>
        <v>912618.56799999997</v>
      </c>
      <c r="T154">
        <f ca="1">IF(AND($B$427=1,LEN($T$155)&gt;0),$T$155,HLOOKUP(INDIRECT(ADDRESS(2,COLUMN())),OFFSET($AM$2,0,0,ROW()-1,33),ROW()-1,FALSE))</f>
        <v>969023.56200000003</v>
      </c>
      <c r="U154">
        <f ca="1">IF(AND($B$427=1,LEN($U$155)&gt;0),$U$155,HLOOKUP(INDIRECT(ADDRESS(2,COLUMN())),OFFSET($AM$2,0,0,ROW()-1,33),ROW()-1,FALSE))</f>
        <v>754756.28200000001</v>
      </c>
      <c r="V154">
        <f ca="1">IF(AND($B$427=1,LEN($V$155)&gt;0),$V$155,HLOOKUP(INDIRECT(ADDRESS(2,COLUMN())),OFFSET($AM$2,0,0,ROW()-1,33),ROW()-1,FALSE))</f>
        <v>818397.554</v>
      </c>
      <c r="W154">
        <f ca="1">IF(AND($B$427=1,LEN($W$155)&gt;0),$W$155,HLOOKUP(INDIRECT(ADDRESS(2,COLUMN())),OFFSET($AM$2,0,0,ROW()-1,33),ROW()-1,FALSE))</f>
        <v>761306.64300000004</v>
      </c>
      <c r="X154">
        <f ca="1">IF(AND($B$427=1,LEN($X$155)&gt;0),$X$155,HLOOKUP(INDIRECT(ADDRESS(2,COLUMN())),OFFSET($AM$2,0,0,ROW()-1,33),ROW()-1,FALSE))</f>
        <v>674646.51699999999</v>
      </c>
      <c r="Y154">
        <f ca="1">IF(AND($B$427=1,LEN($Y$155)&gt;0),$Y$155,HLOOKUP(INDIRECT(ADDRESS(2,COLUMN())),OFFSET($AM$2,0,0,ROW()-1,33),ROW()-1,FALSE))</f>
        <v>604690.39199999999</v>
      </c>
      <c r="Z154">
        <f ca="1">IF(AND($B$427=1,LEN($Z$155)&gt;0),$Z$155,HLOOKUP(INDIRECT(ADDRESS(2,COLUMN())),OFFSET($AM$2,0,0,ROW()-1,33),ROW()-1,FALSE))</f>
        <v>569598.598</v>
      </c>
      <c r="AA154">
        <f ca="1">IF(AND($B$427=1,LEN($AA$155)&gt;0),$AA$155,HLOOKUP(INDIRECT(ADDRESS(2,COLUMN())),OFFSET($AM$2,0,0,ROW()-1,33),ROW()-1,FALSE))</f>
        <v>422881.80300000001</v>
      </c>
      <c r="AB154">
        <f ca="1">IF(AND($B$427=1,LEN($AB$155)&gt;0),$AB$155,HLOOKUP(INDIRECT(ADDRESS(2,COLUMN())),OFFSET($AM$2,0,0,ROW()-1,33),ROW()-1,FALSE))</f>
        <v>361333.76799999998</v>
      </c>
      <c r="AC154">
        <f ca="1">IF(AND($B$427=1,LEN($AC$155)&gt;0),$AC$155,HLOOKUP(INDIRECT(ADDRESS(2,COLUMN())),OFFSET($AM$2,0,0,ROW()-1,33),ROW()-1,FALSE))</f>
        <v>316197.34100000001</v>
      </c>
      <c r="AD154">
        <f ca="1">IF(AND($B$427=1,LEN($AD$155)&gt;0),$AD$155,HLOOKUP(INDIRECT(ADDRESS(2,COLUMN())),OFFSET($AM$2,0,0,ROW()-1,33),ROW()-1,FALSE))</f>
        <v>204906.57800000001</v>
      </c>
      <c r="AE154">
        <f ca="1">IF(AND($B$427=1,LEN($AE$155)&gt;0),$AE$155,HLOOKUP(INDIRECT(ADDRESS(2,COLUMN())),OFFSET($AM$2,0,0,ROW()-1,33),ROW()-1,FALSE))</f>
        <v>170158.04300000001</v>
      </c>
      <c r="AF154">
        <f ca="1">IF(AND($B$427=1,LEN($AF$155)&gt;0),$AF$155,HLOOKUP(INDIRECT(ADDRESS(2,COLUMN())),OFFSET($AM$2,0,0,ROW()-1,33),ROW()-1,FALSE))</f>
        <v>178210.28200000001</v>
      </c>
      <c r="AG154">
        <f ca="1">IF(AND($B$427=1,LEN($AG$155)&gt;0),$AG$155,HLOOKUP(INDIRECT(ADDRESS(2,COLUMN())),OFFSET($AM$2,0,0,ROW()-1,33),ROW()-1,FALSE))</f>
        <v>96305.251000000004</v>
      </c>
      <c r="AH154">
        <f ca="1">IF(AND($B$427=1,LEN($AH$155)&gt;0),$AH$155,HLOOKUP(INDIRECT(ADDRESS(2,COLUMN())),OFFSET($AM$2,0,0,ROW()-1,33),ROW()-1,FALSE))</f>
        <v>54459.135999999999</v>
      </c>
      <c r="AI154">
        <f ca="1">IF(AND($B$427=1,LEN($AI$155)&gt;0),$AI$155,HLOOKUP(INDIRECT(ADDRESS(2,COLUMN())),OFFSET($AM$2,0,0,ROW()-1,33),ROW()-1,FALSE))</f>
        <v>52067.508999999998</v>
      </c>
      <c r="AJ154">
        <f ca="1">IF(AND($B$427=1,LEN($AJ$155)&gt;0),$AJ$155,HLOOKUP(INDIRECT(ADDRESS(2,COLUMN())),OFFSET($AM$2,0,0,ROW()-1,33),ROW()-1,FALSE))</f>
        <v>30674.562999999998</v>
      </c>
      <c r="AK154">
        <f ca="1">IF(AND($B$427=1,LEN($AK$155)&gt;0),$AK$155,HLOOKUP(INDIRECT(ADDRESS(2,COLUMN())),OFFSET($AM$2,0,0,ROW()-1,33),ROW()-1,FALSE))</f>
        <v>20682.411</v>
      </c>
      <c r="AL154">
        <f ca="1">IF(AND($B$427=1,LEN($AL$155)&gt;0),$AL$155,HLOOKUP(INDIRECT(ADDRESS(2,COLUMN())),OFFSET($AM$2,0,0,ROW()-1,33),ROW()-1,FALSE))</f>
        <v>18711.575000000001</v>
      </c>
      <c r="AM154">
        <f>1227593.15</f>
        <v>1227593.1499999999</v>
      </c>
      <c r="AN154">
        <f>1236870.74</f>
        <v>1236870.74</v>
      </c>
      <c r="AO154">
        <f>1202860.289</f>
        <v>1202860.2890000001</v>
      </c>
      <c r="AP154">
        <f>1134448.396</f>
        <v>1134448.3959999999</v>
      </c>
      <c r="AQ154">
        <f>1059079.698</f>
        <v>1059079.6980000001</v>
      </c>
      <c r="AR154">
        <f>1133981.891</f>
        <v>1133981.8910000001</v>
      </c>
      <c r="AS154">
        <f>1044406.723</f>
        <v>1044406.723</v>
      </c>
      <c r="AT154">
        <f>1040221.652</f>
        <v>1040221.652</v>
      </c>
      <c r="AU154">
        <f>1014389.939</f>
        <v>1014389.939</v>
      </c>
      <c r="AV154">
        <f>959991.134</f>
        <v>959991.13399999996</v>
      </c>
      <c r="AW154">
        <f>944672.374</f>
        <v>944672.37399999995</v>
      </c>
      <c r="AX154">
        <f>929920.934</f>
        <v>929920.93400000001</v>
      </c>
      <c r="AY154">
        <f>927456.05</f>
        <v>927456.05</v>
      </c>
      <c r="AZ154">
        <f>912618.568</f>
        <v>912618.56799999997</v>
      </c>
      <c r="BA154">
        <f>969023.562</f>
        <v>969023.56200000003</v>
      </c>
      <c r="BB154">
        <f>754756.282</f>
        <v>754756.28200000001</v>
      </c>
      <c r="BC154">
        <f>818397.554</f>
        <v>818397.554</v>
      </c>
      <c r="BD154">
        <f>761306.643</f>
        <v>761306.64300000004</v>
      </c>
      <c r="BE154">
        <f>674646.517</f>
        <v>674646.51699999999</v>
      </c>
      <c r="BF154">
        <f>604690.392</f>
        <v>604690.39199999999</v>
      </c>
      <c r="BG154">
        <f>569598.598</f>
        <v>569598.598</v>
      </c>
      <c r="BH154">
        <f>422881.803</f>
        <v>422881.80300000001</v>
      </c>
      <c r="BI154">
        <f>361333.768</f>
        <v>361333.76799999998</v>
      </c>
      <c r="BJ154">
        <f>316197.341</f>
        <v>316197.34100000001</v>
      </c>
      <c r="BK154">
        <f>204906.578</f>
        <v>204906.57800000001</v>
      </c>
      <c r="BL154">
        <f>170158.043</f>
        <v>170158.04300000001</v>
      </c>
      <c r="BM154">
        <f>178210.282</f>
        <v>178210.28200000001</v>
      </c>
      <c r="BN154">
        <f>96305.251</f>
        <v>96305.251000000004</v>
      </c>
      <c r="BO154">
        <f>54459.136</f>
        <v>54459.135999999999</v>
      </c>
      <c r="BP154">
        <f>52067.509</f>
        <v>52067.508999999998</v>
      </c>
      <c r="BQ154">
        <f>30674.563</f>
        <v>30674.562999999998</v>
      </c>
      <c r="BR154">
        <f>20682.411</f>
        <v>20682.411</v>
      </c>
      <c r="BS154">
        <f>18711.575</f>
        <v>18711.575000000001</v>
      </c>
    </row>
    <row r="155" spans="1:71" x14ac:dyDescent="0.25">
      <c r="A155" t="str">
        <f>"    Consumer Loans by Company"</f>
        <v xml:space="preserve">    Consumer Loans by Company</v>
      </c>
      <c r="B155" t="str">
        <f>""</f>
        <v/>
      </c>
      <c r="E155" t="str">
        <f>"Sum"</f>
        <v>Sum</v>
      </c>
      <c r="F155">
        <f ca="1">IF(ISERROR(IF(SUM($F$156:$F$175) = 0, "", SUM($F$156:$F$175))), "", (IF(SUM($F$156:$F$175) = 0, "", SUM($F$156:$F$175))))</f>
        <v>1227593.1500000001</v>
      </c>
      <c r="G155">
        <f ca="1">IF(ISERROR(IF(SUM($G$156:$G$175) = 0, "", SUM($G$156:$G$175))), "", (IF(SUM($G$156:$G$175) = 0, "", SUM($G$156:$G$175))))</f>
        <v>1236870.74</v>
      </c>
      <c r="H155">
        <f ca="1">IF(ISERROR(IF(SUM($H$156:$H$175) = 0, "", SUM($H$156:$H$175))), "", (IF(SUM($H$156:$H$175) = 0, "", SUM($H$156:$H$175))))</f>
        <v>1202860.2890000001</v>
      </c>
      <c r="I155">
        <f ca="1">IF(ISERROR(IF(SUM($I$156:$I$175) = 0, "", SUM($I$156:$I$175))), "", (IF(SUM($I$156:$I$175) = 0, "", SUM($I$156:$I$175))))</f>
        <v>1134448.3960000002</v>
      </c>
      <c r="J155">
        <f ca="1">IF(ISERROR(IF(SUM($J$156:$J$175) = 0, "", SUM($J$156:$J$175))), "", (IF(SUM($J$156:$J$175) = 0, "", SUM($J$156:$J$175))))</f>
        <v>1059079.6979999999</v>
      </c>
      <c r="K155">
        <f ca="1">IF(ISERROR(IF(SUM($K$156:$K$175) = 0, "", SUM($K$156:$K$175))), "", (IF(SUM($K$156:$K$175) = 0, "", SUM($K$156:$K$175))))</f>
        <v>1133981.8909999998</v>
      </c>
      <c r="L155">
        <f ca="1">IF(ISERROR(IF(SUM($L$156:$L$175) = 0, "", SUM($L$156:$L$175))), "", (IF(SUM($L$156:$L$175) = 0, "", SUM($L$156:$L$175))))</f>
        <v>1044406.723</v>
      </c>
      <c r="M155">
        <f ca="1">IF(ISERROR(IF(SUM($M$156:$M$175) = 0, "", SUM($M$156:$M$175))), "", (IF(SUM($M$156:$M$175) = 0, "", SUM($M$156:$M$175))))</f>
        <v>1040221.652</v>
      </c>
      <c r="N155">
        <f ca="1">IF(ISERROR(IF(SUM($N$156:$N$175) = 0, "", SUM($N$156:$N$175))), "", (IF(SUM($N$156:$N$175) = 0, "", SUM($N$156:$N$175))))</f>
        <v>1014389.9390000001</v>
      </c>
      <c r="O155">
        <f ca="1">IF(ISERROR(IF(SUM($O$156:$O$175) = 0, "", SUM($O$156:$O$175))), "", (IF(SUM($O$156:$O$175) = 0, "", SUM($O$156:$O$175))))</f>
        <v>959991.13400000008</v>
      </c>
      <c r="P155">
        <f ca="1">IF(ISERROR(IF(SUM($P$156:$P$175) = 0, "", SUM($P$156:$P$175))), "", (IF(SUM($P$156:$P$175) = 0, "", SUM($P$156:$P$175))))</f>
        <v>944672.37399999995</v>
      </c>
      <c r="Q155">
        <f ca="1">IF(ISERROR(IF(SUM($Q$156:$Q$175) = 0, "", SUM($Q$156:$Q$175))), "", (IF(SUM($Q$156:$Q$175) = 0, "", SUM($Q$156:$Q$175))))</f>
        <v>929920.93400000012</v>
      </c>
      <c r="R155">
        <f ca="1">IF(ISERROR(IF(SUM($R$156:$R$175) = 0, "", SUM($R$156:$R$175))), "", (IF(SUM($R$156:$R$175) = 0, "", SUM($R$156:$R$175))))</f>
        <v>927456.04999999993</v>
      </c>
      <c r="S155">
        <f ca="1">IF(ISERROR(IF(SUM($S$156:$S$175) = 0, "", SUM($S$156:$S$175))), "", (IF(SUM($S$156:$S$175) = 0, "", SUM($S$156:$S$175))))</f>
        <v>912618.56799999997</v>
      </c>
      <c r="T155">
        <f ca="1">IF(ISERROR(IF(SUM($T$156:$T$175) = 0, "", SUM($T$156:$T$175))), "", (IF(SUM($T$156:$T$175) = 0, "", SUM($T$156:$T$175))))</f>
        <v>969023.56200000003</v>
      </c>
      <c r="U155">
        <f ca="1">IF(ISERROR(IF(SUM($U$156:$U$175) = 0, "", SUM($U$156:$U$175))), "", (IF(SUM($U$156:$U$175) = 0, "", SUM($U$156:$U$175))))</f>
        <v>754756.28200000012</v>
      </c>
      <c r="V155">
        <f ca="1">IF(ISERROR(IF(SUM($V$156:$V$175) = 0, "", SUM($V$156:$V$175))), "", (IF(SUM($V$156:$V$175) = 0, "", SUM($V$156:$V$175))))</f>
        <v>818397.554</v>
      </c>
      <c r="W155">
        <f ca="1">IF(ISERROR(IF(SUM($W$156:$W$175) = 0, "", SUM($W$156:$W$175))), "", (IF(SUM($W$156:$W$175) = 0, "", SUM($W$156:$W$175))))</f>
        <v>761306.64299999992</v>
      </c>
      <c r="X155">
        <f ca="1">IF(ISERROR(IF(SUM($X$156:$X$175) = 0, "", SUM($X$156:$X$175))), "", (IF(SUM($X$156:$X$175) = 0, "", SUM($X$156:$X$175))))</f>
        <v>674646.51700000011</v>
      </c>
      <c r="Y155">
        <f ca="1">IF(ISERROR(IF(SUM($Y$156:$Y$175) = 0, "", SUM($Y$156:$Y$175))), "", (IF(SUM($Y$156:$Y$175) = 0, "", SUM($Y$156:$Y$175))))</f>
        <v>604690.39199999999</v>
      </c>
      <c r="Z155">
        <f ca="1">IF(ISERROR(IF(SUM($Z$156:$Z$175) = 0, "", SUM($Z$156:$Z$175))), "", (IF(SUM($Z$156:$Z$175) = 0, "", SUM($Z$156:$Z$175))))</f>
        <v>569598.598</v>
      </c>
      <c r="AA155">
        <f ca="1">IF(ISERROR(IF(SUM($AA$156:$AA$175) = 0, "", SUM($AA$156:$AA$175))), "", (IF(SUM($AA$156:$AA$175) = 0, "", SUM($AA$156:$AA$175))))</f>
        <v>422881.80299999996</v>
      </c>
      <c r="AB155">
        <f ca="1">IF(ISERROR(IF(SUM($AB$156:$AB$175) = 0, "", SUM($AB$156:$AB$175))), "", (IF(SUM($AB$156:$AB$175) = 0, "", SUM($AB$156:$AB$175))))</f>
        <v>361333.76800000004</v>
      </c>
      <c r="AC155">
        <f ca="1">IF(ISERROR(IF(SUM($AC$156:$AC$175) = 0, "", SUM($AC$156:$AC$175))), "", (IF(SUM($AC$156:$AC$175) = 0, "", SUM($AC$156:$AC$175))))</f>
        <v>316197.34099999996</v>
      </c>
      <c r="AD155">
        <f ca="1">IF(ISERROR(IF(SUM($AD$156:$AD$175) = 0, "", SUM($AD$156:$AD$175))), "", (IF(SUM($AD$156:$AD$175) = 0, "", SUM($AD$156:$AD$175))))</f>
        <v>204906.57800000001</v>
      </c>
      <c r="AE155">
        <f ca="1">IF(ISERROR(IF(SUM($AE$156:$AE$175) = 0, "", SUM($AE$156:$AE$175))), "", (IF(SUM($AE$156:$AE$175) = 0, "", SUM($AE$156:$AE$175))))</f>
        <v>170158.04299999998</v>
      </c>
      <c r="AF155">
        <f ca="1">IF(ISERROR(IF(SUM($AF$156:$AF$175) = 0, "", SUM($AF$156:$AF$175))), "", (IF(SUM($AF$156:$AF$175) = 0, "", SUM($AF$156:$AF$175))))</f>
        <v>178210.28200000001</v>
      </c>
      <c r="AG155">
        <f ca="1">IF(ISERROR(IF(SUM($AG$156:$AG$175) = 0, "", SUM($AG$156:$AG$175))), "", (IF(SUM($AG$156:$AG$175) = 0, "", SUM($AG$156:$AG$175))))</f>
        <v>96305.250999999975</v>
      </c>
      <c r="AH155">
        <f ca="1">IF(ISERROR(IF(SUM($AH$156:$AH$175) = 0, "", SUM($AH$156:$AH$175))), "", (IF(SUM($AH$156:$AH$175) = 0, "", SUM($AH$156:$AH$175))))</f>
        <v>54459.135999999999</v>
      </c>
      <c r="AI155">
        <f ca="1">IF(ISERROR(IF(SUM($AI$156:$AI$175) = 0, "", SUM($AI$156:$AI$175))), "", (IF(SUM($AI$156:$AI$175) = 0, "", SUM($AI$156:$AI$175))))</f>
        <v>52067.508999999998</v>
      </c>
      <c r="AJ155">
        <f ca="1">IF(ISERROR(IF(SUM($AJ$156:$AJ$175) = 0, "", SUM($AJ$156:$AJ$175))), "", (IF(SUM($AJ$156:$AJ$175) = 0, "", SUM($AJ$156:$AJ$175))))</f>
        <v>30674.563000000002</v>
      </c>
      <c r="AK155">
        <f ca="1">IF(ISERROR(IF(SUM($AK$156:$AK$175) = 0, "", SUM($AK$156:$AK$175))), "", (IF(SUM($AK$156:$AK$175) = 0, "", SUM($AK$156:$AK$175))))</f>
        <v>20682.411</v>
      </c>
      <c r="AL155">
        <f ca="1">IF(ISERROR(IF(SUM($AL$156:$AL$175) = 0, "", SUM($AL$156:$AL$175))), "", (IF(SUM($AL$156:$AL$175) = 0, "", SUM($AL$156:$AL$175))))</f>
        <v>18711.575000000001</v>
      </c>
      <c r="AM155">
        <f>1227593.15</f>
        <v>1227593.1499999999</v>
      </c>
      <c r="AN155">
        <f>1236870.74</f>
        <v>1236870.74</v>
      </c>
      <c r="AO155">
        <f>1202860.289</f>
        <v>1202860.2890000001</v>
      </c>
      <c r="AP155">
        <f>1134448.396</f>
        <v>1134448.3959999999</v>
      </c>
      <c r="AQ155">
        <f>1059079.698</f>
        <v>1059079.6980000001</v>
      </c>
      <c r="AR155">
        <f>1133981.891</f>
        <v>1133981.8910000001</v>
      </c>
      <c r="AS155">
        <f>1044406.723</f>
        <v>1044406.723</v>
      </c>
      <c r="AT155">
        <f>1040221.652</f>
        <v>1040221.652</v>
      </c>
      <c r="AU155">
        <f>1014389.939</f>
        <v>1014389.939</v>
      </c>
      <c r="AV155">
        <f>959991.134</f>
        <v>959991.13399999996</v>
      </c>
      <c r="AW155">
        <f>944672.374</f>
        <v>944672.37399999995</v>
      </c>
      <c r="AX155">
        <f>929920.934</f>
        <v>929920.93400000001</v>
      </c>
      <c r="AY155">
        <f>927456.05</f>
        <v>927456.05</v>
      </c>
      <c r="AZ155">
        <f>912618.568</f>
        <v>912618.56799999997</v>
      </c>
      <c r="BA155">
        <f>969023.562</f>
        <v>969023.56200000003</v>
      </c>
      <c r="BB155">
        <f>754756.282</f>
        <v>754756.28200000001</v>
      </c>
      <c r="BC155">
        <f>818397.554</f>
        <v>818397.554</v>
      </c>
      <c r="BD155">
        <f>761306.643</f>
        <v>761306.64300000004</v>
      </c>
      <c r="BE155">
        <f>674646.517</f>
        <v>674646.51699999999</v>
      </c>
      <c r="BF155">
        <f>604690.392</f>
        <v>604690.39199999999</v>
      </c>
      <c r="BG155">
        <f>569598.598</f>
        <v>569598.598</v>
      </c>
      <c r="BH155">
        <f>422881.803</f>
        <v>422881.80300000001</v>
      </c>
      <c r="BI155">
        <f>361333.768</f>
        <v>361333.76799999998</v>
      </c>
      <c r="BJ155">
        <f>316197.341</f>
        <v>316197.34100000001</v>
      </c>
      <c r="BK155">
        <f>204906.578</f>
        <v>204906.57800000001</v>
      </c>
      <c r="BL155">
        <f>170158.043</f>
        <v>170158.04300000001</v>
      </c>
      <c r="BM155">
        <f>178210.282</f>
        <v>178210.28200000001</v>
      </c>
      <c r="BN155">
        <f>96305.251</f>
        <v>96305.251000000004</v>
      </c>
      <c r="BO155">
        <f>54459.136</f>
        <v>54459.135999999999</v>
      </c>
      <c r="BP155">
        <f>52067.509</f>
        <v>52067.508999999998</v>
      </c>
      <c r="BQ155">
        <f>30674.563</f>
        <v>30674.562999999998</v>
      </c>
      <c r="BR155">
        <f>20682.411</f>
        <v>20682.411</v>
      </c>
      <c r="BS155">
        <f>18711.575</f>
        <v>18711.575000000001</v>
      </c>
    </row>
    <row r="156" spans="1:71" x14ac:dyDescent="0.25">
      <c r="A156" t="str">
        <f>"        Bank of America Corp"</f>
        <v xml:space="preserve">        Bank of America Corp</v>
      </c>
      <c r="B156" t="str">
        <f>"BAC US Equity"</f>
        <v>BAC US Equity</v>
      </c>
      <c r="C156" t="str">
        <f t="shared" ref="C156:C175" si="21">"F0091"</f>
        <v>F0091</v>
      </c>
      <c r="D156" t="str">
        <f t="shared" ref="D156:D175" si="22">"FED_CONSUMER_LOANS_&amp;_LEASES_CONS"</f>
        <v>FED_CONSUMER_LOANS_&amp;_LEASES_CONS</v>
      </c>
      <c r="E156" t="str">
        <f t="shared" ref="E156:E175" si="23">"Dynamic"</f>
        <v>Dynamic</v>
      </c>
      <c r="F156">
        <f ca="1">IF(AND(ISNUMBER($F$569),$B$427=1),$F$569,HLOOKUP(INDIRECT(ADDRESS(2,COLUMN())),OFFSET($AM$2,0,0,ROW()-1,33),ROW()-1,FALSE))</f>
        <v>196347</v>
      </c>
      <c r="G156">
        <f ca="1">IF(AND(ISNUMBER($G$569),$B$427=1),$G$569,HLOOKUP(INDIRECT(ADDRESS(2,COLUMN())),OFFSET($AM$2,0,0,ROW()-1,33),ROW()-1,FALSE))</f>
        <v>192047</v>
      </c>
      <c r="H156">
        <f ca="1">IF(AND(ISNUMBER($H$569),$B$427=1),$H$569,HLOOKUP(INDIRECT(ADDRESS(2,COLUMN())),OFFSET($AM$2,0,0,ROW()-1,33),ROW()-1,FALSE))</f>
        <v>185463</v>
      </c>
      <c r="I156">
        <f ca="1">IF(AND(ISNUMBER($I$569),$B$427=1),$I$569,HLOOKUP(INDIRECT(ADDRESS(2,COLUMN())),OFFSET($AM$2,0,0,ROW()-1,33),ROW()-1,FALSE))</f>
        <v>170250</v>
      </c>
      <c r="J156">
        <f ca="1">IF(AND(ISNUMBER($J$569),$B$427=1),$J$569,HLOOKUP(INDIRECT(ADDRESS(2,COLUMN())),OFFSET($AM$2,0,0,ROW()-1,33),ROW()-1,FALSE))</f>
        <v>156120</v>
      </c>
      <c r="K156">
        <f ca="1">IF(AND(ISNUMBER($K$569),$B$427=1),$K$569,HLOOKUP(INDIRECT(ADDRESS(2,COLUMN())),OFFSET($AM$2,0,0,ROW()-1,33),ROW()-1,FALSE))</f>
        <v>175199</v>
      </c>
      <c r="L156">
        <f ca="1">IF(AND(ISNUMBER($L$569),$B$427=1),$L$569,HLOOKUP(INDIRECT(ADDRESS(2,COLUMN())),OFFSET($AM$2,0,0,ROW()-1,33),ROW()-1,FALSE))</f>
        <v>175785</v>
      </c>
      <c r="M156">
        <f ca="1">IF(AND(ISNUMBER($M$569),$B$427=1),$M$569,HLOOKUP(INDIRECT(ADDRESS(2,COLUMN())),OFFSET($AM$2,0,0,ROW()-1,33),ROW()-1,FALSE))</f>
        <v>177379</v>
      </c>
      <c r="N156">
        <f ca="1">IF(AND(ISNUMBER($N$569),$B$427=1),$N$569,HLOOKUP(INDIRECT(ADDRESS(2,COLUMN())),OFFSET($AM$2,0,0,ROW()-1,33),ROW()-1,FALSE))</f>
        <v>173943</v>
      </c>
      <c r="O156">
        <f ca="1">IF(AND(ISNUMBER($O$569),$B$427=1),$O$569,HLOOKUP(INDIRECT(ADDRESS(2,COLUMN())),OFFSET($AM$2,0,0,ROW()-1,33),ROW()-1,FALSE))</f>
        <v>177654</v>
      </c>
      <c r="P156">
        <f ca="1">IF(AND(ISNUMBER($P$569),$B$427=1),$P$569,HLOOKUP(INDIRECT(ADDRESS(2,COLUMN())),OFFSET($AM$2,0,0,ROW()-1,33),ROW()-1,FALSE))</f>
        <v>181496</v>
      </c>
      <c r="Q156">
        <f ca="1">IF(AND(ISNUMBER($Q$569),$B$427=1),$Q$569,HLOOKUP(INDIRECT(ADDRESS(2,COLUMN())),OFFSET($AM$2,0,0,ROW()-1,33),ROW()-1,FALSE))</f>
        <v>183282</v>
      </c>
      <c r="R156">
        <f ca="1">IF(AND(ISNUMBER($R$569),$B$427=1),$R$569,HLOOKUP(INDIRECT(ADDRESS(2,COLUMN())),OFFSET($AM$2,0,0,ROW()-1,33),ROW()-1,FALSE))</f>
        <v>187055.64799999999</v>
      </c>
      <c r="S156">
        <f ca="1">IF(AND(ISNUMBER($S$569),$B$427=1),$S$569,HLOOKUP(INDIRECT(ADDRESS(2,COLUMN())),OFFSET($AM$2,0,0,ROW()-1,33),ROW()-1,FALSE))</f>
        <v>203218.00099999999</v>
      </c>
      <c r="T156">
        <f ca="1">IF(AND(ISNUMBER($T$569),$B$427=1),$T$569,HLOOKUP(INDIRECT(ADDRESS(2,COLUMN())),OFFSET($AM$2,0,0,ROW()-1,33),ROW()-1,FALSE))</f>
        <v>238205.49900000001</v>
      </c>
      <c r="U156">
        <f ca="1">IF(AND(ISNUMBER($U$569),$B$427=1),$U$569,HLOOKUP(INDIRECT(ADDRESS(2,COLUMN())),OFFSET($AM$2,0,0,ROW()-1,33),ROW()-1,FALSE))</f>
        <v>175281.15700000001</v>
      </c>
      <c r="V156">
        <f ca="1">IF(AND(ISNUMBER($V$569),$B$427=1),$V$569,HLOOKUP(INDIRECT(ADDRESS(2,COLUMN())),OFFSET($AM$2,0,0,ROW()-1,33),ROW()-1,FALSE))</f>
        <v>171792.606</v>
      </c>
      <c r="W156">
        <f ca="1">IF(AND(ISNUMBER($W$569),$B$427=1),$W$569,HLOOKUP(INDIRECT(ADDRESS(2,COLUMN())),OFFSET($AM$2,0,0,ROW()-1,33),ROW()-1,FALSE))</f>
        <v>163817.25599999999</v>
      </c>
      <c r="X156">
        <f ca="1">IF(AND(ISNUMBER($X$569),$B$427=1),$X$569,HLOOKUP(INDIRECT(ADDRESS(2,COLUMN())),OFFSET($AM$2,0,0,ROW()-1,33),ROW()-1,FALSE))</f>
        <v>139868.99100000001</v>
      </c>
      <c r="Y156">
        <f ca="1">IF(AND(ISNUMBER($Y$569),$B$427=1),$Y$569,HLOOKUP(INDIRECT(ADDRESS(2,COLUMN())),OFFSET($AM$2,0,0,ROW()-1,33),ROW()-1,FALSE))</f>
        <v>102924.82799999999</v>
      </c>
      <c r="Z156">
        <f ca="1">IF(AND(ISNUMBER($Z$569),$B$427=1),$Z$569,HLOOKUP(INDIRECT(ADDRESS(2,COLUMN())),OFFSET($AM$2,0,0,ROW()-1,33),ROW()-1,FALSE))</f>
        <v>91181.926000000007</v>
      </c>
      <c r="AA156">
        <f ca="1">IF(AND(ISNUMBER($AA$569),$B$427=1),$AA$569,HLOOKUP(INDIRECT(ADDRESS(2,COLUMN())),OFFSET($AM$2,0,0,ROW()-1,33),ROW()-1,FALSE))</f>
        <v>68256.441000000006</v>
      </c>
      <c r="AB156">
        <f ca="1">IF(AND(ISNUMBER($AB$569),$B$427=1),$AB$569,HLOOKUP(INDIRECT(ADDRESS(2,COLUMN())),OFFSET($AM$2,0,0,ROW()-1,33),ROW()-1,FALSE))</f>
        <v>59435</v>
      </c>
      <c r="AC156">
        <f ca="1">IF(AND(ISNUMBER($AC$569),$B$427=1),$AC$569,HLOOKUP(INDIRECT(ADDRESS(2,COLUMN())),OFFSET($AM$2,0,0,ROW()-1,33),ROW()-1,FALSE))</f>
        <v>50727</v>
      </c>
      <c r="AD156" t="str">
        <f ca="1">IF(AND(ISNUMBER($AD$569),$B$427=1),$AD$569,HLOOKUP(INDIRECT(ADDRESS(2,COLUMN())),OFFSET($AM$2,0,0,ROW()-1,33),ROW()-1,FALSE))</f>
        <v/>
      </c>
      <c r="AE156" t="str">
        <f ca="1">IF(AND(ISNUMBER($AE$569),$B$427=1),$AE$569,HLOOKUP(INDIRECT(ADDRESS(2,COLUMN())),OFFSET($AM$2,0,0,ROW()-1,33),ROW()-1,FALSE))</f>
        <v/>
      </c>
      <c r="AF156" t="str">
        <f ca="1">IF(AND(ISNUMBER($AF$569),$B$427=1),$AF$569,HLOOKUP(INDIRECT(ADDRESS(2,COLUMN())),OFFSET($AM$2,0,0,ROW()-1,33),ROW()-1,FALSE))</f>
        <v/>
      </c>
      <c r="AG156" t="str">
        <f ca="1">IF(AND(ISNUMBER($AG$569),$B$427=1),$AG$569,HLOOKUP(INDIRECT(ADDRESS(2,COLUMN())),OFFSET($AM$2,0,0,ROW()-1,33),ROW()-1,FALSE))</f>
        <v/>
      </c>
      <c r="AH156" t="str">
        <f ca="1">IF(AND(ISNUMBER($AH$569),$B$427=1),$AH$569,HLOOKUP(INDIRECT(ADDRESS(2,COLUMN())),OFFSET($AM$2,0,0,ROW()-1,33),ROW()-1,FALSE))</f>
        <v/>
      </c>
      <c r="AI156" t="str">
        <f ca="1">IF(AND(ISNUMBER($AI$569),$B$427=1),$AI$569,HLOOKUP(INDIRECT(ADDRESS(2,COLUMN())),OFFSET($AM$2,0,0,ROW()-1,33),ROW()-1,FALSE))</f>
        <v/>
      </c>
      <c r="AJ156" t="str">
        <f ca="1">IF(AND(ISNUMBER($AJ$569),$B$427=1),$AJ$569,HLOOKUP(INDIRECT(ADDRESS(2,COLUMN())),OFFSET($AM$2,0,0,ROW()-1,33),ROW()-1,FALSE))</f>
        <v/>
      </c>
      <c r="AK156" t="str">
        <f ca="1">IF(AND(ISNUMBER($AK$569),$B$427=1),$AK$569,HLOOKUP(INDIRECT(ADDRESS(2,COLUMN())),OFFSET($AM$2,0,0,ROW()-1,33),ROW()-1,FALSE))</f>
        <v/>
      </c>
      <c r="AL156" t="str">
        <f ca="1">IF(AND(ISNUMBER($AL$569),$B$427=1),$AL$569,HLOOKUP(INDIRECT(ADDRESS(2,COLUMN())),OFFSET($AM$2,0,0,ROW()-1,33),ROW()-1,FALSE))</f>
        <v/>
      </c>
      <c r="AM156">
        <f>196347</f>
        <v>196347</v>
      </c>
      <c r="AN156">
        <f>192047</f>
        <v>192047</v>
      </c>
      <c r="AO156">
        <f>185463</f>
        <v>185463</v>
      </c>
      <c r="AP156">
        <f>170250</f>
        <v>170250</v>
      </c>
      <c r="AQ156">
        <f>156120</f>
        <v>156120</v>
      </c>
      <c r="AR156">
        <f>175199</f>
        <v>175199</v>
      </c>
      <c r="AS156">
        <f>175785</f>
        <v>175785</v>
      </c>
      <c r="AT156">
        <f>177379</f>
        <v>177379</v>
      </c>
      <c r="AU156">
        <f>173943</f>
        <v>173943</v>
      </c>
      <c r="AV156">
        <f>177654</f>
        <v>177654</v>
      </c>
      <c r="AW156">
        <f>181496</f>
        <v>181496</v>
      </c>
      <c r="AX156">
        <f>183282</f>
        <v>183282</v>
      </c>
      <c r="AY156">
        <f>187055.648</f>
        <v>187055.64799999999</v>
      </c>
      <c r="AZ156">
        <f>203218.001</f>
        <v>203218.00099999999</v>
      </c>
      <c r="BA156">
        <f>238205.499</f>
        <v>238205.49900000001</v>
      </c>
      <c r="BB156">
        <f>175281.157</f>
        <v>175281.15700000001</v>
      </c>
      <c r="BC156">
        <f>171792.606</f>
        <v>171792.606</v>
      </c>
      <c r="BD156">
        <f>163817.256</f>
        <v>163817.25599999999</v>
      </c>
      <c r="BE156">
        <f>139868.991</f>
        <v>139868.99100000001</v>
      </c>
      <c r="BF156">
        <f>102924.828</f>
        <v>102924.82799999999</v>
      </c>
      <c r="BG156">
        <f>91181.926</f>
        <v>91181.926000000007</v>
      </c>
      <c r="BH156">
        <f>68256.441</f>
        <v>68256.441000000006</v>
      </c>
      <c r="BI156">
        <f>59435</f>
        <v>59435</v>
      </c>
      <c r="BJ156">
        <f>50727</f>
        <v>50727</v>
      </c>
      <c r="BK156" t="str">
        <f>""</f>
        <v/>
      </c>
      <c r="BL156" t="str">
        <f>""</f>
        <v/>
      </c>
      <c r="BM156" t="str">
        <f>""</f>
        <v/>
      </c>
      <c r="BN156" t="str">
        <f>""</f>
        <v/>
      </c>
      <c r="BO156" t="str">
        <f>""</f>
        <v/>
      </c>
      <c r="BP156" t="str">
        <f>""</f>
        <v/>
      </c>
      <c r="BQ156" t="str">
        <f>""</f>
        <v/>
      </c>
      <c r="BR156" t="str">
        <f>""</f>
        <v/>
      </c>
      <c r="BS156" t="str">
        <f>""</f>
        <v/>
      </c>
    </row>
    <row r="157" spans="1:71" x14ac:dyDescent="0.25">
      <c r="A157" t="str">
        <f>"        Citigroup Inc"</f>
        <v xml:space="preserve">        Citigroup Inc</v>
      </c>
      <c r="B157" t="str">
        <f>"C US Equity"</f>
        <v>C US Equity</v>
      </c>
      <c r="C157" t="str">
        <f t="shared" si="21"/>
        <v>F0091</v>
      </c>
      <c r="D157" t="str">
        <f t="shared" si="22"/>
        <v>FED_CONSUMER_LOANS_&amp;_LEASES_CONS</v>
      </c>
      <c r="E157" t="str">
        <f t="shared" si="23"/>
        <v>Dynamic</v>
      </c>
      <c r="F157">
        <f ca="1">IF(AND(ISNUMBER($F$570),$B$427=1),$F$570,HLOOKUP(INDIRECT(ADDRESS(2,COLUMN())),OFFSET($AM$2,0,0,ROW()-1,33),ROW()-1,FALSE))</f>
        <v>192090</v>
      </c>
      <c r="G157">
        <f ca="1">IF(AND(ISNUMBER($G$570),$B$427=1),$G$570,HLOOKUP(INDIRECT(ADDRESS(2,COLUMN())),OFFSET($AM$2,0,0,ROW()-1,33),ROW()-1,FALSE))</f>
        <v>187661</v>
      </c>
      <c r="H157">
        <f ca="1">IF(AND(ISNUMBER($H$570),$B$427=1),$H$570,HLOOKUP(INDIRECT(ADDRESS(2,COLUMN())),OFFSET($AM$2,0,0,ROW()-1,33),ROW()-1,FALSE))</f>
        <v>177382</v>
      </c>
      <c r="I157">
        <f ca="1">IF(AND(ISNUMBER($I$570),$B$427=1),$I$570,HLOOKUP(INDIRECT(ADDRESS(2,COLUMN())),OFFSET($AM$2,0,0,ROW()-1,33),ROW()-1,FALSE))</f>
        <v>172146</v>
      </c>
      <c r="J157">
        <f ca="1">IF(AND(ISNUMBER($J$570),$B$427=1),$J$570,HLOOKUP(INDIRECT(ADDRESS(2,COLUMN())),OFFSET($AM$2,0,0,ROW()-1,33),ROW()-1,FALSE))</f>
        <v>173176</v>
      </c>
      <c r="K157">
        <f ca="1">IF(AND(ISNUMBER($K$570),$B$427=1),$K$570,HLOOKUP(INDIRECT(ADDRESS(2,COLUMN())),OFFSET($AM$2,0,0,ROW()-1,33),ROW()-1,FALSE))</f>
        <v>200542</v>
      </c>
      <c r="L157">
        <f ca="1">IF(AND(ISNUMBER($L$570),$B$427=1),$L$570,HLOOKUP(INDIRECT(ADDRESS(2,COLUMN())),OFFSET($AM$2,0,0,ROW()-1,33),ROW()-1,FALSE))</f>
        <v>191199</v>
      </c>
      <c r="M157">
        <f ca="1">IF(AND(ISNUMBER($M$570),$B$427=1),$M$570,HLOOKUP(INDIRECT(ADDRESS(2,COLUMN())),OFFSET($AM$2,0,0,ROW()-1,33),ROW()-1,FALSE))</f>
        <v>189575</v>
      </c>
      <c r="N157">
        <f ca="1">IF(AND(ISNUMBER($N$570),$B$427=1),$N$570,HLOOKUP(INDIRECT(ADDRESS(2,COLUMN())),OFFSET($AM$2,0,0,ROW()-1,33),ROW()-1,FALSE))</f>
        <v>179420</v>
      </c>
      <c r="O157">
        <f ca="1">IF(AND(ISNUMBER($O$570),$B$427=1),$O$570,HLOOKUP(INDIRECT(ADDRESS(2,COLUMN())),OFFSET($AM$2,0,0,ROW()-1,33),ROW()-1,FALSE))</f>
        <v>166874</v>
      </c>
      <c r="P157">
        <f ca="1">IF(AND(ISNUMBER($P$570),$B$427=1),$P$570,HLOOKUP(INDIRECT(ADDRESS(2,COLUMN())),OFFSET($AM$2,0,0,ROW()-1,33),ROW()-1,FALSE))</f>
        <v>181395</v>
      </c>
      <c r="Q157">
        <f ca="1">IF(AND(ISNUMBER($Q$570),$B$427=1),$Q$570,HLOOKUP(INDIRECT(ADDRESS(2,COLUMN())),OFFSET($AM$2,0,0,ROW()-1,33),ROW()-1,FALSE))</f>
        <v>192047</v>
      </c>
      <c r="R157">
        <f ca="1">IF(AND(ISNUMBER($R$570),$B$427=1),$R$570,HLOOKUP(INDIRECT(ADDRESS(2,COLUMN())),OFFSET($AM$2,0,0,ROW()-1,33),ROW()-1,FALSE))</f>
        <v>195578</v>
      </c>
      <c r="S157">
        <f ca="1">IF(AND(ISNUMBER($S$570),$B$427=1),$S$570,HLOOKUP(INDIRECT(ADDRESS(2,COLUMN())),OFFSET($AM$2,0,0,ROW()-1,33),ROW()-1,FALSE))</f>
        <v>202924</v>
      </c>
      <c r="T157">
        <f ca="1">IF(AND(ISNUMBER($T$570),$B$427=1),$T$570,HLOOKUP(INDIRECT(ADDRESS(2,COLUMN())),OFFSET($AM$2,0,0,ROW()-1,33),ROW()-1,FALSE))</f>
        <v>227248</v>
      </c>
      <c r="U157">
        <f ca="1">IF(AND(ISNUMBER($U$570),$B$427=1),$U$570,HLOOKUP(INDIRECT(ADDRESS(2,COLUMN())),OFFSET($AM$2,0,0,ROW()-1,33),ROW()-1,FALSE))</f>
        <v>169691</v>
      </c>
      <c r="V157">
        <f ca="1">IF(AND(ISNUMBER($V$570),$B$427=1),$V$570,HLOOKUP(INDIRECT(ADDRESS(2,COLUMN())),OFFSET($AM$2,0,0,ROW()-1,33),ROW()-1,FALSE))</f>
        <v>198473</v>
      </c>
      <c r="W157">
        <f ca="1">IF(AND(ISNUMBER($W$570),$B$427=1),$W$570,HLOOKUP(INDIRECT(ADDRESS(2,COLUMN())),OFFSET($AM$2,0,0,ROW()-1,33),ROW()-1,FALSE))</f>
        <v>225839</v>
      </c>
      <c r="X157">
        <f ca="1">IF(AND(ISNUMBER($X$570),$B$427=1),$X$570,HLOOKUP(INDIRECT(ADDRESS(2,COLUMN())),OFFSET($AM$2,0,0,ROW()-1,33),ROW()-1,FALSE))</f>
        <v>186625</v>
      </c>
      <c r="Y157">
        <f ca="1">IF(AND(ISNUMBER($Y$570),$B$427=1),$Y$570,HLOOKUP(INDIRECT(ADDRESS(2,COLUMN())),OFFSET($AM$2,0,0,ROW()-1,33),ROW()-1,FALSE))</f>
        <v>173718</v>
      </c>
      <c r="Z157">
        <f ca="1">IF(AND(ISNUMBER($Z$570),$B$427=1),$Z$570,HLOOKUP(INDIRECT(ADDRESS(2,COLUMN())),OFFSET($AM$2,0,0,ROW()-1,33),ROW()-1,FALSE))</f>
        <v>186077</v>
      </c>
      <c r="AA157">
        <f ca="1">IF(AND(ISNUMBER($AA$570),$B$427=1),$AA$570,HLOOKUP(INDIRECT(ADDRESS(2,COLUMN())),OFFSET($AM$2,0,0,ROW()-1,33),ROW()-1,FALSE))</f>
        <v>178398</v>
      </c>
      <c r="AB157">
        <f ca="1">IF(AND(ISNUMBER($AB$570),$B$427=1),$AB$570,HLOOKUP(INDIRECT(ADDRESS(2,COLUMN())),OFFSET($AM$2,0,0,ROW()-1,33),ROW()-1,FALSE))</f>
        <v>147329</v>
      </c>
      <c r="AC157">
        <f ca="1">IF(AND(ISNUMBER($AC$570),$B$427=1),$AC$570,HLOOKUP(INDIRECT(ADDRESS(2,COLUMN())),OFFSET($AM$2,0,0,ROW()-1,33),ROW()-1,FALSE))</f>
        <v>127731</v>
      </c>
      <c r="AD157">
        <f ca="1">IF(AND(ISNUMBER($AD$570),$B$427=1),$AD$570,HLOOKUP(INDIRECT(ADDRESS(2,COLUMN())),OFFSET($AM$2,0,0,ROW()-1,33),ROW()-1,FALSE))</f>
        <v>100480.78200000001</v>
      </c>
      <c r="AE157">
        <f ca="1">IF(AND(ISNUMBER($AE$570),$B$427=1),$AE$570,HLOOKUP(INDIRECT(ADDRESS(2,COLUMN())),OFFSET($AM$2,0,0,ROW()-1,33),ROW()-1,FALSE))</f>
        <v>75604.313999999998</v>
      </c>
      <c r="AF157">
        <f ca="1">IF(AND(ISNUMBER($AF$570),$B$427=1),$AF$570,HLOOKUP(INDIRECT(ADDRESS(2,COLUMN())),OFFSET($AM$2,0,0,ROW()-1,33),ROW()-1,FALSE))</f>
        <v>72834.535000000003</v>
      </c>
      <c r="AG157" t="str">
        <f ca="1">IF(AND(ISNUMBER($AG$570),$B$427=1),$AG$570,HLOOKUP(INDIRECT(ADDRESS(2,COLUMN())),OFFSET($AM$2,0,0,ROW()-1,33),ROW()-1,FALSE))</f>
        <v/>
      </c>
      <c r="AH157" t="str">
        <f ca="1">IF(AND(ISNUMBER($AH$570),$B$427=1),$AH$570,HLOOKUP(INDIRECT(ADDRESS(2,COLUMN())),OFFSET($AM$2,0,0,ROW()-1,33),ROW()-1,FALSE))</f>
        <v/>
      </c>
      <c r="AI157" t="str">
        <f ca="1">IF(AND(ISNUMBER($AI$570),$B$427=1),$AI$570,HLOOKUP(INDIRECT(ADDRESS(2,COLUMN())),OFFSET($AM$2,0,0,ROW()-1,33),ROW()-1,FALSE))</f>
        <v/>
      </c>
      <c r="AJ157" t="str">
        <f ca="1">IF(AND(ISNUMBER($AJ$570),$B$427=1),$AJ$570,HLOOKUP(INDIRECT(ADDRESS(2,COLUMN())),OFFSET($AM$2,0,0,ROW()-1,33),ROW()-1,FALSE))</f>
        <v/>
      </c>
      <c r="AK157" t="str">
        <f ca="1">IF(AND(ISNUMBER($AK$570),$B$427=1),$AK$570,HLOOKUP(INDIRECT(ADDRESS(2,COLUMN())),OFFSET($AM$2,0,0,ROW()-1,33),ROW()-1,FALSE))</f>
        <v/>
      </c>
      <c r="AL157" t="str">
        <f ca="1">IF(AND(ISNUMBER($AL$570),$B$427=1),$AL$570,HLOOKUP(INDIRECT(ADDRESS(2,COLUMN())),OFFSET($AM$2,0,0,ROW()-1,33),ROW()-1,FALSE))</f>
        <v/>
      </c>
      <c r="AM157">
        <f>192090</f>
        <v>192090</v>
      </c>
      <c r="AN157">
        <f>187661</f>
        <v>187661</v>
      </c>
      <c r="AO157">
        <f>177382</f>
        <v>177382</v>
      </c>
      <c r="AP157">
        <f>172146</f>
        <v>172146</v>
      </c>
      <c r="AQ157">
        <f>173176</f>
        <v>173176</v>
      </c>
      <c r="AR157">
        <f>200542</f>
        <v>200542</v>
      </c>
      <c r="AS157">
        <f>191199</f>
        <v>191199</v>
      </c>
      <c r="AT157">
        <f>189575</f>
        <v>189575</v>
      </c>
      <c r="AU157">
        <f>179420</f>
        <v>179420</v>
      </c>
      <c r="AV157">
        <f>166874</f>
        <v>166874</v>
      </c>
      <c r="AW157">
        <f>181395</f>
        <v>181395</v>
      </c>
      <c r="AX157">
        <f>192047</f>
        <v>192047</v>
      </c>
      <c r="AY157">
        <f>195578</f>
        <v>195578</v>
      </c>
      <c r="AZ157">
        <f>202924</f>
        <v>202924</v>
      </c>
      <c r="BA157">
        <f>227248</f>
        <v>227248</v>
      </c>
      <c r="BB157">
        <f>169691</f>
        <v>169691</v>
      </c>
      <c r="BC157">
        <f>198473</f>
        <v>198473</v>
      </c>
      <c r="BD157">
        <f>225839</f>
        <v>225839</v>
      </c>
      <c r="BE157">
        <f>186625</f>
        <v>186625</v>
      </c>
      <c r="BF157">
        <f>173718</f>
        <v>173718</v>
      </c>
      <c r="BG157">
        <f>186077</f>
        <v>186077</v>
      </c>
      <c r="BH157">
        <f>178398</f>
        <v>178398</v>
      </c>
      <c r="BI157">
        <f>147329</f>
        <v>147329</v>
      </c>
      <c r="BJ157">
        <f>127731</f>
        <v>127731</v>
      </c>
      <c r="BK157">
        <f>100480.782</f>
        <v>100480.78200000001</v>
      </c>
      <c r="BL157">
        <f>75604.314</f>
        <v>75604.313999999998</v>
      </c>
      <c r="BM157">
        <f>72834.535</f>
        <v>72834.535000000003</v>
      </c>
      <c r="BN157" t="str">
        <f>""</f>
        <v/>
      </c>
      <c r="BO157" t="str">
        <f>""</f>
        <v/>
      </c>
      <c r="BP157" t="str">
        <f>""</f>
        <v/>
      </c>
      <c r="BQ157" t="str">
        <f>""</f>
        <v/>
      </c>
      <c r="BR157" t="str">
        <f>""</f>
        <v/>
      </c>
      <c r="BS157" t="str">
        <f>""</f>
        <v/>
      </c>
    </row>
    <row r="158" spans="1:71" x14ac:dyDescent="0.25">
      <c r="A158" t="str">
        <f>"        Citizens Financial Group Inc"</f>
        <v xml:space="preserve">        Citizens Financial Group Inc</v>
      </c>
      <c r="B158" t="str">
        <f>"CFG US Equity"</f>
        <v>CFG US Equity</v>
      </c>
      <c r="C158" t="str">
        <f t="shared" si="21"/>
        <v>F0091</v>
      </c>
      <c r="D158" t="str">
        <f t="shared" si="22"/>
        <v>FED_CONSUMER_LOANS_&amp;_LEASES_CONS</v>
      </c>
      <c r="E158" t="str">
        <f t="shared" si="23"/>
        <v>Dynamic</v>
      </c>
      <c r="F158">
        <f ca="1">IF(AND(ISNUMBER($F$571),$B$427=1),$F$571,HLOOKUP(INDIRECT(ADDRESS(2,COLUMN())),OFFSET($AM$2,0,0,ROW()-1,33),ROW()-1,FALSE))</f>
        <v>19643.289000000001</v>
      </c>
      <c r="G158">
        <f ca="1">IF(AND(ISNUMBER($G$571),$B$427=1),$G$571,HLOOKUP(INDIRECT(ADDRESS(2,COLUMN())),OFFSET($AM$2,0,0,ROW()-1,33),ROW()-1,FALSE))</f>
        <v>24180.834999999999</v>
      </c>
      <c r="H158">
        <f ca="1">IF(AND(ISNUMBER($H$571),$B$427=1),$H$571,HLOOKUP(INDIRECT(ADDRESS(2,COLUMN())),OFFSET($AM$2,0,0,ROW()-1,33),ROW()-1,FALSE))</f>
        <v>29205.897000000001</v>
      </c>
      <c r="I158">
        <f ca="1">IF(AND(ISNUMBER($I$571),$B$427=1),$I$571,HLOOKUP(INDIRECT(ADDRESS(2,COLUMN())),OFFSET($AM$2,0,0,ROW()-1,33),ROW()-1,FALSE))</f>
        <v>31590.168000000001</v>
      </c>
      <c r="J158">
        <f ca="1">IF(AND(ISNUMBER($J$571),$B$427=1),$J$571,HLOOKUP(INDIRECT(ADDRESS(2,COLUMN())),OFFSET($AM$2,0,0,ROW()-1,33),ROW()-1,FALSE))</f>
        <v>29061.32</v>
      </c>
      <c r="K158">
        <f ca="1">IF(AND(ISNUMBER($K$571),$B$427=1),$K$571,HLOOKUP(INDIRECT(ADDRESS(2,COLUMN())),OFFSET($AM$2,0,0,ROW()-1,33),ROW()-1,FALSE))</f>
        <v>27541.728999999999</v>
      </c>
      <c r="L158">
        <f ca="1">IF(AND(ISNUMBER($L$571),$B$427=1),$L$571,HLOOKUP(INDIRECT(ADDRESS(2,COLUMN())),OFFSET($AM$2,0,0,ROW()-1,33),ROW()-1,FALSE))</f>
        <v>24974.058000000001</v>
      </c>
      <c r="M158">
        <f ca="1">IF(AND(ISNUMBER($M$571),$B$427=1),$M$571,HLOOKUP(INDIRECT(ADDRESS(2,COLUMN())),OFFSET($AM$2,0,0,ROW()-1,33),ROW()-1,FALSE))</f>
        <v>24504.257000000001</v>
      </c>
      <c r="N158">
        <f ca="1">IF(AND(ISNUMBER($N$571),$B$427=1),$N$571,HLOOKUP(INDIRECT(ADDRESS(2,COLUMN())),OFFSET($AM$2,0,0,ROW()-1,33),ROW()-1,FALSE))</f>
        <v>22753.502</v>
      </c>
      <c r="O158">
        <f ca="1">IF(AND(ISNUMBER($O$571),$B$427=1),$O$571,HLOOKUP(INDIRECT(ADDRESS(2,COLUMN())),OFFSET($AM$2,0,0,ROW()-1,33),ROW()-1,FALSE))</f>
        <v>19948.776000000002</v>
      </c>
      <c r="P158">
        <f ca="1">IF(AND(ISNUMBER($P$571),$B$427=1),$P$571,HLOOKUP(INDIRECT(ADDRESS(2,COLUMN())),OFFSET($AM$2,0,0,ROW()-1,33),ROW()-1,FALSE))</f>
        <v>17542.13</v>
      </c>
      <c r="Q158">
        <f ca="1">IF(AND(ISNUMBER($Q$571),$B$427=1),$Q$571,HLOOKUP(INDIRECT(ADDRESS(2,COLUMN())),OFFSET($AM$2,0,0,ROW()-1,33),ROW()-1,FALSE))</f>
        <v>14503.466</v>
      </c>
      <c r="R158">
        <f ca="1">IF(AND(ISNUMBER($R$571),$B$427=1),$R$571,HLOOKUP(INDIRECT(ADDRESS(2,COLUMN())),OFFSET($AM$2,0,0,ROW()-1,33),ROW()-1,FALSE))</f>
        <v>14334.983</v>
      </c>
      <c r="S158">
        <f ca="1">IF(AND(ISNUMBER($S$571),$B$427=1),$S$571,HLOOKUP(INDIRECT(ADDRESS(2,COLUMN())),OFFSET($AM$2,0,0,ROW()-1,33),ROW()-1,FALSE))</f>
        <v>13364.541999999999</v>
      </c>
      <c r="T158">
        <f ca="1">IF(AND(ISNUMBER($T$571),$B$427=1),$T$571,HLOOKUP(INDIRECT(ADDRESS(2,COLUMN())),OFFSET($AM$2,0,0,ROW()-1,33),ROW()-1,FALSE))</f>
        <v>14974.453</v>
      </c>
      <c r="U158">
        <f ca="1">IF(AND(ISNUMBER($U$571),$B$427=1),$U$571,HLOOKUP(INDIRECT(ADDRESS(2,COLUMN())),OFFSET($AM$2,0,0,ROW()-1,33),ROW()-1,FALSE))</f>
        <v>18065.933000000001</v>
      </c>
      <c r="V158">
        <f ca="1">IF(AND(ISNUMBER($V$571),$B$427=1),$V$571,HLOOKUP(INDIRECT(ADDRESS(2,COLUMN())),OFFSET($AM$2,0,0,ROW()-1,33),ROW()-1,FALSE))</f>
        <v>21260.628000000001</v>
      </c>
      <c r="W158">
        <f ca="1">IF(AND(ISNUMBER($W$571),$B$427=1),$W$571,HLOOKUP(INDIRECT(ADDRESS(2,COLUMN())),OFFSET($AM$2,0,0,ROW()-1,33),ROW()-1,FALSE))</f>
        <v>22083.164000000001</v>
      </c>
      <c r="X158">
        <f ca="1">IF(AND(ISNUMBER($X$571),$B$427=1),$X$571,HLOOKUP(INDIRECT(ADDRESS(2,COLUMN())),OFFSET($AM$2,0,0,ROW()-1,33),ROW()-1,FALSE))</f>
        <v>23039.444</v>
      </c>
      <c r="Y158">
        <f ca="1">IF(AND(ISNUMBER($Y$571),$B$427=1),$Y$571,HLOOKUP(INDIRECT(ADDRESS(2,COLUMN())),OFFSET($AM$2,0,0,ROW()-1,33),ROW()-1,FALSE))</f>
        <v>24900.952000000001</v>
      </c>
      <c r="Z158">
        <f ca="1">IF(AND(ISNUMBER($Z$571),$B$427=1),$Z$571,HLOOKUP(INDIRECT(ADDRESS(2,COLUMN())),OFFSET($AM$2,0,0,ROW()-1,33),ROW()-1,FALSE))</f>
        <v>21500.097000000002</v>
      </c>
      <c r="AA158">
        <f ca="1">IF(AND(ISNUMBER($AA$571),$B$427=1),$AA$571,HLOOKUP(INDIRECT(ADDRESS(2,COLUMN())),OFFSET($AM$2,0,0,ROW()-1,33),ROW()-1,FALSE))</f>
        <v>10841.427</v>
      </c>
      <c r="AB158">
        <f ca="1">IF(AND(ISNUMBER($AB$571),$B$427=1),$AB$571,HLOOKUP(INDIRECT(ADDRESS(2,COLUMN())),OFFSET($AM$2,0,0,ROW()-1,33),ROW()-1,FALSE))</f>
        <v>8430.2209999999995</v>
      </c>
      <c r="AC158">
        <f ca="1">IF(AND(ISNUMBER($AC$571),$B$427=1),$AC$571,HLOOKUP(INDIRECT(ADDRESS(2,COLUMN())),OFFSET($AM$2,0,0,ROW()-1,33),ROW()-1,FALSE))</f>
        <v>6519.0029999999997</v>
      </c>
      <c r="AD158" t="str">
        <f ca="1">IF(AND(ISNUMBER($AD$571),$B$427=1),$AD$571,HLOOKUP(INDIRECT(ADDRESS(2,COLUMN())),OFFSET($AM$2,0,0,ROW()-1,33),ROW()-1,FALSE))</f>
        <v/>
      </c>
      <c r="AE158" t="str">
        <f ca="1">IF(AND(ISNUMBER($AE$571),$B$427=1),$AE$571,HLOOKUP(INDIRECT(ADDRESS(2,COLUMN())),OFFSET($AM$2,0,0,ROW()-1,33),ROW()-1,FALSE))</f>
        <v/>
      </c>
      <c r="AF158" t="str">
        <f ca="1">IF(AND(ISNUMBER($AF$571),$B$427=1),$AF$571,HLOOKUP(INDIRECT(ADDRESS(2,COLUMN())),OFFSET($AM$2,0,0,ROW()-1,33),ROW()-1,FALSE))</f>
        <v/>
      </c>
      <c r="AG158" t="str">
        <f ca="1">IF(AND(ISNUMBER($AG$571),$B$427=1),$AG$571,HLOOKUP(INDIRECT(ADDRESS(2,COLUMN())),OFFSET($AM$2,0,0,ROW()-1,33),ROW()-1,FALSE))</f>
        <v/>
      </c>
      <c r="AH158" t="str">
        <f ca="1">IF(AND(ISNUMBER($AH$571),$B$427=1),$AH$571,HLOOKUP(INDIRECT(ADDRESS(2,COLUMN())),OFFSET($AM$2,0,0,ROW()-1,33),ROW()-1,FALSE))</f>
        <v/>
      </c>
      <c r="AI158" t="str">
        <f ca="1">IF(AND(ISNUMBER($AI$571),$B$427=1),$AI$571,HLOOKUP(INDIRECT(ADDRESS(2,COLUMN())),OFFSET($AM$2,0,0,ROW()-1,33),ROW()-1,FALSE))</f>
        <v/>
      </c>
      <c r="AJ158" t="str">
        <f ca="1">IF(AND(ISNUMBER($AJ$571),$B$427=1),$AJ$571,HLOOKUP(INDIRECT(ADDRESS(2,COLUMN())),OFFSET($AM$2,0,0,ROW()-1,33),ROW()-1,FALSE))</f>
        <v/>
      </c>
      <c r="AK158" t="str">
        <f ca="1">IF(AND(ISNUMBER($AK$571),$B$427=1),$AK$571,HLOOKUP(INDIRECT(ADDRESS(2,COLUMN())),OFFSET($AM$2,0,0,ROW()-1,33),ROW()-1,FALSE))</f>
        <v/>
      </c>
      <c r="AL158" t="str">
        <f ca="1">IF(AND(ISNUMBER($AL$571),$B$427=1),$AL$571,HLOOKUP(INDIRECT(ADDRESS(2,COLUMN())),OFFSET($AM$2,0,0,ROW()-1,33),ROW()-1,FALSE))</f>
        <v/>
      </c>
      <c r="AM158">
        <f>19643.289</f>
        <v>19643.289000000001</v>
      </c>
      <c r="AN158">
        <f>24180.835</f>
        <v>24180.834999999999</v>
      </c>
      <c r="AO158">
        <f>29205.897</f>
        <v>29205.897000000001</v>
      </c>
      <c r="AP158">
        <f>31590.168</f>
        <v>31590.168000000001</v>
      </c>
      <c r="AQ158">
        <f>29061.32</f>
        <v>29061.32</v>
      </c>
      <c r="AR158">
        <f>27541.729</f>
        <v>27541.728999999999</v>
      </c>
      <c r="AS158">
        <f>24974.058</f>
        <v>24974.058000000001</v>
      </c>
      <c r="AT158">
        <f>24504.257</f>
        <v>24504.257000000001</v>
      </c>
      <c r="AU158">
        <f>22753.502</f>
        <v>22753.502</v>
      </c>
      <c r="AV158">
        <f>19948.776</f>
        <v>19948.776000000002</v>
      </c>
      <c r="AW158">
        <f>17542.13</f>
        <v>17542.13</v>
      </c>
      <c r="AX158">
        <f>14503.466</f>
        <v>14503.466</v>
      </c>
      <c r="AY158">
        <f>14334.983</f>
        <v>14334.983</v>
      </c>
      <c r="AZ158">
        <f>13364.542</f>
        <v>13364.541999999999</v>
      </c>
      <c r="BA158">
        <f>14974.453</f>
        <v>14974.453</v>
      </c>
      <c r="BB158">
        <f>18065.933</f>
        <v>18065.933000000001</v>
      </c>
      <c r="BC158">
        <f>21260.628</f>
        <v>21260.628000000001</v>
      </c>
      <c r="BD158">
        <f>22083.164</f>
        <v>22083.164000000001</v>
      </c>
      <c r="BE158">
        <f>23039.444</f>
        <v>23039.444</v>
      </c>
      <c r="BF158">
        <f>24900.952</f>
        <v>24900.952000000001</v>
      </c>
      <c r="BG158">
        <f>21500.097</f>
        <v>21500.097000000002</v>
      </c>
      <c r="BH158">
        <f>10841.427</f>
        <v>10841.427</v>
      </c>
      <c r="BI158">
        <f>8430.221</f>
        <v>8430.2209999999995</v>
      </c>
      <c r="BJ158">
        <f>6519.003</f>
        <v>6519.0029999999997</v>
      </c>
      <c r="BK158" t="str">
        <f>""</f>
        <v/>
      </c>
      <c r="BL158" t="str">
        <f>""</f>
        <v/>
      </c>
      <c r="BM158" t="str">
        <f>""</f>
        <v/>
      </c>
      <c r="BN158" t="str">
        <f>""</f>
        <v/>
      </c>
      <c r="BO158" t="str">
        <f>""</f>
        <v/>
      </c>
      <c r="BP158" t="str">
        <f>""</f>
        <v/>
      </c>
      <c r="BQ158" t="str">
        <f>""</f>
        <v/>
      </c>
      <c r="BR158" t="str">
        <f>""</f>
        <v/>
      </c>
      <c r="BS158" t="str">
        <f>""</f>
        <v/>
      </c>
    </row>
    <row r="159" spans="1:71" x14ac:dyDescent="0.25">
      <c r="A159" t="str">
        <f>"        Capital One Financial Corp"</f>
        <v xml:space="preserve">        Capital One Financial Corp</v>
      </c>
      <c r="B159" t="str">
        <f>"COF US Equity"</f>
        <v>COF US Equity</v>
      </c>
      <c r="C159" t="str">
        <f t="shared" si="21"/>
        <v>F0091</v>
      </c>
      <c r="D159" t="str">
        <f t="shared" si="22"/>
        <v>FED_CONSUMER_LOANS_&amp;_LEASES_CONS</v>
      </c>
      <c r="E159" t="str">
        <f t="shared" si="23"/>
        <v>Dynamic</v>
      </c>
      <c r="F159">
        <f ca="1">IF(AND(ISNUMBER($F$572),$B$427=1),$F$572,HLOOKUP(INDIRECT(ADDRESS(2,COLUMN())),OFFSET($AM$2,0,0,ROW()-1,33),ROW()-1,FALSE))</f>
        <v>226221.94399999999</v>
      </c>
      <c r="G159">
        <f ca="1">IF(AND(ISNUMBER($G$572),$B$427=1),$G$572,HLOOKUP(INDIRECT(ADDRESS(2,COLUMN())),OFFSET($AM$2,0,0,ROW()-1,33),ROW()-1,FALSE))</f>
        <v>216460.851</v>
      </c>
      <c r="H159">
        <f ca="1">IF(AND(ISNUMBER($H$572),$B$427=1),$H$572,HLOOKUP(INDIRECT(ADDRESS(2,COLUMN())),OFFSET($AM$2,0,0,ROW()-1,33),ROW()-1,FALSE))</f>
        <v>204745.166</v>
      </c>
      <c r="I159">
        <f ca="1">IF(AND(ISNUMBER($I$572),$B$427=1),$I$572,HLOOKUP(INDIRECT(ADDRESS(2,COLUMN())),OFFSET($AM$2,0,0,ROW()-1,33),ROW()-1,FALSE))</f>
        <v>186091.73300000001</v>
      </c>
      <c r="J159">
        <f ca="1">IF(AND(ISNUMBER($J$572),$B$427=1),$J$572,HLOOKUP(INDIRECT(ADDRESS(2,COLUMN())),OFFSET($AM$2,0,0,ROW()-1,33),ROW()-1,FALSE))</f>
        <v>166963.49900000001</v>
      </c>
      <c r="K159">
        <f ca="1">IF(AND(ISNUMBER($K$572),$B$427=1),$K$572,HLOOKUP(INDIRECT(ADDRESS(2,COLUMN())),OFFSET($AM$2,0,0,ROW()-1,33),ROW()-1,FALSE))</f>
        <v>179655.829</v>
      </c>
      <c r="L159">
        <f ca="1">IF(AND(ISNUMBER($L$572),$B$427=1),$L$572,HLOOKUP(INDIRECT(ADDRESS(2,COLUMN())),OFFSET($AM$2,0,0,ROW()-1,33),ROW()-1,FALSE))</f>
        <v>164397.24799999999</v>
      </c>
      <c r="M159">
        <f ca="1">IF(AND(ISNUMBER($M$572),$B$427=1),$M$572,HLOOKUP(INDIRECT(ADDRESS(2,COLUMN())),OFFSET($AM$2,0,0,ROW()-1,33),ROW()-1,FALSE))</f>
        <v>161181.93400000001</v>
      </c>
      <c r="N159">
        <f ca="1">IF(AND(ISNUMBER($N$572),$B$427=1),$N$572,HLOOKUP(INDIRECT(ADDRESS(2,COLUMN())),OFFSET($AM$2,0,0,ROW()-1,33),ROW()-1,FALSE))</f>
        <v>146547.052</v>
      </c>
      <c r="O159">
        <f ca="1">IF(AND(ISNUMBER($O$572),$B$427=1),$O$572,HLOOKUP(INDIRECT(ADDRESS(2,COLUMN())),OFFSET($AM$2,0,0,ROW()-1,33),ROW()-1,FALSE))</f>
        <v>132135.774</v>
      </c>
      <c r="P159">
        <f ca="1">IF(AND(ISNUMBER($P$572),$B$427=1),$P$572,HLOOKUP(INDIRECT(ADDRESS(2,COLUMN())),OFFSET($AM$2,0,0,ROW()-1,33),ROW()-1,FALSE))</f>
        <v>119205.549</v>
      </c>
      <c r="Q159">
        <f ca="1">IF(AND(ISNUMBER($Q$572),$B$427=1),$Q$572,HLOOKUP(INDIRECT(ADDRESS(2,COLUMN())),OFFSET($AM$2,0,0,ROW()-1,33),ROW()-1,FALSE))</f>
        <v>108980.15399999999</v>
      </c>
      <c r="R159">
        <f ca="1">IF(AND(ISNUMBER($R$572),$B$427=1),$R$572,HLOOKUP(INDIRECT(ADDRESS(2,COLUMN())),OFFSET($AM$2,0,0,ROW()-1,33),ROW()-1,FALSE))</f>
        <v>114694.94899999999</v>
      </c>
      <c r="S159">
        <f ca="1">IF(AND(ISNUMBER($S$572),$B$427=1),$S$572,HLOOKUP(INDIRECT(ADDRESS(2,COLUMN())),OFFSET($AM$2,0,0,ROW()-1,33),ROW()-1,FALSE))</f>
        <v>82519.856</v>
      </c>
      <c r="T159">
        <f ca="1">IF(AND(ISNUMBER($T$572),$B$427=1),$T$572,HLOOKUP(INDIRECT(ADDRESS(2,COLUMN())),OFFSET($AM$2,0,0,ROW()-1,33),ROW()-1,FALSE))</f>
        <v>74359.021999999997</v>
      </c>
      <c r="U159">
        <f ca="1">IF(AND(ISNUMBER($U$572),$B$427=1),$U$572,HLOOKUP(INDIRECT(ADDRESS(2,COLUMN())),OFFSET($AM$2,0,0,ROW()-1,33),ROW()-1,FALSE))</f>
        <v>39289.472000000002</v>
      </c>
      <c r="V159">
        <f ca="1">IF(AND(ISNUMBER($V$572),$B$427=1),$V$572,HLOOKUP(INDIRECT(ADDRESS(2,COLUMN())),OFFSET($AM$2,0,0,ROW()-1,33),ROW()-1,FALSE))</f>
        <v>52181.635000000002</v>
      </c>
      <c r="W159">
        <f ca="1">IF(AND(ISNUMBER($W$572),$B$427=1),$W$572,HLOOKUP(INDIRECT(ADDRESS(2,COLUMN())),OFFSET($AM$2,0,0,ROW()-1,33),ROW()-1,FALSE))</f>
        <v>51639.686999999998</v>
      </c>
      <c r="X159">
        <f ca="1">IF(AND(ISNUMBER($X$572),$B$427=1),$X$572,HLOOKUP(INDIRECT(ADDRESS(2,COLUMN())),OFFSET($AM$2,0,0,ROW()-1,33),ROW()-1,FALSE))</f>
        <v>52165.614999999998</v>
      </c>
      <c r="Y159">
        <f ca="1">IF(AND(ISNUMBER($Y$572),$B$427=1),$Y$572,HLOOKUP(INDIRECT(ADDRESS(2,COLUMN())),OFFSET($AM$2,0,0,ROW()-1,33),ROW()-1,FALSE))</f>
        <v>44078.811000000002</v>
      </c>
      <c r="Z159">
        <f ca="1">IF(AND(ISNUMBER($Z$572),$B$427=1),$Z$572,HLOOKUP(INDIRECT(ADDRESS(2,COLUMN())),OFFSET($AM$2,0,0,ROW()-1,33),ROW()-1,FALSE))</f>
        <v>35522.764000000003</v>
      </c>
      <c r="AA159" t="str">
        <f ca="1">IF(AND(ISNUMBER($AA$572),$B$427=1),$AA$572,HLOOKUP(INDIRECT(ADDRESS(2,COLUMN())),OFFSET($AM$2,0,0,ROW()-1,33),ROW()-1,FALSE))</f>
        <v/>
      </c>
      <c r="AB159" t="str">
        <f ca="1">IF(AND(ISNUMBER($AB$572),$B$427=1),$AB$572,HLOOKUP(INDIRECT(ADDRESS(2,COLUMN())),OFFSET($AM$2,0,0,ROW()-1,33),ROW()-1,FALSE))</f>
        <v/>
      </c>
      <c r="AC159" t="str">
        <f ca="1">IF(AND(ISNUMBER($AC$572),$B$427=1),$AC$572,HLOOKUP(INDIRECT(ADDRESS(2,COLUMN())),OFFSET($AM$2,0,0,ROW()-1,33),ROW()-1,FALSE))</f>
        <v/>
      </c>
      <c r="AD159" t="str">
        <f ca="1">IF(AND(ISNUMBER($AD$572),$B$427=1),$AD$572,HLOOKUP(INDIRECT(ADDRESS(2,COLUMN())),OFFSET($AM$2,0,0,ROW()-1,33),ROW()-1,FALSE))</f>
        <v/>
      </c>
      <c r="AE159" t="str">
        <f ca="1">IF(AND(ISNUMBER($AE$572),$B$427=1),$AE$572,HLOOKUP(INDIRECT(ADDRESS(2,COLUMN())),OFFSET($AM$2,0,0,ROW()-1,33),ROW()-1,FALSE))</f>
        <v/>
      </c>
      <c r="AF159" t="str">
        <f ca="1">IF(AND(ISNUMBER($AF$572),$B$427=1),$AF$572,HLOOKUP(INDIRECT(ADDRESS(2,COLUMN())),OFFSET($AM$2,0,0,ROW()-1,33),ROW()-1,FALSE))</f>
        <v/>
      </c>
      <c r="AG159" t="str">
        <f ca="1">IF(AND(ISNUMBER($AG$572),$B$427=1),$AG$572,HLOOKUP(INDIRECT(ADDRESS(2,COLUMN())),OFFSET($AM$2,0,0,ROW()-1,33),ROW()-1,FALSE))</f>
        <v/>
      </c>
      <c r="AH159" t="str">
        <f ca="1">IF(AND(ISNUMBER($AH$572),$B$427=1),$AH$572,HLOOKUP(INDIRECT(ADDRESS(2,COLUMN())),OFFSET($AM$2,0,0,ROW()-1,33),ROW()-1,FALSE))</f>
        <v/>
      </c>
      <c r="AI159" t="str">
        <f ca="1">IF(AND(ISNUMBER($AI$572),$B$427=1),$AI$572,HLOOKUP(INDIRECT(ADDRESS(2,COLUMN())),OFFSET($AM$2,0,0,ROW()-1,33),ROW()-1,FALSE))</f>
        <v/>
      </c>
      <c r="AJ159" t="str">
        <f ca="1">IF(AND(ISNUMBER($AJ$572),$B$427=1),$AJ$572,HLOOKUP(INDIRECT(ADDRESS(2,COLUMN())),OFFSET($AM$2,0,0,ROW()-1,33),ROW()-1,FALSE))</f>
        <v/>
      </c>
      <c r="AK159" t="str">
        <f ca="1">IF(AND(ISNUMBER($AK$572),$B$427=1),$AK$572,HLOOKUP(INDIRECT(ADDRESS(2,COLUMN())),OFFSET($AM$2,0,0,ROW()-1,33),ROW()-1,FALSE))</f>
        <v/>
      </c>
      <c r="AL159" t="str">
        <f ca="1">IF(AND(ISNUMBER($AL$572),$B$427=1),$AL$572,HLOOKUP(INDIRECT(ADDRESS(2,COLUMN())),OFFSET($AM$2,0,0,ROW()-1,33),ROW()-1,FALSE))</f>
        <v/>
      </c>
      <c r="AM159">
        <f>226221.944</f>
        <v>226221.94399999999</v>
      </c>
      <c r="AN159">
        <f>216460.851</f>
        <v>216460.851</v>
      </c>
      <c r="AO159">
        <f>204745.166</f>
        <v>204745.166</v>
      </c>
      <c r="AP159">
        <f>186091.733</f>
        <v>186091.73300000001</v>
      </c>
      <c r="AQ159">
        <f>166963.499</f>
        <v>166963.49900000001</v>
      </c>
      <c r="AR159">
        <f>179655.829</f>
        <v>179655.829</v>
      </c>
      <c r="AS159">
        <f>164397.248</f>
        <v>164397.24799999999</v>
      </c>
      <c r="AT159">
        <f>161181.934</f>
        <v>161181.93400000001</v>
      </c>
      <c r="AU159">
        <f>146547.052</f>
        <v>146547.052</v>
      </c>
      <c r="AV159">
        <f>132135.774</f>
        <v>132135.774</v>
      </c>
      <c r="AW159">
        <f>119205.549</f>
        <v>119205.549</v>
      </c>
      <c r="AX159">
        <f>108980.154</f>
        <v>108980.15399999999</v>
      </c>
      <c r="AY159">
        <f>114694.949</f>
        <v>114694.94899999999</v>
      </c>
      <c r="AZ159">
        <f>82519.856</f>
        <v>82519.856</v>
      </c>
      <c r="BA159">
        <f>74359.022</f>
        <v>74359.021999999997</v>
      </c>
      <c r="BB159">
        <f>39289.472</f>
        <v>39289.472000000002</v>
      </c>
      <c r="BC159">
        <f>52181.635</f>
        <v>52181.635000000002</v>
      </c>
      <c r="BD159">
        <f>51639.687</f>
        <v>51639.686999999998</v>
      </c>
      <c r="BE159">
        <f>52165.615</f>
        <v>52165.614999999998</v>
      </c>
      <c r="BF159">
        <f>44078.811</f>
        <v>44078.811000000002</v>
      </c>
      <c r="BG159">
        <f>35522.764</f>
        <v>35522.764000000003</v>
      </c>
      <c r="BH159" t="str">
        <f>""</f>
        <v/>
      </c>
      <c r="BI159" t="str">
        <f>""</f>
        <v/>
      </c>
      <c r="BJ159" t="str">
        <f>""</f>
        <v/>
      </c>
      <c r="BK159" t="str">
        <f>""</f>
        <v/>
      </c>
      <c r="BL159" t="str">
        <f>""</f>
        <v/>
      </c>
      <c r="BM159" t="str">
        <f>""</f>
        <v/>
      </c>
      <c r="BN159" t="str">
        <f>""</f>
        <v/>
      </c>
      <c r="BO159" t="str">
        <f>""</f>
        <v/>
      </c>
      <c r="BP159" t="str">
        <f>""</f>
        <v/>
      </c>
      <c r="BQ159" t="str">
        <f>""</f>
        <v/>
      </c>
      <c r="BR159" t="str">
        <f>""</f>
        <v/>
      </c>
      <c r="BS159" t="str">
        <f>""</f>
        <v/>
      </c>
    </row>
    <row r="160" spans="1:71" x14ac:dyDescent="0.25">
      <c r="A160" t="str">
        <f>"        Comerica Inc"</f>
        <v xml:space="preserve">        Comerica Inc</v>
      </c>
      <c r="B160" t="str">
        <f>"CMA US Equity"</f>
        <v>CMA US Equity</v>
      </c>
      <c r="C160" t="str">
        <f t="shared" si="21"/>
        <v>F0091</v>
      </c>
      <c r="D160" t="str">
        <f t="shared" si="22"/>
        <v>FED_CONSUMER_LOANS_&amp;_LEASES_CONS</v>
      </c>
      <c r="E160" t="str">
        <f t="shared" si="23"/>
        <v>Dynamic</v>
      </c>
      <c r="F160" t="str">
        <f ca="1">IF(AND(ISNUMBER($F$573),$B$427=1),$F$573,HLOOKUP(INDIRECT(ADDRESS(2,COLUMN())),OFFSET($AM$2,0,0,ROW()-1,33),ROW()-1,FALSE))</f>
        <v/>
      </c>
      <c r="G160">
        <f ca="1">IF(AND(ISNUMBER($G$573),$B$427=1),$G$573,HLOOKUP(INDIRECT(ADDRESS(2,COLUMN())),OFFSET($AM$2,0,0,ROW()-1,33),ROW()-1,FALSE))</f>
        <v>503</v>
      </c>
      <c r="H160">
        <f ca="1">IF(AND(ISNUMBER($H$573),$B$427=1),$H$573,HLOOKUP(INDIRECT(ADDRESS(2,COLUMN())),OFFSET($AM$2,0,0,ROW()-1,33),ROW()-1,FALSE))</f>
        <v>533</v>
      </c>
      <c r="I160">
        <f ca="1">IF(AND(ISNUMBER($I$573),$B$427=1),$I$573,HLOOKUP(INDIRECT(ADDRESS(2,COLUMN())),OFFSET($AM$2,0,0,ROW()-1,33),ROW()-1,FALSE))</f>
        <v>563</v>
      </c>
      <c r="J160">
        <f ca="1">IF(AND(ISNUMBER($J$573),$B$427=1),$J$573,HLOOKUP(INDIRECT(ADDRESS(2,COLUMN())),OFFSET($AM$2,0,0,ROW()-1,33),ROW()-1,FALSE))</f>
        <v>609</v>
      </c>
      <c r="K160">
        <f ca="1">IF(AND(ISNUMBER($K$573),$B$427=1),$K$573,HLOOKUP(INDIRECT(ADDRESS(2,COLUMN())),OFFSET($AM$2,0,0,ROW()-1,33),ROW()-1,FALSE))</f>
        <v>558</v>
      </c>
      <c r="L160">
        <f ca="1">IF(AND(ISNUMBER($L$573),$B$427=1),$L$573,HLOOKUP(INDIRECT(ADDRESS(2,COLUMN())),OFFSET($AM$2,0,0,ROW()-1,33),ROW()-1,FALSE))</f>
        <v>576.73599999999999</v>
      </c>
      <c r="M160">
        <f ca="1">IF(AND(ISNUMBER($M$573),$B$427=1),$M$573,HLOOKUP(INDIRECT(ADDRESS(2,COLUMN())),OFFSET($AM$2,0,0,ROW()-1,33),ROW()-1,FALSE))</f>
        <v>597.1</v>
      </c>
      <c r="N160">
        <f ca="1">IF(AND(ISNUMBER($N$573),$B$427=1),$N$573,HLOOKUP(INDIRECT(ADDRESS(2,COLUMN())),OFFSET($AM$2,0,0,ROW()-1,33),ROW()-1,FALSE))</f>
        <v>602.596</v>
      </c>
      <c r="O160">
        <f ca="1">IF(AND(ISNUMBER($O$573),$B$427=1),$O$573,HLOOKUP(INDIRECT(ADDRESS(2,COLUMN())),OFFSET($AM$2,0,0,ROW()-1,33),ROW()-1,FALSE))</f>
        <v>659.97400000000005</v>
      </c>
      <c r="P160">
        <f ca="1">IF(AND(ISNUMBER($P$573),$B$427=1),$P$573,HLOOKUP(INDIRECT(ADDRESS(2,COLUMN())),OFFSET($AM$2,0,0,ROW()-1,33),ROW()-1,FALSE))</f>
        <v>640.37900000000002</v>
      </c>
      <c r="Q160">
        <f ca="1">IF(AND(ISNUMBER($Q$573),$B$427=1),$Q$573,HLOOKUP(INDIRECT(ADDRESS(2,COLUMN())),OFFSET($AM$2,0,0,ROW()-1,33),ROW()-1,FALSE))</f>
        <v>586.52499999999998</v>
      </c>
      <c r="R160">
        <f ca="1">IF(AND(ISNUMBER($R$573),$B$427=1),$R$573,HLOOKUP(INDIRECT(ADDRESS(2,COLUMN())),OFFSET($AM$2,0,0,ROW()-1,33),ROW()-1,FALSE))</f>
        <v>525.9</v>
      </c>
      <c r="S160">
        <f ca="1">IF(AND(ISNUMBER($S$573),$B$427=1),$S$573,HLOOKUP(INDIRECT(ADDRESS(2,COLUMN())),OFFSET($AM$2,0,0,ROW()-1,33),ROW()-1,FALSE))</f>
        <v>557.67499999999995</v>
      </c>
      <c r="T160">
        <f ca="1">IF(AND(ISNUMBER($T$573),$B$427=1),$T$573,HLOOKUP(INDIRECT(ADDRESS(2,COLUMN())),OFFSET($AM$2,0,0,ROW()-1,33),ROW()-1,FALSE))</f>
        <v>513.04999999999995</v>
      </c>
      <c r="U160">
        <f ca="1">IF(AND(ISNUMBER($U$573),$B$427=1),$U$573,HLOOKUP(INDIRECT(ADDRESS(2,COLUMN())),OFFSET($AM$2,0,0,ROW()-1,33),ROW()-1,FALSE))</f>
        <v>615.59799999999996</v>
      </c>
      <c r="V160">
        <f ca="1">IF(AND(ISNUMBER($V$573),$B$427=1),$V$573,HLOOKUP(INDIRECT(ADDRESS(2,COLUMN())),OFFSET($AM$2,0,0,ROW()-1,33),ROW()-1,FALSE))</f>
        <v>747.08199999999999</v>
      </c>
      <c r="W160">
        <f ca="1">IF(AND(ISNUMBER($W$573),$B$427=1),$W$573,HLOOKUP(INDIRECT(ADDRESS(2,COLUMN())),OFFSET($AM$2,0,0,ROW()-1,33),ROW()-1,FALSE))</f>
        <v>664.55799999999999</v>
      </c>
      <c r="X160">
        <f ca="1">IF(AND(ISNUMBER($X$573),$B$427=1),$X$573,HLOOKUP(INDIRECT(ADDRESS(2,COLUMN())),OFFSET($AM$2,0,0,ROW()-1,33),ROW()-1,FALSE))</f>
        <v>624.88800000000003</v>
      </c>
      <c r="Y160">
        <f ca="1">IF(AND(ISNUMBER($Y$573),$B$427=1),$Y$573,HLOOKUP(INDIRECT(ADDRESS(2,COLUMN())),OFFSET($AM$2,0,0,ROW()-1,33),ROW()-1,FALSE))</f>
        <v>711.96</v>
      </c>
      <c r="Z160">
        <f ca="1">IF(AND(ISNUMBER($Z$573),$B$427=1),$Z$573,HLOOKUP(INDIRECT(ADDRESS(2,COLUMN())),OFFSET($AM$2,0,0,ROW()-1,33),ROW()-1,FALSE))</f>
        <v>820.30600000000004</v>
      </c>
      <c r="AA160">
        <f ca="1">IF(AND(ISNUMBER($AA$573),$B$427=1),$AA$573,HLOOKUP(INDIRECT(ADDRESS(2,COLUMN())),OFFSET($AM$2,0,0,ROW()-1,33),ROW()-1,FALSE))</f>
        <v>785.90800000000002</v>
      </c>
      <c r="AB160">
        <f ca="1">IF(AND(ISNUMBER($AB$573),$B$427=1),$AB$573,HLOOKUP(INDIRECT(ADDRESS(2,COLUMN())),OFFSET($AM$2,0,0,ROW()-1,33),ROW()-1,FALSE))</f>
        <v>790.99199999999996</v>
      </c>
      <c r="AC160">
        <f ca="1">IF(AND(ISNUMBER($AC$573),$B$427=1),$AC$573,HLOOKUP(INDIRECT(ADDRESS(2,COLUMN())),OFFSET($AM$2,0,0,ROW()-1,33),ROW()-1,FALSE))</f>
        <v>835.01499999999999</v>
      </c>
      <c r="AD160">
        <f ca="1">IF(AND(ISNUMBER($AD$573),$B$427=1),$AD$573,HLOOKUP(INDIRECT(ADDRESS(2,COLUMN())),OFFSET($AM$2,0,0,ROW()-1,33),ROW()-1,FALSE))</f>
        <v>768.84400000000005</v>
      </c>
      <c r="AE160">
        <f ca="1">IF(AND(ISNUMBER($AE$573),$B$427=1),$AE$573,HLOOKUP(INDIRECT(ADDRESS(2,COLUMN())),OFFSET($AM$2,0,0,ROW()-1,33),ROW()-1,FALSE))</f>
        <v>1214.8030000000001</v>
      </c>
      <c r="AF160">
        <f ca="1">IF(AND(ISNUMBER($AF$573),$B$427=1),$AF$573,HLOOKUP(INDIRECT(ADDRESS(2,COLUMN())),OFFSET($AM$2,0,0,ROW()-1,33),ROW()-1,FALSE))</f>
        <v>1283.451</v>
      </c>
      <c r="AG160">
        <f ca="1">IF(AND(ISNUMBER($AG$573),$B$427=1),$AG$573,HLOOKUP(INDIRECT(ADDRESS(2,COLUMN())),OFFSET($AM$2,0,0,ROW()-1,33),ROW()-1,FALSE))</f>
        <v>3624.645</v>
      </c>
      <c r="AH160">
        <f ca="1">IF(AND(ISNUMBER($AH$573),$B$427=1),$AH$573,HLOOKUP(INDIRECT(ADDRESS(2,COLUMN())),OFFSET($AM$2,0,0,ROW()-1,33),ROW()-1,FALSE))</f>
        <v>3914.9749999999999</v>
      </c>
      <c r="AI160">
        <f ca="1">IF(AND(ISNUMBER($AI$573),$B$427=1),$AI$573,HLOOKUP(INDIRECT(ADDRESS(2,COLUMN())),OFFSET($AM$2,0,0,ROW()-1,33),ROW()-1,FALSE))</f>
        <v>3853.027</v>
      </c>
      <c r="AJ160">
        <f ca="1">IF(AND(ISNUMBER($AJ$573),$B$427=1),$AJ$573,HLOOKUP(INDIRECT(ADDRESS(2,COLUMN())),OFFSET($AM$2,0,0,ROW()-1,33),ROW()-1,FALSE))</f>
        <v>3581.33</v>
      </c>
      <c r="AK160">
        <f ca="1">IF(AND(ISNUMBER($AK$573),$B$427=1),$AK$573,HLOOKUP(INDIRECT(ADDRESS(2,COLUMN())),OFFSET($AM$2,0,0,ROW()-1,33),ROW()-1,FALSE))</f>
        <v>3105.2669999999998</v>
      </c>
      <c r="AL160">
        <f ca="1">IF(AND(ISNUMBER($AL$573),$B$427=1),$AL$573,HLOOKUP(INDIRECT(ADDRESS(2,COLUMN())),OFFSET($AM$2,0,0,ROW()-1,33),ROW()-1,FALSE))</f>
        <v>3140.779</v>
      </c>
      <c r="AM160" t="str">
        <f>""</f>
        <v/>
      </c>
      <c r="AN160">
        <f>503</f>
        <v>503</v>
      </c>
      <c r="AO160">
        <f>533</f>
        <v>533</v>
      </c>
      <c r="AP160">
        <f>563</f>
        <v>563</v>
      </c>
      <c r="AQ160">
        <f>609</f>
        <v>609</v>
      </c>
      <c r="AR160">
        <f>558</f>
        <v>558</v>
      </c>
      <c r="AS160">
        <f>576.736</f>
        <v>576.73599999999999</v>
      </c>
      <c r="AT160">
        <f>597.1</f>
        <v>597.1</v>
      </c>
      <c r="AU160">
        <f>602.596</f>
        <v>602.596</v>
      </c>
      <c r="AV160">
        <f>659.974</f>
        <v>659.97400000000005</v>
      </c>
      <c r="AW160">
        <f>640.379</f>
        <v>640.37900000000002</v>
      </c>
      <c r="AX160">
        <f>586.525</f>
        <v>586.52499999999998</v>
      </c>
      <c r="AY160">
        <f>525.9</f>
        <v>525.9</v>
      </c>
      <c r="AZ160">
        <f>557.675</f>
        <v>557.67499999999995</v>
      </c>
      <c r="BA160">
        <f>513.05</f>
        <v>513.04999999999995</v>
      </c>
      <c r="BB160">
        <f>615.598</f>
        <v>615.59799999999996</v>
      </c>
      <c r="BC160">
        <f>747.082</f>
        <v>747.08199999999999</v>
      </c>
      <c r="BD160">
        <f>664.558</f>
        <v>664.55799999999999</v>
      </c>
      <c r="BE160">
        <f>624.888</f>
        <v>624.88800000000003</v>
      </c>
      <c r="BF160">
        <f>711.96</f>
        <v>711.96</v>
      </c>
      <c r="BG160">
        <f>820.306</f>
        <v>820.30600000000004</v>
      </c>
      <c r="BH160">
        <f>785.908</f>
        <v>785.90800000000002</v>
      </c>
      <c r="BI160">
        <f>790.992</f>
        <v>790.99199999999996</v>
      </c>
      <c r="BJ160">
        <f>835.015</f>
        <v>835.01499999999999</v>
      </c>
      <c r="BK160">
        <f>768.844</f>
        <v>768.84400000000005</v>
      </c>
      <c r="BL160">
        <f>1214.803</f>
        <v>1214.8030000000001</v>
      </c>
      <c r="BM160">
        <f>1283.451</f>
        <v>1283.451</v>
      </c>
      <c r="BN160">
        <f>3624.645</f>
        <v>3624.645</v>
      </c>
      <c r="BO160">
        <f>3914.975</f>
        <v>3914.9749999999999</v>
      </c>
      <c r="BP160">
        <f>3853.027</f>
        <v>3853.027</v>
      </c>
      <c r="BQ160">
        <f>3581.33</f>
        <v>3581.33</v>
      </c>
      <c r="BR160">
        <f>3105.267</f>
        <v>3105.2669999999998</v>
      </c>
      <c r="BS160">
        <f>3140.779</f>
        <v>3140.779</v>
      </c>
    </row>
    <row r="161" spans="1:71" x14ac:dyDescent="0.25">
      <c r="A161" t="str">
        <f>"        East West Bancorp Inc"</f>
        <v xml:space="preserve">        East West Bancorp Inc</v>
      </c>
      <c r="B161" t="str">
        <f>"EWBC US Equity"</f>
        <v>EWBC US Equity</v>
      </c>
      <c r="C161" t="str">
        <f t="shared" si="21"/>
        <v>F0091</v>
      </c>
      <c r="D161" t="str">
        <f t="shared" si="22"/>
        <v>FED_CONSUMER_LOANS_&amp;_LEASES_CONS</v>
      </c>
      <c r="E161" t="str">
        <f t="shared" si="23"/>
        <v>Dynamic</v>
      </c>
      <c r="F161" t="str">
        <f ca="1">IF(AND(ISNUMBER($F$574),$B$427=1),$F$574,HLOOKUP(INDIRECT(ADDRESS(2,COLUMN())),OFFSET($AM$2,0,0,ROW()-1,33),ROW()-1,FALSE))</f>
        <v/>
      </c>
      <c r="G161">
        <f ca="1">IF(AND(ISNUMBER($G$574),$B$427=1),$G$574,HLOOKUP(INDIRECT(ADDRESS(2,COLUMN())),OFFSET($AM$2,0,0,ROW()-1,33),ROW()-1,FALSE))</f>
        <v>11.468</v>
      </c>
      <c r="H161">
        <f ca="1">IF(AND(ISNUMBER($H$574),$B$427=1),$H$574,HLOOKUP(INDIRECT(ADDRESS(2,COLUMN())),OFFSET($AM$2,0,0,ROW()-1,33),ROW()-1,FALSE))</f>
        <v>10.89</v>
      </c>
      <c r="I161">
        <f ca="1">IF(AND(ISNUMBER($I$574),$B$427=1),$I$574,HLOOKUP(INDIRECT(ADDRESS(2,COLUMN())),OFFSET($AM$2,0,0,ROW()-1,33),ROW()-1,FALSE))</f>
        <v>9.89</v>
      </c>
      <c r="J161">
        <f ca="1">IF(AND(ISNUMBER($J$574),$B$427=1),$J$574,HLOOKUP(INDIRECT(ADDRESS(2,COLUMN())),OFFSET($AM$2,0,0,ROW()-1,33),ROW()-1,FALSE))</f>
        <v>13.879</v>
      </c>
      <c r="K161">
        <f ca="1">IF(AND(ISNUMBER($K$574),$B$427=1),$K$574,HLOOKUP(INDIRECT(ADDRESS(2,COLUMN())),OFFSET($AM$2,0,0,ROW()-1,33),ROW()-1,FALSE))</f>
        <v>27.187999999999999</v>
      </c>
      <c r="L161">
        <f ca="1">IF(AND(ISNUMBER($L$574),$B$427=1),$L$574,HLOOKUP(INDIRECT(ADDRESS(2,COLUMN())),OFFSET($AM$2,0,0,ROW()-1,33),ROW()-1,FALSE))</f>
        <v>46.15</v>
      </c>
      <c r="M161">
        <f ca="1">IF(AND(ISNUMBER($M$574),$B$427=1),$M$574,HLOOKUP(INDIRECT(ADDRESS(2,COLUMN())),OFFSET($AM$2,0,0,ROW()-1,33),ROW()-1,FALSE))</f>
        <v>66.778000000000006</v>
      </c>
      <c r="N161">
        <f ca="1">IF(AND(ISNUMBER($N$574),$B$427=1),$N$574,HLOOKUP(INDIRECT(ADDRESS(2,COLUMN())),OFFSET($AM$2,0,0,ROW()-1,33),ROW()-1,FALSE))</f>
        <v>87.876000000000005</v>
      </c>
      <c r="O161">
        <f ca="1">IF(AND(ISNUMBER($O$574),$B$427=1),$O$574,HLOOKUP(INDIRECT(ADDRESS(2,COLUMN())),OFFSET($AM$2,0,0,ROW()-1,33),ROW()-1,FALSE))</f>
        <v>80.495999999999995</v>
      </c>
      <c r="P161">
        <f ca="1">IF(AND(ISNUMBER($P$574),$B$427=1),$P$574,HLOOKUP(INDIRECT(ADDRESS(2,COLUMN())),OFFSET($AM$2,0,0,ROW()-1,33),ROW()-1,FALSE))</f>
        <v>51.844000000000001</v>
      </c>
      <c r="Q161">
        <f ca="1">IF(AND(ISNUMBER($Q$574),$B$427=1),$Q$574,HLOOKUP(INDIRECT(ADDRESS(2,COLUMN())),OFFSET($AM$2,0,0,ROW()-1,33),ROW()-1,FALSE))</f>
        <v>848.13900000000001</v>
      </c>
      <c r="R161">
        <f ca="1">IF(AND(ISNUMBER($R$574),$B$427=1),$R$574,HLOOKUP(INDIRECT(ADDRESS(2,COLUMN())),OFFSET($AM$2,0,0,ROW()-1,33),ROW()-1,FALSE))</f>
        <v>617.03800000000001</v>
      </c>
      <c r="S161">
        <f ca="1">IF(AND(ISNUMBER($S$574),$B$427=1),$S$574,HLOOKUP(INDIRECT(ADDRESS(2,COLUMN())),OFFSET($AM$2,0,0,ROW()-1,33),ROW()-1,FALSE))</f>
        <v>557.15</v>
      </c>
      <c r="T161">
        <f ca="1">IF(AND(ISNUMBER($T$574),$B$427=1),$T$574,HLOOKUP(INDIRECT(ADDRESS(2,COLUMN())),OFFSET($AM$2,0,0,ROW()-1,33),ROW()-1,FALSE))</f>
        <v>661.10599999999999</v>
      </c>
      <c r="U161">
        <f ca="1">IF(AND(ISNUMBER($U$574),$B$427=1),$U$574,HLOOKUP(INDIRECT(ADDRESS(2,COLUMN())),OFFSET($AM$2,0,0,ROW()-1,33),ROW()-1,FALSE))</f>
        <v>397.87900000000002</v>
      </c>
      <c r="V161">
        <f ca="1">IF(AND(ISNUMBER($V$574),$B$427=1),$V$574,HLOOKUP(INDIRECT(ADDRESS(2,COLUMN())),OFFSET($AM$2,0,0,ROW()-1,33),ROW()-1,FALSE))</f>
        <v>27.541</v>
      </c>
      <c r="W161">
        <f ca="1">IF(AND(ISNUMBER($W$574),$B$427=1),$W$574,HLOOKUP(INDIRECT(ADDRESS(2,COLUMN())),OFFSET($AM$2,0,0,ROW()-1,33),ROW()-1,FALSE))</f>
        <v>30.353999999999999</v>
      </c>
      <c r="X161">
        <f ca="1">IF(AND(ISNUMBER($X$574),$B$427=1),$X$574,HLOOKUP(INDIRECT(ADDRESS(2,COLUMN())),OFFSET($AM$2,0,0,ROW()-1,33),ROW()-1,FALSE))</f>
        <v>15.446999999999999</v>
      </c>
      <c r="Y161">
        <f ca="1">IF(AND(ISNUMBER($Y$574),$B$427=1),$Y$574,HLOOKUP(INDIRECT(ADDRESS(2,COLUMN())),OFFSET($AM$2,0,0,ROW()-1,33),ROW()-1,FALSE))</f>
        <v>18.873999999999999</v>
      </c>
      <c r="Z161">
        <f ca="1">IF(AND(ISNUMBER($Z$574),$B$427=1),$Z$574,HLOOKUP(INDIRECT(ADDRESS(2,COLUMN())),OFFSET($AM$2,0,0,ROW()-1,33),ROW()-1,FALSE))</f>
        <v>16.667000000000002</v>
      </c>
      <c r="AA161">
        <f ca="1">IF(AND(ISNUMBER($AA$574),$B$427=1),$AA$574,HLOOKUP(INDIRECT(ADDRESS(2,COLUMN())),OFFSET($AM$2,0,0,ROW()-1,33),ROW()-1,FALSE))</f>
        <v>19.387</v>
      </c>
      <c r="AB161">
        <f ca="1">IF(AND(ISNUMBER($AB$574),$B$427=1),$AB$574,HLOOKUP(INDIRECT(ADDRESS(2,COLUMN())),OFFSET($AM$2,0,0,ROW()-1,33),ROW()-1,FALSE))</f>
        <v>21.091000000000001</v>
      </c>
      <c r="AC161">
        <f ca="1">IF(AND(ISNUMBER($AC$574),$B$427=1),$AC$574,HLOOKUP(INDIRECT(ADDRESS(2,COLUMN())),OFFSET($AM$2,0,0,ROW()-1,33),ROW()-1,FALSE))</f>
        <v>19.887</v>
      </c>
      <c r="AD161">
        <f ca="1">IF(AND(ISNUMBER($AD$574),$B$427=1),$AD$574,HLOOKUP(INDIRECT(ADDRESS(2,COLUMN())),OFFSET($AM$2,0,0,ROW()-1,33),ROW()-1,FALSE))</f>
        <v>11.792</v>
      </c>
      <c r="AE161">
        <f ca="1">IF(AND(ISNUMBER($AE$574),$B$427=1),$AE$574,HLOOKUP(INDIRECT(ADDRESS(2,COLUMN())),OFFSET($AM$2,0,0,ROW()-1,33),ROW()-1,FALSE))</f>
        <v>8.2780000000000005</v>
      </c>
      <c r="AF161">
        <f ca="1">IF(AND(ISNUMBER($AF$574),$B$427=1),$AF$574,HLOOKUP(INDIRECT(ADDRESS(2,COLUMN())),OFFSET($AM$2,0,0,ROW()-1,33),ROW()-1,FALSE))</f>
        <v>8.08</v>
      </c>
      <c r="AG161" t="str">
        <f ca="1">IF(AND(ISNUMBER($AG$574),$B$427=1),$AG$574,HLOOKUP(INDIRECT(ADDRESS(2,COLUMN())),OFFSET($AM$2,0,0,ROW()-1,33),ROW()-1,FALSE))</f>
        <v/>
      </c>
      <c r="AH161" t="str">
        <f ca="1">IF(AND(ISNUMBER($AH$574),$B$427=1),$AH$574,HLOOKUP(INDIRECT(ADDRESS(2,COLUMN())),OFFSET($AM$2,0,0,ROW()-1,33),ROW()-1,FALSE))</f>
        <v/>
      </c>
      <c r="AI161" t="str">
        <f ca="1">IF(AND(ISNUMBER($AI$574),$B$427=1),$AI$574,HLOOKUP(INDIRECT(ADDRESS(2,COLUMN())),OFFSET($AM$2,0,0,ROW()-1,33),ROW()-1,FALSE))</f>
        <v/>
      </c>
      <c r="AJ161" t="str">
        <f ca="1">IF(AND(ISNUMBER($AJ$574),$B$427=1),$AJ$574,HLOOKUP(INDIRECT(ADDRESS(2,COLUMN())),OFFSET($AM$2,0,0,ROW()-1,33),ROW()-1,FALSE))</f>
        <v/>
      </c>
      <c r="AK161" t="str">
        <f ca="1">IF(AND(ISNUMBER($AK$574),$B$427=1),$AK$574,HLOOKUP(INDIRECT(ADDRESS(2,COLUMN())),OFFSET($AM$2,0,0,ROW()-1,33),ROW()-1,FALSE))</f>
        <v/>
      </c>
      <c r="AL161" t="str">
        <f ca="1">IF(AND(ISNUMBER($AL$574),$B$427=1),$AL$574,HLOOKUP(INDIRECT(ADDRESS(2,COLUMN())),OFFSET($AM$2,0,0,ROW()-1,33),ROW()-1,FALSE))</f>
        <v/>
      </c>
      <c r="AM161" t="str">
        <f>""</f>
        <v/>
      </c>
      <c r="AN161">
        <f>11.468</f>
        <v>11.468</v>
      </c>
      <c r="AO161">
        <f>10.89</f>
        <v>10.89</v>
      </c>
      <c r="AP161">
        <f>9.89</f>
        <v>9.89</v>
      </c>
      <c r="AQ161">
        <f>13.879</f>
        <v>13.879</v>
      </c>
      <c r="AR161">
        <f>27.188</f>
        <v>27.187999999999999</v>
      </c>
      <c r="AS161">
        <f>46.15</f>
        <v>46.15</v>
      </c>
      <c r="AT161">
        <f>66.778</f>
        <v>66.778000000000006</v>
      </c>
      <c r="AU161">
        <f>87.876</f>
        <v>87.876000000000005</v>
      </c>
      <c r="AV161">
        <f>80.496</f>
        <v>80.495999999999995</v>
      </c>
      <c r="AW161">
        <f>51.844</f>
        <v>51.844000000000001</v>
      </c>
      <c r="AX161">
        <f>848.139</f>
        <v>848.13900000000001</v>
      </c>
      <c r="AY161">
        <f>617.038</f>
        <v>617.03800000000001</v>
      </c>
      <c r="AZ161">
        <f>557.15</f>
        <v>557.15</v>
      </c>
      <c r="BA161">
        <f>661.106</f>
        <v>661.10599999999999</v>
      </c>
      <c r="BB161">
        <f>397.879</f>
        <v>397.87900000000002</v>
      </c>
      <c r="BC161">
        <f>27.541</f>
        <v>27.541</v>
      </c>
      <c r="BD161">
        <f>30.354</f>
        <v>30.353999999999999</v>
      </c>
      <c r="BE161">
        <f>15.447</f>
        <v>15.446999999999999</v>
      </c>
      <c r="BF161">
        <f>18.874</f>
        <v>18.873999999999999</v>
      </c>
      <c r="BG161">
        <f>16.667</f>
        <v>16.667000000000002</v>
      </c>
      <c r="BH161">
        <f>19.387</f>
        <v>19.387</v>
      </c>
      <c r="BI161">
        <f>21.091</f>
        <v>21.091000000000001</v>
      </c>
      <c r="BJ161">
        <f>19.887</f>
        <v>19.887</v>
      </c>
      <c r="BK161">
        <f>11.792</f>
        <v>11.792</v>
      </c>
      <c r="BL161">
        <f>8.278</f>
        <v>8.2780000000000005</v>
      </c>
      <c r="BM161">
        <f>8.08</f>
        <v>8.08</v>
      </c>
      <c r="BN161" t="str">
        <f>""</f>
        <v/>
      </c>
      <c r="BO161" t="str">
        <f>""</f>
        <v/>
      </c>
      <c r="BP161" t="str">
        <f>""</f>
        <v/>
      </c>
      <c r="BQ161" t="str">
        <f>""</f>
        <v/>
      </c>
      <c r="BR161" t="str">
        <f>""</f>
        <v/>
      </c>
      <c r="BS161" t="str">
        <f>""</f>
        <v/>
      </c>
    </row>
    <row r="162" spans="1:71" x14ac:dyDescent="0.25">
      <c r="A162" t="str">
        <f>"        Fifth Third Bancorp"</f>
        <v xml:space="preserve">        Fifth Third Bancorp</v>
      </c>
      <c r="B162" t="str">
        <f>"FITB US Equity"</f>
        <v>FITB US Equity</v>
      </c>
      <c r="C162" t="str">
        <f t="shared" si="21"/>
        <v>F0091</v>
      </c>
      <c r="D162" t="str">
        <f t="shared" si="22"/>
        <v>FED_CONSUMER_LOANS_&amp;_LEASES_CONS</v>
      </c>
      <c r="E162" t="str">
        <f t="shared" si="23"/>
        <v>Dynamic</v>
      </c>
      <c r="F162">
        <f ca="1">IF(AND(ISNUMBER($F$575),$B$427=1),$F$575,HLOOKUP(INDIRECT(ADDRESS(2,COLUMN())),OFFSET($AM$2,0,0,ROW()-1,33),ROW()-1,FALSE))</f>
        <v>24804</v>
      </c>
      <c r="G162">
        <f ca="1">IF(AND(ISNUMBER($G$575),$B$427=1),$G$575,HLOOKUP(INDIRECT(ADDRESS(2,COLUMN())),OFFSET($AM$2,0,0,ROW()-1,33),ROW()-1,FALSE))</f>
        <v>23595</v>
      </c>
      <c r="H162">
        <f ca="1">IF(AND(ISNUMBER($H$575),$B$427=1),$H$575,HLOOKUP(INDIRECT(ADDRESS(2,COLUMN())),OFFSET($AM$2,0,0,ROW()-1,33),ROW()-1,FALSE))</f>
        <v>23502.022000000001</v>
      </c>
      <c r="I162">
        <f ca="1">IF(AND(ISNUMBER($I$575),$B$427=1),$I$575,HLOOKUP(INDIRECT(ADDRESS(2,COLUMN())),OFFSET($AM$2,0,0,ROW()-1,33),ROW()-1,FALSE))</f>
        <v>21426.385999999999</v>
      </c>
      <c r="J162">
        <f ca="1">IF(AND(ISNUMBER($J$575),$B$427=1),$J$575,HLOOKUP(INDIRECT(ADDRESS(2,COLUMN())),OFFSET($AM$2,0,0,ROW()-1,33),ROW()-1,FALSE))</f>
        <v>18612.883000000002</v>
      </c>
      <c r="K162">
        <f ca="1">IF(AND(ISNUMBER($K$575),$B$427=1),$K$575,HLOOKUP(INDIRECT(ADDRESS(2,COLUMN())),OFFSET($AM$2,0,0,ROW()-1,33),ROW()-1,FALSE))</f>
        <v>16848.905999999999</v>
      </c>
      <c r="L162">
        <f ca="1">IF(AND(ISNUMBER($L$575),$B$427=1),$L$575,HLOOKUP(INDIRECT(ADDRESS(2,COLUMN())),OFFSET($AM$2,0,0,ROW()-1,33),ROW()-1,FALSE))</f>
        <v>13885.838</v>
      </c>
      <c r="M162">
        <f ca="1">IF(AND(ISNUMBER($M$575),$B$427=1),$M$575,HLOOKUP(INDIRECT(ADDRESS(2,COLUMN())),OFFSET($AM$2,0,0,ROW()-1,33),ROW()-1,FALSE))</f>
        <v>13010.075999999999</v>
      </c>
      <c r="N162">
        <f ca="1">IF(AND(ISNUMBER($N$575),$B$427=1),$N$575,HLOOKUP(INDIRECT(ADDRESS(2,COLUMN())),OFFSET($AM$2,0,0,ROW()-1,33),ROW()-1,FALSE))</f>
        <v>13060.368</v>
      </c>
      <c r="O162">
        <f ca="1">IF(AND(ISNUMBER($O$575),$B$427=1),$O$575,HLOOKUP(INDIRECT(ADDRESS(2,COLUMN())),OFFSET($AM$2,0,0,ROW()-1,33),ROW()-1,FALSE))</f>
        <v>14680.522000000001</v>
      </c>
      <c r="P162">
        <f ca="1">IF(AND(ISNUMBER($P$575),$B$427=1),$P$575,HLOOKUP(INDIRECT(ADDRESS(2,COLUMN())),OFFSET($AM$2,0,0,ROW()-1,33),ROW()-1,FALSE))</f>
        <v>15150.132</v>
      </c>
      <c r="Q162">
        <f ca="1">IF(AND(ISNUMBER($Q$575),$B$427=1),$Q$575,HLOOKUP(INDIRECT(ADDRESS(2,COLUMN())),OFFSET($AM$2,0,0,ROW()-1,33),ROW()-1,FALSE))</f>
        <v>14881.902</v>
      </c>
      <c r="R162">
        <f ca="1">IF(AND(ISNUMBER($R$575),$B$427=1),$R$575,HLOOKUP(INDIRECT(ADDRESS(2,COLUMN())),OFFSET($AM$2,0,0,ROW()-1,33),ROW()-1,FALSE))</f>
        <v>14528.058000000001</v>
      </c>
      <c r="S162">
        <f ca="1">IF(AND(ISNUMBER($S$575),$B$427=1),$S$575,HLOOKUP(INDIRECT(ADDRESS(2,COLUMN())),OFFSET($AM$2,0,0,ROW()-1,33),ROW()-1,FALSE))</f>
        <v>14172.093999999999</v>
      </c>
      <c r="T162">
        <f ca="1">IF(AND(ISNUMBER($T$575),$B$427=1),$T$575,HLOOKUP(INDIRECT(ADDRESS(2,COLUMN())),OFFSET($AM$2,0,0,ROW()-1,33),ROW()-1,FALSE))</f>
        <v>13532.089</v>
      </c>
      <c r="U162">
        <f ca="1">IF(AND(ISNUMBER($U$575),$B$427=1),$U$575,HLOOKUP(INDIRECT(ADDRESS(2,COLUMN())),OFFSET($AM$2,0,0,ROW()-1,33),ROW()-1,FALSE))</f>
        <v>11696.802</v>
      </c>
      <c r="V162">
        <f ca="1">IF(AND(ISNUMBER($V$575),$B$427=1),$V$575,HLOOKUP(INDIRECT(ADDRESS(2,COLUMN())),OFFSET($AM$2,0,0,ROW()-1,33),ROW()-1,FALSE))</f>
        <v>11564.503000000001</v>
      </c>
      <c r="W162">
        <f ca="1">IF(AND(ISNUMBER($W$575),$B$427=1),$W$575,HLOOKUP(INDIRECT(ADDRESS(2,COLUMN())),OFFSET($AM$2,0,0,ROW()-1,33),ROW()-1,FALSE))</f>
        <v>14291.134</v>
      </c>
      <c r="X162">
        <f ca="1">IF(AND(ISNUMBER($X$575),$B$427=1),$X$575,HLOOKUP(INDIRECT(ADDRESS(2,COLUMN())),OFFSET($AM$2,0,0,ROW()-1,33),ROW()-1,FALSE))</f>
        <v>11725.525</v>
      </c>
      <c r="Y162">
        <f ca="1">IF(AND(ISNUMBER($Y$575),$B$427=1),$Y$575,HLOOKUP(INDIRECT(ADDRESS(2,COLUMN())),OFFSET($AM$2,0,0,ROW()-1,33),ROW()-1,FALSE))</f>
        <v>11020.308000000001</v>
      </c>
      <c r="Z162">
        <f ca="1">IF(AND(ISNUMBER($Z$575),$B$427=1),$Z$575,HLOOKUP(INDIRECT(ADDRESS(2,COLUMN())),OFFSET($AM$2,0,0,ROW()-1,33),ROW()-1,FALSE))</f>
        <v>9181.7819999999992</v>
      </c>
      <c r="AA162">
        <f ca="1">IF(AND(ISNUMBER($AA$575),$B$427=1),$AA$575,HLOOKUP(INDIRECT(ADDRESS(2,COLUMN())),OFFSET($AM$2,0,0,ROW()-1,33),ROW()-1,FALSE))</f>
        <v>9893.1270000000004</v>
      </c>
      <c r="AB162">
        <f ca="1">IF(AND(ISNUMBER($AB$575),$B$427=1),$AB$575,HLOOKUP(INDIRECT(ADDRESS(2,COLUMN())),OFFSET($AM$2,0,0,ROW()-1,33),ROW()-1,FALSE))</f>
        <v>7038.8249999999998</v>
      </c>
      <c r="AC162">
        <f ca="1">IF(AND(ISNUMBER($AC$575),$B$427=1),$AC$575,HLOOKUP(INDIRECT(ADDRESS(2,COLUMN())),OFFSET($AM$2,0,0,ROW()-1,33),ROW()-1,FALSE))</f>
        <v>5355.2749999999996</v>
      </c>
      <c r="AD162">
        <f ca="1">IF(AND(ISNUMBER($AD$575),$B$427=1),$AD$575,HLOOKUP(INDIRECT(ADDRESS(2,COLUMN())),OFFSET($AM$2,0,0,ROW()-1,33),ROW()-1,FALSE))</f>
        <v>3184.4520000000002</v>
      </c>
      <c r="AE162">
        <f ca="1">IF(AND(ISNUMBER($AE$575),$B$427=1),$AE$575,HLOOKUP(INDIRECT(ADDRESS(2,COLUMN())),OFFSET($AM$2,0,0,ROW()-1,33),ROW()-1,FALSE))</f>
        <v>3023.2440000000001</v>
      </c>
      <c r="AF162">
        <f ca="1">IF(AND(ISNUMBER($AF$575),$B$427=1),$AF$575,HLOOKUP(INDIRECT(ADDRESS(2,COLUMN())),OFFSET($AM$2,0,0,ROW()-1,33),ROW()-1,FALSE))</f>
        <v>2287.3649999999998</v>
      </c>
      <c r="AG162">
        <f ca="1">IF(AND(ISNUMBER($AG$575),$B$427=1),$AG$575,HLOOKUP(INDIRECT(ADDRESS(2,COLUMN())),OFFSET($AM$2,0,0,ROW()-1,33),ROW()-1,FALSE))</f>
        <v>2451.1759999999999</v>
      </c>
      <c r="AH162">
        <f ca="1">IF(AND(ISNUMBER($AH$575),$B$427=1),$AH$575,HLOOKUP(INDIRECT(ADDRESS(2,COLUMN())),OFFSET($AM$2,0,0,ROW()-1,33),ROW()-1,FALSE))</f>
        <v>2490.2570000000001</v>
      </c>
      <c r="AI162">
        <f ca="1">IF(AND(ISNUMBER($AI$575),$B$427=1),$AI$575,HLOOKUP(INDIRECT(ADDRESS(2,COLUMN())),OFFSET($AM$2,0,0,ROW()-1,33),ROW()-1,FALSE))</f>
        <v>2955.3989999999999</v>
      </c>
      <c r="AJ162">
        <f ca="1">IF(AND(ISNUMBER($AJ$575),$B$427=1),$AJ$575,HLOOKUP(INDIRECT(ADDRESS(2,COLUMN())),OFFSET($AM$2,0,0,ROW()-1,33),ROW()-1,FALSE))</f>
        <v>2473.0050000000001</v>
      </c>
      <c r="AK162">
        <f ca="1">IF(AND(ISNUMBER($AK$575),$B$427=1),$AK$575,HLOOKUP(INDIRECT(ADDRESS(2,COLUMN())),OFFSET($AM$2,0,0,ROW()-1,33),ROW()-1,FALSE))</f>
        <v>2295.3919999999998</v>
      </c>
      <c r="AL162">
        <f ca="1">IF(AND(ISNUMBER($AL$575),$B$427=1),$AL$575,HLOOKUP(INDIRECT(ADDRESS(2,COLUMN())),OFFSET($AM$2,0,0,ROW()-1,33),ROW()-1,FALSE))</f>
        <v>1875.8420000000001</v>
      </c>
      <c r="AM162">
        <f>24804</f>
        <v>24804</v>
      </c>
      <c r="AN162">
        <f>23595</f>
        <v>23595</v>
      </c>
      <c r="AO162">
        <f>23502.022</f>
        <v>23502.022000000001</v>
      </c>
      <c r="AP162">
        <f>21426.386</f>
        <v>21426.385999999999</v>
      </c>
      <c r="AQ162">
        <f>18612.883</f>
        <v>18612.883000000002</v>
      </c>
      <c r="AR162">
        <f>16848.906</f>
        <v>16848.905999999999</v>
      </c>
      <c r="AS162">
        <f>13885.838</f>
        <v>13885.838</v>
      </c>
      <c r="AT162">
        <f>13010.076</f>
        <v>13010.075999999999</v>
      </c>
      <c r="AU162">
        <f>13060.368</f>
        <v>13060.368</v>
      </c>
      <c r="AV162">
        <f>14680.522</f>
        <v>14680.522000000001</v>
      </c>
      <c r="AW162">
        <f>15150.132</f>
        <v>15150.132</v>
      </c>
      <c r="AX162">
        <f>14881.902</f>
        <v>14881.902</v>
      </c>
      <c r="AY162">
        <f>14528.058</f>
        <v>14528.058000000001</v>
      </c>
      <c r="AZ162">
        <f>14172.094</f>
        <v>14172.093999999999</v>
      </c>
      <c r="BA162">
        <f>13532.089</f>
        <v>13532.089</v>
      </c>
      <c r="BB162">
        <f>11696.802</f>
        <v>11696.802</v>
      </c>
      <c r="BC162">
        <f>11564.503</f>
        <v>11564.503000000001</v>
      </c>
      <c r="BD162">
        <f>14291.134</f>
        <v>14291.134</v>
      </c>
      <c r="BE162">
        <f>11725.525</f>
        <v>11725.525</v>
      </c>
      <c r="BF162">
        <f>11020.308</f>
        <v>11020.308000000001</v>
      </c>
      <c r="BG162">
        <f>9181.782</f>
        <v>9181.7819999999992</v>
      </c>
      <c r="BH162">
        <f>9893.127</f>
        <v>9893.1270000000004</v>
      </c>
      <c r="BI162">
        <f>7038.825</f>
        <v>7038.8249999999998</v>
      </c>
      <c r="BJ162">
        <f>5355.275</f>
        <v>5355.2749999999996</v>
      </c>
      <c r="BK162">
        <f>3184.452</f>
        <v>3184.4520000000002</v>
      </c>
      <c r="BL162">
        <f>3023.244</f>
        <v>3023.2440000000001</v>
      </c>
      <c r="BM162">
        <f>2287.365</f>
        <v>2287.3649999999998</v>
      </c>
      <c r="BN162">
        <f>2451.176</f>
        <v>2451.1759999999999</v>
      </c>
      <c r="BO162">
        <f>2490.257</f>
        <v>2490.2570000000001</v>
      </c>
      <c r="BP162">
        <f>2955.399</f>
        <v>2955.3989999999999</v>
      </c>
      <c r="BQ162">
        <f>2473.005</f>
        <v>2473.0050000000001</v>
      </c>
      <c r="BR162">
        <f>2295.392</f>
        <v>2295.3919999999998</v>
      </c>
      <c r="BS162">
        <f>1875.842</f>
        <v>1875.8420000000001</v>
      </c>
    </row>
    <row r="163" spans="1:71" x14ac:dyDescent="0.25">
      <c r="A163" t="str">
        <f>"        First Citizens BancShares Inc/"</f>
        <v xml:space="preserve">        First Citizens BancShares Inc/</v>
      </c>
      <c r="B163" t="str">
        <f>"FCNCA US Equity"</f>
        <v>FCNCA US Equity</v>
      </c>
      <c r="C163" t="str">
        <f t="shared" si="21"/>
        <v>F0091</v>
      </c>
      <c r="D163" t="str">
        <f t="shared" si="22"/>
        <v>FED_CONSUMER_LOANS_&amp;_LEASES_CONS</v>
      </c>
      <c r="E163" t="str">
        <f t="shared" si="23"/>
        <v>Dynamic</v>
      </c>
      <c r="F163">
        <f ca="1">IF(AND(ISNUMBER($F$576),$B$427=1),$F$576,HLOOKUP(INDIRECT(ADDRESS(2,COLUMN())),OFFSET($AM$2,0,0,ROW()-1,33),ROW()-1,FALSE))</f>
        <v>2706</v>
      </c>
      <c r="G163">
        <f ca="1">IF(AND(ISNUMBER($G$576),$B$427=1),$G$576,HLOOKUP(INDIRECT(ADDRESS(2,COLUMN())),OFFSET($AM$2,0,0,ROW()-1,33),ROW()-1,FALSE))</f>
        <v>2618.29</v>
      </c>
      <c r="H163">
        <f ca="1">IF(AND(ISNUMBER($H$576),$B$427=1),$H$576,HLOOKUP(INDIRECT(ADDRESS(2,COLUMN())),OFFSET($AM$2,0,0,ROW()-1,33),ROW()-1,FALSE))</f>
        <v>2066.86</v>
      </c>
      <c r="I163">
        <f ca="1">IF(AND(ISNUMBER($I$576),$B$427=1),$I$576,HLOOKUP(INDIRECT(ADDRESS(2,COLUMN())),OFFSET($AM$2,0,0,ROW()-1,33),ROW()-1,FALSE))</f>
        <v>1879.3979999999999</v>
      </c>
      <c r="J163">
        <f ca="1">IF(AND(ISNUMBER($J$576),$B$427=1),$J$576,HLOOKUP(INDIRECT(ADDRESS(2,COLUMN())),OFFSET($AM$2,0,0,ROW()-1,33),ROW()-1,FALSE))</f>
        <v>1808.7739999999999</v>
      </c>
      <c r="K163">
        <f ca="1">IF(AND(ISNUMBER($K$576),$B$427=1),$K$576,HLOOKUP(INDIRECT(ADDRESS(2,COLUMN())),OFFSET($AM$2,0,0,ROW()-1,33),ROW()-1,FALSE))</f>
        <v>1781.14</v>
      </c>
      <c r="L163">
        <f ca="1">IF(AND(ISNUMBER($L$576),$B$427=1),$L$576,HLOOKUP(INDIRECT(ADDRESS(2,COLUMN())),OFFSET($AM$2,0,0,ROW()-1,33),ROW()-1,FALSE))</f>
        <v>1715.364</v>
      </c>
      <c r="M163">
        <f ca="1">IF(AND(ISNUMBER($M$576),$B$427=1),$M$576,HLOOKUP(INDIRECT(ADDRESS(2,COLUMN())),OFFSET($AM$2,0,0,ROW()-1,33),ROW()-1,FALSE))</f>
        <v>1563.3630000000001</v>
      </c>
      <c r="N163">
        <f ca="1">IF(AND(ISNUMBER($N$576),$B$427=1),$N$576,HLOOKUP(INDIRECT(ADDRESS(2,COLUMN())),OFFSET($AM$2,0,0,ROW()-1,33),ROW()-1,FALSE))</f>
        <v>1447.91</v>
      </c>
      <c r="O163">
        <f ca="1">IF(AND(ISNUMBER($O$576),$B$427=1),$O$576,HLOOKUP(INDIRECT(ADDRESS(2,COLUMN())),OFFSET($AM$2,0,0,ROW()-1,33),ROW()-1,FALSE))</f>
        <v>1222.0940000000001</v>
      </c>
      <c r="P163">
        <f ca="1">IF(AND(ISNUMBER($P$576),$B$427=1),$P$576,HLOOKUP(INDIRECT(ADDRESS(2,COLUMN())),OFFSET($AM$2,0,0,ROW()-1,33),ROW()-1,FALSE))</f>
        <v>1120.4690000000001</v>
      </c>
      <c r="Q163">
        <f ca="1">IF(AND(ISNUMBER($Q$576),$B$427=1),$Q$576,HLOOKUP(INDIRECT(ADDRESS(2,COLUMN())),OFFSET($AM$2,0,0,ROW()-1,33),ROW()-1,FALSE))</f>
        <v>387.303</v>
      </c>
      <c r="R163">
        <f ca="1">IF(AND(ISNUMBER($R$576),$B$427=1),$R$576,HLOOKUP(INDIRECT(ADDRESS(2,COLUMN())),OFFSET($AM$2,0,0,ROW()-1,33),ROW()-1,FALSE))</f>
        <v>418.375</v>
      </c>
      <c r="S163">
        <f ca="1">IF(AND(ISNUMBER($S$576),$B$427=1),$S$576,HLOOKUP(INDIRECT(ADDRESS(2,COLUMN())),OFFSET($AM$2,0,0,ROW()-1,33),ROW()-1,FALSE))</f>
        <v>502.18099999999998</v>
      </c>
      <c r="T163">
        <f ca="1">IF(AND(ISNUMBER($T$576),$B$427=1),$T$576,HLOOKUP(INDIRECT(ADDRESS(2,COLUMN())),OFFSET($AM$2,0,0,ROW()-1,33),ROW()-1,FALSE))</f>
        <v>666.39200000000005</v>
      </c>
      <c r="U163">
        <f ca="1">IF(AND(ISNUMBER($U$576),$B$427=1),$U$576,HLOOKUP(INDIRECT(ADDRESS(2,COLUMN())),OFFSET($AM$2,0,0,ROW()-1,33),ROW()-1,FALSE))</f>
        <v>946.5</v>
      </c>
      <c r="V163">
        <f ca="1">IF(AND(ISNUMBER($V$576),$B$427=1),$V$576,HLOOKUP(INDIRECT(ADDRESS(2,COLUMN())),OFFSET($AM$2,0,0,ROW()-1,33),ROW()-1,FALSE))</f>
        <v>1233.075</v>
      </c>
      <c r="W163">
        <f ca="1">IF(AND(ISNUMBER($W$576),$B$427=1),$W$576,HLOOKUP(INDIRECT(ADDRESS(2,COLUMN())),OFFSET($AM$2,0,0,ROW()-1,33),ROW()-1,FALSE))</f>
        <v>1368.2280000000001</v>
      </c>
      <c r="X163">
        <f ca="1">IF(AND(ISNUMBER($X$576),$B$427=1),$X$576,HLOOKUP(INDIRECT(ADDRESS(2,COLUMN())),OFFSET($AM$2,0,0,ROW()-1,33),ROW()-1,FALSE))</f>
        <v>1356.8679999999999</v>
      </c>
      <c r="Y163">
        <f ca="1">IF(AND(ISNUMBER($Y$576),$B$427=1),$Y$576,HLOOKUP(INDIRECT(ADDRESS(2,COLUMN())),OFFSET($AM$2,0,0,ROW()-1,33),ROW()-1,FALSE))</f>
        <v>1315.1769999999999</v>
      </c>
      <c r="Z163">
        <f ca="1">IF(AND(ISNUMBER($Z$576),$B$427=1),$Z$576,HLOOKUP(INDIRECT(ADDRESS(2,COLUMN())),OFFSET($AM$2,0,0,ROW()-1,33),ROW()-1,FALSE))</f>
        <v>1391.962</v>
      </c>
      <c r="AA163">
        <f ca="1">IF(AND(ISNUMBER($AA$576),$B$427=1),$AA$576,HLOOKUP(INDIRECT(ADDRESS(2,COLUMN())),OFFSET($AM$2,0,0,ROW()-1,33),ROW()-1,FALSE))</f>
        <v>1303.3050000000001</v>
      </c>
      <c r="AB163">
        <f ca="1">IF(AND(ISNUMBER($AB$576),$B$427=1),$AB$576,HLOOKUP(INDIRECT(ADDRESS(2,COLUMN())),OFFSET($AM$2,0,0,ROW()-1,33),ROW()-1,FALSE))</f>
        <v>1153.9690000000001</v>
      </c>
      <c r="AC163">
        <f ca="1">IF(AND(ISNUMBER($AC$576),$B$427=1),$AC$576,HLOOKUP(INDIRECT(ADDRESS(2,COLUMN())),OFFSET($AM$2,0,0,ROW()-1,33),ROW()-1,FALSE))</f>
        <v>1074.2049999999999</v>
      </c>
      <c r="AD163">
        <f ca="1">IF(AND(ISNUMBER($AD$576),$B$427=1),$AD$576,HLOOKUP(INDIRECT(ADDRESS(2,COLUMN())),OFFSET($AM$2,0,0,ROW()-1,33),ROW()-1,FALSE))</f>
        <v>1389.633</v>
      </c>
      <c r="AE163">
        <f ca="1">IF(AND(ISNUMBER($AE$576),$B$427=1),$AE$576,HLOOKUP(INDIRECT(ADDRESS(2,COLUMN())),OFFSET($AM$2,0,0,ROW()-1,33),ROW()-1,FALSE))</f>
        <v>1554.3230000000001</v>
      </c>
      <c r="AF163">
        <f ca="1">IF(AND(ISNUMBER($AF$576),$B$427=1),$AF$576,HLOOKUP(INDIRECT(ADDRESS(2,COLUMN())),OFFSET($AM$2,0,0,ROW()-1,33),ROW()-1,FALSE))</f>
        <v>1674.588</v>
      </c>
      <c r="AG163">
        <f ca="1">IF(AND(ISNUMBER($AG$576),$B$427=1),$AG$576,HLOOKUP(INDIRECT(ADDRESS(2,COLUMN())),OFFSET($AM$2,0,0,ROW()-1,33),ROW()-1,FALSE))</f>
        <v>1525.327</v>
      </c>
      <c r="AH163">
        <f ca="1">IF(AND(ISNUMBER($AH$576),$B$427=1),$AH$576,HLOOKUP(INDIRECT(ADDRESS(2,COLUMN())),OFFSET($AM$2,0,0,ROW()-1,33),ROW()-1,FALSE))</f>
        <v>1250.1099999999999</v>
      </c>
      <c r="AI163">
        <f ca="1">IF(AND(ISNUMBER($AI$576),$B$427=1),$AI$576,HLOOKUP(INDIRECT(ADDRESS(2,COLUMN())),OFFSET($AM$2,0,0,ROW()-1,33),ROW()-1,FALSE))</f>
        <v>1201.29</v>
      </c>
      <c r="AJ163">
        <f ca="1">IF(AND(ISNUMBER($AJ$576),$B$427=1),$AJ$576,HLOOKUP(INDIRECT(ADDRESS(2,COLUMN())),OFFSET($AM$2,0,0,ROW()-1,33),ROW()-1,FALSE))</f>
        <v>1119.962</v>
      </c>
      <c r="AK163">
        <f ca="1">IF(AND(ISNUMBER($AK$576),$B$427=1),$AK$576,HLOOKUP(INDIRECT(ADDRESS(2,COLUMN())),OFFSET($AM$2,0,0,ROW()-1,33),ROW()-1,FALSE))</f>
        <v>888.67200000000003</v>
      </c>
      <c r="AL163">
        <f ca="1">IF(AND(ISNUMBER($AL$576),$B$427=1),$AL$576,HLOOKUP(INDIRECT(ADDRESS(2,COLUMN())),OFFSET($AM$2,0,0,ROW()-1,33),ROW()-1,FALSE))</f>
        <v>708.91399999999999</v>
      </c>
      <c r="AM163">
        <f>2706</f>
        <v>2706</v>
      </c>
      <c r="AN163">
        <f>2618.29</f>
        <v>2618.29</v>
      </c>
      <c r="AO163">
        <f>2066.86</f>
        <v>2066.86</v>
      </c>
      <c r="AP163">
        <f>1879.398</f>
        <v>1879.3979999999999</v>
      </c>
      <c r="AQ163">
        <f>1808.774</f>
        <v>1808.7739999999999</v>
      </c>
      <c r="AR163">
        <f>1781.14</f>
        <v>1781.14</v>
      </c>
      <c r="AS163">
        <f>1715.364</f>
        <v>1715.364</v>
      </c>
      <c r="AT163">
        <f>1563.363</f>
        <v>1563.3630000000001</v>
      </c>
      <c r="AU163">
        <f>1447.91</f>
        <v>1447.91</v>
      </c>
      <c r="AV163">
        <f>1222.094</f>
        <v>1222.0940000000001</v>
      </c>
      <c r="AW163">
        <f>1120.469</f>
        <v>1120.4690000000001</v>
      </c>
      <c r="AX163">
        <f>387.303</f>
        <v>387.303</v>
      </c>
      <c r="AY163">
        <f>418.375</f>
        <v>418.375</v>
      </c>
      <c r="AZ163">
        <f>502.181</f>
        <v>502.18099999999998</v>
      </c>
      <c r="BA163">
        <f>666.392</f>
        <v>666.39200000000005</v>
      </c>
      <c r="BB163">
        <f>946.5</f>
        <v>946.5</v>
      </c>
      <c r="BC163">
        <f>1233.075</f>
        <v>1233.075</v>
      </c>
      <c r="BD163">
        <f>1368.228</f>
        <v>1368.2280000000001</v>
      </c>
      <c r="BE163">
        <f>1356.868</f>
        <v>1356.8679999999999</v>
      </c>
      <c r="BF163">
        <f>1315.177</f>
        <v>1315.1769999999999</v>
      </c>
      <c r="BG163">
        <f>1391.962</f>
        <v>1391.962</v>
      </c>
      <c r="BH163">
        <f>1303.305</f>
        <v>1303.3050000000001</v>
      </c>
      <c r="BI163">
        <f>1153.969</f>
        <v>1153.9690000000001</v>
      </c>
      <c r="BJ163">
        <f>1074.205</f>
        <v>1074.2049999999999</v>
      </c>
      <c r="BK163">
        <f>1389.633</f>
        <v>1389.633</v>
      </c>
      <c r="BL163">
        <f>1554.323</f>
        <v>1554.3230000000001</v>
      </c>
      <c r="BM163">
        <f>1674.588</f>
        <v>1674.588</v>
      </c>
      <c r="BN163">
        <f>1525.327</f>
        <v>1525.327</v>
      </c>
      <c r="BO163">
        <f>1250.11</f>
        <v>1250.1099999999999</v>
      </c>
      <c r="BP163">
        <f>1201.29</f>
        <v>1201.29</v>
      </c>
      <c r="BQ163">
        <f>1119.962</f>
        <v>1119.962</v>
      </c>
      <c r="BR163">
        <f>888.672</f>
        <v>888.67200000000003</v>
      </c>
      <c r="BS163">
        <f>708.914</f>
        <v>708.91399999999999</v>
      </c>
    </row>
    <row r="164" spans="1:71" x14ac:dyDescent="0.25">
      <c r="A164" t="str">
        <f>"        Flagstar Financial Inc"</f>
        <v xml:space="preserve">        Flagstar Financial Inc</v>
      </c>
      <c r="B164" t="str">
        <f>"FLG US Equity"</f>
        <v>FLG US Equity</v>
      </c>
      <c r="C164" t="str">
        <f t="shared" si="21"/>
        <v>F0091</v>
      </c>
      <c r="D164" t="str">
        <f t="shared" si="22"/>
        <v>FED_CONSUMER_LOANS_&amp;_LEASES_CONS</v>
      </c>
      <c r="E164" t="str">
        <f t="shared" si="23"/>
        <v>Dynamic</v>
      </c>
      <c r="F164">
        <f ca="1">IF(AND(ISNUMBER($F$577),$B$427=1),$F$577,HLOOKUP(INDIRECT(ADDRESS(2,COLUMN())),OFFSET($AM$2,0,0,ROW()-1,33),ROW()-1,FALSE))</f>
        <v>207.018</v>
      </c>
      <c r="G164">
        <f ca="1">IF(AND(ISNUMBER($G$577),$B$427=1),$G$577,HLOOKUP(INDIRECT(ADDRESS(2,COLUMN())),OFFSET($AM$2,0,0,ROW()-1,33),ROW()-1,FALSE))</f>
        <v>1220.1690000000001</v>
      </c>
      <c r="H164">
        <f ca="1">IF(AND(ISNUMBER($H$577),$B$427=1),$H$577,HLOOKUP(INDIRECT(ADDRESS(2,COLUMN())),OFFSET($AM$2,0,0,ROW()-1,33),ROW()-1,FALSE))</f>
        <v>1361.2650000000001</v>
      </c>
      <c r="I164">
        <f ca="1">IF(AND(ISNUMBER($I$577),$B$427=1),$I$577,HLOOKUP(INDIRECT(ADDRESS(2,COLUMN())),OFFSET($AM$2,0,0,ROW()-1,33),ROW()-1,FALSE))</f>
        <v>1.774</v>
      </c>
      <c r="J164">
        <f ca="1">IF(AND(ISNUMBER($J$577),$B$427=1),$J$577,HLOOKUP(INDIRECT(ADDRESS(2,COLUMN())),OFFSET($AM$2,0,0,ROW()-1,33),ROW()-1,FALSE))</f>
        <v>2.0960000000000001</v>
      </c>
      <c r="K164">
        <f ca="1">IF(AND(ISNUMBER($K$577),$B$427=1),$K$577,HLOOKUP(INDIRECT(ADDRESS(2,COLUMN())),OFFSET($AM$2,0,0,ROW()-1,33),ROW()-1,FALSE))</f>
        <v>3.1459999999999999</v>
      </c>
      <c r="L164">
        <f ca="1">IF(AND(ISNUMBER($L$577),$B$427=1),$L$577,HLOOKUP(INDIRECT(ADDRESS(2,COLUMN())),OFFSET($AM$2,0,0,ROW()-1,33),ROW()-1,FALSE))</f>
        <v>3.4169999999999998</v>
      </c>
      <c r="M164">
        <f ca="1">IF(AND(ISNUMBER($M$577),$B$427=1),$M$577,HLOOKUP(INDIRECT(ADDRESS(2,COLUMN())),OFFSET($AM$2,0,0,ROW()-1,33),ROW()-1,FALSE))</f>
        <v>3.1859999999999999</v>
      </c>
      <c r="N164">
        <f ca="1">IF(AND(ISNUMBER($N$577),$B$427=1),$N$577,HLOOKUP(INDIRECT(ADDRESS(2,COLUMN())),OFFSET($AM$2,0,0,ROW()-1,33),ROW()-1,FALSE))</f>
        <v>3.976</v>
      </c>
      <c r="O164">
        <f ca="1">IF(AND(ISNUMBER($O$577),$B$427=1),$O$577,HLOOKUP(INDIRECT(ADDRESS(2,COLUMN())),OFFSET($AM$2,0,0,ROW()-1,33),ROW()-1,FALSE))</f>
        <v>4.2750000000000004</v>
      </c>
      <c r="P164">
        <f ca="1">IF(AND(ISNUMBER($P$577),$B$427=1),$P$577,HLOOKUP(INDIRECT(ADDRESS(2,COLUMN())),OFFSET($AM$2,0,0,ROW()-1,33),ROW()-1,FALSE))</f>
        <v>15.159000000000001</v>
      </c>
      <c r="Q164">
        <f ca="1">IF(AND(ISNUMBER($Q$577),$B$427=1),$Q$577,HLOOKUP(INDIRECT(ADDRESS(2,COLUMN())),OFFSET($AM$2,0,0,ROW()-1,33),ROW()-1,FALSE))</f>
        <v>17.248000000000001</v>
      </c>
      <c r="R164">
        <f ca="1">IF(AND(ISNUMBER($R$577),$B$427=1),$R$577,HLOOKUP(INDIRECT(ADDRESS(2,COLUMN())),OFFSET($AM$2,0,0,ROW()-1,33),ROW()-1,FALSE))</f>
        <v>19.446999999999999</v>
      </c>
      <c r="S164">
        <f ca="1">IF(AND(ISNUMBER($S$577),$B$427=1),$S$577,HLOOKUP(INDIRECT(ADDRESS(2,COLUMN())),OFFSET($AM$2,0,0,ROW()-1,33),ROW()-1,FALSE))</f>
        <v>22.079000000000001</v>
      </c>
      <c r="T164">
        <f ca="1">IF(AND(ISNUMBER($T$577),$B$427=1),$T$577,HLOOKUP(INDIRECT(ADDRESS(2,COLUMN())),OFFSET($AM$2,0,0,ROW()-1,33),ROW()-1,FALSE))</f>
        <v>22.847000000000001</v>
      </c>
      <c r="U164">
        <f ca="1">IF(AND(ISNUMBER($U$577),$B$427=1),$U$577,HLOOKUP(INDIRECT(ADDRESS(2,COLUMN())),OFFSET($AM$2,0,0,ROW()-1,33),ROW()-1,FALSE))</f>
        <v>20.555</v>
      </c>
      <c r="V164">
        <f ca="1">IF(AND(ISNUMBER($V$577),$B$427=1),$V$577,HLOOKUP(INDIRECT(ADDRESS(2,COLUMN())),OFFSET($AM$2,0,0,ROW()-1,33),ROW()-1,FALSE))</f>
        <v>34.213999999999999</v>
      </c>
      <c r="W164">
        <f ca="1">IF(AND(ISNUMBER($W$577),$B$427=1),$W$577,HLOOKUP(INDIRECT(ADDRESS(2,COLUMN())),OFFSET($AM$2,0,0,ROW()-1,33),ROW()-1,FALSE))</f>
        <v>85.587999999999994</v>
      </c>
      <c r="X164">
        <f ca="1">IF(AND(ISNUMBER($X$577),$B$427=1),$X$577,HLOOKUP(INDIRECT(ADDRESS(2,COLUMN())),OFFSET($AM$2,0,0,ROW()-1,33),ROW()-1,FALSE))</f>
        <v>30.61</v>
      </c>
      <c r="Y164">
        <f ca="1">IF(AND(ISNUMBER($Y$577),$B$427=1),$Y$577,HLOOKUP(INDIRECT(ADDRESS(2,COLUMN())),OFFSET($AM$2,0,0,ROW()-1,33),ROW()-1,FALSE))</f>
        <v>8.6470000000000002</v>
      </c>
      <c r="Z164">
        <f ca="1">IF(AND(ISNUMBER($Z$577),$B$427=1),$Z$577,HLOOKUP(INDIRECT(ADDRESS(2,COLUMN())),OFFSET($AM$2,0,0,ROW()-1,33),ROW()-1,FALSE))</f>
        <v>4.9340000000000002</v>
      </c>
      <c r="AA164">
        <f ca="1">IF(AND(ISNUMBER($AA$577),$B$427=1),$AA$577,HLOOKUP(INDIRECT(ADDRESS(2,COLUMN())),OFFSET($AM$2,0,0,ROW()-1,33),ROW()-1,FALSE))</f>
        <v>102.69199999999999</v>
      </c>
      <c r="AB164">
        <f ca="1">IF(AND(ISNUMBER($AB$577),$B$427=1),$AB$577,HLOOKUP(INDIRECT(ADDRESS(2,COLUMN())),OFFSET($AM$2,0,0,ROW()-1,33),ROW()-1,FALSE))</f>
        <v>15.414999999999999</v>
      </c>
      <c r="AC164">
        <f ca="1">IF(AND(ISNUMBER($AC$577),$B$427=1),$AC$577,HLOOKUP(INDIRECT(ADDRESS(2,COLUMN())),OFFSET($AM$2,0,0,ROW()-1,33),ROW()-1,FALSE))</f>
        <v>21.041</v>
      </c>
      <c r="AD164">
        <f ca="1">IF(AND(ISNUMBER($AD$577),$B$427=1),$AD$577,HLOOKUP(INDIRECT(ADDRESS(2,COLUMN())),OFFSET($AM$2,0,0,ROW()-1,33),ROW()-1,FALSE))</f>
        <v>10.749000000000001</v>
      </c>
      <c r="AE164">
        <f ca="1">IF(AND(ISNUMBER($AE$577),$B$427=1),$AE$577,HLOOKUP(INDIRECT(ADDRESS(2,COLUMN())),OFFSET($AM$2,0,0,ROW()-1,33),ROW()-1,FALSE))</f>
        <v>0.434</v>
      </c>
      <c r="AF164">
        <f ca="1">IF(AND(ISNUMBER($AF$577),$B$427=1),$AF$577,HLOOKUP(INDIRECT(ADDRESS(2,COLUMN())),OFFSET($AM$2,0,0,ROW()-1,33),ROW()-1,FALSE))</f>
        <v>0.51200000000000001</v>
      </c>
      <c r="AG164">
        <f ca="1">IF(AND(ISNUMBER($AG$577),$B$427=1),$AG$577,HLOOKUP(INDIRECT(ADDRESS(2,COLUMN())),OFFSET($AM$2,0,0,ROW()-1,33),ROW()-1,FALSE))</f>
        <v>0.54400000000000004</v>
      </c>
      <c r="AH164">
        <f ca="1">IF(AND(ISNUMBER($AH$577),$B$427=1),$AH$577,HLOOKUP(INDIRECT(ADDRESS(2,COLUMN())),OFFSET($AM$2,0,0,ROW()-1,33),ROW()-1,FALSE))</f>
        <v>0.61799999999999999</v>
      </c>
      <c r="AI164">
        <f ca="1">IF(AND(ISNUMBER($AI$577),$B$427=1),$AI$577,HLOOKUP(INDIRECT(ADDRESS(2,COLUMN())),OFFSET($AM$2,0,0,ROW()-1,33),ROW()-1,FALSE))</f>
        <v>0.872</v>
      </c>
      <c r="AJ164">
        <f ca="1">IF(AND(ISNUMBER($AJ$577),$B$427=1),$AJ$577,HLOOKUP(INDIRECT(ADDRESS(2,COLUMN())),OFFSET($AM$2,0,0,ROW()-1,33),ROW()-1,FALSE))</f>
        <v>1.054</v>
      </c>
      <c r="AK164">
        <f ca="1">IF(AND(ISNUMBER($AK$577),$B$427=1),$AK$577,HLOOKUP(INDIRECT(ADDRESS(2,COLUMN())),OFFSET($AM$2,0,0,ROW()-1,33),ROW()-1,FALSE))</f>
        <v>4.2169999999999996</v>
      </c>
      <c r="AL164" t="str">
        <f ca="1">IF(AND(ISNUMBER($AL$577),$B$427=1),$AL$577,HLOOKUP(INDIRECT(ADDRESS(2,COLUMN())),OFFSET($AM$2,0,0,ROW()-1,33),ROW()-1,FALSE))</f>
        <v/>
      </c>
      <c r="AM164">
        <f>207.018</f>
        <v>207.018</v>
      </c>
      <c r="AN164">
        <f>1220.169</f>
        <v>1220.1690000000001</v>
      </c>
      <c r="AO164">
        <f>1361.265</f>
        <v>1361.2650000000001</v>
      </c>
      <c r="AP164">
        <f>1.774</f>
        <v>1.774</v>
      </c>
      <c r="AQ164">
        <f>2.096</f>
        <v>2.0960000000000001</v>
      </c>
      <c r="AR164">
        <f>3.146</f>
        <v>3.1459999999999999</v>
      </c>
      <c r="AS164">
        <f>3.417</f>
        <v>3.4169999999999998</v>
      </c>
      <c r="AT164">
        <f>3.186</f>
        <v>3.1859999999999999</v>
      </c>
      <c r="AU164">
        <f>3.976</f>
        <v>3.976</v>
      </c>
      <c r="AV164">
        <f>4.275</f>
        <v>4.2750000000000004</v>
      </c>
      <c r="AW164">
        <f>15.159</f>
        <v>15.159000000000001</v>
      </c>
      <c r="AX164">
        <f>17.248</f>
        <v>17.248000000000001</v>
      </c>
      <c r="AY164">
        <f>19.447</f>
        <v>19.446999999999999</v>
      </c>
      <c r="AZ164">
        <f>22.079</f>
        <v>22.079000000000001</v>
      </c>
      <c r="BA164">
        <f>22.847</f>
        <v>22.847000000000001</v>
      </c>
      <c r="BB164">
        <f>20.555</f>
        <v>20.555</v>
      </c>
      <c r="BC164">
        <f>34.214</f>
        <v>34.213999999999999</v>
      </c>
      <c r="BD164">
        <f>85.588</f>
        <v>85.587999999999994</v>
      </c>
      <c r="BE164">
        <f>30.61</f>
        <v>30.61</v>
      </c>
      <c r="BF164">
        <f>8.647</f>
        <v>8.6470000000000002</v>
      </c>
      <c r="BG164">
        <f>4.934</f>
        <v>4.9340000000000002</v>
      </c>
      <c r="BH164">
        <f>102.692</f>
        <v>102.69199999999999</v>
      </c>
      <c r="BI164">
        <f>15.415</f>
        <v>15.414999999999999</v>
      </c>
      <c r="BJ164">
        <f>21.041</f>
        <v>21.041</v>
      </c>
      <c r="BK164">
        <f>10.749</f>
        <v>10.749000000000001</v>
      </c>
      <c r="BL164">
        <f>0.434</f>
        <v>0.434</v>
      </c>
      <c r="BM164">
        <f>0.512</f>
        <v>0.51200000000000001</v>
      </c>
      <c r="BN164">
        <f>0.544</f>
        <v>0.54400000000000004</v>
      </c>
      <c r="BO164">
        <f>0.618</f>
        <v>0.61799999999999999</v>
      </c>
      <c r="BP164">
        <f>0.872</f>
        <v>0.872</v>
      </c>
      <c r="BQ164">
        <f>1.054</f>
        <v>1.054</v>
      </c>
      <c r="BR164">
        <f>4.217</f>
        <v>4.2169999999999996</v>
      </c>
      <c r="BS164" t="str">
        <f>""</f>
        <v/>
      </c>
    </row>
    <row r="165" spans="1:71" x14ac:dyDescent="0.25">
      <c r="A165" t="str">
        <f>"        Huntington Bancshares Inc/OH"</f>
        <v xml:space="preserve">        Huntington Bancshares Inc/OH</v>
      </c>
      <c r="B165" t="str">
        <f>"HBAN US Equity"</f>
        <v>HBAN US Equity</v>
      </c>
      <c r="C165" t="str">
        <f t="shared" si="21"/>
        <v>F0091</v>
      </c>
      <c r="D165" t="str">
        <f t="shared" si="22"/>
        <v>FED_CONSUMER_LOANS_&amp;_LEASES_CONS</v>
      </c>
      <c r="E165" t="str">
        <f t="shared" si="23"/>
        <v>Dynamic</v>
      </c>
      <c r="F165">
        <f ca="1">IF(AND(ISNUMBER($F$578),$B$427=1),$F$578,HLOOKUP(INDIRECT(ADDRESS(2,COLUMN())),OFFSET($AM$2,0,0,ROW()-1,33),ROW()-1,FALSE))</f>
        <v>22731.822</v>
      </c>
      <c r="G165">
        <f ca="1">IF(AND(ISNUMBER($G$578),$B$427=1),$G$578,HLOOKUP(INDIRECT(ADDRESS(2,COLUMN())),OFFSET($AM$2,0,0,ROW()-1,33),ROW()-1,FALSE))</f>
        <v>20265.987000000001</v>
      </c>
      <c r="H165">
        <f ca="1">IF(AND(ISNUMBER($H$578),$B$427=1),$H$578,HLOOKUP(INDIRECT(ADDRESS(2,COLUMN())),OFFSET($AM$2,0,0,ROW()-1,33),ROW()-1,FALSE))</f>
        <v>21115.134999999998</v>
      </c>
      <c r="I165">
        <f ca="1">IF(AND(ISNUMBER($I$578),$B$427=1),$I$578,HLOOKUP(INDIRECT(ADDRESS(2,COLUMN())),OFFSET($AM$2,0,0,ROW()-1,33),ROW()-1,FALSE))</f>
        <v>20853.848999999998</v>
      </c>
      <c r="J165">
        <f ca="1">IF(AND(ISNUMBER($J$578),$B$427=1),$J$578,HLOOKUP(INDIRECT(ADDRESS(2,COLUMN())),OFFSET($AM$2,0,0,ROW()-1,33),ROW()-1,FALSE))</f>
        <v>18384.258999999998</v>
      </c>
      <c r="K165">
        <f ca="1">IF(AND(ISNUMBER($K$578),$B$427=1),$K$578,HLOOKUP(INDIRECT(ADDRESS(2,COLUMN())),OFFSET($AM$2,0,0,ROW()-1,33),ROW()-1,FALSE))</f>
        <v>17891.636999999999</v>
      </c>
      <c r="L165">
        <f ca="1">IF(AND(ISNUMBER($L$578),$B$427=1),$L$578,HLOOKUP(INDIRECT(ADDRESS(2,COLUMN())),OFFSET($AM$2,0,0,ROW()-1,33),ROW()-1,FALSE))</f>
        <v>17273.179</v>
      </c>
      <c r="M165">
        <f ca="1">IF(AND(ISNUMBER($M$578),$B$427=1),$M$578,HLOOKUP(INDIRECT(ADDRESS(2,COLUMN())),OFFSET($AM$2,0,0,ROW()-1,33),ROW()-1,FALSE))</f>
        <v>16070.194</v>
      </c>
      <c r="N165">
        <f ca="1">IF(AND(ISNUMBER($N$578),$B$427=1),$N$578,HLOOKUP(INDIRECT(ADDRESS(2,COLUMN())),OFFSET($AM$2,0,0,ROW()-1,33),ROW()-1,FALSE))</f>
        <v>14163.602000000001</v>
      </c>
      <c r="O165">
        <f ca="1">IF(AND(ISNUMBER($O$578),$B$427=1),$O$578,HLOOKUP(INDIRECT(ADDRESS(2,COLUMN())),OFFSET($AM$2,0,0,ROW()-1,33),ROW()-1,FALSE))</f>
        <v>10226.071</v>
      </c>
      <c r="P165">
        <f ca="1">IF(AND(ISNUMBER($P$578),$B$427=1),$P$578,HLOOKUP(INDIRECT(ADDRESS(2,COLUMN())),OFFSET($AM$2,0,0,ROW()-1,33),ROW()-1,FALSE))</f>
        <v>9260.0810000000001</v>
      </c>
      <c r="Q165">
        <f ca="1">IF(AND(ISNUMBER($Q$578),$B$427=1),$Q$578,HLOOKUP(INDIRECT(ADDRESS(2,COLUMN())),OFFSET($AM$2,0,0,ROW()-1,33),ROW()-1,FALSE))</f>
        <v>7157.9470000000001</v>
      </c>
      <c r="R165">
        <f ca="1">IF(AND(ISNUMBER($R$578),$B$427=1),$R$578,HLOOKUP(INDIRECT(ADDRESS(2,COLUMN())),OFFSET($AM$2,0,0,ROW()-1,33),ROW()-1,FALSE))</f>
        <v>5436.8789999999999</v>
      </c>
      <c r="S165">
        <f ca="1">IF(AND(ISNUMBER($S$578),$B$427=1),$S$578,HLOOKUP(INDIRECT(ADDRESS(2,COLUMN())),OFFSET($AM$2,0,0,ROW()-1,33),ROW()-1,FALSE))</f>
        <v>6301.1610000000001</v>
      </c>
      <c r="T165">
        <f ca="1">IF(AND(ISNUMBER($T$578),$B$427=1),$T$578,HLOOKUP(INDIRECT(ADDRESS(2,COLUMN())),OFFSET($AM$2,0,0,ROW()-1,33),ROW()-1,FALSE))</f>
        <v>6335.6040000000003</v>
      </c>
      <c r="U165">
        <f ca="1">IF(AND(ISNUMBER($U$578),$B$427=1),$U$578,HLOOKUP(INDIRECT(ADDRESS(2,COLUMN())),OFFSET($AM$2,0,0,ROW()-1,33),ROW()-1,FALSE))</f>
        <v>4045.1709999999998</v>
      </c>
      <c r="V165">
        <f ca="1">IF(AND(ISNUMBER($V$578),$B$427=1),$V$578,HLOOKUP(INDIRECT(ADDRESS(2,COLUMN())),OFFSET($AM$2,0,0,ROW()-1,33),ROW()-1,FALSE))</f>
        <v>5272.3379999999997</v>
      </c>
      <c r="W165">
        <f ca="1">IF(AND(ISNUMBER($W$578),$B$427=1),$W$578,HLOOKUP(INDIRECT(ADDRESS(2,COLUMN())),OFFSET($AM$2,0,0,ROW()-1,33),ROW()-1,FALSE))</f>
        <v>5073.9440000000004</v>
      </c>
      <c r="X165">
        <f ca="1">IF(AND(ISNUMBER($X$578),$B$427=1),$X$578,HLOOKUP(INDIRECT(ADDRESS(2,COLUMN())),OFFSET($AM$2,0,0,ROW()-1,33),ROW()-1,FALSE))</f>
        <v>2996.6010000000001</v>
      </c>
      <c r="Y165">
        <f ca="1">IF(AND(ISNUMBER($Y$578),$B$427=1),$Y$578,HLOOKUP(INDIRECT(ADDRESS(2,COLUMN())),OFFSET($AM$2,0,0,ROW()-1,33),ROW()-1,FALSE))</f>
        <v>2776.3049999999998</v>
      </c>
      <c r="Z165">
        <f ca="1">IF(AND(ISNUMBER($Z$578),$B$427=1),$Z$578,HLOOKUP(INDIRECT(ADDRESS(2,COLUMN())),OFFSET($AM$2,0,0,ROW()-1,33),ROW()-1,FALSE))</f>
        <v>2594.08</v>
      </c>
      <c r="AA165">
        <f ca="1">IF(AND(ISNUMBER($AA$578),$B$427=1),$AA$578,HLOOKUP(INDIRECT(ADDRESS(2,COLUMN())),OFFSET($AM$2,0,0,ROW()-1,33),ROW()-1,FALSE))</f>
        <v>3654.1849999999999</v>
      </c>
      <c r="AB165">
        <f ca="1">IF(AND(ISNUMBER($AB$578),$B$427=1),$AB$578,HLOOKUP(INDIRECT(ADDRESS(2,COLUMN())),OFFSET($AM$2,0,0,ROW()-1,33),ROW()-1,FALSE))</f>
        <v>3611.7350000000001</v>
      </c>
      <c r="AC165">
        <f ca="1">IF(AND(ISNUMBER($AC$578),$B$427=1),$AC$578,HLOOKUP(INDIRECT(ADDRESS(2,COLUMN())),OFFSET($AM$2,0,0,ROW()-1,33),ROW()-1,FALSE))</f>
        <v>3484.8890000000001</v>
      </c>
      <c r="AD165">
        <f ca="1">IF(AND(ISNUMBER($AD$578),$B$427=1),$AD$578,HLOOKUP(INDIRECT(ADDRESS(2,COLUMN())),OFFSET($AM$2,0,0,ROW()-1,33),ROW()-1,FALSE))</f>
        <v>3140.5920000000001</v>
      </c>
      <c r="AE165">
        <f ca="1">IF(AND(ISNUMBER($AE$578),$B$427=1),$AE$578,HLOOKUP(INDIRECT(ADDRESS(2,COLUMN())),OFFSET($AM$2,0,0,ROW()-1,33),ROW()-1,FALSE))</f>
        <v>4205.0060000000003</v>
      </c>
      <c r="AF165">
        <f ca="1">IF(AND(ISNUMBER($AF$578),$B$427=1),$AF$578,HLOOKUP(INDIRECT(ADDRESS(2,COLUMN())),OFFSET($AM$2,0,0,ROW()-1,33),ROW()-1,FALSE))</f>
        <v>4679.8609999999999</v>
      </c>
      <c r="AG165">
        <f ca="1">IF(AND(ISNUMBER($AG$578),$B$427=1),$AG$578,HLOOKUP(INDIRECT(ADDRESS(2,COLUMN())),OFFSET($AM$2,0,0,ROW()-1,33),ROW()-1,FALSE))</f>
        <v>4509.97</v>
      </c>
      <c r="AH165">
        <f ca="1">IF(AND(ISNUMBER($AH$578),$B$427=1),$AH$578,HLOOKUP(INDIRECT(ADDRESS(2,COLUMN())),OFFSET($AM$2,0,0,ROW()-1,33),ROW()-1,FALSE))</f>
        <v>3988.0279999999998</v>
      </c>
      <c r="AI165">
        <f ca="1">IF(AND(ISNUMBER($AI$578),$B$427=1),$AI$578,HLOOKUP(INDIRECT(ADDRESS(2,COLUMN())),OFFSET($AM$2,0,0,ROW()-1,33),ROW()-1,FALSE))</f>
        <v>3870.2689999999998</v>
      </c>
      <c r="AJ165">
        <f ca="1">IF(AND(ISNUMBER($AJ$578),$B$427=1),$AJ$578,HLOOKUP(INDIRECT(ADDRESS(2,COLUMN())),OFFSET($AM$2,0,0,ROW()-1,33),ROW()-1,FALSE))</f>
        <v>3532.0120000000002</v>
      </c>
      <c r="AK165">
        <f ca="1">IF(AND(ISNUMBER($AK$578),$B$427=1),$AK$578,HLOOKUP(INDIRECT(ADDRESS(2,COLUMN())),OFFSET($AM$2,0,0,ROW()-1,33),ROW()-1,FALSE))</f>
        <v>3040.9609999999998</v>
      </c>
      <c r="AL165">
        <f ca="1">IF(AND(ISNUMBER($AL$578),$B$427=1),$AL$578,HLOOKUP(INDIRECT(ADDRESS(2,COLUMN())),OFFSET($AM$2,0,0,ROW()-1,33),ROW()-1,FALSE))</f>
        <v>2407.6410000000001</v>
      </c>
      <c r="AM165">
        <f>22731.822</f>
        <v>22731.822</v>
      </c>
      <c r="AN165">
        <f>20265.987</f>
        <v>20265.987000000001</v>
      </c>
      <c r="AO165">
        <f>21115.135</f>
        <v>21115.134999999998</v>
      </c>
      <c r="AP165">
        <f>20853.849</f>
        <v>20853.848999999998</v>
      </c>
      <c r="AQ165">
        <f>18384.259</f>
        <v>18384.258999999998</v>
      </c>
      <c r="AR165">
        <f>17891.637</f>
        <v>17891.636999999999</v>
      </c>
      <c r="AS165">
        <f>17273.179</f>
        <v>17273.179</v>
      </c>
      <c r="AT165">
        <f>16070.194</f>
        <v>16070.194</v>
      </c>
      <c r="AU165">
        <f>14163.602</f>
        <v>14163.602000000001</v>
      </c>
      <c r="AV165">
        <f>10226.071</f>
        <v>10226.071</v>
      </c>
      <c r="AW165">
        <f>9260.081</f>
        <v>9260.0810000000001</v>
      </c>
      <c r="AX165">
        <f>7157.947</f>
        <v>7157.9470000000001</v>
      </c>
      <c r="AY165">
        <f>5436.879</f>
        <v>5436.8789999999999</v>
      </c>
      <c r="AZ165">
        <f>6301.161</f>
        <v>6301.1610000000001</v>
      </c>
      <c r="BA165">
        <f>6335.604</f>
        <v>6335.6040000000003</v>
      </c>
      <c r="BB165">
        <f>4045.171</f>
        <v>4045.1709999999998</v>
      </c>
      <c r="BC165">
        <f>5272.338</f>
        <v>5272.3379999999997</v>
      </c>
      <c r="BD165">
        <f>5073.944</f>
        <v>5073.9440000000004</v>
      </c>
      <c r="BE165">
        <f>2996.601</f>
        <v>2996.6010000000001</v>
      </c>
      <c r="BF165">
        <f>2776.305</f>
        <v>2776.3049999999998</v>
      </c>
      <c r="BG165">
        <f>2594.08</f>
        <v>2594.08</v>
      </c>
      <c r="BH165">
        <f>3654.185</f>
        <v>3654.1849999999999</v>
      </c>
      <c r="BI165">
        <f>3611.735</f>
        <v>3611.7350000000001</v>
      </c>
      <c r="BJ165">
        <f>3484.889</f>
        <v>3484.8890000000001</v>
      </c>
      <c r="BK165">
        <f>3140.592</f>
        <v>3140.5920000000001</v>
      </c>
      <c r="BL165">
        <f>4205.006</f>
        <v>4205.0060000000003</v>
      </c>
      <c r="BM165">
        <f>4679.861</f>
        <v>4679.8609999999999</v>
      </c>
      <c r="BN165">
        <f>4509.97</f>
        <v>4509.97</v>
      </c>
      <c r="BO165">
        <f>3988.028</f>
        <v>3988.0279999999998</v>
      </c>
      <c r="BP165">
        <f>3870.269</f>
        <v>3870.2689999999998</v>
      </c>
      <c r="BQ165">
        <f>3532.012</f>
        <v>3532.0120000000002</v>
      </c>
      <c r="BR165">
        <f>3040.961</f>
        <v>3040.9609999999998</v>
      </c>
      <c r="BS165">
        <f>2407.641</f>
        <v>2407.6410000000001</v>
      </c>
    </row>
    <row r="166" spans="1:71" x14ac:dyDescent="0.25">
      <c r="A166" t="str">
        <f>"        JPMorgan Chase &amp; Co"</f>
        <v xml:space="preserve">        JPMorgan Chase &amp; Co</v>
      </c>
      <c r="B166" t="str">
        <f>"JPM US Equity"</f>
        <v>JPM US Equity</v>
      </c>
      <c r="C166" t="str">
        <f t="shared" si="21"/>
        <v>F0091</v>
      </c>
      <c r="D166" t="str">
        <f t="shared" si="22"/>
        <v>FED_CONSUMER_LOANS_&amp;_LEASES_CONS</v>
      </c>
      <c r="E166" t="str">
        <f t="shared" si="23"/>
        <v>Dynamic</v>
      </c>
      <c r="F166">
        <f ca="1">IF(AND(ISNUMBER($F$579),$B$427=1),$F$579,HLOOKUP(INDIRECT(ADDRESS(2,COLUMN())),OFFSET($AM$2,0,0,ROW()-1,33),ROW()-1,FALSE))</f>
        <v>285330</v>
      </c>
      <c r="G166">
        <f ca="1">IF(AND(ISNUMBER($G$579),$B$427=1),$G$579,HLOOKUP(INDIRECT(ADDRESS(2,COLUMN())),OFFSET($AM$2,0,0,ROW()-1,33),ROW()-1,FALSE))</f>
        <v>275548</v>
      </c>
      <c r="H166">
        <f ca="1">IF(AND(ISNUMBER($H$579),$B$427=1),$H$579,HLOOKUP(INDIRECT(ADDRESS(2,COLUMN())),OFFSET($AM$2,0,0,ROW()-1,33),ROW()-1,FALSE))</f>
        <v>246411</v>
      </c>
      <c r="I166">
        <f ca="1">IF(AND(ISNUMBER($I$579),$B$427=1),$I$579,HLOOKUP(INDIRECT(ADDRESS(2,COLUMN())),OFFSET($AM$2,0,0,ROW()-1,33),ROW()-1,FALSE))</f>
        <v>220532</v>
      </c>
      <c r="J166">
        <f ca="1">IF(AND(ISNUMBER($J$579),$B$427=1),$J$579,HLOOKUP(INDIRECT(ADDRESS(2,COLUMN())),OFFSET($AM$2,0,0,ROW()-1,33),ROW()-1,FALSE))</f>
        <v>199932</v>
      </c>
      <c r="K166">
        <f ca="1">IF(AND(ISNUMBER($K$579),$B$427=1),$K$579,HLOOKUP(INDIRECT(ADDRESS(2,COLUMN())),OFFSET($AM$2,0,0,ROW()-1,33),ROW()-1,FALSE))</f>
        <v>212966</v>
      </c>
      <c r="L166">
        <f ca="1">IF(AND(ISNUMBER($L$579),$B$427=1),$L$579,HLOOKUP(INDIRECT(ADDRESS(2,COLUMN())),OFFSET($AM$2,0,0,ROW()-1,33),ROW()-1,FALSE))</f>
        <v>203661</v>
      </c>
      <c r="M166">
        <f ca="1">IF(AND(ISNUMBER($M$579),$B$427=1),$M$579,HLOOKUP(INDIRECT(ADDRESS(2,COLUMN())),OFFSET($AM$2,0,0,ROW()-1,33),ROW()-1,FALSE))</f>
        <v>200963</v>
      </c>
      <c r="N166">
        <f ca="1">IF(AND(ISNUMBER($N$579),$B$427=1),$N$579,HLOOKUP(INDIRECT(ADDRESS(2,COLUMN())),OFFSET($AM$2,0,0,ROW()-1,33),ROW()-1,FALSE))</f>
        <v>201962</v>
      </c>
      <c r="O166">
        <f ca="1">IF(AND(ISNUMBER($O$579),$B$427=1),$O$579,HLOOKUP(INDIRECT(ADDRESS(2,COLUMN())),OFFSET($AM$2,0,0,ROW()-1,33),ROW()-1,FALSE))</f>
        <v>189481</v>
      </c>
      <c r="P166">
        <f ca="1">IF(AND(ISNUMBER($P$579),$B$427=1),$P$579,HLOOKUP(INDIRECT(ADDRESS(2,COLUMN())),OFFSET($AM$2,0,0,ROW()-1,33),ROW()-1,FALSE))</f>
        <v>187015</v>
      </c>
      <c r="Q166">
        <f ca="1">IF(AND(ISNUMBER($Q$579),$B$427=1),$Q$579,HLOOKUP(INDIRECT(ADDRESS(2,COLUMN())),OFFSET($AM$2,0,0,ROW()-1,33),ROW()-1,FALSE))</f>
        <v>181587</v>
      </c>
      <c r="R166">
        <f ca="1">IF(AND(ISNUMBER($R$579),$B$427=1),$R$579,HLOOKUP(INDIRECT(ADDRESS(2,COLUMN())),OFFSET($AM$2,0,0,ROW()-1,33),ROW()-1,FALSE))</f>
        <v>180720</v>
      </c>
      <c r="S166">
        <f ca="1">IF(AND(ISNUMBER($S$579),$B$427=1),$S$579,HLOOKUP(INDIRECT(ADDRESS(2,COLUMN())),OFFSET($AM$2,0,0,ROW()-1,33),ROW()-1,FALSE))</f>
        <v>182248</v>
      </c>
      <c r="T166">
        <f ca="1">IF(AND(ISNUMBER($T$579),$B$427=1),$T$579,HLOOKUP(INDIRECT(ADDRESS(2,COLUMN())),OFFSET($AM$2,0,0,ROW()-1,33),ROW()-1,FALSE))</f>
        <v>189783</v>
      </c>
      <c r="U166">
        <f ca="1">IF(AND(ISNUMBER($U$579),$B$427=1),$U$579,HLOOKUP(INDIRECT(ADDRESS(2,COLUMN())),OFFSET($AM$2,0,0,ROW()-1,33),ROW()-1,FALSE))</f>
        <v>129254</v>
      </c>
      <c r="V166">
        <f ca="1">IF(AND(ISNUMBER($V$579),$B$427=1),$V$579,HLOOKUP(INDIRECT(ADDRESS(2,COLUMN())),OFFSET($AM$2,0,0,ROW()-1,33),ROW()-1,FALSE))</f>
        <v>151425</v>
      </c>
      <c r="W166">
        <f ca="1">IF(AND(ISNUMBER($W$579),$B$427=1),$W$579,HLOOKUP(INDIRECT(ADDRESS(2,COLUMN())),OFFSET($AM$2,0,0,ROW()-1,33),ROW()-1,FALSE))</f>
        <v>126947</v>
      </c>
      <c r="X166">
        <f ca="1">IF(AND(ISNUMBER($X$579),$B$427=1),$X$579,HLOOKUP(INDIRECT(ADDRESS(2,COLUMN())),OFFSET($AM$2,0,0,ROW()-1,33),ROW()-1,FALSE))</f>
        <v>127458</v>
      </c>
      <c r="Y166">
        <f ca="1">IF(AND(ISNUMBER($Y$579),$B$427=1),$Y$579,HLOOKUP(INDIRECT(ADDRESS(2,COLUMN())),OFFSET($AM$2,0,0,ROW()-1,33),ROW()-1,FALSE))</f>
        <v>128845</v>
      </c>
      <c r="Z166">
        <f ca="1">IF(AND(ISNUMBER($Z$579),$B$427=1),$Z$579,HLOOKUP(INDIRECT(ADDRESS(2,COLUMN())),OFFSET($AM$2,0,0,ROW()-1,33),ROW()-1,FALSE))</f>
        <v>113756</v>
      </c>
      <c r="AA166">
        <f ca="1">IF(AND(ISNUMBER($AA$579),$B$427=1),$AA$579,HLOOKUP(INDIRECT(ADDRESS(2,COLUMN())),OFFSET($AM$2,0,0,ROW()-1,33),ROW()-1,FALSE))</f>
        <v>54252</v>
      </c>
      <c r="AB166">
        <f ca="1">IF(AND(ISNUMBER($AB$579),$B$427=1),$AB$579,HLOOKUP(INDIRECT(ADDRESS(2,COLUMN())),OFFSET($AM$2,0,0,ROW()-1,33),ROW()-1,FALSE))</f>
        <v>52445</v>
      </c>
      <c r="AC166">
        <f ca="1">IF(AND(ISNUMBER($AC$579),$B$427=1),$AC$579,HLOOKUP(INDIRECT(ADDRESS(2,COLUMN())),OFFSET($AM$2,0,0,ROW()-1,33),ROW()-1,FALSE))</f>
        <v>45823</v>
      </c>
      <c r="AD166">
        <f ca="1">IF(AND(ISNUMBER($AD$579),$B$427=1),$AD$579,HLOOKUP(INDIRECT(ADDRESS(2,COLUMN())),OFFSET($AM$2,0,0,ROW()-1,33),ROW()-1,FALSE))</f>
        <v>40436.999000000003</v>
      </c>
      <c r="AE166">
        <f ca="1">IF(AND(ISNUMBER($AE$579),$B$427=1),$AE$579,HLOOKUP(INDIRECT(ADDRESS(2,COLUMN())),OFFSET($AM$2,0,0,ROW()-1,33),ROW()-1,FALSE))</f>
        <v>35916.714999999997</v>
      </c>
      <c r="AF166">
        <f ca="1">IF(AND(ISNUMBER($AF$579),$B$427=1),$AF$579,HLOOKUP(INDIRECT(ADDRESS(2,COLUMN())),OFFSET($AM$2,0,0,ROW()-1,33),ROW()-1,FALSE))</f>
        <v>34290.548000000003</v>
      </c>
      <c r="AG166">
        <f ca="1">IF(AND(ISNUMBER($AG$579),$B$427=1),$AG$579,HLOOKUP(INDIRECT(ADDRESS(2,COLUMN())),OFFSET($AM$2,0,0,ROW()-1,33),ROW()-1,FALSE))</f>
        <v>33359.981</v>
      </c>
      <c r="AH166" t="str">
        <f ca="1">IF(AND(ISNUMBER($AH$579),$B$427=1),$AH$579,HLOOKUP(INDIRECT(ADDRESS(2,COLUMN())),OFFSET($AM$2,0,0,ROW()-1,33),ROW()-1,FALSE))</f>
        <v/>
      </c>
      <c r="AI166" t="str">
        <f ca="1">IF(AND(ISNUMBER($AI$579),$B$427=1),$AI$579,HLOOKUP(INDIRECT(ADDRESS(2,COLUMN())),OFFSET($AM$2,0,0,ROW()-1,33),ROW()-1,FALSE))</f>
        <v/>
      </c>
      <c r="AJ166" t="str">
        <f ca="1">IF(AND(ISNUMBER($AJ$579),$B$427=1),$AJ$579,HLOOKUP(INDIRECT(ADDRESS(2,COLUMN())),OFFSET($AM$2,0,0,ROW()-1,33),ROW()-1,FALSE))</f>
        <v/>
      </c>
      <c r="AK166" t="str">
        <f ca="1">IF(AND(ISNUMBER($AK$579),$B$427=1),$AK$579,HLOOKUP(INDIRECT(ADDRESS(2,COLUMN())),OFFSET($AM$2,0,0,ROW()-1,33),ROW()-1,FALSE))</f>
        <v/>
      </c>
      <c r="AL166" t="str">
        <f ca="1">IF(AND(ISNUMBER($AL$579),$B$427=1),$AL$579,HLOOKUP(INDIRECT(ADDRESS(2,COLUMN())),OFFSET($AM$2,0,0,ROW()-1,33),ROW()-1,FALSE))</f>
        <v/>
      </c>
      <c r="AM166">
        <f>285330</f>
        <v>285330</v>
      </c>
      <c r="AN166">
        <f>275548</f>
        <v>275548</v>
      </c>
      <c r="AO166">
        <f>246411</f>
        <v>246411</v>
      </c>
      <c r="AP166">
        <f>220532</f>
        <v>220532</v>
      </c>
      <c r="AQ166">
        <f>199932</f>
        <v>199932</v>
      </c>
      <c r="AR166">
        <f>212966</f>
        <v>212966</v>
      </c>
      <c r="AS166">
        <f>203661</f>
        <v>203661</v>
      </c>
      <c r="AT166">
        <f>200963</f>
        <v>200963</v>
      </c>
      <c r="AU166">
        <f>201962</f>
        <v>201962</v>
      </c>
      <c r="AV166">
        <f>189481</f>
        <v>189481</v>
      </c>
      <c r="AW166">
        <f>187015</f>
        <v>187015</v>
      </c>
      <c r="AX166">
        <f>181587</f>
        <v>181587</v>
      </c>
      <c r="AY166">
        <f>180720</f>
        <v>180720</v>
      </c>
      <c r="AZ166">
        <f>182248</f>
        <v>182248</v>
      </c>
      <c r="BA166">
        <f>189783</f>
        <v>189783</v>
      </c>
      <c r="BB166">
        <f>129254</f>
        <v>129254</v>
      </c>
      <c r="BC166">
        <f>151425</f>
        <v>151425</v>
      </c>
      <c r="BD166">
        <f>126947</f>
        <v>126947</v>
      </c>
      <c r="BE166">
        <f>127458</f>
        <v>127458</v>
      </c>
      <c r="BF166">
        <f>128845</f>
        <v>128845</v>
      </c>
      <c r="BG166">
        <f>113756</f>
        <v>113756</v>
      </c>
      <c r="BH166">
        <f>54252</f>
        <v>54252</v>
      </c>
      <c r="BI166">
        <f>52445</f>
        <v>52445</v>
      </c>
      <c r="BJ166">
        <f>45823</f>
        <v>45823</v>
      </c>
      <c r="BK166">
        <f>40436.999</f>
        <v>40436.999000000003</v>
      </c>
      <c r="BL166">
        <f>35916.715</f>
        <v>35916.714999999997</v>
      </c>
      <c r="BM166">
        <f>34290.548</f>
        <v>34290.548000000003</v>
      </c>
      <c r="BN166">
        <f>33359.981</f>
        <v>33359.981</v>
      </c>
      <c r="BO166" t="str">
        <f>""</f>
        <v/>
      </c>
      <c r="BP166" t="str">
        <f>""</f>
        <v/>
      </c>
      <c r="BQ166" t="str">
        <f>""</f>
        <v/>
      </c>
      <c r="BR166" t="str">
        <f>""</f>
        <v/>
      </c>
      <c r="BS166" t="str">
        <f>""</f>
        <v/>
      </c>
    </row>
    <row r="167" spans="1:71" x14ac:dyDescent="0.25">
      <c r="A167" t="str">
        <f>"        KeyCorp"</f>
        <v xml:space="preserve">        KeyCorp</v>
      </c>
      <c r="B167" t="str">
        <f>"KEY US Equity"</f>
        <v>KEY US Equity</v>
      </c>
      <c r="C167" t="str">
        <f t="shared" si="21"/>
        <v>F0091</v>
      </c>
      <c r="D167" t="str">
        <f t="shared" si="22"/>
        <v>FED_CONSUMER_LOANS_&amp;_LEASES_CONS</v>
      </c>
      <c r="E167" t="str">
        <f t="shared" si="23"/>
        <v>Dynamic</v>
      </c>
      <c r="F167">
        <f ca="1">IF(AND(ISNUMBER($F$580),$B$427=1),$F$580,HLOOKUP(INDIRECT(ADDRESS(2,COLUMN())),OFFSET($AM$2,0,0,ROW()-1,33),ROW()-1,FALSE))</f>
        <v>6382.5140000000001</v>
      </c>
      <c r="G167">
        <f ca="1">IF(AND(ISNUMBER($G$580),$B$427=1),$G$580,HLOOKUP(INDIRECT(ADDRESS(2,COLUMN())),OFFSET($AM$2,0,0,ROW()-1,33),ROW()-1,FALSE))</f>
        <v>7255.43</v>
      </c>
      <c r="H167">
        <f ca="1">IF(AND(ISNUMBER($H$580),$B$427=1),$H$580,HLOOKUP(INDIRECT(ADDRESS(2,COLUMN())),OFFSET($AM$2,0,0,ROW()-1,33),ROW()-1,FALSE))</f>
        <v>8011.1480000000001</v>
      </c>
      <c r="I167">
        <f ca="1">IF(AND(ISNUMBER($I$580),$B$427=1),$I$580,HLOOKUP(INDIRECT(ADDRESS(2,COLUMN())),OFFSET($AM$2,0,0,ROW()-1,33),ROW()-1,FALSE))</f>
        <v>7361.8280000000004</v>
      </c>
      <c r="J167">
        <f ca="1">IF(AND(ISNUMBER($J$580),$B$427=1),$J$580,HLOOKUP(INDIRECT(ADDRESS(2,COLUMN())),OFFSET($AM$2,0,0,ROW()-1,33),ROW()-1,FALSE))</f>
        <v>11314.116</v>
      </c>
      <c r="K167">
        <f ca="1">IF(AND(ISNUMBER($K$580),$B$427=1),$K$580,HLOOKUP(INDIRECT(ADDRESS(2,COLUMN())),OFFSET($AM$2,0,0,ROW()-1,33),ROW()-1,FALSE))</f>
        <v>10234.895</v>
      </c>
      <c r="L167">
        <f ca="1">IF(AND(ISNUMBER($L$580),$B$427=1),$L$580,HLOOKUP(INDIRECT(ADDRESS(2,COLUMN())),OFFSET($AM$2,0,0,ROW()-1,33),ROW()-1,FALSE))</f>
        <v>7660.2610000000004</v>
      </c>
      <c r="M167">
        <f ca="1">IF(AND(ISNUMBER($M$580),$B$427=1),$M$580,HLOOKUP(INDIRECT(ADDRESS(2,COLUMN())),OFFSET($AM$2,0,0,ROW()-1,33),ROW()-1,FALSE))</f>
        <v>7474.7439999999997</v>
      </c>
      <c r="N167">
        <f ca="1">IF(AND(ISNUMBER($N$580),$B$427=1),$N$580,HLOOKUP(INDIRECT(ADDRESS(2,COLUMN())),OFFSET($AM$2,0,0,ROW()-1,33),ROW()-1,FALSE))</f>
        <v>7473.3590000000004</v>
      </c>
      <c r="O167">
        <f ca="1">IF(AND(ISNUMBER($O$580),$B$427=1),$O$580,HLOOKUP(INDIRECT(ADDRESS(2,COLUMN())),OFFSET($AM$2,0,0,ROW()-1,33),ROW()-1,FALSE))</f>
        <v>4854.3410000000003</v>
      </c>
      <c r="P167">
        <f ca="1">IF(AND(ISNUMBER($P$580),$B$427=1),$P$580,HLOOKUP(INDIRECT(ADDRESS(2,COLUMN())),OFFSET($AM$2,0,0,ROW()-1,33),ROW()-1,FALSE))</f>
        <v>5437.5069999999996</v>
      </c>
      <c r="Q167">
        <f ca="1">IF(AND(ISNUMBER($Q$580),$B$427=1),$Q$580,HLOOKUP(INDIRECT(ADDRESS(2,COLUMN())),OFFSET($AM$2,0,0,ROW()-1,33),ROW()-1,FALSE))</f>
        <v>7765.28</v>
      </c>
      <c r="R167">
        <f ca="1">IF(AND(ISNUMBER($R$580),$B$427=1),$R$580,HLOOKUP(INDIRECT(ADDRESS(2,COLUMN())),OFFSET($AM$2,0,0,ROW()-1,33),ROW()-1,FALSE))</f>
        <v>8731.0259999999998</v>
      </c>
      <c r="S167">
        <f ca="1">IF(AND(ISNUMBER($S$580),$B$427=1),$S$580,HLOOKUP(INDIRECT(ADDRESS(2,COLUMN())),OFFSET($AM$2,0,0,ROW()-1,33),ROW()-1,FALSE))</f>
        <v>8895.4940000000006</v>
      </c>
      <c r="T167">
        <f ca="1">IF(AND(ISNUMBER($T$580),$B$427=1),$T$580,HLOOKUP(INDIRECT(ADDRESS(2,COLUMN())),OFFSET($AM$2,0,0,ROW()-1,33),ROW()-1,FALSE))</f>
        <v>10027.853999999999</v>
      </c>
      <c r="U167">
        <f ca="1">IF(AND(ISNUMBER($U$580),$B$427=1),$U$580,HLOOKUP(INDIRECT(ADDRESS(2,COLUMN())),OFFSET($AM$2,0,0,ROW()-1,33),ROW()-1,FALSE))</f>
        <v>8140.4709999999995</v>
      </c>
      <c r="V167">
        <f ca="1">IF(AND(ISNUMBER($V$580),$B$427=1),$V$580,HLOOKUP(INDIRECT(ADDRESS(2,COLUMN())),OFFSET($AM$2,0,0,ROW()-1,33),ROW()-1,FALSE))</f>
        <v>8988.7759999999998</v>
      </c>
      <c r="W167">
        <f ca="1">IF(AND(ISNUMBER($W$580),$B$427=1),$W$580,HLOOKUP(INDIRECT(ADDRESS(2,COLUMN())),OFFSET($AM$2,0,0,ROW()-1,33),ROW()-1,FALSE))</f>
        <v>8790.8799999999992</v>
      </c>
      <c r="X167">
        <f ca="1">IF(AND(ISNUMBER($X$580),$B$427=1),$X$580,HLOOKUP(INDIRECT(ADDRESS(2,COLUMN())),OFFSET($AM$2,0,0,ROW()-1,33),ROW()-1,FALSE))</f>
        <v>7549.64</v>
      </c>
      <c r="Y167">
        <f ca="1">IF(AND(ISNUMBER($Y$580),$B$427=1),$Y$580,HLOOKUP(INDIRECT(ADDRESS(2,COLUMN())),OFFSET($AM$2,0,0,ROW()-1,33),ROW()-1,FALSE))</f>
        <v>7658.674</v>
      </c>
      <c r="Z167">
        <f ca="1">IF(AND(ISNUMBER($Z$580),$B$427=1),$Z$580,HLOOKUP(INDIRECT(ADDRESS(2,COLUMN())),OFFSET($AM$2,0,0,ROW()-1,33),ROW()-1,FALSE))</f>
        <v>9003</v>
      </c>
      <c r="AA167">
        <f ca="1">IF(AND(ISNUMBER($AA$580),$B$427=1),$AA$580,HLOOKUP(INDIRECT(ADDRESS(2,COLUMN())),OFFSET($AM$2,0,0,ROW()-1,33),ROW()-1,FALSE))</f>
        <v>9121.7489999999998</v>
      </c>
      <c r="AB167">
        <f ca="1">IF(AND(ISNUMBER($AB$580),$B$427=1),$AB$580,HLOOKUP(INDIRECT(ADDRESS(2,COLUMN())),OFFSET($AM$2,0,0,ROW()-1,33),ROW()-1,FALSE))</f>
        <v>8632.3389999999999</v>
      </c>
      <c r="AC167">
        <f ca="1">IF(AND(ISNUMBER($AC$580),$B$427=1),$AC$580,HLOOKUP(INDIRECT(ADDRESS(2,COLUMN())),OFFSET($AM$2,0,0,ROW()-1,33),ROW()-1,FALSE))</f>
        <v>9004.5239999999994</v>
      </c>
      <c r="AD167">
        <f ca="1">IF(AND(ISNUMBER($AD$580),$B$427=1),$AD$580,HLOOKUP(INDIRECT(ADDRESS(2,COLUMN())),OFFSET($AM$2,0,0,ROW()-1,33),ROW()-1,FALSE))</f>
        <v>9701.7729999999992</v>
      </c>
      <c r="AE167">
        <f ca="1">IF(AND(ISNUMBER($AE$580),$B$427=1),$AE$580,HLOOKUP(INDIRECT(ADDRESS(2,COLUMN())),OFFSET($AM$2,0,0,ROW()-1,33),ROW()-1,FALSE))</f>
        <v>11527.302</v>
      </c>
      <c r="AF167">
        <f ca="1">IF(AND(ISNUMBER($AF$580),$B$427=1),$AF$580,HLOOKUP(INDIRECT(ADDRESS(2,COLUMN())),OFFSET($AM$2,0,0,ROW()-1,33),ROW()-1,FALSE))</f>
        <v>13158.279</v>
      </c>
      <c r="AG167">
        <f ca="1">IF(AND(ISNUMBER($AG$580),$B$427=1),$AG$580,HLOOKUP(INDIRECT(ADDRESS(2,COLUMN())),OFFSET($AM$2,0,0,ROW()-1,33),ROW()-1,FALSE))</f>
        <v>11879.59</v>
      </c>
      <c r="AH167">
        <f ca="1">IF(AND(ISNUMBER($AH$580),$B$427=1),$AH$580,HLOOKUP(INDIRECT(ADDRESS(2,COLUMN())),OFFSET($AM$2,0,0,ROW()-1,33),ROW()-1,FALSE))</f>
        <v>13405.669</v>
      </c>
      <c r="AI167">
        <f ca="1">IF(AND(ISNUMBER($AI$580),$B$427=1),$AI$580,HLOOKUP(INDIRECT(ADDRESS(2,COLUMN())),OFFSET($AM$2,0,0,ROW()-1,33),ROW()-1,FALSE))</f>
        <v>12115.41</v>
      </c>
      <c r="AJ167">
        <f ca="1">IF(AND(ISNUMBER($AJ$580),$B$427=1),$AJ$580,HLOOKUP(INDIRECT(ADDRESS(2,COLUMN())),OFFSET($AM$2,0,0,ROW()-1,33),ROW()-1,FALSE))</f>
        <v>11999.71</v>
      </c>
      <c r="AK167">
        <f ca="1">IF(AND(ISNUMBER($AK$580),$B$427=1),$AK$580,HLOOKUP(INDIRECT(ADDRESS(2,COLUMN())),OFFSET($AM$2,0,0,ROW()-1,33),ROW()-1,FALSE))</f>
        <v>4915.9340000000002</v>
      </c>
      <c r="AL167">
        <f ca="1">IF(AND(ISNUMBER($AL$580),$B$427=1),$AL$580,HLOOKUP(INDIRECT(ADDRESS(2,COLUMN())),OFFSET($AM$2,0,0,ROW()-1,33),ROW()-1,FALSE))</f>
        <v>4316.5720000000001</v>
      </c>
      <c r="AM167">
        <f>6382.514</f>
        <v>6382.5140000000001</v>
      </c>
      <c r="AN167">
        <f>7255.43</f>
        <v>7255.43</v>
      </c>
      <c r="AO167">
        <f>8011.148</f>
        <v>8011.1480000000001</v>
      </c>
      <c r="AP167">
        <f>7361.828</f>
        <v>7361.8280000000004</v>
      </c>
      <c r="AQ167">
        <f>11314.116</f>
        <v>11314.116</v>
      </c>
      <c r="AR167">
        <f>10234.895</f>
        <v>10234.895</v>
      </c>
      <c r="AS167">
        <f>7660.261</f>
        <v>7660.2610000000004</v>
      </c>
      <c r="AT167">
        <f>7474.744</f>
        <v>7474.7439999999997</v>
      </c>
      <c r="AU167">
        <f>7473.359</f>
        <v>7473.3590000000004</v>
      </c>
      <c r="AV167">
        <f>4854.341</f>
        <v>4854.3410000000003</v>
      </c>
      <c r="AW167">
        <f>5437.507</f>
        <v>5437.5069999999996</v>
      </c>
      <c r="AX167">
        <f>7765.28</f>
        <v>7765.28</v>
      </c>
      <c r="AY167">
        <f>8731.026</f>
        <v>8731.0259999999998</v>
      </c>
      <c r="AZ167">
        <f>8895.494</f>
        <v>8895.4940000000006</v>
      </c>
      <c r="BA167">
        <f>10027.854</f>
        <v>10027.853999999999</v>
      </c>
      <c r="BB167">
        <f>8140.471</f>
        <v>8140.4709999999995</v>
      </c>
      <c r="BC167">
        <f>8988.776</f>
        <v>8988.7759999999998</v>
      </c>
      <c r="BD167">
        <f>8790.88</f>
        <v>8790.8799999999992</v>
      </c>
      <c r="BE167">
        <f>7549.64</f>
        <v>7549.64</v>
      </c>
      <c r="BF167">
        <f>7658.674</f>
        <v>7658.674</v>
      </c>
      <c r="BG167">
        <f>9003</f>
        <v>9003</v>
      </c>
      <c r="BH167">
        <f>9121.749</f>
        <v>9121.7489999999998</v>
      </c>
      <c r="BI167">
        <f>8632.339</f>
        <v>8632.3389999999999</v>
      </c>
      <c r="BJ167">
        <f>9004.524</f>
        <v>9004.5239999999994</v>
      </c>
      <c r="BK167">
        <f>9701.773</f>
        <v>9701.7729999999992</v>
      </c>
      <c r="BL167">
        <f>11527.302</f>
        <v>11527.302</v>
      </c>
      <c r="BM167">
        <f>13158.279</f>
        <v>13158.279</v>
      </c>
      <c r="BN167">
        <f>11879.59</f>
        <v>11879.59</v>
      </c>
      <c r="BO167">
        <f>13405.669</f>
        <v>13405.669</v>
      </c>
      <c r="BP167">
        <f>12115.41</f>
        <v>12115.41</v>
      </c>
      <c r="BQ167">
        <f>11999.71</f>
        <v>11999.71</v>
      </c>
      <c r="BR167">
        <f>4915.934</f>
        <v>4915.9340000000002</v>
      </c>
      <c r="BS167">
        <f>4316.572</f>
        <v>4316.5720000000001</v>
      </c>
    </row>
    <row r="168" spans="1:71" x14ac:dyDescent="0.25">
      <c r="A168" t="str">
        <f>"        M&amp;T Bank Corp"</f>
        <v xml:space="preserve">        M&amp;T Bank Corp</v>
      </c>
      <c r="B168" t="str">
        <f>"MTB US Equity"</f>
        <v>MTB US Equity</v>
      </c>
      <c r="C168" t="str">
        <f t="shared" si="21"/>
        <v>F0091</v>
      </c>
      <c r="D168" t="str">
        <f t="shared" si="22"/>
        <v>FED_CONSUMER_LOANS_&amp;_LEASES_CONS</v>
      </c>
      <c r="E168" t="str">
        <f t="shared" si="23"/>
        <v>Dynamic</v>
      </c>
      <c r="F168">
        <f ca="1">IF(AND(ISNUMBER($F$581),$B$427=1),$F$581,HLOOKUP(INDIRECT(ADDRESS(2,COLUMN())),OFFSET($AM$2,0,0,ROW()-1,33),ROW()-1,FALSE))</f>
        <v>19576.696</v>
      </c>
      <c r="G168">
        <f ca="1">IF(AND(ISNUMBER($G$581),$B$427=1),$G$581,HLOOKUP(INDIRECT(ADDRESS(2,COLUMN())),OFFSET($AM$2,0,0,ROW()-1,33),ROW()-1,FALSE))</f>
        <v>16141.504999999999</v>
      </c>
      <c r="H168">
        <f ca="1">IF(AND(ISNUMBER($H$581),$B$427=1),$H$581,HLOOKUP(INDIRECT(ADDRESS(2,COLUMN())),OFFSET($AM$2,0,0,ROW()-1,33),ROW()-1,FALSE))</f>
        <v>15583.188</v>
      </c>
      <c r="I168">
        <f ca="1">IF(AND(ISNUMBER($I$581),$B$427=1),$I$581,HLOOKUP(INDIRECT(ADDRESS(2,COLUMN())),OFFSET($AM$2,0,0,ROW()-1,33),ROW()-1,FALSE))</f>
        <v>14411.191999999999</v>
      </c>
      <c r="J168">
        <f ca="1">IF(AND(ISNUMBER($J$581),$B$427=1),$J$581,HLOOKUP(INDIRECT(ADDRESS(2,COLUMN())),OFFSET($AM$2,0,0,ROW()-1,33),ROW()-1,FALSE))</f>
        <v>12583.272000000001</v>
      </c>
      <c r="K168">
        <f ca="1">IF(AND(ISNUMBER($K$581),$B$427=1),$K$581,HLOOKUP(INDIRECT(ADDRESS(2,COLUMN())),OFFSET($AM$2,0,0,ROW()-1,33),ROW()-1,FALSE))</f>
        <v>10901.52</v>
      </c>
      <c r="L168">
        <f ca="1">IF(AND(ISNUMBER($L$581),$B$427=1),$L$581,HLOOKUP(INDIRECT(ADDRESS(2,COLUMN())),OFFSET($AM$2,0,0,ROW()-1,33),ROW()-1,FALSE))</f>
        <v>9105.3310000000001</v>
      </c>
      <c r="M168">
        <f ca="1">IF(AND(ISNUMBER($M$581),$B$427=1),$M$581,HLOOKUP(INDIRECT(ADDRESS(2,COLUMN())),OFFSET($AM$2,0,0,ROW()-1,33),ROW()-1,FALSE))</f>
        <v>7969.9830000000002</v>
      </c>
      <c r="N168">
        <f ca="1">IF(AND(ISNUMBER($N$581),$B$427=1),$N$581,HLOOKUP(INDIRECT(ADDRESS(2,COLUMN())),OFFSET($AM$2,0,0,ROW()-1,33),ROW()-1,FALSE))</f>
        <v>6500.4790000000003</v>
      </c>
      <c r="O168">
        <f ca="1">IF(AND(ISNUMBER($O$581),$B$427=1),$O$581,HLOOKUP(INDIRECT(ADDRESS(2,COLUMN())),OFFSET($AM$2,0,0,ROW()-1,33),ROW()-1,FALSE))</f>
        <v>5629.7380000000003</v>
      </c>
      <c r="P168">
        <f ca="1">IF(AND(ISNUMBER($P$581),$B$427=1),$P$581,HLOOKUP(INDIRECT(ADDRESS(2,COLUMN())),OFFSET($AM$2,0,0,ROW()-1,33),ROW()-1,FALSE))</f>
        <v>4943.1790000000001</v>
      </c>
      <c r="Q168">
        <f ca="1">IF(AND(ISNUMBER($Q$581),$B$427=1),$Q$581,HLOOKUP(INDIRECT(ADDRESS(2,COLUMN())),OFFSET($AM$2,0,0,ROW()-1,33),ROW()-1,FALSE))</f>
        <v>4152.5429999999997</v>
      </c>
      <c r="R168">
        <f ca="1">IF(AND(ISNUMBER($R$581),$B$427=1),$R$581,HLOOKUP(INDIRECT(ADDRESS(2,COLUMN())),OFFSET($AM$2,0,0,ROW()-1,33),ROW()-1,FALSE))</f>
        <v>5224.1729999999998</v>
      </c>
      <c r="S168">
        <f ca="1">IF(AND(ISNUMBER($S$581),$B$427=1),$S$581,HLOOKUP(INDIRECT(ADDRESS(2,COLUMN())),OFFSET($AM$2,0,0,ROW()-1,33),ROW()-1,FALSE))</f>
        <v>5336.4970000000003</v>
      </c>
      <c r="T168">
        <f ca="1">IF(AND(ISNUMBER($T$581),$B$427=1),$T$581,HLOOKUP(INDIRECT(ADDRESS(2,COLUMN())),OFFSET($AM$2,0,0,ROW()-1,33),ROW()-1,FALSE))</f>
        <v>4925.3209999999999</v>
      </c>
      <c r="U168">
        <f ca="1">IF(AND(ISNUMBER($U$581),$B$427=1),$U$581,HLOOKUP(INDIRECT(ADDRESS(2,COLUMN())),OFFSET($AM$2,0,0,ROW()-1,33),ROW()-1,FALSE))</f>
        <v>5203.43</v>
      </c>
      <c r="V168">
        <f ca="1">IF(AND(ISNUMBER($V$581),$B$427=1),$V$581,HLOOKUP(INDIRECT(ADDRESS(2,COLUMN())),OFFSET($AM$2,0,0,ROW()-1,33),ROW()-1,FALSE))</f>
        <v>5292.4889999999996</v>
      </c>
      <c r="W168">
        <f ca="1">IF(AND(ISNUMBER($W$581),$B$427=1),$W$581,HLOOKUP(INDIRECT(ADDRESS(2,COLUMN())),OFFSET($AM$2,0,0,ROW()-1,33),ROW()-1,FALSE))</f>
        <v>5772.87</v>
      </c>
      <c r="X168">
        <f ca="1">IF(AND(ISNUMBER($X$581),$B$427=1),$X$581,HLOOKUP(INDIRECT(ADDRESS(2,COLUMN())),OFFSET($AM$2,0,0,ROW()-1,33),ROW()-1,FALSE))</f>
        <v>4454.0720000000001</v>
      </c>
      <c r="Y168">
        <f ca="1">IF(AND(ISNUMBER($Y$581),$B$427=1),$Y$581,HLOOKUP(INDIRECT(ADDRESS(2,COLUMN())),OFFSET($AM$2,0,0,ROW()-1,33),ROW()-1,FALSE))</f>
        <v>5036.1809999999996</v>
      </c>
      <c r="Z168">
        <f ca="1">IF(AND(ISNUMBER($Z$581),$B$427=1),$Z$581,HLOOKUP(INDIRECT(ADDRESS(2,COLUMN())),OFFSET($AM$2,0,0,ROW()-1,33),ROW()-1,FALSE))</f>
        <v>5713.07</v>
      </c>
      <c r="AA168">
        <f ca="1">IF(AND(ISNUMBER($AA$581),$B$427=1),$AA$581,HLOOKUP(INDIRECT(ADDRESS(2,COLUMN())),OFFSET($AM$2,0,0,ROW()-1,33),ROW()-1,FALSE))</f>
        <v>5617.4620000000004</v>
      </c>
      <c r="AB168">
        <f ca="1">IF(AND(ISNUMBER($AB$581),$B$427=1),$AB$581,HLOOKUP(INDIRECT(ADDRESS(2,COLUMN())),OFFSET($AM$2,0,0,ROW()-1,33),ROW()-1,FALSE))</f>
        <v>4177.6170000000002</v>
      </c>
      <c r="AC168">
        <f ca="1">IF(AND(ISNUMBER($AC$581),$B$427=1),$AC$581,HLOOKUP(INDIRECT(ADDRESS(2,COLUMN())),OFFSET($AM$2,0,0,ROW()-1,33),ROW()-1,FALSE))</f>
        <v>3214.3739999999998</v>
      </c>
      <c r="AD168">
        <f ca="1">IF(AND(ISNUMBER($AD$581),$B$427=1),$AD$581,HLOOKUP(INDIRECT(ADDRESS(2,COLUMN())),OFFSET($AM$2,0,0,ROW()-1,33),ROW()-1,FALSE))</f>
        <v>2427.3180000000002</v>
      </c>
      <c r="AE168">
        <f ca="1">IF(AND(ISNUMBER($AE$581),$B$427=1),$AE$581,HLOOKUP(INDIRECT(ADDRESS(2,COLUMN())),OFFSET($AM$2,0,0,ROW()-1,33),ROW()-1,FALSE))</f>
        <v>1870.202</v>
      </c>
      <c r="AF168">
        <f ca="1">IF(AND(ISNUMBER($AF$581),$B$427=1),$AF$581,HLOOKUP(INDIRECT(ADDRESS(2,COLUMN())),OFFSET($AM$2,0,0,ROW()-1,33),ROW()-1,FALSE))</f>
        <v>1756.529</v>
      </c>
      <c r="AG168">
        <f ca="1">IF(AND(ISNUMBER($AG$581),$B$427=1),$AG$581,HLOOKUP(INDIRECT(ADDRESS(2,COLUMN())),OFFSET($AM$2,0,0,ROW()-1,33),ROW()-1,FALSE))</f>
        <v>1424.1869999999999</v>
      </c>
      <c r="AH168">
        <f ca="1">IF(AND(ISNUMBER($AH$581),$B$427=1),$AH$581,HLOOKUP(INDIRECT(ADDRESS(2,COLUMN())),OFFSET($AM$2,0,0,ROW()-1,33),ROW()-1,FALSE))</f>
        <v>1615.6379999999999</v>
      </c>
      <c r="AI168">
        <f ca="1">IF(AND(ISNUMBER($AI$581),$B$427=1),$AI$581,HLOOKUP(INDIRECT(ADDRESS(2,COLUMN())),OFFSET($AM$2,0,0,ROW()-1,33),ROW()-1,FALSE))</f>
        <v>1256.4839999999999</v>
      </c>
      <c r="AJ168">
        <f ca="1">IF(AND(ISNUMBER($AJ$581),$B$427=1),$AJ$581,HLOOKUP(INDIRECT(ADDRESS(2,COLUMN())),OFFSET($AM$2,0,0,ROW()-1,33),ROW()-1,FALSE))</f>
        <v>944.38300000000004</v>
      </c>
      <c r="AK168">
        <f ca="1">IF(AND(ISNUMBER($AK$581),$B$427=1),$AK$581,HLOOKUP(INDIRECT(ADDRESS(2,COLUMN())),OFFSET($AM$2,0,0,ROW()-1,33),ROW()-1,FALSE))</f>
        <v>638.923</v>
      </c>
      <c r="AL168">
        <f ca="1">IF(AND(ISNUMBER($AL$581),$B$427=1),$AL$581,HLOOKUP(INDIRECT(ADDRESS(2,COLUMN())),OFFSET($AM$2,0,0,ROW()-1,33),ROW()-1,FALSE))</f>
        <v>525.61099999999999</v>
      </c>
      <c r="AM168">
        <f>19576.696</f>
        <v>19576.696</v>
      </c>
      <c r="AN168">
        <f>16141.505</f>
        <v>16141.504999999999</v>
      </c>
      <c r="AO168">
        <f>15583.188</f>
        <v>15583.188</v>
      </c>
      <c r="AP168">
        <f>14411.192</f>
        <v>14411.191999999999</v>
      </c>
      <c r="AQ168">
        <f>12583.272</f>
        <v>12583.272000000001</v>
      </c>
      <c r="AR168">
        <f>10901.52</f>
        <v>10901.52</v>
      </c>
      <c r="AS168">
        <f>9105.331</f>
        <v>9105.3310000000001</v>
      </c>
      <c r="AT168">
        <f>7969.983</f>
        <v>7969.9830000000002</v>
      </c>
      <c r="AU168">
        <f>6500.479</f>
        <v>6500.4790000000003</v>
      </c>
      <c r="AV168">
        <f>5629.738</f>
        <v>5629.7380000000003</v>
      </c>
      <c r="AW168">
        <f>4943.179</f>
        <v>4943.1790000000001</v>
      </c>
      <c r="AX168">
        <f>4152.543</f>
        <v>4152.5429999999997</v>
      </c>
      <c r="AY168">
        <f>5224.173</f>
        <v>5224.1729999999998</v>
      </c>
      <c r="AZ168">
        <f>5336.497</f>
        <v>5336.4970000000003</v>
      </c>
      <c r="BA168">
        <f>4925.321</f>
        <v>4925.3209999999999</v>
      </c>
      <c r="BB168">
        <f>5203.43</f>
        <v>5203.43</v>
      </c>
      <c r="BC168">
        <f>5292.489</f>
        <v>5292.4889999999996</v>
      </c>
      <c r="BD168">
        <f>5772.87</f>
        <v>5772.87</v>
      </c>
      <c r="BE168">
        <f>4454.072</f>
        <v>4454.0720000000001</v>
      </c>
      <c r="BF168">
        <f>5036.181</f>
        <v>5036.1809999999996</v>
      </c>
      <c r="BG168">
        <f>5713.07</f>
        <v>5713.07</v>
      </c>
      <c r="BH168">
        <f>5617.462</f>
        <v>5617.4620000000004</v>
      </c>
      <c r="BI168">
        <f>4177.617</f>
        <v>4177.6170000000002</v>
      </c>
      <c r="BJ168">
        <f>3214.374</f>
        <v>3214.3739999999998</v>
      </c>
      <c r="BK168">
        <f>2427.318</f>
        <v>2427.3180000000002</v>
      </c>
      <c r="BL168">
        <f>1870.202</f>
        <v>1870.202</v>
      </c>
      <c r="BM168">
        <f>1756.529</f>
        <v>1756.529</v>
      </c>
      <c r="BN168">
        <f>1424.187</f>
        <v>1424.1869999999999</v>
      </c>
      <c r="BO168">
        <f>1615.638</f>
        <v>1615.6379999999999</v>
      </c>
      <c r="BP168">
        <f>1256.484</f>
        <v>1256.4839999999999</v>
      </c>
      <c r="BQ168">
        <f>944.383</f>
        <v>944.38300000000004</v>
      </c>
      <c r="BR168">
        <f>638.923</f>
        <v>638.923</v>
      </c>
      <c r="BS168">
        <f>525.611</f>
        <v>525.61099999999999</v>
      </c>
    </row>
    <row r="169" spans="1:71" x14ac:dyDescent="0.25">
      <c r="A169" t="str">
        <f>"        PNC Financial Services Group I"</f>
        <v xml:space="preserve">        PNC Financial Services Group I</v>
      </c>
      <c r="B169" t="str">
        <f>"PNC US Equity"</f>
        <v>PNC US Equity</v>
      </c>
      <c r="C169" t="str">
        <f t="shared" si="21"/>
        <v>F0091</v>
      </c>
      <c r="D169" t="str">
        <f t="shared" si="22"/>
        <v>FED_CONSUMER_LOANS_&amp;_LEASES_CONS</v>
      </c>
      <c r="E169" t="str">
        <f t="shared" si="23"/>
        <v>Dynamic</v>
      </c>
      <c r="F169" t="str">
        <f ca="1">IF(AND(ISNUMBER($F$582),$B$427=1),$F$582,HLOOKUP(INDIRECT(ADDRESS(2,COLUMN())),OFFSET($AM$2,0,0,ROW()-1,33),ROW()-1,FALSE))</f>
        <v/>
      </c>
      <c r="G169">
        <f ca="1">IF(AND(ISNUMBER($G$582),$B$427=1),$G$582,HLOOKUP(INDIRECT(ADDRESS(2,COLUMN())),OFFSET($AM$2,0,0,ROW()-1,33),ROW()-1,FALSE))</f>
        <v>27248.600999999999</v>
      </c>
      <c r="H169">
        <f ca="1">IF(AND(ISNUMBER($H$582),$B$427=1),$H$582,HLOOKUP(INDIRECT(ADDRESS(2,COLUMN())),OFFSET($AM$2,0,0,ROW()-1,33),ROW()-1,FALSE))</f>
        <v>28137.191999999999</v>
      </c>
      <c r="I169">
        <f ca="1">IF(AND(ISNUMBER($I$582),$B$427=1),$I$582,HLOOKUP(INDIRECT(ADDRESS(2,COLUMN())),OFFSET($AM$2,0,0,ROW()-1,33),ROW()-1,FALSE))</f>
        <v>30569.559000000001</v>
      </c>
      <c r="J169">
        <f ca="1">IF(AND(ISNUMBER($J$582),$B$427=1),$J$582,HLOOKUP(INDIRECT(ADDRESS(2,COLUMN())),OFFSET($AM$2,0,0,ROW()-1,33),ROW()-1,FALSE))</f>
        <v>27137.172999999999</v>
      </c>
      <c r="K169">
        <f ca="1">IF(AND(ISNUMBER($K$582),$B$427=1),$K$582,HLOOKUP(INDIRECT(ADDRESS(2,COLUMN())),OFFSET($AM$2,0,0,ROW()-1,33),ROW()-1,FALSE))</f>
        <v>31303.918000000001</v>
      </c>
      <c r="L169">
        <f ca="1">IF(AND(ISNUMBER($L$582),$B$427=1),$L$582,HLOOKUP(INDIRECT(ADDRESS(2,COLUMN())),OFFSET($AM$2,0,0,ROW()-1,33),ROW()-1,FALSE))</f>
        <v>28244.774000000001</v>
      </c>
      <c r="M169">
        <f ca="1">IF(AND(ISNUMBER($M$582),$B$427=1),$M$582,HLOOKUP(INDIRECT(ADDRESS(2,COLUMN())),OFFSET($AM$2,0,0,ROW()-1,33),ROW()-1,FALSE))</f>
        <v>26609.723000000002</v>
      </c>
      <c r="N169">
        <f ca="1">IF(AND(ISNUMBER($N$582),$B$427=1),$N$582,HLOOKUP(INDIRECT(ADDRESS(2,COLUMN())),OFFSET($AM$2,0,0,ROW()-1,33),ROW()-1,FALSE))</f>
        <v>26602.742999999999</v>
      </c>
      <c r="O169">
        <f ca="1">IF(AND(ISNUMBER($O$582),$B$427=1),$O$582,HLOOKUP(INDIRECT(ADDRESS(2,COLUMN())),OFFSET($AM$2,0,0,ROW()-1,33),ROW()-1,FALSE))</f>
        <v>25855.166000000001</v>
      </c>
      <c r="P169">
        <f ca="1">IF(AND(ISNUMBER($P$582),$B$427=1),$P$582,HLOOKUP(INDIRECT(ADDRESS(2,COLUMN())),OFFSET($AM$2,0,0,ROW()-1,33),ROW()-1,FALSE))</f>
        <v>26647.733</v>
      </c>
      <c r="Q169">
        <f ca="1">IF(AND(ISNUMBER($Q$582),$B$427=1),$Q$582,HLOOKUP(INDIRECT(ADDRESS(2,COLUMN())),OFFSET($AM$2,0,0,ROW()-1,33),ROW()-1,FALSE))</f>
        <v>26382.263999999999</v>
      </c>
      <c r="R169">
        <f ca="1">IF(AND(ISNUMBER($R$582),$B$427=1),$R$582,HLOOKUP(INDIRECT(ADDRESS(2,COLUMN())),OFFSET($AM$2,0,0,ROW()-1,33),ROW()-1,FALSE))</f>
        <v>25108.159</v>
      </c>
      <c r="S169">
        <f ca="1">IF(AND(ISNUMBER($S$582),$B$427=1),$S$582,HLOOKUP(INDIRECT(ADDRESS(2,COLUMN())),OFFSET($AM$2,0,0,ROW()-1,33),ROW()-1,FALSE))</f>
        <v>22509.131000000001</v>
      </c>
      <c r="T169">
        <f ca="1">IF(AND(ISNUMBER($T$582),$B$427=1),$T$582,HLOOKUP(INDIRECT(ADDRESS(2,COLUMN())),OFFSET($AM$2,0,0,ROW()-1,33),ROW()-1,FALSE))</f>
        <v>20237.092000000001</v>
      </c>
      <c r="U169">
        <f ca="1">IF(AND(ISNUMBER($U$582),$B$427=1),$U$582,HLOOKUP(INDIRECT(ADDRESS(2,COLUMN())),OFFSET($AM$2,0,0,ROW()-1,33),ROW()-1,FALSE))</f>
        <v>17196.655999999999</v>
      </c>
      <c r="V169">
        <f ca="1">IF(AND(ISNUMBER($V$582),$B$427=1),$V$582,HLOOKUP(INDIRECT(ADDRESS(2,COLUMN())),OFFSET($AM$2,0,0,ROW()-1,33),ROW()-1,FALSE))</f>
        <v>13826.05</v>
      </c>
      <c r="W169">
        <f ca="1">IF(AND(ISNUMBER($W$582),$B$427=1),$W$582,HLOOKUP(INDIRECT(ADDRESS(2,COLUMN())),OFFSET($AM$2,0,0,ROW()-1,33),ROW()-1,FALSE))</f>
        <v>5331.8919999999998</v>
      </c>
      <c r="X169">
        <f ca="1">IF(AND(ISNUMBER($X$582),$B$427=1),$X$582,HLOOKUP(INDIRECT(ADDRESS(2,COLUMN())),OFFSET($AM$2,0,0,ROW()-1,33),ROW()-1,FALSE))</f>
        <v>3967.3359999999998</v>
      </c>
      <c r="Y169">
        <f ca="1">IF(AND(ISNUMBER($Y$582),$B$427=1),$Y$582,HLOOKUP(INDIRECT(ADDRESS(2,COLUMN())),OFFSET($AM$2,0,0,ROW()-1,33),ROW()-1,FALSE))</f>
        <v>4228.38</v>
      </c>
      <c r="Z169">
        <f ca="1">IF(AND(ISNUMBER($Z$582),$B$427=1),$Z$582,HLOOKUP(INDIRECT(ADDRESS(2,COLUMN())),OFFSET($AM$2,0,0,ROW()-1,33),ROW()-1,FALSE))</f>
        <v>3868.433</v>
      </c>
      <c r="AA169">
        <f ca="1">IF(AND(ISNUMBER($AA$582),$B$427=1),$AA$582,HLOOKUP(INDIRECT(ADDRESS(2,COLUMN())),OFFSET($AM$2,0,0,ROW()-1,33),ROW()-1,FALSE))</f>
        <v>2553.837</v>
      </c>
      <c r="AB169">
        <f ca="1">IF(AND(ISNUMBER($AB$582),$B$427=1),$AB$582,HLOOKUP(INDIRECT(ADDRESS(2,COLUMN())),OFFSET($AM$2,0,0,ROW()-1,33),ROW()-1,FALSE))</f>
        <v>2690.759</v>
      </c>
      <c r="AC169">
        <f ca="1">IF(AND(ISNUMBER($AC$582),$B$427=1),$AC$582,HLOOKUP(INDIRECT(ADDRESS(2,COLUMN())),OFFSET($AM$2,0,0,ROW()-1,33),ROW()-1,FALSE))</f>
        <v>3359.748</v>
      </c>
      <c r="AD169">
        <f ca="1">IF(AND(ISNUMBER($AD$582),$B$427=1),$AD$582,HLOOKUP(INDIRECT(ADDRESS(2,COLUMN())),OFFSET($AM$2,0,0,ROW()-1,33),ROW()-1,FALSE))</f>
        <v>3670.8589999999999</v>
      </c>
      <c r="AE169">
        <f ca="1">IF(AND(ISNUMBER($AE$582),$B$427=1),$AE$582,HLOOKUP(INDIRECT(ADDRESS(2,COLUMN())),OFFSET($AM$2,0,0,ROW()-1,33),ROW()-1,FALSE))</f>
        <v>4441.7659999999996</v>
      </c>
      <c r="AF169">
        <f ca="1">IF(AND(ISNUMBER($AF$582),$B$427=1),$AF$582,HLOOKUP(INDIRECT(ADDRESS(2,COLUMN())),OFFSET($AM$2,0,0,ROW()-1,33),ROW()-1,FALSE))</f>
        <v>10942.688</v>
      </c>
      <c r="AG169">
        <f ca="1">IF(AND(ISNUMBER($AG$582),$B$427=1),$AG$582,HLOOKUP(INDIRECT(ADDRESS(2,COLUMN())),OFFSET($AM$2,0,0,ROW()-1,33),ROW()-1,FALSE))</f>
        <v>13746.334000000001</v>
      </c>
      <c r="AH169">
        <f ca="1">IF(AND(ISNUMBER($AH$582),$B$427=1),$AH$582,HLOOKUP(INDIRECT(ADDRESS(2,COLUMN())),OFFSET($AM$2,0,0,ROW()-1,33),ROW()-1,FALSE))</f>
        <v>10021.629000000001</v>
      </c>
      <c r="AI169">
        <f ca="1">IF(AND(ISNUMBER($AI$582),$B$427=1),$AI$582,HLOOKUP(INDIRECT(ADDRESS(2,COLUMN())),OFFSET($AM$2,0,0,ROW()-1,33),ROW()-1,FALSE))</f>
        <v>8525.9879999999994</v>
      </c>
      <c r="AJ169">
        <f ca="1">IF(AND(ISNUMBER($AJ$582),$B$427=1),$AJ$582,HLOOKUP(INDIRECT(ADDRESS(2,COLUMN())),OFFSET($AM$2,0,0,ROW()-1,33),ROW()-1,FALSE))</f>
        <v>6326.393</v>
      </c>
      <c r="AK169">
        <f ca="1">IF(AND(ISNUMBER($AK$582),$B$427=1),$AK$582,HLOOKUP(INDIRECT(ADDRESS(2,COLUMN())),OFFSET($AM$2,0,0,ROW()-1,33),ROW()-1,FALSE))</f>
        <v>5422.5219999999999</v>
      </c>
      <c r="AL169">
        <f ca="1">IF(AND(ISNUMBER($AL$582),$B$427=1),$AL$582,HLOOKUP(INDIRECT(ADDRESS(2,COLUMN())),OFFSET($AM$2,0,0,ROW()-1,33),ROW()-1,FALSE))</f>
        <v>5396.3689999999997</v>
      </c>
      <c r="AM169" t="str">
        <f>""</f>
        <v/>
      </c>
      <c r="AN169">
        <f>27248.601</f>
        <v>27248.600999999999</v>
      </c>
      <c r="AO169">
        <f>28137.192</f>
        <v>28137.191999999999</v>
      </c>
      <c r="AP169">
        <f>30569.559</f>
        <v>30569.559000000001</v>
      </c>
      <c r="AQ169">
        <f>27137.173</f>
        <v>27137.172999999999</v>
      </c>
      <c r="AR169">
        <f>31303.918</f>
        <v>31303.918000000001</v>
      </c>
      <c r="AS169">
        <f>28244.774</f>
        <v>28244.774000000001</v>
      </c>
      <c r="AT169">
        <f>26609.723</f>
        <v>26609.723000000002</v>
      </c>
      <c r="AU169">
        <f>26602.743</f>
        <v>26602.742999999999</v>
      </c>
      <c r="AV169">
        <f>25855.166</f>
        <v>25855.166000000001</v>
      </c>
      <c r="AW169">
        <f>26647.733</f>
        <v>26647.733</v>
      </c>
      <c r="AX169">
        <f>26382.264</f>
        <v>26382.263999999999</v>
      </c>
      <c r="AY169">
        <f>25108.159</f>
        <v>25108.159</v>
      </c>
      <c r="AZ169">
        <f>22509.131</f>
        <v>22509.131000000001</v>
      </c>
      <c r="BA169">
        <f>20237.092</f>
        <v>20237.092000000001</v>
      </c>
      <c r="BB169">
        <f>17196.656</f>
        <v>17196.655999999999</v>
      </c>
      <c r="BC169">
        <f>13826.05</f>
        <v>13826.05</v>
      </c>
      <c r="BD169">
        <f>5331.892</f>
        <v>5331.8919999999998</v>
      </c>
      <c r="BE169">
        <f>3967.336</f>
        <v>3967.3359999999998</v>
      </c>
      <c r="BF169">
        <f>4228.38</f>
        <v>4228.38</v>
      </c>
      <c r="BG169">
        <f>3868.433</f>
        <v>3868.433</v>
      </c>
      <c r="BH169">
        <f>2553.837</f>
        <v>2553.837</v>
      </c>
      <c r="BI169">
        <f>2690.759</f>
        <v>2690.759</v>
      </c>
      <c r="BJ169">
        <f>3359.748</f>
        <v>3359.748</v>
      </c>
      <c r="BK169">
        <f>3670.859</f>
        <v>3670.8589999999999</v>
      </c>
      <c r="BL169">
        <f>4441.766</f>
        <v>4441.7659999999996</v>
      </c>
      <c r="BM169">
        <f>10942.688</f>
        <v>10942.688</v>
      </c>
      <c r="BN169">
        <f>13746.334</f>
        <v>13746.334000000001</v>
      </c>
      <c r="BO169">
        <f>10021.629</f>
        <v>10021.629000000001</v>
      </c>
      <c r="BP169">
        <f>8525.988</f>
        <v>8525.9879999999994</v>
      </c>
      <c r="BQ169">
        <f>6326.393</f>
        <v>6326.393</v>
      </c>
      <c r="BR169">
        <f>5422.522</f>
        <v>5422.5219999999999</v>
      </c>
      <c r="BS169">
        <f>5396.369</f>
        <v>5396.3689999999997</v>
      </c>
    </row>
    <row r="170" spans="1:71" x14ac:dyDescent="0.25">
      <c r="A170" t="str">
        <f>"        Regions Financial Corp"</f>
        <v xml:space="preserve">        Regions Financial Corp</v>
      </c>
      <c r="B170" t="str">
        <f>"RF US Equity"</f>
        <v>RF US Equity</v>
      </c>
      <c r="C170" t="str">
        <f t="shared" si="21"/>
        <v>F0091</v>
      </c>
      <c r="D170" t="str">
        <f t="shared" si="22"/>
        <v>FED_CONSUMER_LOANS_&amp;_LEASES_CONS</v>
      </c>
      <c r="E170" t="str">
        <f t="shared" si="23"/>
        <v>Dynamic</v>
      </c>
      <c r="F170" t="str">
        <f ca="1">IF(AND(ISNUMBER($F$583),$B$427=1),$F$583,HLOOKUP(INDIRECT(ADDRESS(2,COLUMN())),OFFSET($AM$2,0,0,ROW()-1,33),ROW()-1,FALSE))</f>
        <v/>
      </c>
      <c r="G170">
        <f ca="1">IF(AND(ISNUMBER($G$583),$B$427=1),$G$583,HLOOKUP(INDIRECT(ADDRESS(2,COLUMN())),OFFSET($AM$2,0,0,ROW()-1,33),ROW()-1,FALSE))</f>
        <v>7873</v>
      </c>
      <c r="H170">
        <f ca="1">IF(AND(ISNUMBER($H$583),$B$427=1),$H$583,HLOOKUP(INDIRECT(ADDRESS(2,COLUMN())),OFFSET($AM$2,0,0,ROW()-1,33),ROW()-1,FALSE))</f>
        <v>7808</v>
      </c>
      <c r="I170">
        <f ca="1">IF(AND(ISNUMBER($I$583),$B$427=1),$I$583,HLOOKUP(INDIRECT(ADDRESS(2,COLUMN())),OFFSET($AM$2,0,0,ROW()-1,33),ROW()-1,FALSE))</f>
        <v>7960</v>
      </c>
      <c r="J170">
        <f ca="1">IF(AND(ISNUMBER($J$583),$B$427=1),$J$583,HLOOKUP(INDIRECT(ADDRESS(2,COLUMN())),OFFSET($AM$2,0,0,ROW()-1,33),ROW()-1,FALSE))</f>
        <v>5751</v>
      </c>
      <c r="K170">
        <f ca="1">IF(AND(ISNUMBER($K$583),$B$427=1),$K$583,HLOOKUP(INDIRECT(ADDRESS(2,COLUMN())),OFFSET($AM$2,0,0,ROW()-1,33),ROW()-1,FALSE))</f>
        <v>7692</v>
      </c>
      <c r="L170">
        <f ca="1">IF(AND(ISNUMBER($L$583),$B$427=1),$L$583,HLOOKUP(INDIRECT(ADDRESS(2,COLUMN())),OFFSET($AM$2,0,0,ROW()-1,33),ROW()-1,FALSE))</f>
        <v>7866.0119999999997</v>
      </c>
      <c r="M170">
        <f ca="1">IF(AND(ISNUMBER($M$583),$B$427=1),$M$583,HLOOKUP(INDIRECT(ADDRESS(2,COLUMN())),OFFSET($AM$2,0,0,ROW()-1,33),ROW()-1,FALSE))</f>
        <v>7148.4189999999999</v>
      </c>
      <c r="N170">
        <f ca="1">IF(AND(ISNUMBER($N$583),$B$427=1),$N$583,HLOOKUP(INDIRECT(ADDRESS(2,COLUMN())),OFFSET($AM$2,0,0,ROW()-1,33),ROW()-1,FALSE))</f>
        <v>7196.5129999999999</v>
      </c>
      <c r="O170">
        <f ca="1">IF(AND(ISNUMBER($O$583),$B$427=1),$O$583,HLOOKUP(INDIRECT(ADDRESS(2,COLUMN())),OFFSET($AM$2,0,0,ROW()-1,33),ROW()-1,FALSE))</f>
        <v>6553.5209999999997</v>
      </c>
      <c r="P170">
        <f ca="1">IF(AND(ISNUMBER($P$583),$B$427=1),$P$583,HLOOKUP(INDIRECT(ADDRESS(2,COLUMN())),OFFSET($AM$2,0,0,ROW()-1,33),ROW()-1,FALSE))</f>
        <v>5773.2190000000001</v>
      </c>
      <c r="Q170">
        <f ca="1">IF(AND(ISNUMBER($Q$583),$B$427=1),$Q$583,HLOOKUP(INDIRECT(ADDRESS(2,COLUMN())),OFFSET($AM$2,0,0,ROW()-1,33),ROW()-1,FALSE))</f>
        <v>5128.4139999999998</v>
      </c>
      <c r="R170">
        <f ca="1">IF(AND(ISNUMBER($R$583),$B$427=1),$R$583,HLOOKUP(INDIRECT(ADDRESS(2,COLUMN())),OFFSET($AM$2,0,0,ROW()-1,33),ROW()-1,FALSE))</f>
        <v>4368.143</v>
      </c>
      <c r="S170">
        <f ca="1">IF(AND(ISNUMBER($S$583),$B$427=1),$S$583,HLOOKUP(INDIRECT(ADDRESS(2,COLUMN())),OFFSET($AM$2,0,0,ROW()-1,33),ROW()-1,FALSE))</f>
        <v>3985.444</v>
      </c>
      <c r="T170">
        <f ca="1">IF(AND(ISNUMBER($T$583),$B$427=1),$T$583,HLOOKUP(INDIRECT(ADDRESS(2,COLUMN())),OFFSET($AM$2,0,0,ROW()-1,33),ROW()-1,FALSE))</f>
        <v>2703.3679999999999</v>
      </c>
      <c r="U170">
        <f ca="1">IF(AND(ISNUMBER($U$583),$B$427=1),$U$583,HLOOKUP(INDIRECT(ADDRESS(2,COLUMN())),OFFSET($AM$2,0,0,ROW()-1,33),ROW()-1,FALSE))</f>
        <v>3792.576</v>
      </c>
      <c r="V170">
        <f ca="1">IF(AND(ISNUMBER($V$583),$B$427=1),$V$583,HLOOKUP(INDIRECT(ADDRESS(2,COLUMN())),OFFSET($AM$2,0,0,ROW()-1,33),ROW()-1,FALSE))</f>
        <v>5151.4309999999996</v>
      </c>
      <c r="W170">
        <f ca="1">IF(AND(ISNUMBER($W$583),$B$427=1),$W$583,HLOOKUP(INDIRECT(ADDRESS(2,COLUMN())),OFFSET($AM$2,0,0,ROW()-1,33),ROW()-1,FALSE))</f>
        <v>5787.6419999999998</v>
      </c>
      <c r="X170">
        <f ca="1">IF(AND(ISNUMBER($X$583),$B$427=1),$X$583,HLOOKUP(INDIRECT(ADDRESS(2,COLUMN())),OFFSET($AM$2,0,0,ROW()-1,33),ROW()-1,FALSE))</f>
        <v>6371.9949999999999</v>
      </c>
      <c r="Y170">
        <f ca="1">IF(AND(ISNUMBER($Y$583),$B$427=1),$Y$583,HLOOKUP(INDIRECT(ADDRESS(2,COLUMN())),OFFSET($AM$2,0,0,ROW()-1,33),ROW()-1,FALSE))</f>
        <v>3390.538</v>
      </c>
      <c r="Z170">
        <f ca="1">IF(AND(ISNUMBER($Z$583),$B$427=1),$Z$583,HLOOKUP(INDIRECT(ADDRESS(2,COLUMN())),OFFSET($AM$2,0,0,ROW()-1,33),ROW()-1,FALSE))</f>
        <v>4064.1219999999998</v>
      </c>
      <c r="AA170" t="str">
        <f ca="1">IF(AND(ISNUMBER($AA$583),$B$427=1),$AA$583,HLOOKUP(INDIRECT(ADDRESS(2,COLUMN())),OFFSET($AM$2,0,0,ROW()-1,33),ROW()-1,FALSE))</f>
        <v/>
      </c>
      <c r="AB170" t="str">
        <f ca="1">IF(AND(ISNUMBER($AB$583),$B$427=1),$AB$583,HLOOKUP(INDIRECT(ADDRESS(2,COLUMN())),OFFSET($AM$2,0,0,ROW()-1,33),ROW()-1,FALSE))</f>
        <v/>
      </c>
      <c r="AC170" t="str">
        <f ca="1">IF(AND(ISNUMBER($AC$583),$B$427=1),$AC$583,HLOOKUP(INDIRECT(ADDRESS(2,COLUMN())),OFFSET($AM$2,0,0,ROW()-1,33),ROW()-1,FALSE))</f>
        <v/>
      </c>
      <c r="AD170" t="str">
        <f ca="1">IF(AND(ISNUMBER($AD$583),$B$427=1),$AD$583,HLOOKUP(INDIRECT(ADDRESS(2,COLUMN())),OFFSET($AM$2,0,0,ROW()-1,33),ROW()-1,FALSE))</f>
        <v/>
      </c>
      <c r="AE170" t="str">
        <f ca="1">IF(AND(ISNUMBER($AE$583),$B$427=1),$AE$583,HLOOKUP(INDIRECT(ADDRESS(2,COLUMN())),OFFSET($AM$2,0,0,ROW()-1,33),ROW()-1,FALSE))</f>
        <v/>
      </c>
      <c r="AF170" t="str">
        <f ca="1">IF(AND(ISNUMBER($AF$583),$B$427=1),$AF$583,HLOOKUP(INDIRECT(ADDRESS(2,COLUMN())),OFFSET($AM$2,0,0,ROW()-1,33),ROW()-1,FALSE))</f>
        <v/>
      </c>
      <c r="AG170" t="str">
        <f ca="1">IF(AND(ISNUMBER($AG$583),$B$427=1),$AG$583,HLOOKUP(INDIRECT(ADDRESS(2,COLUMN())),OFFSET($AM$2,0,0,ROW()-1,33),ROW()-1,FALSE))</f>
        <v/>
      </c>
      <c r="AH170" t="str">
        <f ca="1">IF(AND(ISNUMBER($AH$583),$B$427=1),$AH$583,HLOOKUP(INDIRECT(ADDRESS(2,COLUMN())),OFFSET($AM$2,0,0,ROW()-1,33),ROW()-1,FALSE))</f>
        <v/>
      </c>
      <c r="AI170" t="str">
        <f ca="1">IF(AND(ISNUMBER($AI$583),$B$427=1),$AI$583,HLOOKUP(INDIRECT(ADDRESS(2,COLUMN())),OFFSET($AM$2,0,0,ROW()-1,33),ROW()-1,FALSE))</f>
        <v/>
      </c>
      <c r="AJ170" t="str">
        <f ca="1">IF(AND(ISNUMBER($AJ$583),$B$427=1),$AJ$583,HLOOKUP(INDIRECT(ADDRESS(2,COLUMN())),OFFSET($AM$2,0,0,ROW()-1,33),ROW()-1,FALSE))</f>
        <v/>
      </c>
      <c r="AK170" t="str">
        <f ca="1">IF(AND(ISNUMBER($AK$583),$B$427=1),$AK$583,HLOOKUP(INDIRECT(ADDRESS(2,COLUMN())),OFFSET($AM$2,0,0,ROW()-1,33),ROW()-1,FALSE))</f>
        <v/>
      </c>
      <c r="AL170" t="str">
        <f ca="1">IF(AND(ISNUMBER($AL$583),$B$427=1),$AL$583,HLOOKUP(INDIRECT(ADDRESS(2,COLUMN())),OFFSET($AM$2,0,0,ROW()-1,33),ROW()-1,FALSE))</f>
        <v/>
      </c>
      <c r="AM170" t="str">
        <f>""</f>
        <v/>
      </c>
      <c r="AN170">
        <f>7873</f>
        <v>7873</v>
      </c>
      <c r="AO170">
        <f>7808</f>
        <v>7808</v>
      </c>
      <c r="AP170">
        <f>7960</f>
        <v>7960</v>
      </c>
      <c r="AQ170">
        <f>5751</f>
        <v>5751</v>
      </c>
      <c r="AR170">
        <f>7692</f>
        <v>7692</v>
      </c>
      <c r="AS170">
        <f>7866.012</f>
        <v>7866.0119999999997</v>
      </c>
      <c r="AT170">
        <f>7148.419</f>
        <v>7148.4189999999999</v>
      </c>
      <c r="AU170">
        <f>7196.513</f>
        <v>7196.5129999999999</v>
      </c>
      <c r="AV170">
        <f>6553.521</f>
        <v>6553.5209999999997</v>
      </c>
      <c r="AW170">
        <f>5773.219</f>
        <v>5773.2190000000001</v>
      </c>
      <c r="AX170">
        <f>5128.414</f>
        <v>5128.4139999999998</v>
      </c>
      <c r="AY170">
        <f>4368.143</f>
        <v>4368.143</v>
      </c>
      <c r="AZ170">
        <f>3985.444</f>
        <v>3985.444</v>
      </c>
      <c r="BA170">
        <f>2703.368</f>
        <v>2703.3679999999999</v>
      </c>
      <c r="BB170">
        <f>3792.576</f>
        <v>3792.576</v>
      </c>
      <c r="BC170">
        <f>5151.431</f>
        <v>5151.4309999999996</v>
      </c>
      <c r="BD170">
        <f>5787.642</f>
        <v>5787.6419999999998</v>
      </c>
      <c r="BE170">
        <f>6371.995</f>
        <v>6371.9949999999999</v>
      </c>
      <c r="BF170">
        <f>3390.538</f>
        <v>3390.538</v>
      </c>
      <c r="BG170">
        <f>4064.122</f>
        <v>4064.1219999999998</v>
      </c>
      <c r="BH170" t="str">
        <f>""</f>
        <v/>
      </c>
      <c r="BI170" t="str">
        <f>""</f>
        <v/>
      </c>
      <c r="BJ170" t="str">
        <f>""</f>
        <v/>
      </c>
      <c r="BK170" t="str">
        <f>""</f>
        <v/>
      </c>
      <c r="BL170" t="str">
        <f>""</f>
        <v/>
      </c>
      <c r="BM170" t="str">
        <f>""</f>
        <v/>
      </c>
      <c r="BN170" t="str">
        <f>""</f>
        <v/>
      </c>
      <c r="BO170" t="str">
        <f>""</f>
        <v/>
      </c>
      <c r="BP170" t="str">
        <f>""</f>
        <v/>
      </c>
      <c r="BQ170" t="str">
        <f>""</f>
        <v/>
      </c>
      <c r="BR170" t="str">
        <f>""</f>
        <v/>
      </c>
      <c r="BS170" t="str">
        <f>""</f>
        <v/>
      </c>
    </row>
    <row r="171" spans="1:71" x14ac:dyDescent="0.25">
      <c r="A171" t="str">
        <f>"        Truist Financial Corp"</f>
        <v xml:space="preserve">        Truist Financial Corp</v>
      </c>
      <c r="B171" t="str">
        <f>"TFC US Equity"</f>
        <v>TFC US Equity</v>
      </c>
      <c r="C171" t="str">
        <f t="shared" si="21"/>
        <v>F0091</v>
      </c>
      <c r="D171" t="str">
        <f t="shared" si="22"/>
        <v>FED_CONSUMER_LOANS_&amp;_LEASES_CONS</v>
      </c>
      <c r="E171" t="str">
        <f t="shared" si="23"/>
        <v>Dynamic</v>
      </c>
      <c r="F171">
        <f ca="1">IF(AND(ISNUMBER($F$584),$B$427=1),$F$584,HLOOKUP(INDIRECT(ADDRESS(2,COLUMN())),OFFSET($AM$2,0,0,ROW()-1,33),ROW()-1,FALSE))</f>
        <v>55037</v>
      </c>
      <c r="G171">
        <f ca="1">IF(AND(ISNUMBER($G$584),$B$427=1),$G$584,HLOOKUP(INDIRECT(ADDRESS(2,COLUMN())),OFFSET($AM$2,0,0,ROW()-1,33),ROW()-1,FALSE))</f>
        <v>53982</v>
      </c>
      <c r="H171">
        <f ca="1">IF(AND(ISNUMBER($H$584),$B$427=1),$H$584,HLOOKUP(INDIRECT(ADDRESS(2,COLUMN())),OFFSET($AM$2,0,0,ROW()-1,33),ROW()-1,FALSE))</f>
        <v>63225</v>
      </c>
      <c r="I171">
        <f ca="1">IF(AND(ISNUMBER($I$584),$B$427=1),$I$584,HLOOKUP(INDIRECT(ADDRESS(2,COLUMN())),OFFSET($AM$2,0,0,ROW()-1,33),ROW()-1,FALSE))</f>
        <v>60232</v>
      </c>
      <c r="J171">
        <f ca="1">IF(AND(ISNUMBER($J$584),$B$427=1),$J$584,HLOOKUP(INDIRECT(ADDRESS(2,COLUMN())),OFFSET($AM$2,0,0,ROW()-1,33),ROW()-1,FALSE))</f>
        <v>60113</v>
      </c>
      <c r="K171">
        <f ca="1">IF(AND(ISNUMBER($K$584),$B$427=1),$K$584,HLOOKUP(INDIRECT(ADDRESS(2,COLUMN())),OFFSET($AM$2,0,0,ROW()-1,33),ROW()-1,FALSE))</f>
        <v>58636</v>
      </c>
      <c r="L171">
        <f ca="1">IF(AND(ISNUMBER($L$584),$B$427=1),$L$584,HLOOKUP(INDIRECT(ADDRESS(2,COLUMN())),OFFSET($AM$2,0,0,ROW()-1,33),ROW()-1,FALSE))</f>
        <v>21842</v>
      </c>
      <c r="M171">
        <f ca="1">IF(AND(ISNUMBER($M$584),$B$427=1),$M$584,HLOOKUP(INDIRECT(ADDRESS(2,COLUMN())),OFFSET($AM$2,0,0,ROW()-1,33),ROW()-1,FALSE))</f>
        <v>21076</v>
      </c>
      <c r="N171">
        <f ca="1">IF(AND(ISNUMBER($N$584),$B$427=1),$N$584,HLOOKUP(INDIRECT(ADDRESS(2,COLUMN())),OFFSET($AM$2,0,0,ROW()-1,33),ROW()-1,FALSE))</f>
        <v>21828.941999999999</v>
      </c>
      <c r="O171">
        <f ca="1">IF(AND(ISNUMBER($O$584),$B$427=1),$O$584,HLOOKUP(INDIRECT(ADDRESS(2,COLUMN())),OFFSET($AM$2,0,0,ROW()-1,33),ROW()-1,FALSE))</f>
        <v>20062.512999999999</v>
      </c>
      <c r="P171">
        <f ca="1">IF(AND(ISNUMBER($P$584),$B$427=1),$P$584,HLOOKUP(INDIRECT(ADDRESS(2,COLUMN())),OFFSET($AM$2,0,0,ROW()-1,33),ROW()-1,FALSE))</f>
        <v>18657.503000000001</v>
      </c>
      <c r="Q171">
        <f ca="1">IF(AND(ISNUMBER($Q$584),$B$427=1),$Q$584,HLOOKUP(INDIRECT(ADDRESS(2,COLUMN())),OFFSET($AM$2,0,0,ROW()-1,33),ROW()-1,FALSE))</f>
        <v>16508.792000000001</v>
      </c>
      <c r="R171">
        <f ca="1">IF(AND(ISNUMBER($R$584),$B$427=1),$R$584,HLOOKUP(INDIRECT(ADDRESS(2,COLUMN())),OFFSET($AM$2,0,0,ROW()-1,33),ROW()-1,FALSE))</f>
        <v>14913.244000000001</v>
      </c>
      <c r="S171">
        <f ca="1">IF(AND(ISNUMBER($S$584),$B$427=1),$S$584,HLOOKUP(INDIRECT(ADDRESS(2,COLUMN())),OFFSET($AM$2,0,0,ROW()-1,33),ROW()-1,FALSE))</f>
        <v>13987.009</v>
      </c>
      <c r="T171">
        <f ca="1">IF(AND(ISNUMBER($T$584),$B$427=1),$T$584,HLOOKUP(INDIRECT(ADDRESS(2,COLUMN())),OFFSET($AM$2,0,0,ROW()-1,33),ROW()-1,FALSE))</f>
        <v>13107.119000000001</v>
      </c>
      <c r="U171">
        <f ca="1">IF(AND(ISNUMBER($U$584),$B$427=1),$U$584,HLOOKUP(INDIRECT(ADDRESS(2,COLUMN())),OFFSET($AM$2,0,0,ROW()-1,33),ROW()-1,FALSE))</f>
        <v>11993.903</v>
      </c>
      <c r="V171">
        <f ca="1">IF(AND(ISNUMBER($V$584),$B$427=1),$V$584,HLOOKUP(INDIRECT(ADDRESS(2,COLUMN())),OFFSET($AM$2,0,0,ROW()-1,33),ROW()-1,FALSE))</f>
        <v>11093.455</v>
      </c>
      <c r="W171">
        <f ca="1">IF(AND(ISNUMBER($W$584),$B$427=1),$W$584,HLOOKUP(INDIRECT(ADDRESS(2,COLUMN())),OFFSET($AM$2,0,0,ROW()-1,33),ROW()-1,FALSE))</f>
        <v>10274.929</v>
      </c>
      <c r="X171">
        <f ca="1">IF(AND(ISNUMBER($X$584),$B$427=1),$X$584,HLOOKUP(INDIRECT(ADDRESS(2,COLUMN())),OFFSET($AM$2,0,0,ROW()-1,33),ROW()-1,FALSE))</f>
        <v>9596.6219999999994</v>
      </c>
      <c r="Y171">
        <f ca="1">IF(AND(ISNUMBER($Y$584),$B$427=1),$Y$584,HLOOKUP(INDIRECT(ADDRESS(2,COLUMN())),OFFSET($AM$2,0,0,ROW()-1,33),ROW()-1,FALSE))</f>
        <v>8804.3230000000003</v>
      </c>
      <c r="Z171">
        <f ca="1">IF(AND(ISNUMBER($Z$584),$B$427=1),$Z$584,HLOOKUP(INDIRECT(ADDRESS(2,COLUMN())),OFFSET($AM$2,0,0,ROW()-1,33),ROW()-1,FALSE))</f>
        <v>8518.7729999999992</v>
      </c>
      <c r="AA171">
        <f ca="1">IF(AND(ISNUMBER($AA$584),$B$427=1),$AA$584,HLOOKUP(INDIRECT(ADDRESS(2,COLUMN())),OFFSET($AM$2,0,0,ROW()-1,33),ROW()-1,FALSE))</f>
        <v>8335.4809999999998</v>
      </c>
      <c r="AB171">
        <f ca="1">IF(AND(ISNUMBER($AB$584),$B$427=1),$AB$584,HLOOKUP(INDIRECT(ADDRESS(2,COLUMN())),OFFSET($AM$2,0,0,ROW()-1,33),ROW()-1,FALSE))</f>
        <v>5855.5240000000003</v>
      </c>
      <c r="AC171">
        <f ca="1">IF(AND(ISNUMBER($AC$584),$B$427=1),$AC$584,HLOOKUP(INDIRECT(ADDRESS(2,COLUMN())),OFFSET($AM$2,0,0,ROW()-1,33),ROW()-1,FALSE))</f>
        <v>5495.6109999999999</v>
      </c>
      <c r="AD171">
        <f ca="1">IF(AND(ISNUMBER($AD$584),$B$427=1),$AD$584,HLOOKUP(INDIRECT(ADDRESS(2,COLUMN())),OFFSET($AM$2,0,0,ROW()-1,33),ROW()-1,FALSE))</f>
        <v>4371.7049999999999</v>
      </c>
      <c r="AE171">
        <f ca="1">IF(AND(ISNUMBER($AE$584),$B$427=1),$AE$584,HLOOKUP(INDIRECT(ADDRESS(2,COLUMN())),OFFSET($AM$2,0,0,ROW()-1,33),ROW()-1,FALSE))</f>
        <v>3251.55</v>
      </c>
      <c r="AF171">
        <f ca="1">IF(AND(ISNUMBER($AF$584),$B$427=1),$AF$584,HLOOKUP(INDIRECT(ADDRESS(2,COLUMN())),OFFSET($AM$2,0,0,ROW()-1,33),ROW()-1,FALSE))</f>
        <v>2517.9720000000002</v>
      </c>
      <c r="AG171">
        <f ca="1">IF(AND(ISNUMBER($AG$584),$B$427=1),$AG$584,HLOOKUP(INDIRECT(ADDRESS(2,COLUMN())),OFFSET($AM$2,0,0,ROW()-1,33),ROW()-1,FALSE))</f>
        <v>2454.0030000000002</v>
      </c>
      <c r="AH171">
        <f ca="1">IF(AND(ISNUMBER($AH$584),$B$427=1),$AH$584,HLOOKUP(INDIRECT(ADDRESS(2,COLUMN())),OFFSET($AM$2,0,0,ROW()-1,33),ROW()-1,FALSE))</f>
        <v>1617.2550000000001</v>
      </c>
      <c r="AI171">
        <f ca="1">IF(AND(ISNUMBER($AI$584),$B$427=1),$AI$584,HLOOKUP(INDIRECT(ADDRESS(2,COLUMN())),OFFSET($AM$2,0,0,ROW()-1,33),ROW()-1,FALSE))</f>
        <v>1540.251</v>
      </c>
      <c r="AJ171">
        <f ca="1">IF(AND(ISNUMBER($AJ$584),$B$427=1),$AJ$584,HLOOKUP(INDIRECT(ADDRESS(2,COLUMN())),OFFSET($AM$2,0,0,ROW()-1,33),ROW()-1,FALSE))</f>
        <v>696.71400000000006</v>
      </c>
      <c r="AK171">
        <f ca="1">IF(AND(ISNUMBER($AK$584),$B$427=1),$AK$584,HLOOKUP(INDIRECT(ADDRESS(2,COLUMN())),OFFSET($AM$2,0,0,ROW()-1,33),ROW()-1,FALSE))</f>
        <v>370.52300000000002</v>
      </c>
      <c r="AL171">
        <f ca="1">IF(AND(ISNUMBER($AL$584),$B$427=1),$AL$584,HLOOKUP(INDIRECT(ADDRESS(2,COLUMN())),OFFSET($AM$2,0,0,ROW()-1,33),ROW()-1,FALSE))</f>
        <v>339.84699999999998</v>
      </c>
      <c r="AM171">
        <f>55037</f>
        <v>55037</v>
      </c>
      <c r="AN171">
        <f>53982</f>
        <v>53982</v>
      </c>
      <c r="AO171">
        <f>63225</f>
        <v>63225</v>
      </c>
      <c r="AP171">
        <f>60232</f>
        <v>60232</v>
      </c>
      <c r="AQ171">
        <f>60113</f>
        <v>60113</v>
      </c>
      <c r="AR171">
        <f>58636</f>
        <v>58636</v>
      </c>
      <c r="AS171">
        <f>21842</f>
        <v>21842</v>
      </c>
      <c r="AT171">
        <f>21076</f>
        <v>21076</v>
      </c>
      <c r="AU171">
        <f>21828.942</f>
        <v>21828.941999999999</v>
      </c>
      <c r="AV171">
        <f>20062.513</f>
        <v>20062.512999999999</v>
      </c>
      <c r="AW171">
        <f>18657.503</f>
        <v>18657.503000000001</v>
      </c>
      <c r="AX171">
        <f>16508.792</f>
        <v>16508.792000000001</v>
      </c>
      <c r="AY171">
        <f>14913.244</f>
        <v>14913.244000000001</v>
      </c>
      <c r="AZ171">
        <f>13987.009</f>
        <v>13987.009</v>
      </c>
      <c r="BA171">
        <f>13107.119</f>
        <v>13107.119000000001</v>
      </c>
      <c r="BB171">
        <f>11993.903</f>
        <v>11993.903</v>
      </c>
      <c r="BC171">
        <f>11093.455</f>
        <v>11093.455</v>
      </c>
      <c r="BD171">
        <f>10274.929</f>
        <v>10274.929</v>
      </c>
      <c r="BE171">
        <f>9596.622</f>
        <v>9596.6219999999994</v>
      </c>
      <c r="BF171">
        <f>8804.323</f>
        <v>8804.3230000000003</v>
      </c>
      <c r="BG171">
        <f>8518.773</f>
        <v>8518.7729999999992</v>
      </c>
      <c r="BH171">
        <f>8335.481</f>
        <v>8335.4809999999998</v>
      </c>
      <c r="BI171">
        <f>5855.524</f>
        <v>5855.5240000000003</v>
      </c>
      <c r="BJ171">
        <f>5495.611</f>
        <v>5495.6109999999999</v>
      </c>
      <c r="BK171">
        <f>4371.705</f>
        <v>4371.7049999999999</v>
      </c>
      <c r="BL171">
        <f>3251.55</f>
        <v>3251.55</v>
      </c>
      <c r="BM171">
        <f>2517.972</f>
        <v>2517.9720000000002</v>
      </c>
      <c r="BN171">
        <f>2454.003</f>
        <v>2454.0030000000002</v>
      </c>
      <c r="BO171">
        <f>1617.255</f>
        <v>1617.2550000000001</v>
      </c>
      <c r="BP171">
        <f>1540.251</f>
        <v>1540.251</v>
      </c>
      <c r="BQ171">
        <f>696.714</f>
        <v>696.71400000000006</v>
      </c>
      <c r="BR171">
        <f>370.523</f>
        <v>370.52300000000002</v>
      </c>
      <c r="BS171">
        <f>339.847</f>
        <v>339.84699999999998</v>
      </c>
    </row>
    <row r="172" spans="1:71" x14ac:dyDescent="0.25">
      <c r="A172" t="str">
        <f>"        US Bancorp"</f>
        <v xml:space="preserve">        US Bancorp</v>
      </c>
      <c r="B172" t="str">
        <f>"USB US Equity"</f>
        <v>USB US Equity</v>
      </c>
      <c r="C172" t="str">
        <f t="shared" si="21"/>
        <v>F0091</v>
      </c>
      <c r="D172" t="str">
        <f t="shared" si="22"/>
        <v>FED_CONSUMER_LOANS_&amp;_LEASES_CONS</v>
      </c>
      <c r="E172" t="str">
        <f t="shared" si="23"/>
        <v>Dynamic</v>
      </c>
      <c r="F172">
        <f ca="1">IF(AND(ISNUMBER($F$585),$B$427=1),$F$585,HLOOKUP(INDIRECT(ADDRESS(2,COLUMN())),OFFSET($AM$2,0,0,ROW()-1,33),ROW()-1,FALSE))</f>
        <v>59383</v>
      </c>
      <c r="G172">
        <f ca="1">IF(AND(ISNUMBER($G$585),$B$427=1),$G$585,HLOOKUP(INDIRECT(ADDRESS(2,COLUMN())),OFFSET($AM$2,0,0,ROW()-1,33),ROW()-1,FALSE))</f>
        <v>60040</v>
      </c>
      <c r="H172">
        <f ca="1">IF(AND(ISNUMBER($H$585),$B$427=1),$H$585,HLOOKUP(INDIRECT(ADDRESS(2,COLUMN())),OFFSET($AM$2,0,0,ROW()-1,33),ROW()-1,FALSE))</f>
        <v>68307</v>
      </c>
      <c r="I172">
        <f ca="1">IF(AND(ISNUMBER($I$585),$B$427=1),$I$585,HLOOKUP(INDIRECT(ADDRESS(2,COLUMN())),OFFSET($AM$2,0,0,ROW()-1,33),ROW()-1,FALSE))</f>
        <v>75049</v>
      </c>
      <c r="J172">
        <f ca="1">IF(AND(ISNUMBER($J$585),$B$427=1),$J$585,HLOOKUP(INDIRECT(ADDRESS(2,COLUMN())),OFFSET($AM$2,0,0,ROW()-1,33),ROW()-1,FALSE))</f>
        <v>66895</v>
      </c>
      <c r="K172">
        <f ca="1">IF(AND(ISNUMBER($K$585),$B$427=1),$K$585,HLOOKUP(INDIRECT(ADDRESS(2,COLUMN())),OFFSET($AM$2,0,0,ROW()-1,33),ROW()-1,FALSE))</f>
        <v>66856</v>
      </c>
      <c r="L172">
        <f ca="1">IF(AND(ISNUMBER($L$585),$B$427=1),$L$585,HLOOKUP(INDIRECT(ADDRESS(2,COLUMN())),OFFSET($AM$2,0,0,ROW()-1,33),ROW()-1,FALSE))</f>
        <v>63668</v>
      </c>
      <c r="M172">
        <f ca="1">IF(AND(ISNUMBER($M$585),$B$427=1),$M$585,HLOOKUP(INDIRECT(ADDRESS(2,COLUMN())),OFFSET($AM$2,0,0,ROW()-1,33),ROW()-1,FALSE))</f>
        <v>63169</v>
      </c>
      <c r="N172">
        <f ca="1">IF(AND(ISNUMBER($N$585),$B$427=1),$N$585,HLOOKUP(INDIRECT(ADDRESS(2,COLUMN())),OFFSET($AM$2,0,0,ROW()-1,33),ROW()-1,FALSE))</f>
        <v>59211</v>
      </c>
      <c r="O172">
        <f ca="1">IF(AND(ISNUMBER($O$585),$B$427=1),$O$585,HLOOKUP(INDIRECT(ADDRESS(2,COLUMN())),OFFSET($AM$2,0,0,ROW()-1,33),ROW()-1,FALSE))</f>
        <v>55818</v>
      </c>
      <c r="P172">
        <f ca="1">IF(AND(ISNUMBER($P$585),$B$427=1),$P$585,HLOOKUP(INDIRECT(ADDRESS(2,COLUMN())),OFFSET($AM$2,0,0,ROW()-1,33),ROW()-1,FALSE))</f>
        <v>51853</v>
      </c>
      <c r="Q172">
        <f ca="1">IF(AND(ISNUMBER($Q$585),$B$427=1),$Q$585,HLOOKUP(INDIRECT(ADDRESS(2,COLUMN())),OFFSET($AM$2,0,0,ROW()-1,33),ROW()-1,FALSE))</f>
        <v>50252</v>
      </c>
      <c r="R172">
        <f ca="1">IF(AND(ISNUMBER($R$585),$B$427=1),$R$585,HLOOKUP(INDIRECT(ADDRESS(2,COLUMN())),OFFSET($AM$2,0,0,ROW()-1,33),ROW()-1,FALSE))</f>
        <v>48094</v>
      </c>
      <c r="S172">
        <f ca="1">IF(AND(ISNUMBER($S$585),$B$427=1),$S$585,HLOOKUP(INDIRECT(ADDRESS(2,COLUMN())),OFFSET($AM$2,0,0,ROW()-1,33),ROW()-1,FALSE))</f>
        <v>47522</v>
      </c>
      <c r="T172">
        <f ca="1">IF(AND(ISNUMBER($T$585),$B$427=1),$T$585,HLOOKUP(INDIRECT(ADDRESS(2,COLUMN())),OFFSET($AM$2,0,0,ROW()-1,33),ROW()-1,FALSE))</f>
        <v>46264</v>
      </c>
      <c r="U172">
        <f ca="1">IF(AND(ISNUMBER($U$585),$B$427=1),$U$585,HLOOKUP(INDIRECT(ADDRESS(2,COLUMN())),OFFSET($AM$2,0,0,ROW()-1,33),ROW()-1,FALSE))</f>
        <v>44846</v>
      </c>
      <c r="V172">
        <f ca="1">IF(AND(ISNUMBER($V$585),$B$427=1),$V$585,HLOOKUP(INDIRECT(ADDRESS(2,COLUMN())),OFFSET($AM$2,0,0,ROW()-1,33),ROW()-1,FALSE))</f>
        <v>41604</v>
      </c>
      <c r="W172">
        <f ca="1">IF(AND(ISNUMBER($W$585),$B$427=1),$W$585,HLOOKUP(INDIRECT(ADDRESS(2,COLUMN())),OFFSET($AM$2,0,0,ROW()-1,33),ROW()-1,FALSE))</f>
        <v>35760</v>
      </c>
      <c r="X172">
        <f ca="1">IF(AND(ISNUMBER($X$585),$B$427=1),$X$585,HLOOKUP(INDIRECT(ADDRESS(2,COLUMN())),OFFSET($AM$2,0,0,ROW()-1,33),ROW()-1,FALSE))</f>
        <v>26368</v>
      </c>
      <c r="Y172">
        <f ca="1">IF(AND(ISNUMBER($Y$585),$B$427=1),$Y$585,HLOOKUP(INDIRECT(ADDRESS(2,COLUMN())),OFFSET($AM$2,0,0,ROW()-1,33),ROW()-1,FALSE))</f>
        <v>23226</v>
      </c>
      <c r="Z172">
        <f ca="1">IF(AND(ISNUMBER($Z$585),$B$427=1),$Z$585,HLOOKUP(INDIRECT(ADDRESS(2,COLUMN())),OFFSET($AM$2,0,0,ROW()-1,33),ROW()-1,FALSE))</f>
        <v>21024</v>
      </c>
      <c r="AA172">
        <f ca="1">IF(AND(ISNUMBER($AA$585),$B$427=1),$AA$585,HLOOKUP(INDIRECT(ADDRESS(2,COLUMN())),OFFSET($AM$2,0,0,ROW()-1,33),ROW()-1,FALSE))</f>
        <v>19623</v>
      </c>
      <c r="AB172">
        <f ca="1">IF(AND(ISNUMBER($AB$585),$B$427=1),$AB$585,HLOOKUP(INDIRECT(ADDRESS(2,COLUMN())),OFFSET($AM$2,0,0,ROW()-1,33),ROW()-1,FALSE))</f>
        <v>18284</v>
      </c>
      <c r="AC172">
        <f ca="1">IF(AND(ISNUMBER($AC$585),$B$427=1),$AC$585,HLOOKUP(INDIRECT(ADDRESS(2,COLUMN())),OFFSET($AM$2,0,0,ROW()-1,33),ROW()-1,FALSE))</f>
        <v>17637</v>
      </c>
      <c r="AD172">
        <f ca="1">IF(AND(ISNUMBER($AD$585),$B$427=1),$AD$585,HLOOKUP(INDIRECT(ADDRESS(2,COLUMN())),OFFSET($AM$2,0,0,ROW()-1,33),ROW()-1,FALSE))</f>
        <v>8468.518</v>
      </c>
      <c r="AE172">
        <f ca="1">IF(AND(ISNUMBER($AE$585),$B$427=1),$AE$585,HLOOKUP(INDIRECT(ADDRESS(2,COLUMN())),OFFSET($AM$2,0,0,ROW()-1,33),ROW()-1,FALSE))</f>
        <v>8564.4060000000009</v>
      </c>
      <c r="AF172">
        <f ca="1">IF(AND(ISNUMBER($AF$585),$B$427=1),$AF$585,HLOOKUP(INDIRECT(ADDRESS(2,COLUMN())),OFFSET($AM$2,0,0,ROW()-1,33),ROW()-1,FALSE))</f>
        <v>11242.486999999999</v>
      </c>
      <c r="AG172">
        <f ca="1">IF(AND(ISNUMBER($AG$585),$B$427=1),$AG$585,HLOOKUP(INDIRECT(ADDRESS(2,COLUMN())),OFFSET($AM$2,0,0,ROW()-1,33),ROW()-1,FALSE))</f>
        <v>10758.132</v>
      </c>
      <c r="AH172">
        <f ca="1">IF(AND(ISNUMBER($AH$585),$B$427=1),$AH$585,HLOOKUP(INDIRECT(ADDRESS(2,COLUMN())),OFFSET($AM$2,0,0,ROW()-1,33),ROW()-1,FALSE))</f>
        <v>6624.2629999999999</v>
      </c>
      <c r="AI172">
        <f ca="1">IF(AND(ISNUMBER($AI$585),$B$427=1),$AI$585,HLOOKUP(INDIRECT(ADDRESS(2,COLUMN())),OFFSET($AM$2,0,0,ROW()-1,33),ROW()-1,FALSE))</f>
        <v>6095.0829999999996</v>
      </c>
      <c r="AJ172" t="str">
        <f ca="1">IF(AND(ISNUMBER($AJ$585),$B$427=1),$AJ$585,HLOOKUP(INDIRECT(ADDRESS(2,COLUMN())),OFFSET($AM$2,0,0,ROW()-1,33),ROW()-1,FALSE))</f>
        <v/>
      </c>
      <c r="AK172" t="str">
        <f ca="1">IF(AND(ISNUMBER($AK$585),$B$427=1),$AK$585,HLOOKUP(INDIRECT(ADDRESS(2,COLUMN())),OFFSET($AM$2,0,0,ROW()-1,33),ROW()-1,FALSE))</f>
        <v/>
      </c>
      <c r="AL172" t="str">
        <f ca="1">IF(AND(ISNUMBER($AL$585),$B$427=1),$AL$585,HLOOKUP(INDIRECT(ADDRESS(2,COLUMN())),OFFSET($AM$2,0,0,ROW()-1,33),ROW()-1,FALSE))</f>
        <v/>
      </c>
      <c r="AM172">
        <f>59383</f>
        <v>59383</v>
      </c>
      <c r="AN172">
        <f>60040</f>
        <v>60040</v>
      </c>
      <c r="AO172">
        <f>68307</f>
        <v>68307</v>
      </c>
      <c r="AP172">
        <f>75049</f>
        <v>75049</v>
      </c>
      <c r="AQ172">
        <f>66895</f>
        <v>66895</v>
      </c>
      <c r="AR172">
        <f>66856</f>
        <v>66856</v>
      </c>
      <c r="AS172">
        <f>63668</f>
        <v>63668</v>
      </c>
      <c r="AT172">
        <f>63169</f>
        <v>63169</v>
      </c>
      <c r="AU172">
        <f>59211</f>
        <v>59211</v>
      </c>
      <c r="AV172">
        <f>55818</f>
        <v>55818</v>
      </c>
      <c r="AW172">
        <f>51853</f>
        <v>51853</v>
      </c>
      <c r="AX172">
        <f>50252</f>
        <v>50252</v>
      </c>
      <c r="AY172">
        <f>48094</f>
        <v>48094</v>
      </c>
      <c r="AZ172">
        <f>47522</f>
        <v>47522</v>
      </c>
      <c r="BA172">
        <f>46264</f>
        <v>46264</v>
      </c>
      <c r="BB172">
        <f>44846</f>
        <v>44846</v>
      </c>
      <c r="BC172">
        <f>41604</f>
        <v>41604</v>
      </c>
      <c r="BD172">
        <f>35760</f>
        <v>35760</v>
      </c>
      <c r="BE172">
        <f>26368</f>
        <v>26368</v>
      </c>
      <c r="BF172">
        <f>23226</f>
        <v>23226</v>
      </c>
      <c r="BG172">
        <f>21024</f>
        <v>21024</v>
      </c>
      <c r="BH172">
        <f>19623</f>
        <v>19623</v>
      </c>
      <c r="BI172">
        <f>18284</f>
        <v>18284</v>
      </c>
      <c r="BJ172">
        <f>17637</f>
        <v>17637</v>
      </c>
      <c r="BK172">
        <f>8468.518</f>
        <v>8468.518</v>
      </c>
      <c r="BL172">
        <f>8564.406</f>
        <v>8564.4060000000009</v>
      </c>
      <c r="BM172">
        <f>11242.487</f>
        <v>11242.486999999999</v>
      </c>
      <c r="BN172">
        <f>10758.132</f>
        <v>10758.132</v>
      </c>
      <c r="BO172">
        <f>6624.263</f>
        <v>6624.2629999999999</v>
      </c>
      <c r="BP172">
        <f>6095.083</f>
        <v>6095.0829999999996</v>
      </c>
      <c r="BQ172" t="str">
        <f>""</f>
        <v/>
      </c>
      <c r="BR172" t="str">
        <f>""</f>
        <v/>
      </c>
      <c r="BS172" t="str">
        <f>""</f>
        <v/>
      </c>
    </row>
    <row r="173" spans="1:71" x14ac:dyDescent="0.25">
      <c r="A173" t="str">
        <f>"        Wells Fargo &amp; Co"</f>
        <v xml:space="preserve">        Wells Fargo &amp; Co</v>
      </c>
      <c r="B173" t="str">
        <f>"WFC US Equity"</f>
        <v>WFC US Equity</v>
      </c>
      <c r="C173" t="str">
        <f t="shared" si="21"/>
        <v>F0091</v>
      </c>
      <c r="D173" t="str">
        <f t="shared" si="22"/>
        <v>FED_CONSUMER_LOANS_&amp;_LEASES_CONS</v>
      </c>
      <c r="E173" t="str">
        <f t="shared" si="23"/>
        <v>Dynamic</v>
      </c>
      <c r="F173">
        <f ca="1">IF(AND(ISNUMBER($F$586),$B$427=1),$F$586,HLOOKUP(INDIRECT(ADDRESS(2,COLUMN())),OFFSET($AM$2,0,0,ROW()-1,33),ROW()-1,FALSE))</f>
        <v>117109</v>
      </c>
      <c r="G173">
        <f ca="1">IF(AND(ISNUMBER($G$586),$B$427=1),$G$586,HLOOKUP(INDIRECT(ADDRESS(2,COLUMN())),OFFSET($AM$2,0,0,ROW()-1,33),ROW()-1,FALSE))</f>
        <v>119667</v>
      </c>
      <c r="H173">
        <f ca="1">IF(AND(ISNUMBER($H$586),$B$427=1),$H$586,HLOOKUP(INDIRECT(ADDRESS(2,COLUMN())),OFFSET($AM$2,0,0,ROW()-1,33),ROW()-1,FALSE))</f>
        <v>119445</v>
      </c>
      <c r="I173">
        <f ca="1">IF(AND(ISNUMBER($I$586),$B$427=1),$I$586,HLOOKUP(INDIRECT(ADDRESS(2,COLUMN())),OFFSET($AM$2,0,0,ROW()-1,33),ROW()-1,FALSE))</f>
        <v>113060</v>
      </c>
      <c r="J173">
        <f ca="1">IF(AND(ISNUMBER($J$586),$B$427=1),$J$586,HLOOKUP(INDIRECT(ADDRESS(2,COLUMN())),OFFSET($AM$2,0,0,ROW()-1,33),ROW()-1,FALSE))</f>
        <v>110592</v>
      </c>
      <c r="K173">
        <f ca="1">IF(AND(ISNUMBER($K$586),$B$427=1),$K$586,HLOOKUP(INDIRECT(ADDRESS(2,COLUMN())),OFFSET($AM$2,0,0,ROW()-1,33),ROW()-1,FALSE))</f>
        <v>115332</v>
      </c>
      <c r="L173">
        <f ca="1">IF(AND(ISNUMBER($L$586),$B$427=1),$L$586,HLOOKUP(INDIRECT(ADDRESS(2,COLUMN())),OFFSET($AM$2,0,0,ROW()-1,33),ROW()-1,FALSE))</f>
        <v>112489</v>
      </c>
      <c r="M173">
        <f ca="1">IF(AND(ISNUMBER($M$586),$B$427=1),$M$586,HLOOKUP(INDIRECT(ADDRESS(2,COLUMN())),OFFSET($AM$2,0,0,ROW()-1,33),ROW()-1,FALSE))</f>
        <v>121843</v>
      </c>
      <c r="N173">
        <f ca="1">IF(AND(ISNUMBER($N$586),$B$427=1),$N$586,HLOOKUP(INDIRECT(ADDRESS(2,COLUMN())),OFFSET($AM$2,0,0,ROW()-1,33),ROW()-1,FALSE))</f>
        <v>131572</v>
      </c>
      <c r="O173">
        <f ca="1">IF(AND(ISNUMBER($O$586),$B$427=1),$O$586,HLOOKUP(INDIRECT(ADDRESS(2,COLUMN())),OFFSET($AM$2,0,0,ROW()-1,33),ROW()-1,FALSE))</f>
        <v>128236</v>
      </c>
      <c r="P173">
        <f ca="1">IF(AND(ISNUMBER($P$586),$B$427=1),$P$586,HLOOKUP(INDIRECT(ADDRESS(2,COLUMN())),OFFSET($AM$2,0,0,ROW()-1,33),ROW()-1,FALSE))</f>
        <v>118453</v>
      </c>
      <c r="Q173">
        <f ca="1">IF(AND(ISNUMBER($Q$586),$B$427=1),$Q$586,HLOOKUP(INDIRECT(ADDRESS(2,COLUMN())),OFFSET($AM$2,0,0,ROW()-1,33),ROW()-1,FALSE))</f>
        <v>115431</v>
      </c>
      <c r="R173">
        <f ca="1">IF(AND(ISNUMBER($R$586),$B$427=1),$R$586,HLOOKUP(INDIRECT(ADDRESS(2,COLUMN())),OFFSET($AM$2,0,0,ROW()-1,33),ROW()-1,FALSE))</f>
        <v>107044</v>
      </c>
      <c r="S173">
        <f ca="1">IF(AND(ISNUMBER($S$586),$B$427=1),$S$586,HLOOKUP(INDIRECT(ADDRESS(2,COLUMN())),OFFSET($AM$2,0,0,ROW()-1,33),ROW()-1,FALSE))</f>
        <v>103939</v>
      </c>
      <c r="T173">
        <f ca="1">IF(AND(ISNUMBER($T$586),$B$427=1),$T$586,HLOOKUP(INDIRECT(ADDRESS(2,COLUMN())),OFFSET($AM$2,0,0,ROW()-1,33),ROW()-1,FALSE))</f>
        <v>105389</v>
      </c>
      <c r="U173">
        <f ca="1">IF(AND(ISNUMBER($U$586),$B$427=1),$U$586,HLOOKUP(INDIRECT(ADDRESS(2,COLUMN())),OFFSET($AM$2,0,0,ROW()-1,33),ROW()-1,FALSE))</f>
        <v>114199</v>
      </c>
      <c r="V173">
        <f ca="1">IF(AND(ISNUMBER($V$586),$B$427=1),$V$586,HLOOKUP(INDIRECT(ADDRESS(2,COLUMN())),OFFSET($AM$2,0,0,ROW()-1,33),ROW()-1,FALSE))</f>
        <v>118349</v>
      </c>
      <c r="W173">
        <f ca="1">IF(AND(ISNUMBER($W$586),$B$427=1),$W$586,HLOOKUP(INDIRECT(ADDRESS(2,COLUMN())),OFFSET($AM$2,0,0,ROW()-1,33),ROW()-1,FALSE))</f>
        <v>77705</v>
      </c>
      <c r="X173">
        <f ca="1">IF(AND(ISNUMBER($X$586),$B$427=1),$X$586,HLOOKUP(INDIRECT(ADDRESS(2,COLUMN())),OFFSET($AM$2,0,0,ROW()-1,33),ROW()-1,FALSE))</f>
        <v>70403</v>
      </c>
      <c r="Y173">
        <f ca="1">IF(AND(ISNUMBER($Y$586),$B$427=1),$Y$586,HLOOKUP(INDIRECT(ADDRESS(2,COLUMN())),OFFSET($AM$2,0,0,ROW()-1,33),ROW()-1,FALSE))</f>
        <v>62007</v>
      </c>
      <c r="Z173">
        <f ca="1">IF(AND(ISNUMBER($Z$586),$B$427=1),$Z$586,HLOOKUP(INDIRECT(ADDRESS(2,COLUMN())),OFFSET($AM$2,0,0,ROW()-1,33),ROW()-1,FALSE))</f>
        <v>55342</v>
      </c>
      <c r="AA173">
        <f ca="1">IF(AND(ISNUMBER($AA$586),$B$427=1),$AA$586,HLOOKUP(INDIRECT(ADDRESS(2,COLUMN())),OFFSET($AM$2,0,0,ROW()-1,33),ROW()-1,FALSE))</f>
        <v>50112</v>
      </c>
      <c r="AB173">
        <f ca="1">IF(AND(ISNUMBER($AB$586),$B$427=1),$AB$586,HLOOKUP(INDIRECT(ADDRESS(2,COLUMN())),OFFSET($AM$2,0,0,ROW()-1,33),ROW()-1,FALSE))</f>
        <v>41412</v>
      </c>
      <c r="AC173">
        <f ca="1">IF(AND(ISNUMBER($AC$586),$B$427=1),$AC$586,HLOOKUP(INDIRECT(ADDRESS(2,COLUMN())),OFFSET($AM$2,0,0,ROW()-1,33),ROW()-1,FALSE))</f>
        <v>35883</v>
      </c>
      <c r="AD173">
        <f ca="1">IF(AND(ISNUMBER($AD$586),$B$427=1),$AD$586,HLOOKUP(INDIRECT(ADDRESS(2,COLUMN())),OFFSET($AM$2,0,0,ROW()-1,33),ROW()-1,FALSE))</f>
        <v>26842.562000000002</v>
      </c>
      <c r="AE173">
        <f ca="1">IF(AND(ISNUMBER($AE$586),$B$427=1),$AE$586,HLOOKUP(INDIRECT(ADDRESS(2,COLUMN())),OFFSET($AM$2,0,0,ROW()-1,33),ROW()-1,FALSE))</f>
        <v>18975.7</v>
      </c>
      <c r="AF173">
        <f ca="1">IF(AND(ISNUMBER($AF$586),$B$427=1),$AF$586,HLOOKUP(INDIRECT(ADDRESS(2,COLUMN())),OFFSET($AM$2,0,0,ROW()-1,33),ROW()-1,FALSE))</f>
        <v>21533.386999999999</v>
      </c>
      <c r="AG173">
        <f ca="1">IF(AND(ISNUMBER($AG$586),$B$427=1),$AG$586,HLOOKUP(INDIRECT(ADDRESS(2,COLUMN())),OFFSET($AM$2,0,0,ROW()-1,33),ROW()-1,FALSE))</f>
        <v>10571.361999999999</v>
      </c>
      <c r="AH173">
        <f ca="1">IF(AND(ISNUMBER($AH$586),$B$427=1),$AH$586,HLOOKUP(INDIRECT(ADDRESS(2,COLUMN())),OFFSET($AM$2,0,0,ROW()-1,33),ROW()-1,FALSE))</f>
        <v>9530.6939999999995</v>
      </c>
      <c r="AI173">
        <f ca="1">IF(AND(ISNUMBER($AI$586),$B$427=1),$AI$586,HLOOKUP(INDIRECT(ADDRESS(2,COLUMN())),OFFSET($AM$2,0,0,ROW()-1,33),ROW()-1,FALSE))</f>
        <v>10653.436</v>
      </c>
      <c r="AJ173" t="str">
        <f ca="1">IF(AND(ISNUMBER($AJ$586),$B$427=1),$AJ$586,HLOOKUP(INDIRECT(ADDRESS(2,COLUMN())),OFFSET($AM$2,0,0,ROW()-1,33),ROW()-1,FALSE))</f>
        <v/>
      </c>
      <c r="AK173" t="str">
        <f ca="1">IF(AND(ISNUMBER($AK$586),$B$427=1),$AK$586,HLOOKUP(INDIRECT(ADDRESS(2,COLUMN())),OFFSET($AM$2,0,0,ROW()-1,33),ROW()-1,FALSE))</f>
        <v/>
      </c>
      <c r="AL173" t="str">
        <f ca="1">IF(AND(ISNUMBER($AL$586),$B$427=1),$AL$586,HLOOKUP(INDIRECT(ADDRESS(2,COLUMN())),OFFSET($AM$2,0,0,ROW()-1,33),ROW()-1,FALSE))</f>
        <v/>
      </c>
      <c r="AM173">
        <f>117109</f>
        <v>117109</v>
      </c>
      <c r="AN173">
        <f>119667</f>
        <v>119667</v>
      </c>
      <c r="AO173">
        <f>119445</f>
        <v>119445</v>
      </c>
      <c r="AP173">
        <f>113060</f>
        <v>113060</v>
      </c>
      <c r="AQ173">
        <f>110592</f>
        <v>110592</v>
      </c>
      <c r="AR173">
        <f>115332</f>
        <v>115332</v>
      </c>
      <c r="AS173">
        <f>112489</f>
        <v>112489</v>
      </c>
      <c r="AT173">
        <f>121843</f>
        <v>121843</v>
      </c>
      <c r="AU173">
        <f>131572</f>
        <v>131572</v>
      </c>
      <c r="AV173">
        <f>128236</f>
        <v>128236</v>
      </c>
      <c r="AW173">
        <f>118453</f>
        <v>118453</v>
      </c>
      <c r="AX173">
        <f>115431</f>
        <v>115431</v>
      </c>
      <c r="AY173">
        <f>107044</f>
        <v>107044</v>
      </c>
      <c r="AZ173">
        <f>103939</f>
        <v>103939</v>
      </c>
      <c r="BA173">
        <f>105389</f>
        <v>105389</v>
      </c>
      <c r="BB173">
        <f>114199</f>
        <v>114199</v>
      </c>
      <c r="BC173">
        <f>118349</f>
        <v>118349</v>
      </c>
      <c r="BD173">
        <f>77705</f>
        <v>77705</v>
      </c>
      <c r="BE173">
        <f>70403</f>
        <v>70403</v>
      </c>
      <c r="BF173">
        <f>62007</f>
        <v>62007</v>
      </c>
      <c r="BG173">
        <f>55342</f>
        <v>55342</v>
      </c>
      <c r="BH173">
        <f>50112</f>
        <v>50112</v>
      </c>
      <c r="BI173">
        <f>41412</f>
        <v>41412</v>
      </c>
      <c r="BJ173">
        <f>35883</f>
        <v>35883</v>
      </c>
      <c r="BK173">
        <f>26842.562</f>
        <v>26842.562000000002</v>
      </c>
      <c r="BL173">
        <f>18975.7</f>
        <v>18975.7</v>
      </c>
      <c r="BM173">
        <f>21533.387</f>
        <v>21533.386999999999</v>
      </c>
      <c r="BN173">
        <f>10571.362</f>
        <v>10571.361999999999</v>
      </c>
      <c r="BO173">
        <f>9530.694</f>
        <v>9530.6939999999995</v>
      </c>
      <c r="BP173">
        <f>10653.436</f>
        <v>10653.436</v>
      </c>
      <c r="BQ173" t="str">
        <f>""</f>
        <v/>
      </c>
      <c r="BR173" t="str">
        <f>""</f>
        <v/>
      </c>
      <c r="BS173" t="str">
        <f>""</f>
        <v/>
      </c>
    </row>
    <row r="174" spans="1:71" x14ac:dyDescent="0.25">
      <c r="A174" t="str">
        <f>"        Western Alliance Bancorp"</f>
        <v xml:space="preserve">        Western Alliance Bancorp</v>
      </c>
      <c r="B174" t="str">
        <f>"WAL US Equity"</f>
        <v>WAL US Equity</v>
      </c>
      <c r="C174" t="str">
        <f t="shared" si="21"/>
        <v>F0091</v>
      </c>
      <c r="D174" t="str">
        <f t="shared" si="22"/>
        <v>FED_CONSUMER_LOANS_&amp;_LEASES_CONS</v>
      </c>
      <c r="E174" t="str">
        <f t="shared" si="23"/>
        <v>Dynamic</v>
      </c>
      <c r="F174">
        <f ca="1">IF(AND(ISNUMBER($F$587),$B$427=1),$F$587,HLOOKUP(INDIRECT(ADDRESS(2,COLUMN())),OFFSET($AM$2,0,0,ROW()-1,33),ROW()-1,FALSE))</f>
        <v>23.867000000000001</v>
      </c>
      <c r="G174">
        <f ca="1">IF(AND(ISNUMBER($G$587),$B$427=1),$G$587,HLOOKUP(INDIRECT(ADDRESS(2,COLUMN())),OFFSET($AM$2,0,0,ROW()-1,33),ROW()-1,FALSE))</f>
        <v>29.922999999999998</v>
      </c>
      <c r="H174">
        <f ca="1">IF(AND(ISNUMBER($H$587),$B$427=1),$H$587,HLOOKUP(INDIRECT(ADDRESS(2,COLUMN())),OFFSET($AM$2,0,0,ROW()-1,33),ROW()-1,FALSE))</f>
        <v>33.292999999999999</v>
      </c>
      <c r="I174">
        <f ca="1">IF(AND(ISNUMBER($I$587),$B$427=1),$I$587,HLOOKUP(INDIRECT(ADDRESS(2,COLUMN())),OFFSET($AM$2,0,0,ROW()-1,33),ROW()-1,FALSE))</f>
        <v>21.556999999999999</v>
      </c>
      <c r="J174">
        <f ca="1">IF(AND(ISNUMBER($J$587),$B$427=1),$J$587,HLOOKUP(INDIRECT(ADDRESS(2,COLUMN())),OFFSET($AM$2,0,0,ROW()-1,33),ROW()-1,FALSE))</f>
        <v>10.427</v>
      </c>
      <c r="K174">
        <f ca="1">IF(AND(ISNUMBER($K$587),$B$427=1),$K$587,HLOOKUP(INDIRECT(ADDRESS(2,COLUMN())),OFFSET($AM$2,0,0,ROW()-1,33),ROW()-1,FALSE))</f>
        <v>10.983000000000001</v>
      </c>
      <c r="L174">
        <f ca="1">IF(AND(ISNUMBER($L$587),$B$427=1),$L$587,HLOOKUP(INDIRECT(ADDRESS(2,COLUMN())),OFFSET($AM$2,0,0,ROW()-1,33),ROW()-1,FALSE))</f>
        <v>14.355</v>
      </c>
      <c r="M174">
        <f ca="1">IF(AND(ISNUMBER($M$587),$B$427=1),$M$587,HLOOKUP(INDIRECT(ADDRESS(2,COLUMN())),OFFSET($AM$2,0,0,ROW()-1,33),ROW()-1,FALSE))</f>
        <v>16.895</v>
      </c>
      <c r="N174">
        <f ca="1">IF(AND(ISNUMBER($N$587),$B$427=1),$N$587,HLOOKUP(INDIRECT(ADDRESS(2,COLUMN())),OFFSET($AM$2,0,0,ROW()-1,33),ROW()-1,FALSE))</f>
        <v>13.021000000000001</v>
      </c>
      <c r="O174">
        <f ca="1">IF(AND(ISNUMBER($O$587),$B$427=1),$O$587,HLOOKUP(INDIRECT(ADDRESS(2,COLUMN())),OFFSET($AM$2,0,0,ROW()-1,33),ROW()-1,FALSE))</f>
        <v>14.872999999999999</v>
      </c>
      <c r="P174">
        <f ca="1">IF(AND(ISNUMBER($P$587),$B$427=1),$P$587,HLOOKUP(INDIRECT(ADDRESS(2,COLUMN())),OFFSET($AM$2,0,0,ROW()-1,33),ROW()-1,FALSE))</f>
        <v>15.49</v>
      </c>
      <c r="Q174">
        <f ca="1">IF(AND(ISNUMBER($Q$587),$B$427=1),$Q$587,HLOOKUP(INDIRECT(ADDRESS(2,COLUMN())),OFFSET($AM$2,0,0,ROW()-1,33),ROW()-1,FALSE))</f>
        <v>21.957000000000001</v>
      </c>
      <c r="R174">
        <f ca="1">IF(AND(ISNUMBER($R$587),$B$427=1),$R$587,HLOOKUP(INDIRECT(ADDRESS(2,COLUMN())),OFFSET($AM$2,0,0,ROW()-1,33),ROW()-1,FALSE))</f>
        <v>44.027999999999999</v>
      </c>
      <c r="S174">
        <f ca="1">IF(AND(ISNUMBER($S$587),$B$427=1),$S$587,HLOOKUP(INDIRECT(ADDRESS(2,COLUMN())),OFFSET($AM$2,0,0,ROW()-1,33),ROW()-1,FALSE))</f>
        <v>57.253999999999998</v>
      </c>
      <c r="T174">
        <f ca="1">IF(AND(ISNUMBER($T$587),$B$427=1),$T$587,HLOOKUP(INDIRECT(ADDRESS(2,COLUMN())),OFFSET($AM$2,0,0,ROW()-1,33),ROW()-1,FALSE))</f>
        <v>68.745999999999995</v>
      </c>
      <c r="U174">
        <f ca="1">IF(AND(ISNUMBER($U$587),$B$427=1),$U$587,HLOOKUP(INDIRECT(ADDRESS(2,COLUMN())),OFFSET($AM$2,0,0,ROW()-1,33),ROW()-1,FALSE))</f>
        <v>80.179000000000002</v>
      </c>
      <c r="V174">
        <f ca="1">IF(AND(ISNUMBER($V$587),$B$427=1),$V$587,HLOOKUP(INDIRECT(ADDRESS(2,COLUMN())),OFFSET($AM$2,0,0,ROW()-1,33),ROW()-1,FALSE))</f>
        <v>80.730999999999995</v>
      </c>
      <c r="W174">
        <f ca="1">IF(AND(ISNUMBER($W$587),$B$427=1),$W$587,HLOOKUP(INDIRECT(ADDRESS(2,COLUMN())),OFFSET($AM$2,0,0,ROW()-1,33),ROW()-1,FALSE))</f>
        <v>43.517000000000003</v>
      </c>
      <c r="X174">
        <f ca="1">IF(AND(ISNUMBER($X$587),$B$427=1),$X$587,HLOOKUP(INDIRECT(ADDRESS(2,COLUMN())),OFFSET($AM$2,0,0,ROW()-1,33),ROW()-1,FALSE))</f>
        <v>28.863</v>
      </c>
      <c r="Y174">
        <f ca="1">IF(AND(ISNUMBER($Y$587),$B$427=1),$Y$587,HLOOKUP(INDIRECT(ADDRESS(2,COLUMN())),OFFSET($AM$2,0,0,ROW()-1,33),ROW()-1,FALSE))</f>
        <v>20.434000000000001</v>
      </c>
      <c r="Z174">
        <f ca="1">IF(AND(ISNUMBER($Z$587),$B$427=1),$Z$587,HLOOKUP(INDIRECT(ADDRESS(2,COLUMN())),OFFSET($AM$2,0,0,ROW()-1,33),ROW()-1,FALSE))</f>
        <v>17.681999999999999</v>
      </c>
      <c r="AA174">
        <f ca="1">IF(AND(ISNUMBER($AA$587),$B$427=1),$AA$587,HLOOKUP(INDIRECT(ADDRESS(2,COLUMN())),OFFSET($AM$2,0,0,ROW()-1,33),ROW()-1,FALSE))</f>
        <v>11.802</v>
      </c>
      <c r="AB174">
        <f ca="1">IF(AND(ISNUMBER($AB$587),$B$427=1),$AB$587,HLOOKUP(INDIRECT(ADDRESS(2,COLUMN())),OFFSET($AM$2,0,0,ROW()-1,33),ROW()-1,FALSE))</f>
        <v>10.281000000000001</v>
      </c>
      <c r="AC174">
        <f ca="1">IF(AND(ISNUMBER($AC$587),$B$427=1),$AC$587,HLOOKUP(INDIRECT(ADDRESS(2,COLUMN())),OFFSET($AM$2,0,0,ROW()-1,33),ROW()-1,FALSE))</f>
        <v>12.769</v>
      </c>
      <c r="AD174" t="str">
        <f ca="1">IF(AND(ISNUMBER($AD$587),$B$427=1),$AD$587,HLOOKUP(INDIRECT(ADDRESS(2,COLUMN())),OFFSET($AM$2,0,0,ROW()-1,33),ROW()-1,FALSE))</f>
        <v/>
      </c>
      <c r="AE174" t="str">
        <f ca="1">IF(AND(ISNUMBER($AE$587),$B$427=1),$AE$587,HLOOKUP(INDIRECT(ADDRESS(2,COLUMN())),OFFSET($AM$2,0,0,ROW()-1,33),ROW()-1,FALSE))</f>
        <v/>
      </c>
      <c r="AF174" t="str">
        <f ca="1">IF(AND(ISNUMBER($AF$587),$B$427=1),$AF$587,HLOOKUP(INDIRECT(ADDRESS(2,COLUMN())),OFFSET($AM$2,0,0,ROW()-1,33),ROW()-1,FALSE))</f>
        <v/>
      </c>
      <c r="AG174" t="str">
        <f ca="1">IF(AND(ISNUMBER($AG$587),$B$427=1),$AG$587,HLOOKUP(INDIRECT(ADDRESS(2,COLUMN())),OFFSET($AM$2,0,0,ROW()-1,33),ROW()-1,FALSE))</f>
        <v/>
      </c>
      <c r="AH174" t="str">
        <f ca="1">IF(AND(ISNUMBER($AH$587),$B$427=1),$AH$587,HLOOKUP(INDIRECT(ADDRESS(2,COLUMN())),OFFSET($AM$2,0,0,ROW()-1,33),ROW()-1,FALSE))</f>
        <v/>
      </c>
      <c r="AI174" t="str">
        <f ca="1">IF(AND(ISNUMBER($AI$587),$B$427=1),$AI$587,HLOOKUP(INDIRECT(ADDRESS(2,COLUMN())),OFFSET($AM$2,0,0,ROW()-1,33),ROW()-1,FALSE))</f>
        <v/>
      </c>
      <c r="AJ174" t="str">
        <f ca="1">IF(AND(ISNUMBER($AJ$587),$B$427=1),$AJ$587,HLOOKUP(INDIRECT(ADDRESS(2,COLUMN())),OFFSET($AM$2,0,0,ROW()-1,33),ROW()-1,FALSE))</f>
        <v/>
      </c>
      <c r="AK174" t="str">
        <f ca="1">IF(AND(ISNUMBER($AK$587),$B$427=1),$AK$587,HLOOKUP(INDIRECT(ADDRESS(2,COLUMN())),OFFSET($AM$2,0,0,ROW()-1,33),ROW()-1,FALSE))</f>
        <v/>
      </c>
      <c r="AL174" t="str">
        <f ca="1">IF(AND(ISNUMBER($AL$587),$B$427=1),$AL$587,HLOOKUP(INDIRECT(ADDRESS(2,COLUMN())),OFFSET($AM$2,0,0,ROW()-1,33),ROW()-1,FALSE))</f>
        <v/>
      </c>
      <c r="AM174">
        <f>23.867</f>
        <v>23.867000000000001</v>
      </c>
      <c r="AN174">
        <f>29.923</f>
        <v>29.922999999999998</v>
      </c>
      <c r="AO174">
        <f>33.293</f>
        <v>33.292999999999999</v>
      </c>
      <c r="AP174">
        <f>21.557</f>
        <v>21.556999999999999</v>
      </c>
      <c r="AQ174">
        <f>10.427</f>
        <v>10.427</v>
      </c>
      <c r="AR174">
        <f>10.983</f>
        <v>10.983000000000001</v>
      </c>
      <c r="AS174">
        <f>14.355</f>
        <v>14.355</v>
      </c>
      <c r="AT174">
        <f>16.895</f>
        <v>16.895</v>
      </c>
      <c r="AU174">
        <f>13.021</f>
        <v>13.021000000000001</v>
      </c>
      <c r="AV174">
        <f>14.873</f>
        <v>14.872999999999999</v>
      </c>
      <c r="AW174">
        <f>15.49</f>
        <v>15.49</v>
      </c>
      <c r="AX174">
        <f>21.957</f>
        <v>21.957000000000001</v>
      </c>
      <c r="AY174">
        <f>44.028</f>
        <v>44.027999999999999</v>
      </c>
      <c r="AZ174">
        <f>57.254</f>
        <v>57.253999999999998</v>
      </c>
      <c r="BA174">
        <f>68.746</f>
        <v>68.745999999999995</v>
      </c>
      <c r="BB174">
        <f>80.179</f>
        <v>80.179000000000002</v>
      </c>
      <c r="BC174">
        <f>80.731</f>
        <v>80.730999999999995</v>
      </c>
      <c r="BD174">
        <f>43.517</f>
        <v>43.517000000000003</v>
      </c>
      <c r="BE174">
        <f>28.863</f>
        <v>28.863</v>
      </c>
      <c r="BF174">
        <f>20.434</f>
        <v>20.434000000000001</v>
      </c>
      <c r="BG174">
        <f>17.682</f>
        <v>17.681999999999999</v>
      </c>
      <c r="BH174">
        <f>11.802</f>
        <v>11.802</v>
      </c>
      <c r="BI174">
        <f>10.281</f>
        <v>10.281000000000001</v>
      </c>
      <c r="BJ174">
        <f>12.769</f>
        <v>12.769</v>
      </c>
      <c r="BK174" t="str">
        <f>""</f>
        <v/>
      </c>
      <c r="BL174" t="str">
        <f>""</f>
        <v/>
      </c>
      <c r="BM174" t="str">
        <f>""</f>
        <v/>
      </c>
      <c r="BN174" t="str">
        <f>""</f>
        <v/>
      </c>
      <c r="BO174" t="str">
        <f>""</f>
        <v/>
      </c>
      <c r="BP174" t="str">
        <f>""</f>
        <v/>
      </c>
      <c r="BQ174" t="str">
        <f>""</f>
        <v/>
      </c>
      <c r="BR174" t="str">
        <f>""</f>
        <v/>
      </c>
      <c r="BS174" t="str">
        <f>""</f>
        <v/>
      </c>
    </row>
    <row r="175" spans="1:71" x14ac:dyDescent="0.25">
      <c r="A175" t="str">
        <f>"        Zions Bancorp NA"</f>
        <v xml:space="preserve">        Zions Bancorp NA</v>
      </c>
      <c r="B175" t="str">
        <f>"ZION US Equity"</f>
        <v>ZION US Equity</v>
      </c>
      <c r="C175" t="str">
        <f t="shared" si="21"/>
        <v>F0091</v>
      </c>
      <c r="D175" t="str">
        <f t="shared" si="22"/>
        <v>FED_CONSUMER_LOANS_&amp;_LEASES_CONS</v>
      </c>
      <c r="E175" t="str">
        <f t="shared" si="23"/>
        <v>Dynamic</v>
      </c>
      <c r="F175" t="str">
        <f ca="1">IF(AND(ISNUMBER($F$588),$B$427=1),$F$588,HLOOKUP(INDIRECT(ADDRESS(2,COLUMN())),OFFSET($AM$2,0,0,ROW()-1,33),ROW()-1,FALSE))</f>
        <v/>
      </c>
      <c r="G175">
        <f ca="1">IF(AND(ISNUMBER($G$588),$B$427=1),$G$588,HLOOKUP(INDIRECT(ADDRESS(2,COLUMN())),OFFSET($AM$2,0,0,ROW()-1,33),ROW()-1,FALSE))</f>
        <v>521.68100000000004</v>
      </c>
      <c r="H175">
        <f ca="1">IF(AND(ISNUMBER($H$588),$B$427=1),$H$588,HLOOKUP(INDIRECT(ADDRESS(2,COLUMN())),OFFSET($AM$2,0,0,ROW()-1,33),ROW()-1,FALSE))</f>
        <v>514.23299999999995</v>
      </c>
      <c r="I175">
        <f ca="1">IF(AND(ISNUMBER($I$588),$B$427=1),$I$588,HLOOKUP(INDIRECT(ADDRESS(2,COLUMN())),OFFSET($AM$2,0,0,ROW()-1,33),ROW()-1,FALSE))</f>
        <v>439.06200000000001</v>
      </c>
      <c r="J175" t="str">
        <f ca="1">IF(AND(ISNUMBER($J$588),$B$427=1),$J$588,HLOOKUP(INDIRECT(ADDRESS(2,COLUMN())),OFFSET($AM$2,0,0,ROW()-1,33),ROW()-1,FALSE))</f>
        <v/>
      </c>
      <c r="K175" t="str">
        <f ca="1">IF(AND(ISNUMBER($K$588),$B$427=1),$K$588,HLOOKUP(INDIRECT(ADDRESS(2,COLUMN())),OFFSET($AM$2,0,0,ROW()-1,33),ROW()-1,FALSE))</f>
        <v/>
      </c>
      <c r="L175" t="str">
        <f ca="1">IF(AND(ISNUMBER($L$588),$B$427=1),$L$588,HLOOKUP(INDIRECT(ADDRESS(2,COLUMN())),OFFSET($AM$2,0,0,ROW()-1,33),ROW()-1,FALSE))</f>
        <v/>
      </c>
      <c r="M175" t="str">
        <f ca="1">IF(AND(ISNUMBER($M$588),$B$427=1),$M$588,HLOOKUP(INDIRECT(ADDRESS(2,COLUMN())),OFFSET($AM$2,0,0,ROW()-1,33),ROW()-1,FALSE))</f>
        <v/>
      </c>
      <c r="N175" t="str">
        <f ca="1">IF(AND(ISNUMBER($N$588),$B$427=1),$N$588,HLOOKUP(INDIRECT(ADDRESS(2,COLUMN())),OFFSET($AM$2,0,0,ROW()-1,33),ROW()-1,FALSE))</f>
        <v/>
      </c>
      <c r="O175" t="str">
        <f ca="1">IF(AND(ISNUMBER($O$588),$B$427=1),$O$588,HLOOKUP(INDIRECT(ADDRESS(2,COLUMN())),OFFSET($AM$2,0,0,ROW()-1,33),ROW()-1,FALSE))</f>
        <v/>
      </c>
      <c r="P175" t="str">
        <f ca="1">IF(AND(ISNUMBER($P$588),$B$427=1),$P$588,HLOOKUP(INDIRECT(ADDRESS(2,COLUMN())),OFFSET($AM$2,0,0,ROW()-1,33),ROW()-1,FALSE))</f>
        <v/>
      </c>
      <c r="Q175" t="str">
        <f ca="1">IF(AND(ISNUMBER($Q$588),$B$427=1),$Q$588,HLOOKUP(INDIRECT(ADDRESS(2,COLUMN())),OFFSET($AM$2,0,0,ROW()-1,33),ROW()-1,FALSE))</f>
        <v/>
      </c>
      <c r="R175" t="str">
        <f ca="1">IF(AND(ISNUMBER($R$588),$B$427=1),$R$588,HLOOKUP(INDIRECT(ADDRESS(2,COLUMN())),OFFSET($AM$2,0,0,ROW()-1,33),ROW()-1,FALSE))</f>
        <v/>
      </c>
      <c r="S175" t="str">
        <f ca="1">IF(AND(ISNUMBER($S$588),$B$427=1),$S$588,HLOOKUP(INDIRECT(ADDRESS(2,COLUMN())),OFFSET($AM$2,0,0,ROW()-1,33),ROW()-1,FALSE))</f>
        <v/>
      </c>
      <c r="T175" t="str">
        <f ca="1">IF(AND(ISNUMBER($T$588),$B$427=1),$T$588,HLOOKUP(INDIRECT(ADDRESS(2,COLUMN())),OFFSET($AM$2,0,0,ROW()-1,33),ROW()-1,FALSE))</f>
        <v/>
      </c>
      <c r="U175" t="str">
        <f ca="1">IF(AND(ISNUMBER($U$588),$B$427=1),$U$588,HLOOKUP(INDIRECT(ADDRESS(2,COLUMN())),OFFSET($AM$2,0,0,ROW()-1,33),ROW()-1,FALSE))</f>
        <v/>
      </c>
      <c r="V175" t="str">
        <f ca="1">IF(AND(ISNUMBER($V$588),$B$427=1),$V$588,HLOOKUP(INDIRECT(ADDRESS(2,COLUMN())),OFFSET($AM$2,0,0,ROW()-1,33),ROW()-1,FALSE))</f>
        <v/>
      </c>
      <c r="W175" t="str">
        <f ca="1">IF(AND(ISNUMBER($W$588),$B$427=1),$W$588,HLOOKUP(INDIRECT(ADDRESS(2,COLUMN())),OFFSET($AM$2,0,0,ROW()-1,33),ROW()-1,FALSE))</f>
        <v/>
      </c>
      <c r="X175" t="str">
        <f ca="1">IF(AND(ISNUMBER($X$588),$B$427=1),$X$588,HLOOKUP(INDIRECT(ADDRESS(2,COLUMN())),OFFSET($AM$2,0,0,ROW()-1,33),ROW()-1,FALSE))</f>
        <v/>
      </c>
      <c r="Y175" t="str">
        <f ca="1">IF(AND(ISNUMBER($Y$588),$B$427=1),$Y$588,HLOOKUP(INDIRECT(ADDRESS(2,COLUMN())),OFFSET($AM$2,0,0,ROW()-1,33),ROW()-1,FALSE))</f>
        <v/>
      </c>
      <c r="Z175" t="str">
        <f ca="1">IF(AND(ISNUMBER($Z$588),$B$427=1),$Z$588,HLOOKUP(INDIRECT(ADDRESS(2,COLUMN())),OFFSET($AM$2,0,0,ROW()-1,33),ROW()-1,FALSE))</f>
        <v/>
      </c>
      <c r="AA175" t="str">
        <f ca="1">IF(AND(ISNUMBER($AA$588),$B$427=1),$AA$588,HLOOKUP(INDIRECT(ADDRESS(2,COLUMN())),OFFSET($AM$2,0,0,ROW()-1,33),ROW()-1,FALSE))</f>
        <v/>
      </c>
      <c r="AB175" t="str">
        <f ca="1">IF(AND(ISNUMBER($AB$588),$B$427=1),$AB$588,HLOOKUP(INDIRECT(ADDRESS(2,COLUMN())),OFFSET($AM$2,0,0,ROW()-1,33),ROW()-1,FALSE))</f>
        <v/>
      </c>
      <c r="AC175" t="str">
        <f ca="1">IF(AND(ISNUMBER($AC$588),$B$427=1),$AC$588,HLOOKUP(INDIRECT(ADDRESS(2,COLUMN())),OFFSET($AM$2,0,0,ROW()-1,33),ROW()-1,FALSE))</f>
        <v/>
      </c>
      <c r="AD175" t="str">
        <f ca="1">IF(AND(ISNUMBER($AD$588),$B$427=1),$AD$588,HLOOKUP(INDIRECT(ADDRESS(2,COLUMN())),OFFSET($AM$2,0,0,ROW()-1,33),ROW()-1,FALSE))</f>
        <v/>
      </c>
      <c r="AE175" t="str">
        <f ca="1">IF(AND(ISNUMBER($AE$588),$B$427=1),$AE$588,HLOOKUP(INDIRECT(ADDRESS(2,COLUMN())),OFFSET($AM$2,0,0,ROW()-1,33),ROW()-1,FALSE))</f>
        <v/>
      </c>
      <c r="AF175" t="str">
        <f ca="1">IF(AND(ISNUMBER($AF$588),$B$427=1),$AF$588,HLOOKUP(INDIRECT(ADDRESS(2,COLUMN())),OFFSET($AM$2,0,0,ROW()-1,33),ROW()-1,FALSE))</f>
        <v/>
      </c>
      <c r="AG175" t="str">
        <f ca="1">IF(AND(ISNUMBER($AG$588),$B$427=1),$AG$588,HLOOKUP(INDIRECT(ADDRESS(2,COLUMN())),OFFSET($AM$2,0,0,ROW()-1,33),ROW()-1,FALSE))</f>
        <v/>
      </c>
      <c r="AH175" t="str">
        <f ca="1">IF(AND(ISNUMBER($AH$588),$B$427=1),$AH$588,HLOOKUP(INDIRECT(ADDRESS(2,COLUMN())),OFFSET($AM$2,0,0,ROW()-1,33),ROW()-1,FALSE))</f>
        <v/>
      </c>
      <c r="AI175" t="str">
        <f ca="1">IF(AND(ISNUMBER($AI$588),$B$427=1),$AI$588,HLOOKUP(INDIRECT(ADDRESS(2,COLUMN())),OFFSET($AM$2,0,0,ROW()-1,33),ROW()-1,FALSE))</f>
        <v/>
      </c>
      <c r="AJ175" t="str">
        <f ca="1">IF(AND(ISNUMBER($AJ$588),$B$427=1),$AJ$588,HLOOKUP(INDIRECT(ADDRESS(2,COLUMN())),OFFSET($AM$2,0,0,ROW()-1,33),ROW()-1,FALSE))</f>
        <v/>
      </c>
      <c r="AK175" t="str">
        <f ca="1">IF(AND(ISNUMBER($AK$588),$B$427=1),$AK$588,HLOOKUP(INDIRECT(ADDRESS(2,COLUMN())),OFFSET($AM$2,0,0,ROW()-1,33),ROW()-1,FALSE))</f>
        <v/>
      </c>
      <c r="AL175" t="str">
        <f ca="1">IF(AND(ISNUMBER($AL$588),$B$427=1),$AL$588,HLOOKUP(INDIRECT(ADDRESS(2,COLUMN())),OFFSET($AM$2,0,0,ROW()-1,33),ROW()-1,FALSE))</f>
        <v/>
      </c>
      <c r="AM175" t="str">
        <f>""</f>
        <v/>
      </c>
      <c r="AN175">
        <f>521.681</f>
        <v>521.68100000000004</v>
      </c>
      <c r="AO175">
        <f>514.233</f>
        <v>514.23299999999995</v>
      </c>
      <c r="AP175">
        <f>439.062</f>
        <v>439.06200000000001</v>
      </c>
      <c r="AQ175" t="str">
        <f>""</f>
        <v/>
      </c>
      <c r="AR175" t="str">
        <f>""</f>
        <v/>
      </c>
      <c r="AS175" t="str">
        <f>""</f>
        <v/>
      </c>
      <c r="AT175" t="str">
        <f>""</f>
        <v/>
      </c>
      <c r="AU175" t="str">
        <f>""</f>
        <v/>
      </c>
      <c r="AV175" t="str">
        <f>""</f>
        <v/>
      </c>
      <c r="AW175" t="str">
        <f>""</f>
        <v/>
      </c>
      <c r="AX175" t="str">
        <f>""</f>
        <v/>
      </c>
      <c r="AY175" t="str">
        <f>""</f>
        <v/>
      </c>
      <c r="AZ175" t="str">
        <f>""</f>
        <v/>
      </c>
      <c r="BA175" t="str">
        <f>""</f>
        <v/>
      </c>
      <c r="BB175" t="str">
        <f>""</f>
        <v/>
      </c>
      <c r="BC175" t="str">
        <f>""</f>
        <v/>
      </c>
      <c r="BD175" t="str">
        <f>""</f>
        <v/>
      </c>
      <c r="BE175" t="str">
        <f>""</f>
        <v/>
      </c>
      <c r="BF175" t="str">
        <f>""</f>
        <v/>
      </c>
      <c r="BG175" t="str">
        <f>""</f>
        <v/>
      </c>
      <c r="BH175" t="str">
        <f>""</f>
        <v/>
      </c>
      <c r="BI175" t="str">
        <f>""</f>
        <v/>
      </c>
      <c r="BJ175" t="str">
        <f>""</f>
        <v/>
      </c>
      <c r="BK175" t="str">
        <f>""</f>
        <v/>
      </c>
      <c r="BL175" t="str">
        <f>""</f>
        <v/>
      </c>
      <c r="BM175" t="str">
        <f>""</f>
        <v/>
      </c>
      <c r="BN175" t="str">
        <f>""</f>
        <v/>
      </c>
      <c r="BO175" t="str">
        <f>""</f>
        <v/>
      </c>
      <c r="BP175" t="str">
        <f>""</f>
        <v/>
      </c>
      <c r="BQ175" t="str">
        <f>""</f>
        <v/>
      </c>
      <c r="BR175" t="str">
        <f>""</f>
        <v/>
      </c>
      <c r="BS175" t="str">
        <f>""</f>
        <v/>
      </c>
    </row>
    <row r="176" spans="1:71" x14ac:dyDescent="0.25">
      <c r="A176" t="str">
        <f>"Loan Mix"</f>
        <v>Loan Mix</v>
      </c>
      <c r="B176" t="str">
        <f>""</f>
        <v/>
      </c>
      <c r="E176" t="str">
        <f>"Heading"</f>
        <v>Heading</v>
      </c>
      <c r="AM176" t="str">
        <f>""</f>
        <v/>
      </c>
      <c r="AN176" t="str">
        <f>""</f>
        <v/>
      </c>
      <c r="AO176" t="str">
        <f>""</f>
        <v/>
      </c>
      <c r="AP176" t="str">
        <f>""</f>
        <v/>
      </c>
      <c r="AQ176" t="str">
        <f>""</f>
        <v/>
      </c>
      <c r="AR176" t="str">
        <f>""</f>
        <v/>
      </c>
      <c r="AS176" t="str">
        <f>""</f>
        <v/>
      </c>
      <c r="AT176" t="str">
        <f>""</f>
        <v/>
      </c>
      <c r="AU176" t="str">
        <f>""</f>
        <v/>
      </c>
      <c r="AV176" t="str">
        <f>""</f>
        <v/>
      </c>
      <c r="AW176" t="str">
        <f>""</f>
        <v/>
      </c>
      <c r="AX176" t="str">
        <f>""</f>
        <v/>
      </c>
      <c r="AY176" t="str">
        <f>""</f>
        <v/>
      </c>
      <c r="AZ176" t="str">
        <f>""</f>
        <v/>
      </c>
      <c r="BA176" t="str">
        <f>""</f>
        <v/>
      </c>
      <c r="BB176" t="str">
        <f>""</f>
        <v/>
      </c>
      <c r="BC176" t="str">
        <f>""</f>
        <v/>
      </c>
      <c r="BD176" t="str">
        <f>""</f>
        <v/>
      </c>
      <c r="BE176" t="str">
        <f>""</f>
        <v/>
      </c>
      <c r="BF176" t="str">
        <f>""</f>
        <v/>
      </c>
      <c r="BG176" t="str">
        <f>""</f>
        <v/>
      </c>
      <c r="BH176" t="str">
        <f>""</f>
        <v/>
      </c>
      <c r="BI176" t="str">
        <f>""</f>
        <v/>
      </c>
      <c r="BJ176" t="str">
        <f>""</f>
        <v/>
      </c>
      <c r="BK176" t="str">
        <f>""</f>
        <v/>
      </c>
      <c r="BL176" t="str">
        <f>""</f>
        <v/>
      </c>
      <c r="BM176" t="str">
        <f>""</f>
        <v/>
      </c>
      <c r="BN176" t="str">
        <f>""</f>
        <v/>
      </c>
      <c r="BO176" t="str">
        <f>""</f>
        <v/>
      </c>
      <c r="BP176" t="str">
        <f>""</f>
        <v/>
      </c>
      <c r="BQ176" t="str">
        <f>""</f>
        <v/>
      </c>
      <c r="BR176" t="str">
        <f>""</f>
        <v/>
      </c>
      <c r="BS176" t="str">
        <f>""</f>
        <v/>
      </c>
    </row>
    <row r="177" spans="1:71" x14ac:dyDescent="0.25">
      <c r="A177" t="str">
        <f>"US Real Estate Loans"</f>
        <v>US Real Estate Loans</v>
      </c>
      <c r="B177" t="str">
        <f>""</f>
        <v/>
      </c>
      <c r="E177" t="str">
        <f>"Expression"</f>
        <v>Expression</v>
      </c>
      <c r="F177">
        <f ca="1">IF(AND($B$427=1,LEN($F$178)&gt;0),$F$178,HLOOKUP(INDIRECT(ADDRESS(2,COLUMN())),OFFSET($AM$2,0,0,ROW()-1,33),ROW()-1,FALSE))</f>
        <v>41.015469000000003</v>
      </c>
      <c r="G177">
        <f ca="1">IF(AND($B$427=1,LEN($G$178)&gt;0),$G$178,HLOOKUP(INDIRECT(ADDRESS(2,COLUMN())),OFFSET($AM$2,0,0,ROW()-1,33),ROW()-1,FALSE))</f>
        <v>42.454867</v>
      </c>
      <c r="H177">
        <f ca="1">IF(AND($B$427=1,LEN($H$178)&gt;0),$H$178,HLOOKUP(INDIRECT(ADDRESS(2,COLUMN())),OFFSET($AM$2,0,0,ROW()-1,33),ROW()-1,FALSE))</f>
        <v>40.338172</v>
      </c>
      <c r="I177">
        <f ca="1">IF(AND($B$427=1,LEN($I$178)&gt;0),$I$178,HLOOKUP(INDIRECT(ADDRESS(2,COLUMN())),OFFSET($AM$2,0,0,ROW()-1,33),ROW()-1,FALSE))</f>
        <v>40.970222</v>
      </c>
      <c r="J177">
        <f ca="1">IF(AND($B$427=1,LEN($J$178)&gt;0),$J$178,HLOOKUP(INDIRECT(ADDRESS(2,COLUMN())),OFFSET($AM$2,0,0,ROW()-1,33),ROW()-1,FALSE))</f>
        <v>40.364887000000003</v>
      </c>
      <c r="K177">
        <f ca="1">IF(AND($B$427=1,LEN($K$178)&gt;0),$K$178,HLOOKUP(INDIRECT(ADDRESS(2,COLUMN())),OFFSET($AM$2,0,0,ROW()-1,33),ROW()-1,FALSE))</f>
        <v>42.425497</v>
      </c>
      <c r="L177">
        <f ca="1">IF(AND($B$427=1,LEN($L$178)&gt;0),$L$178,HLOOKUP(INDIRECT(ADDRESS(2,COLUMN())),OFFSET($AM$2,0,0,ROW()-1,33),ROW()-1,FALSE))</f>
        <v>41.762416000000002</v>
      </c>
      <c r="M177">
        <f ca="1">IF(AND($B$427=1,LEN($M$178)&gt;0),$M$178,HLOOKUP(INDIRECT(ADDRESS(2,COLUMN())),OFFSET($AM$2,0,0,ROW()-1,33),ROW()-1,FALSE))</f>
        <v>42.531348000000001</v>
      </c>
      <c r="N177">
        <f ca="1">IF(AND($B$427=1,LEN($N$178)&gt;0),$N$178,HLOOKUP(INDIRECT(ADDRESS(2,COLUMN())),OFFSET($AM$2,0,0,ROW()-1,33),ROW()-1,FALSE))</f>
        <v>44.052390000000003</v>
      </c>
      <c r="O177">
        <f ca="1">IF(AND($B$427=1,LEN($O$178)&gt;0),$O$178,HLOOKUP(INDIRECT(ADDRESS(2,COLUMN())),OFFSET($AM$2,0,0,ROW()-1,33),ROW()-1,FALSE))</f>
        <v>44.149642</v>
      </c>
      <c r="P177">
        <f ca="1">IF(AND($B$427=1,LEN($P$178)&gt;0),$P$178,HLOOKUP(INDIRECT(ADDRESS(2,COLUMN())),OFFSET($AM$2,0,0,ROW()-1,33),ROW()-1,FALSE))</f>
        <v>46.322395</v>
      </c>
      <c r="Q177">
        <f ca="1">IF(AND($B$427=1,LEN($Q$178)&gt;0),$Q$178,HLOOKUP(INDIRECT(ADDRESS(2,COLUMN())),OFFSET($AM$2,0,0,ROW()-1,33),ROW()-1,FALSE))</f>
        <v>49.324680999999998</v>
      </c>
      <c r="R177">
        <f ca="1">IF(AND($B$427=1,LEN($R$178)&gt;0),$R$178,HLOOKUP(INDIRECT(ADDRESS(2,COLUMN())),OFFSET($AM$2,0,0,ROW()-1,33),ROW()-1,FALSE))</f>
        <v>52.504998000000001</v>
      </c>
      <c r="S177">
        <f ca="1">IF(AND($B$427=1,LEN($S$178)&gt;0),$S$178,HLOOKUP(INDIRECT(ADDRESS(2,COLUMN())),OFFSET($AM$2,0,0,ROW()-1,33),ROW()-1,FALSE))</f>
        <v>55.903683000000001</v>
      </c>
      <c r="T177">
        <f ca="1">IF(AND($B$427=1,LEN($T$178)&gt;0),$T$178,HLOOKUP(INDIRECT(ADDRESS(2,COLUMN())),OFFSET($AM$2,0,0,ROW()-1,33),ROW()-1,FALSE))</f>
        <v>58.658937999999999</v>
      </c>
      <c r="U177">
        <f ca="1">IF(AND($B$427=1,LEN($U$178)&gt;0),$U$178,HLOOKUP(INDIRECT(ADDRESS(2,COLUMN())),OFFSET($AM$2,0,0,ROW()-1,33),ROW()-1,FALSE))</f>
        <v>60.480891</v>
      </c>
      <c r="V177">
        <f ca="1">IF(AND($B$427=1,LEN($V$178)&gt;0),$V$178,HLOOKUP(INDIRECT(ADDRESS(2,COLUMN())),OFFSET($AM$2,0,0,ROW()-1,33),ROW()-1,FALSE))</f>
        <v>57.954723999999999</v>
      </c>
      <c r="W177">
        <f ca="1">IF(AND($B$427=1,LEN($W$178)&gt;0),$W$178,HLOOKUP(INDIRECT(ADDRESS(2,COLUMN())),OFFSET($AM$2,0,0,ROW()-1,33),ROW()-1,FALSE))</f>
        <v>55.887920000000001</v>
      </c>
      <c r="X177">
        <f ca="1">IF(AND($B$427=1,LEN($X$178)&gt;0),$X$178,HLOOKUP(INDIRECT(ADDRESS(2,COLUMN())),OFFSET($AM$2,0,0,ROW()-1,33),ROW()-1,FALSE))</f>
        <v>31.626778000000002</v>
      </c>
      <c r="Y177">
        <f ca="1">IF(AND($B$427=1,LEN($Y$178)&gt;0),$Y$178,HLOOKUP(INDIRECT(ADDRESS(2,COLUMN())),OFFSET($AM$2,0,0,ROW()-1,33),ROW()-1,FALSE))</f>
        <v>30.901160000000001</v>
      </c>
      <c r="Z177">
        <f ca="1">IF(AND($B$427=1,LEN($Z$178)&gt;0),$Z$178,HLOOKUP(INDIRECT(ADDRESS(2,COLUMN())),OFFSET($AM$2,0,0,ROW()-1,33),ROW()-1,FALSE))</f>
        <v>31.443639000000001</v>
      </c>
      <c r="AA177">
        <f ca="1">IF(AND($B$427=1,LEN($AA$178)&gt;0),$AA$178,HLOOKUP(INDIRECT(ADDRESS(2,COLUMN())),OFFSET($AM$2,0,0,ROW()-1,33),ROW()-1,FALSE))</f>
        <v>32.765819</v>
      </c>
      <c r="AB177">
        <f ca="1">IF(AND($B$427=1,LEN($AB$178)&gt;0),$AB$178,HLOOKUP(INDIRECT(ADDRESS(2,COLUMN())),OFFSET($AM$2,0,0,ROW()-1,33),ROW()-1,FALSE))</f>
        <v>30.159998999999999</v>
      </c>
      <c r="AC177">
        <f ca="1">IF(AND($B$427=1,LEN($AC$178)&gt;0),$AC$178,HLOOKUP(INDIRECT(ADDRESS(2,COLUMN())),OFFSET($AM$2,0,0,ROW()-1,33),ROW()-1,FALSE))</f>
        <v>31.330860000000001</v>
      </c>
      <c r="AD177" t="str">
        <f ca="1">IF(AND($B$427=1,LEN($AD$178)&gt;0),$AD$178,HLOOKUP(INDIRECT(ADDRESS(2,COLUMN())),OFFSET($AM$2,0,0,ROW()-1,33),ROW()-1,FALSE))</f>
        <v/>
      </c>
      <c r="AE177" t="str">
        <f ca="1">IF(AND($B$427=1,LEN($AE$178)&gt;0),$AE$178,HLOOKUP(INDIRECT(ADDRESS(2,COLUMN())),OFFSET($AM$2,0,0,ROW()-1,33),ROW()-1,FALSE))</f>
        <v/>
      </c>
      <c r="AF177" t="str">
        <f ca="1">IF(AND($B$427=1,LEN($AF$178)&gt;0),$AF$178,HLOOKUP(INDIRECT(ADDRESS(2,COLUMN())),OFFSET($AM$2,0,0,ROW()-1,33),ROW()-1,FALSE))</f>
        <v/>
      </c>
      <c r="AG177" t="str">
        <f ca="1">IF(AND($B$427=1,LEN($AG$178)&gt;0),$AG$178,HLOOKUP(INDIRECT(ADDRESS(2,COLUMN())),OFFSET($AM$2,0,0,ROW()-1,33),ROW()-1,FALSE))</f>
        <v/>
      </c>
      <c r="AH177" t="str">
        <f ca="1">IF(AND($B$427=1,LEN($AH$178)&gt;0),$AH$178,HLOOKUP(INDIRECT(ADDRESS(2,COLUMN())),OFFSET($AM$2,0,0,ROW()-1,33),ROW()-1,FALSE))</f>
        <v/>
      </c>
      <c r="AI177" t="str">
        <f ca="1">IF(AND($B$427=1,LEN($AI$178)&gt;0),$AI$178,HLOOKUP(INDIRECT(ADDRESS(2,COLUMN())),OFFSET($AM$2,0,0,ROW()-1,33),ROW()-1,FALSE))</f>
        <v/>
      </c>
      <c r="AJ177" t="str">
        <f ca="1">IF(AND($B$427=1,LEN($AJ$178)&gt;0),$AJ$178,HLOOKUP(INDIRECT(ADDRESS(2,COLUMN())),OFFSET($AM$2,0,0,ROW()-1,33),ROW()-1,FALSE))</f>
        <v/>
      </c>
      <c r="AK177" t="str">
        <f ca="1">IF(AND($B$427=1,LEN($AK$178)&gt;0),$AK$178,HLOOKUP(INDIRECT(ADDRESS(2,COLUMN())),OFFSET($AM$2,0,0,ROW()-1,33),ROW()-1,FALSE))</f>
        <v/>
      </c>
      <c r="AL177" t="str">
        <f ca="1">IF(AND($B$427=1,LEN($AL$178)&gt;0),$AL$178,HLOOKUP(INDIRECT(ADDRESS(2,COLUMN())),OFFSET($AM$2,0,0,ROW()-1,33),ROW()-1,FALSE))</f>
        <v/>
      </c>
      <c r="AM177">
        <f>41.015469</f>
        <v>41.015469000000003</v>
      </c>
      <c r="AN177">
        <f>42.454867</f>
        <v>42.454867</v>
      </c>
      <c r="AO177">
        <f>40.338172</f>
        <v>40.338172</v>
      </c>
      <c r="AP177">
        <f>40.970222</f>
        <v>40.970222</v>
      </c>
      <c r="AQ177">
        <f>40.364887</f>
        <v>40.364887000000003</v>
      </c>
      <c r="AR177">
        <f>42.425497</f>
        <v>42.425497</v>
      </c>
      <c r="AS177">
        <f>41.762416</f>
        <v>41.762416000000002</v>
      </c>
      <c r="AT177">
        <f>42.531348</f>
        <v>42.531348000000001</v>
      </c>
      <c r="AU177">
        <f>44.05239</f>
        <v>44.052390000000003</v>
      </c>
      <c r="AV177">
        <f>44.149642</f>
        <v>44.149642</v>
      </c>
      <c r="AW177">
        <f>46.322395</f>
        <v>46.322395</v>
      </c>
      <c r="AX177">
        <f>49.324681</f>
        <v>49.324680999999998</v>
      </c>
      <c r="AY177">
        <f>52.504998</f>
        <v>52.504998000000001</v>
      </c>
      <c r="AZ177">
        <f>55.903683</f>
        <v>55.903683000000001</v>
      </c>
      <c r="BA177">
        <f>58.658938</f>
        <v>58.658937999999999</v>
      </c>
      <c r="BB177">
        <f>60.480891</f>
        <v>60.480891</v>
      </c>
      <c r="BC177">
        <f>57.954724</f>
        <v>57.954723999999999</v>
      </c>
      <c r="BD177">
        <f>55.88792</f>
        <v>55.887920000000001</v>
      </c>
      <c r="BE177">
        <f>31.626778</f>
        <v>31.626778000000002</v>
      </c>
      <c r="BF177">
        <f>30.90116</f>
        <v>30.901160000000001</v>
      </c>
      <c r="BG177">
        <f>31.443639</f>
        <v>31.443639000000001</v>
      </c>
      <c r="BH177">
        <f>32.765819</f>
        <v>32.765819</v>
      </c>
      <c r="BI177">
        <f>30.159999</f>
        <v>30.159998999999999</v>
      </c>
      <c r="BJ177">
        <f>31.33086</f>
        <v>31.330860000000001</v>
      </c>
      <c r="BK177" t="str">
        <f>""</f>
        <v/>
      </c>
      <c r="BL177" t="str">
        <f>""</f>
        <v/>
      </c>
      <c r="BM177" t="str">
        <f>""</f>
        <v/>
      </c>
      <c r="BN177" t="str">
        <f>""</f>
        <v/>
      </c>
      <c r="BO177" t="str">
        <f>""</f>
        <v/>
      </c>
      <c r="BP177" t="str">
        <f>""</f>
        <v/>
      </c>
      <c r="BQ177" t="str">
        <f>""</f>
        <v/>
      </c>
      <c r="BR177" t="str">
        <f>""</f>
        <v/>
      </c>
      <c r="BS177" t="str">
        <f>""</f>
        <v/>
      </c>
    </row>
    <row r="178" spans="1:71" x14ac:dyDescent="0.25">
      <c r="A178" t="str">
        <f>"    US Real Estate Loans by Company"</f>
        <v xml:space="preserve">    US Real Estate Loans by Company</v>
      </c>
      <c r="B178" t="str">
        <f>""</f>
        <v/>
      </c>
      <c r="E178" t="str">
        <f>"Median"</f>
        <v>Median</v>
      </c>
      <c r="F178">
        <f ca="1">IF(ISERROR(IF(MEDIAN($F$179:$F$198) = 0, "", MEDIAN($F$179:$F$198))), "", (IF(MEDIAN($F$179:$F$198) = 0, "", MEDIAN($F$179:$F$198))))</f>
        <v>41.015468540000001</v>
      </c>
      <c r="G178">
        <f ca="1">IF(ISERROR(IF(MEDIAN($G$179:$G$198) = 0, "", MEDIAN($G$179:$G$198))), "", (IF(MEDIAN($G$179:$G$198) = 0, "", MEDIAN($G$179:$G$198))))</f>
        <v>42.454866750000001</v>
      </c>
      <c r="H178">
        <f ca="1">IF(ISERROR(IF(MEDIAN($H$179:$H$198) = 0, "", MEDIAN($H$179:$H$198))), "", (IF(MEDIAN($H$179:$H$198) = 0, "", MEDIAN($H$179:$H$198))))</f>
        <v>40.338171699999997</v>
      </c>
      <c r="I178">
        <f ca="1">IF(ISERROR(IF(MEDIAN($I$179:$I$198) = 0, "", MEDIAN($I$179:$I$198))), "", (IF(MEDIAN($I$179:$I$198) = 0, "", MEDIAN($I$179:$I$198))))</f>
        <v>40.970222290000002</v>
      </c>
      <c r="J178">
        <f ca="1">IF(ISERROR(IF(MEDIAN($J$179:$J$198) = 0, "", MEDIAN($J$179:$J$198))), "", (IF(MEDIAN($J$179:$J$198) = 0, "", MEDIAN($J$179:$J$198))))</f>
        <v>40.364887359999997</v>
      </c>
      <c r="K178">
        <f ca="1">IF(ISERROR(IF(MEDIAN($K$179:$K$198) = 0, "", MEDIAN($K$179:$K$198))), "", (IF(MEDIAN($K$179:$K$198) = 0, "", MEDIAN($K$179:$K$198))))</f>
        <v>42.425497049999997</v>
      </c>
      <c r="L178">
        <f ca="1">IF(ISERROR(IF(MEDIAN($L$179:$L$198) = 0, "", MEDIAN($L$179:$L$198))), "", (IF(MEDIAN($L$179:$L$198) = 0, "", MEDIAN($L$179:$L$198))))</f>
        <v>41.762416279999997</v>
      </c>
      <c r="M178">
        <f ca="1">IF(ISERROR(IF(MEDIAN($M$179:$M$198) = 0, "", MEDIAN($M$179:$M$198))), "", (IF(MEDIAN($M$179:$M$198) = 0, "", MEDIAN($M$179:$M$198))))</f>
        <v>42.531347740000001</v>
      </c>
      <c r="N178">
        <f ca="1">IF(ISERROR(IF(MEDIAN($N$179:$N$198) = 0, "", MEDIAN($N$179:$N$198))), "", (IF(MEDIAN($N$179:$N$198) = 0, "", MEDIAN($N$179:$N$198))))</f>
        <v>44.052389900000001</v>
      </c>
      <c r="O178">
        <f ca="1">IF(ISERROR(IF(MEDIAN($O$179:$O$198) = 0, "", MEDIAN($O$179:$O$198))), "", (IF(MEDIAN($O$179:$O$198) = 0, "", MEDIAN($O$179:$O$198))))</f>
        <v>44.149642020000002</v>
      </c>
      <c r="P178">
        <f ca="1">IF(ISERROR(IF(MEDIAN($P$179:$P$198) = 0, "", MEDIAN($P$179:$P$198))), "", (IF(MEDIAN($P$179:$P$198) = 0, "", MEDIAN($P$179:$P$198))))</f>
        <v>46.322394899999999</v>
      </c>
      <c r="Q178">
        <f ca="1">IF(ISERROR(IF(MEDIAN($Q$179:$Q$198) = 0, "", MEDIAN($Q$179:$Q$198))), "", (IF(MEDIAN($Q$179:$Q$198) = 0, "", MEDIAN($Q$179:$Q$198))))</f>
        <v>49.324680739999998</v>
      </c>
      <c r="R178">
        <f ca="1">IF(ISERROR(IF(MEDIAN($R$179:$R$198) = 0, "", MEDIAN($R$179:$R$198))), "", (IF(MEDIAN($R$179:$R$198) = 0, "", MEDIAN($R$179:$R$198))))</f>
        <v>52.504997520000003</v>
      </c>
      <c r="S178">
        <f ca="1">IF(ISERROR(IF(MEDIAN($S$179:$S$198) = 0, "", MEDIAN($S$179:$S$198))), "", (IF(MEDIAN($S$179:$S$198) = 0, "", MEDIAN($S$179:$S$198))))</f>
        <v>55.903683209999997</v>
      </c>
      <c r="T178">
        <f ca="1">IF(ISERROR(IF(MEDIAN($T$179:$T$198) = 0, "", MEDIAN($T$179:$T$198))), "", (IF(MEDIAN($T$179:$T$198) = 0, "", MEDIAN($T$179:$T$198))))</f>
        <v>58.658938460000002</v>
      </c>
      <c r="U178">
        <f ca="1">IF(ISERROR(IF(MEDIAN($U$179:$U$198) = 0, "", MEDIAN($U$179:$U$198))), "", (IF(MEDIAN($U$179:$U$198) = 0, "", MEDIAN($U$179:$U$198))))</f>
        <v>60.480890649999999</v>
      </c>
      <c r="V178">
        <f ca="1">IF(ISERROR(IF(MEDIAN($V$179:$V$198) = 0, "", MEDIAN($V$179:$V$198))), "", (IF(MEDIAN($V$179:$V$198) = 0, "", MEDIAN($V$179:$V$198))))</f>
        <v>57.954723979999997</v>
      </c>
      <c r="W178">
        <f ca="1">IF(ISERROR(IF(MEDIAN($W$179:$W$198) = 0, "", MEDIAN($W$179:$W$198))), "", (IF(MEDIAN($W$179:$W$198) = 0, "", MEDIAN($W$179:$W$198))))</f>
        <v>55.887920229999999</v>
      </c>
      <c r="X178">
        <f ca="1">IF(ISERROR(IF(MEDIAN($X$179:$X$198) = 0, "", MEDIAN($X$179:$X$198))), "", (IF(MEDIAN($X$179:$X$198) = 0, "", MEDIAN($X$179:$X$198))))</f>
        <v>31.626778460000001</v>
      </c>
      <c r="Y178">
        <f ca="1">IF(ISERROR(IF(MEDIAN($Y$179:$Y$198) = 0, "", MEDIAN($Y$179:$Y$198))), "", (IF(MEDIAN($Y$179:$Y$198) = 0, "", MEDIAN($Y$179:$Y$198))))</f>
        <v>30.9011605</v>
      </c>
      <c r="Z178">
        <f ca="1">IF(ISERROR(IF(MEDIAN($Z$179:$Z$198) = 0, "", MEDIAN($Z$179:$Z$198))), "", (IF(MEDIAN($Z$179:$Z$198) = 0, "", MEDIAN($Z$179:$Z$198))))</f>
        <v>31.443638880000002</v>
      </c>
      <c r="AA178">
        <f ca="1">IF(ISERROR(IF(MEDIAN($AA$179:$AA$198) = 0, "", MEDIAN($AA$179:$AA$198))), "", (IF(MEDIAN($AA$179:$AA$198) = 0, "", MEDIAN($AA$179:$AA$198))))</f>
        <v>32.76581865</v>
      </c>
      <c r="AB178">
        <f ca="1">IF(ISERROR(IF(MEDIAN($AB$179:$AB$198) = 0, "", MEDIAN($AB$179:$AB$198))), "", (IF(MEDIAN($AB$179:$AB$198) = 0, "", MEDIAN($AB$179:$AB$198))))</f>
        <v>30.159998519999998</v>
      </c>
      <c r="AC178">
        <f ca="1">IF(ISERROR(IF(MEDIAN($AC$179:$AC$198) = 0, "", MEDIAN($AC$179:$AC$198))), "", (IF(MEDIAN($AC$179:$AC$198) = 0, "", MEDIAN($AC$179:$AC$198))))</f>
        <v>31.330860000000001</v>
      </c>
      <c r="AD178" t="str">
        <f ca="1">IF(ISERROR(IF(MEDIAN($AD$179:$AD$198) = 0, "", MEDIAN($AD$179:$AD$198))), "", (IF(MEDIAN($AD$179:$AD$198) = 0, "", MEDIAN($AD$179:$AD$198))))</f>
        <v/>
      </c>
      <c r="AE178" t="str">
        <f ca="1">IF(ISERROR(IF(MEDIAN($AE$179:$AE$198) = 0, "", MEDIAN($AE$179:$AE$198))), "", (IF(MEDIAN($AE$179:$AE$198) = 0, "", MEDIAN($AE$179:$AE$198))))</f>
        <v/>
      </c>
      <c r="AF178" t="str">
        <f ca="1">IF(ISERROR(IF(MEDIAN($AF$179:$AF$198) = 0, "", MEDIAN($AF$179:$AF$198))), "", (IF(MEDIAN($AF$179:$AF$198) = 0, "", MEDIAN($AF$179:$AF$198))))</f>
        <v/>
      </c>
      <c r="AG178" t="str">
        <f ca="1">IF(ISERROR(IF(MEDIAN($AG$179:$AG$198) = 0, "", MEDIAN($AG$179:$AG$198))), "", (IF(MEDIAN($AG$179:$AG$198) = 0, "", MEDIAN($AG$179:$AG$198))))</f>
        <v/>
      </c>
      <c r="AH178" t="str">
        <f ca="1">IF(ISERROR(IF(MEDIAN($AH$179:$AH$198) = 0, "", MEDIAN($AH$179:$AH$198))), "", (IF(MEDIAN($AH$179:$AH$198) = 0, "", MEDIAN($AH$179:$AH$198))))</f>
        <v/>
      </c>
      <c r="AI178" t="str">
        <f ca="1">IF(ISERROR(IF(MEDIAN($AI$179:$AI$198) = 0, "", MEDIAN($AI$179:$AI$198))), "", (IF(MEDIAN($AI$179:$AI$198) = 0, "", MEDIAN($AI$179:$AI$198))))</f>
        <v/>
      </c>
      <c r="AJ178" t="str">
        <f ca="1">IF(ISERROR(IF(MEDIAN($AJ$179:$AJ$198) = 0, "", MEDIAN($AJ$179:$AJ$198))), "", (IF(MEDIAN($AJ$179:$AJ$198) = 0, "", MEDIAN($AJ$179:$AJ$198))))</f>
        <v/>
      </c>
      <c r="AK178" t="str">
        <f ca="1">IF(ISERROR(IF(MEDIAN($AK$179:$AK$198) = 0, "", MEDIAN($AK$179:$AK$198))), "", (IF(MEDIAN($AK$179:$AK$198) = 0, "", MEDIAN($AK$179:$AK$198))))</f>
        <v/>
      </c>
      <c r="AL178" t="str">
        <f ca="1">IF(ISERROR(IF(MEDIAN($AL$179:$AL$198) = 0, "", MEDIAN($AL$179:$AL$198))), "", (IF(MEDIAN($AL$179:$AL$198) = 0, "", MEDIAN($AL$179:$AL$198))))</f>
        <v/>
      </c>
      <c r="AM178">
        <f>41.01546854</f>
        <v>41.015468540000001</v>
      </c>
      <c r="AN178">
        <f>42.45486675</f>
        <v>42.454866750000001</v>
      </c>
      <c r="AO178">
        <f>40.3381717</f>
        <v>40.338171699999997</v>
      </c>
      <c r="AP178">
        <f>40.97022229</f>
        <v>40.970222290000002</v>
      </c>
      <c r="AQ178">
        <f>40.36488736</f>
        <v>40.364887359999997</v>
      </c>
      <c r="AR178">
        <f>42.42549705</f>
        <v>42.425497049999997</v>
      </c>
      <c r="AS178">
        <f>41.76241628</f>
        <v>41.762416279999997</v>
      </c>
      <c r="AT178">
        <f>42.53134774</f>
        <v>42.531347740000001</v>
      </c>
      <c r="AU178">
        <f>44.0523899</f>
        <v>44.052389900000001</v>
      </c>
      <c r="AV178">
        <f>44.14964202</f>
        <v>44.149642020000002</v>
      </c>
      <c r="AW178">
        <f>46.3223949</f>
        <v>46.322394899999999</v>
      </c>
      <c r="AX178">
        <f>49.32468074</f>
        <v>49.324680739999998</v>
      </c>
      <c r="AY178">
        <f>52.50499752</f>
        <v>52.504997520000003</v>
      </c>
      <c r="AZ178">
        <f>55.90368321</f>
        <v>55.903683209999997</v>
      </c>
      <c r="BA178">
        <f>58.65893846</f>
        <v>58.658938460000002</v>
      </c>
      <c r="BB178">
        <f>60.48089065</f>
        <v>60.480890649999999</v>
      </c>
      <c r="BC178">
        <f>57.95472398</f>
        <v>57.954723979999997</v>
      </c>
      <c r="BD178">
        <f>55.88792023</f>
        <v>55.887920229999999</v>
      </c>
      <c r="BE178">
        <f>31.62677846</f>
        <v>31.626778460000001</v>
      </c>
      <c r="BF178">
        <f>30.9011605</f>
        <v>30.9011605</v>
      </c>
      <c r="BG178">
        <f>31.44363888</f>
        <v>31.443638880000002</v>
      </c>
      <c r="BH178">
        <f>32.76581865</f>
        <v>32.76581865</v>
      </c>
      <c r="BI178">
        <f>30.15999852</f>
        <v>30.159998519999998</v>
      </c>
      <c r="BJ178">
        <f>31.33086</f>
        <v>31.330860000000001</v>
      </c>
      <c r="BK178" t="str">
        <f>""</f>
        <v/>
      </c>
      <c r="BL178" t="str">
        <f>""</f>
        <v/>
      </c>
      <c r="BM178" t="str">
        <f>""</f>
        <v/>
      </c>
      <c r="BN178" t="str">
        <f>""</f>
        <v/>
      </c>
      <c r="BO178" t="str">
        <f>""</f>
        <v/>
      </c>
      <c r="BP178" t="str">
        <f>""</f>
        <v/>
      </c>
      <c r="BQ178" t="str">
        <f>""</f>
        <v/>
      </c>
      <c r="BR178" t="str">
        <f>""</f>
        <v/>
      </c>
      <c r="BS178" t="str">
        <f>""</f>
        <v/>
      </c>
    </row>
    <row r="179" spans="1:71" x14ac:dyDescent="0.25">
      <c r="A179" t="str">
        <f>"        Bank of America Corp"</f>
        <v xml:space="preserve">        Bank of America Corp</v>
      </c>
      <c r="B179" t="str">
        <f>"BAC US Equity"</f>
        <v>BAC US Equity</v>
      </c>
      <c r="C179" t="str">
        <f t="shared" ref="C179:C198" si="24">"F0109"</f>
        <v>F0109</v>
      </c>
      <c r="D179" t="str">
        <f t="shared" ref="D179:D198" si="25">"FED_RE_LNS_DOM_%_TOT_LNS_LEAS"</f>
        <v>FED_RE_LNS_DOM_%_TOT_LNS_LEAS</v>
      </c>
      <c r="E179" t="str">
        <f t="shared" ref="E179:E198" si="26">"Dynamic"</f>
        <v>Dynamic</v>
      </c>
      <c r="F179">
        <f ca="1">IF(AND(ISNUMBER($F$589),$B$427=1),$F$589,HLOOKUP(INDIRECT(ADDRESS(2,COLUMN())),OFFSET($AM$2,0,0,ROW()-1,33),ROW()-1,FALSE))</f>
        <v>28.68745088</v>
      </c>
      <c r="G179">
        <f ca="1">IF(AND(ISNUMBER($G$589),$B$427=1),$G$589,HLOOKUP(INDIRECT(ADDRESS(2,COLUMN())),OFFSET($AM$2,0,0,ROW()-1,33),ROW()-1,FALSE))</f>
        <v>30.509508010000001</v>
      </c>
      <c r="H179">
        <f ca="1">IF(AND(ISNUMBER($H$589),$B$427=1),$H$589,HLOOKUP(INDIRECT(ADDRESS(2,COLUMN())),OFFSET($AM$2,0,0,ROW()-1,33),ROW()-1,FALSE))</f>
        <v>31.042841930000002</v>
      </c>
      <c r="I179">
        <f ca="1">IF(AND(ISNUMBER($I$589),$B$427=1),$I$589,HLOOKUP(INDIRECT(ADDRESS(2,COLUMN())),OFFSET($AM$2,0,0,ROW()-1,33),ROW()-1,FALSE))</f>
        <v>31.739278930000001</v>
      </c>
      <c r="J179">
        <f ca="1">IF(AND(ISNUMBER($J$589),$B$427=1),$J$589,HLOOKUP(INDIRECT(ADDRESS(2,COLUMN())),OFFSET($AM$2,0,0,ROW()-1,33),ROW()-1,FALSE))</f>
        <v>34.363638979999998</v>
      </c>
      <c r="K179">
        <f ca="1">IF(AND(ISNUMBER($K$589),$B$427=1),$K$589,HLOOKUP(INDIRECT(ADDRESS(2,COLUMN())),OFFSET($AM$2,0,0,ROW()-1,33),ROW()-1,FALSE))</f>
        <v>34.650828850000003</v>
      </c>
      <c r="L179">
        <f ca="1">IF(AND(ISNUMBER($L$589),$B$427=1),$L$589,HLOOKUP(INDIRECT(ADDRESS(2,COLUMN())),OFFSET($AM$2,0,0,ROW()-1,33),ROW()-1,FALSE))</f>
        <v>33.85034374</v>
      </c>
      <c r="M179">
        <f ca="1">IF(AND(ISNUMBER($M$589),$B$427=1),$M$589,HLOOKUP(INDIRECT(ADDRESS(2,COLUMN())),OFFSET($AM$2,0,0,ROW()-1,33),ROW()-1,FALSE))</f>
        <v>33.990201460000002</v>
      </c>
      <c r="N179">
        <f ca="1">IF(AND(ISNUMBER($N$589),$B$427=1),$N$589,HLOOKUP(INDIRECT(ADDRESS(2,COLUMN())),OFFSET($AM$2,0,0,ROW()-1,33),ROW()-1,FALSE))</f>
        <v>35.438997039999997</v>
      </c>
      <c r="O179">
        <f ca="1">IF(AND(ISNUMBER($O$589),$B$427=1),$O$589,HLOOKUP(INDIRECT(ADDRESS(2,COLUMN())),OFFSET($AM$2,0,0,ROW()-1,33),ROW()-1,FALSE))</f>
        <v>36.826132450000003</v>
      </c>
      <c r="P179">
        <f ca="1">IF(AND(ISNUMBER($P$589),$B$427=1),$P$589,HLOOKUP(INDIRECT(ADDRESS(2,COLUMN())),OFFSET($AM$2,0,0,ROW()-1,33),ROW()-1,FALSE))</f>
        <v>40.174568239999999</v>
      </c>
      <c r="Q179">
        <f ca="1">IF(AND(ISNUMBER($Q$589),$B$427=1),$Q$589,HLOOKUP(INDIRECT(ADDRESS(2,COLUMN())),OFFSET($AM$2,0,0,ROW()-1,33),ROW()-1,FALSE))</f>
        <v>42.858483919999998</v>
      </c>
      <c r="R179">
        <f ca="1">IF(AND(ISNUMBER($R$589),$B$427=1),$R$589,HLOOKUP(INDIRECT(ADDRESS(2,COLUMN())),OFFSET($AM$2,0,0,ROW()-1,33),ROW()-1,FALSE))</f>
        <v>45.687917290000001</v>
      </c>
      <c r="S179">
        <f ca="1">IF(AND(ISNUMBER($S$589),$B$427=1),$S$589,HLOOKUP(INDIRECT(ADDRESS(2,COLUMN())),OFFSET($AM$2,0,0,ROW()-1,33),ROW()-1,FALSE))</f>
        <v>49.543470800000001</v>
      </c>
      <c r="T179">
        <f ca="1">IF(AND(ISNUMBER($T$589),$B$427=1),$T$589,HLOOKUP(INDIRECT(ADDRESS(2,COLUMN())),OFFSET($AM$2,0,0,ROW()-1,33),ROW()-1,FALSE))</f>
        <v>51.528527359999998</v>
      </c>
      <c r="U179">
        <f ca="1">IF(AND(ISNUMBER($U$589),$B$427=1),$U$589,HLOOKUP(INDIRECT(ADDRESS(2,COLUMN())),OFFSET($AM$2,0,0,ROW()-1,33),ROW()-1,FALSE))</f>
        <v>56.403032400000001</v>
      </c>
      <c r="V179">
        <f ca="1">IF(AND(ISNUMBER($V$589),$B$427=1),$V$589,HLOOKUP(INDIRECT(ADDRESS(2,COLUMN())),OFFSET($AM$2,0,0,ROW()-1,33),ROW()-1,FALSE))</f>
        <v>55.571142450000004</v>
      </c>
      <c r="W179">
        <f ca="1">IF(AND(ISNUMBER($W$589),$B$427=1),$W$589,HLOOKUP(INDIRECT(ADDRESS(2,COLUMN())),OFFSET($AM$2,0,0,ROW()-1,33),ROW()-1,FALSE))</f>
        <v>54.856006979999997</v>
      </c>
      <c r="X179">
        <f ca="1">IF(AND(ISNUMBER($X$589),$B$427=1),$X$589,HLOOKUP(INDIRECT(ADDRESS(2,COLUMN())),OFFSET($AM$2,0,0,ROW()-1,33),ROW()-1,FALSE))</f>
        <v>44.879941250000002</v>
      </c>
      <c r="Y179">
        <f ca="1">IF(AND(ISNUMBER($Y$589),$B$427=1),$Y$589,HLOOKUP(INDIRECT(ADDRESS(2,COLUMN())),OFFSET($AM$2,0,0,ROW()-1,33),ROW()-1,FALSE))</f>
        <v>43.837005259999998</v>
      </c>
      <c r="Z179">
        <f ca="1">IF(AND(ISNUMBER($Z$589),$B$427=1),$Z$589,HLOOKUP(INDIRECT(ADDRESS(2,COLUMN())),OFFSET($AM$2,0,0,ROW()-1,33),ROW()-1,FALSE))</f>
        <v>45.285600160000001</v>
      </c>
      <c r="AA179">
        <f ca="1">IF(AND(ISNUMBER($AA$589),$B$427=1),$AA$589,HLOOKUP(INDIRECT(ADDRESS(2,COLUMN())),OFFSET($AM$2,0,0,ROW()-1,33),ROW()-1,FALSE))</f>
        <v>45.832623900000002</v>
      </c>
      <c r="AB179">
        <f ca="1">IF(AND(ISNUMBER($AB$589),$B$427=1),$AB$589,HLOOKUP(INDIRECT(ADDRESS(2,COLUMN())),OFFSET($AM$2,0,0,ROW()-1,33),ROW()-1,FALSE))</f>
        <v>41.450028889999999</v>
      </c>
      <c r="AC179">
        <f ca="1">IF(AND(ISNUMBER($AC$589),$B$427=1),$AC$589,HLOOKUP(INDIRECT(ADDRESS(2,COLUMN())),OFFSET($AM$2,0,0,ROW()-1,33),ROW()-1,FALSE))</f>
        <v>31.330860000000001</v>
      </c>
      <c r="AD179" t="str">
        <f ca="1">IF(AND(ISNUMBER($AD$589),$B$427=1),$AD$589,HLOOKUP(INDIRECT(ADDRESS(2,COLUMN())),OFFSET($AM$2,0,0,ROW()-1,33),ROW()-1,FALSE))</f>
        <v/>
      </c>
      <c r="AE179" t="str">
        <f ca="1">IF(AND(ISNUMBER($AE$589),$B$427=1),$AE$589,HLOOKUP(INDIRECT(ADDRESS(2,COLUMN())),OFFSET($AM$2,0,0,ROW()-1,33),ROW()-1,FALSE))</f>
        <v/>
      </c>
      <c r="AF179" t="str">
        <f ca="1">IF(AND(ISNUMBER($AF$589),$B$427=1),$AF$589,HLOOKUP(INDIRECT(ADDRESS(2,COLUMN())),OFFSET($AM$2,0,0,ROW()-1,33),ROW()-1,FALSE))</f>
        <v/>
      </c>
      <c r="AG179" t="str">
        <f ca="1">IF(AND(ISNUMBER($AG$589),$B$427=1),$AG$589,HLOOKUP(INDIRECT(ADDRESS(2,COLUMN())),OFFSET($AM$2,0,0,ROW()-1,33),ROW()-1,FALSE))</f>
        <v/>
      </c>
      <c r="AH179" t="str">
        <f ca="1">IF(AND(ISNUMBER($AH$589),$B$427=1),$AH$589,HLOOKUP(INDIRECT(ADDRESS(2,COLUMN())),OFFSET($AM$2,0,0,ROW()-1,33),ROW()-1,FALSE))</f>
        <v/>
      </c>
      <c r="AI179" t="str">
        <f ca="1">IF(AND(ISNUMBER($AI$589),$B$427=1),$AI$589,HLOOKUP(INDIRECT(ADDRESS(2,COLUMN())),OFFSET($AM$2,0,0,ROW()-1,33),ROW()-1,FALSE))</f>
        <v/>
      </c>
      <c r="AJ179" t="str">
        <f ca="1">IF(AND(ISNUMBER($AJ$589),$B$427=1),$AJ$589,HLOOKUP(INDIRECT(ADDRESS(2,COLUMN())),OFFSET($AM$2,0,0,ROW()-1,33),ROW()-1,FALSE))</f>
        <v/>
      </c>
      <c r="AK179" t="str">
        <f ca="1">IF(AND(ISNUMBER($AK$589),$B$427=1),$AK$589,HLOOKUP(INDIRECT(ADDRESS(2,COLUMN())),OFFSET($AM$2,0,0,ROW()-1,33),ROW()-1,FALSE))</f>
        <v/>
      </c>
      <c r="AL179" t="str">
        <f ca="1">IF(AND(ISNUMBER($AL$589),$B$427=1),$AL$589,HLOOKUP(INDIRECT(ADDRESS(2,COLUMN())),OFFSET($AM$2,0,0,ROW()-1,33),ROW()-1,FALSE))</f>
        <v/>
      </c>
      <c r="AM179">
        <f>28.68745088</f>
        <v>28.68745088</v>
      </c>
      <c r="AN179">
        <f>30.50950801</f>
        <v>30.509508010000001</v>
      </c>
      <c r="AO179">
        <f>31.04284193</f>
        <v>31.042841930000002</v>
      </c>
      <c r="AP179">
        <f>31.73927893</f>
        <v>31.739278930000001</v>
      </c>
      <c r="AQ179">
        <f>34.36363898</f>
        <v>34.363638979999998</v>
      </c>
      <c r="AR179">
        <f>34.65082885</f>
        <v>34.650828850000003</v>
      </c>
      <c r="AS179">
        <f>33.85034374</f>
        <v>33.85034374</v>
      </c>
      <c r="AT179">
        <f>33.99020146</f>
        <v>33.990201460000002</v>
      </c>
      <c r="AU179">
        <f>35.43899704</f>
        <v>35.438997039999997</v>
      </c>
      <c r="AV179">
        <f>36.82613245</f>
        <v>36.826132450000003</v>
      </c>
      <c r="AW179">
        <f>40.17456824</f>
        <v>40.174568239999999</v>
      </c>
      <c r="AX179">
        <f>42.85848392</f>
        <v>42.858483919999998</v>
      </c>
      <c r="AY179">
        <f>45.68791729</f>
        <v>45.687917290000001</v>
      </c>
      <c r="AZ179">
        <f>49.5434708</f>
        <v>49.543470800000001</v>
      </c>
      <c r="BA179">
        <f>51.52852736</f>
        <v>51.528527359999998</v>
      </c>
      <c r="BB179">
        <f>56.4030324</f>
        <v>56.403032400000001</v>
      </c>
      <c r="BC179">
        <f>55.57114245</f>
        <v>55.571142450000004</v>
      </c>
      <c r="BD179">
        <f>54.85600698</f>
        <v>54.856006979999997</v>
      </c>
      <c r="BE179">
        <f>44.87994125</f>
        <v>44.879941250000002</v>
      </c>
      <c r="BF179">
        <f>43.83700526</f>
        <v>43.837005259999998</v>
      </c>
      <c r="BG179">
        <f>45.28560016</f>
        <v>45.285600160000001</v>
      </c>
      <c r="BH179">
        <f>45.8326239</f>
        <v>45.832623900000002</v>
      </c>
      <c r="BI179">
        <f>41.45002889</f>
        <v>41.450028889999999</v>
      </c>
      <c r="BJ179">
        <f>31.33086</f>
        <v>31.330860000000001</v>
      </c>
      <c r="BK179" t="str">
        <f>""</f>
        <v/>
      </c>
      <c r="BL179" t="str">
        <f>""</f>
        <v/>
      </c>
      <c r="BM179" t="str">
        <f>""</f>
        <v/>
      </c>
      <c r="BN179" t="str">
        <f>""</f>
        <v/>
      </c>
      <c r="BO179" t="str">
        <f>""</f>
        <v/>
      </c>
      <c r="BP179" t="str">
        <f>""</f>
        <v/>
      </c>
      <c r="BQ179" t="str">
        <f>""</f>
        <v/>
      </c>
      <c r="BR179" t="str">
        <f>""</f>
        <v/>
      </c>
      <c r="BS179" t="str">
        <f>""</f>
        <v/>
      </c>
    </row>
    <row r="180" spans="1:71" x14ac:dyDescent="0.25">
      <c r="A180" t="str">
        <f>"        Citigroup Inc"</f>
        <v xml:space="preserve">        Citigroup Inc</v>
      </c>
      <c r="B180" t="str">
        <f>"C US Equity"</f>
        <v>C US Equity</v>
      </c>
      <c r="C180" t="str">
        <f t="shared" si="24"/>
        <v>F0109</v>
      </c>
      <c r="D180" t="str">
        <f t="shared" si="25"/>
        <v>FED_RE_LNS_DOM_%_TOT_LNS_LEAS</v>
      </c>
      <c r="E180" t="str">
        <f t="shared" si="26"/>
        <v>Dynamic</v>
      </c>
      <c r="F180">
        <f ca="1">IF(AND(ISNUMBER($F$590),$B$427=1),$F$590,HLOOKUP(INDIRECT(ADDRESS(2,COLUMN())),OFFSET($AM$2,0,0,ROW()-1,33),ROW()-1,FALSE))</f>
        <v>20.296247390000001</v>
      </c>
      <c r="G180">
        <f ca="1">IF(AND(ISNUMBER($G$590),$B$427=1),$G$590,HLOOKUP(INDIRECT(ADDRESS(2,COLUMN())),OFFSET($AM$2,0,0,ROW()-1,33),ROW()-1,FALSE))</f>
        <v>19.915986759999999</v>
      </c>
      <c r="H180">
        <f ca="1">IF(AND(ISNUMBER($H$590),$B$427=1),$H$590,HLOOKUP(INDIRECT(ADDRESS(2,COLUMN())),OFFSET($AM$2,0,0,ROW()-1,33),ROW()-1,FALSE))</f>
        <v>18.898189139999999</v>
      </c>
      <c r="I180">
        <f ca="1">IF(AND(ISNUMBER($I$590),$B$427=1),$I$590,HLOOKUP(INDIRECT(ADDRESS(2,COLUMN())),OFFSET($AM$2,0,0,ROW()-1,33),ROW()-1,FALSE))</f>
        <v>17.016379489999998</v>
      </c>
      <c r="J180">
        <f ca="1">IF(AND(ISNUMBER($J$590),$B$427=1),$J$590,HLOOKUP(INDIRECT(ADDRESS(2,COLUMN())),OFFSET($AM$2,0,0,ROW()-1,33),ROW()-1,FALSE))</f>
        <v>17.246520090000001</v>
      </c>
      <c r="K180">
        <f ca="1">IF(AND(ISNUMBER($K$590),$B$427=1),$K$590,HLOOKUP(INDIRECT(ADDRESS(2,COLUMN())),OFFSET($AM$2,0,0,ROW()-1,33),ROW()-1,FALSE))</f>
        <v>16.142950559999999</v>
      </c>
      <c r="L180">
        <f ca="1">IF(AND(ISNUMBER($L$590),$B$427=1),$L$590,HLOOKUP(INDIRECT(ADDRESS(2,COLUMN())),OFFSET($AM$2,0,0,ROW()-1,33),ROW()-1,FALSE))</f>
        <v>16.206756939999998</v>
      </c>
      <c r="M180">
        <f ca="1">IF(AND(ISNUMBER($M$590),$B$427=1),$M$590,HLOOKUP(INDIRECT(ADDRESS(2,COLUMN())),OFFSET($AM$2,0,0,ROW()-1,33),ROW()-1,FALSE))</f>
        <v>16.226297299999999</v>
      </c>
      <c r="N180">
        <f ca="1">IF(AND(ISNUMBER($N$590),$B$427=1),$N$590,HLOOKUP(INDIRECT(ADDRESS(2,COLUMN())),OFFSET($AM$2,0,0,ROW()-1,33),ROW()-1,FALSE))</f>
        <v>17.954080730000001</v>
      </c>
      <c r="O180">
        <f ca="1">IF(AND(ISNUMBER($O$590),$B$427=1),$O$590,HLOOKUP(INDIRECT(ADDRESS(2,COLUMN())),OFFSET($AM$2,0,0,ROW()-1,33),ROW()-1,FALSE))</f>
        <v>18.902575200000001</v>
      </c>
      <c r="P180">
        <f ca="1">IF(AND(ISNUMBER($P$590),$B$427=1),$P$590,HLOOKUP(INDIRECT(ADDRESS(2,COLUMN())),OFFSET($AM$2,0,0,ROW()-1,33),ROW()-1,FALSE))</f>
        <v>19.494128409999998</v>
      </c>
      <c r="Q180">
        <f ca="1">IF(AND(ISNUMBER($Q$590),$B$427=1),$Q$590,HLOOKUP(INDIRECT(ADDRESS(2,COLUMN())),OFFSET($AM$2,0,0,ROW()-1,33),ROW()-1,FALSE))</f>
        <v>20.258545170000001</v>
      </c>
      <c r="R180">
        <f ca="1">IF(AND(ISNUMBER($R$590),$B$427=1),$R$590,HLOOKUP(INDIRECT(ADDRESS(2,COLUMN())),OFFSET($AM$2,0,0,ROW()-1,33),ROW()-1,FALSE))</f>
        <v>23.277669370000002</v>
      </c>
      <c r="S180">
        <f ca="1">IF(AND(ISNUMBER($S$590),$B$427=1),$S$590,HLOOKUP(INDIRECT(ADDRESS(2,COLUMN())),OFFSET($AM$2,0,0,ROW()-1,33),ROW()-1,FALSE))</f>
        <v>24.677073669999999</v>
      </c>
      <c r="T180">
        <f ca="1">IF(AND(ISNUMBER($T$590),$B$427=1),$T$590,HLOOKUP(INDIRECT(ADDRESS(2,COLUMN())),OFFSET($AM$2,0,0,ROW()-1,33),ROW()-1,FALSE))</f>
        <v>26.40265965</v>
      </c>
      <c r="U180">
        <f ca="1">IF(AND(ISNUMBER($U$590),$B$427=1),$U$590,HLOOKUP(INDIRECT(ADDRESS(2,COLUMN())),OFFSET($AM$2,0,0,ROW()-1,33),ROW()-1,FALSE))</f>
        <v>34.087911599999998</v>
      </c>
      <c r="V180">
        <f ca="1">IF(AND(ISNUMBER($V$590),$B$427=1),$V$590,HLOOKUP(INDIRECT(ADDRESS(2,COLUMN())),OFFSET($AM$2,0,0,ROW()-1,33),ROW()-1,FALSE))</f>
        <v>33.465789800000003</v>
      </c>
      <c r="W180">
        <f ca="1">IF(AND(ISNUMBER($W$590),$B$427=1),$W$590,HLOOKUP(INDIRECT(ADDRESS(2,COLUMN())),OFFSET($AM$2,0,0,ROW()-1,33),ROW()-1,FALSE))</f>
        <v>30.676990809999999</v>
      </c>
      <c r="X180">
        <f ca="1">IF(AND(ISNUMBER($X$590),$B$427=1),$X$590,HLOOKUP(INDIRECT(ADDRESS(2,COLUMN())),OFFSET($AM$2,0,0,ROW()-1,33),ROW()-1,FALSE))</f>
        <v>31.626778460000001</v>
      </c>
      <c r="Y180">
        <f ca="1">IF(AND(ISNUMBER($Y$590),$B$427=1),$Y$590,HLOOKUP(INDIRECT(ADDRESS(2,COLUMN())),OFFSET($AM$2,0,0,ROW()-1,33),ROW()-1,FALSE))</f>
        <v>30.9011605</v>
      </c>
      <c r="Z180">
        <f ca="1">IF(AND(ISNUMBER($Z$590),$B$427=1),$Z$590,HLOOKUP(INDIRECT(ADDRESS(2,COLUMN())),OFFSET($AM$2,0,0,ROW()-1,33),ROW()-1,FALSE))</f>
        <v>28.084771920000001</v>
      </c>
      <c r="AA180">
        <f ca="1">IF(AND(ISNUMBER($AA$590),$B$427=1),$AA$590,HLOOKUP(INDIRECT(ADDRESS(2,COLUMN())),OFFSET($AM$2,0,0,ROW()-1,33),ROW()-1,FALSE))</f>
        <v>26.32153383</v>
      </c>
      <c r="AB180">
        <f ca="1">IF(AND(ISNUMBER($AB$590),$B$427=1),$AB$590,HLOOKUP(INDIRECT(ADDRESS(2,COLUMN())),OFFSET($AM$2,0,0,ROW()-1,33),ROW()-1,FALSE))</f>
        <v>26.186682860000001</v>
      </c>
      <c r="AC180">
        <f ca="1">IF(AND(ISNUMBER($AC$590),$B$427=1),$AC$590,HLOOKUP(INDIRECT(ADDRESS(2,COLUMN())),OFFSET($AM$2,0,0,ROW()-1,33),ROW()-1,FALSE))</f>
        <v>19.841922109999999</v>
      </c>
      <c r="AD180" t="str">
        <f ca="1">IF(AND(ISNUMBER($AD$590),$B$427=1),$AD$590,HLOOKUP(INDIRECT(ADDRESS(2,COLUMN())),OFFSET($AM$2,0,0,ROW()-1,33),ROW()-1,FALSE))</f>
        <v/>
      </c>
      <c r="AE180" t="str">
        <f ca="1">IF(AND(ISNUMBER($AE$590),$B$427=1),$AE$590,HLOOKUP(INDIRECT(ADDRESS(2,COLUMN())),OFFSET($AM$2,0,0,ROW()-1,33),ROW()-1,FALSE))</f>
        <v/>
      </c>
      <c r="AF180" t="str">
        <f ca="1">IF(AND(ISNUMBER($AF$590),$B$427=1),$AF$590,HLOOKUP(INDIRECT(ADDRESS(2,COLUMN())),OFFSET($AM$2,0,0,ROW()-1,33),ROW()-1,FALSE))</f>
        <v/>
      </c>
      <c r="AG180" t="str">
        <f ca="1">IF(AND(ISNUMBER($AG$590),$B$427=1),$AG$590,HLOOKUP(INDIRECT(ADDRESS(2,COLUMN())),OFFSET($AM$2,0,0,ROW()-1,33),ROW()-1,FALSE))</f>
        <v/>
      </c>
      <c r="AH180" t="str">
        <f ca="1">IF(AND(ISNUMBER($AH$590),$B$427=1),$AH$590,HLOOKUP(INDIRECT(ADDRESS(2,COLUMN())),OFFSET($AM$2,0,0,ROW()-1,33),ROW()-1,FALSE))</f>
        <v/>
      </c>
      <c r="AI180" t="str">
        <f ca="1">IF(AND(ISNUMBER($AI$590),$B$427=1),$AI$590,HLOOKUP(INDIRECT(ADDRESS(2,COLUMN())),OFFSET($AM$2,0,0,ROW()-1,33),ROW()-1,FALSE))</f>
        <v/>
      </c>
      <c r="AJ180" t="str">
        <f ca="1">IF(AND(ISNUMBER($AJ$590),$B$427=1),$AJ$590,HLOOKUP(INDIRECT(ADDRESS(2,COLUMN())),OFFSET($AM$2,0,0,ROW()-1,33),ROW()-1,FALSE))</f>
        <v/>
      </c>
      <c r="AK180" t="str">
        <f ca="1">IF(AND(ISNUMBER($AK$590),$B$427=1),$AK$590,HLOOKUP(INDIRECT(ADDRESS(2,COLUMN())),OFFSET($AM$2,0,0,ROW()-1,33),ROW()-1,FALSE))</f>
        <v/>
      </c>
      <c r="AL180" t="str">
        <f ca="1">IF(AND(ISNUMBER($AL$590),$B$427=1),$AL$590,HLOOKUP(INDIRECT(ADDRESS(2,COLUMN())),OFFSET($AM$2,0,0,ROW()-1,33),ROW()-1,FALSE))</f>
        <v/>
      </c>
      <c r="AM180">
        <f>20.29624739</f>
        <v>20.296247390000001</v>
      </c>
      <c r="AN180">
        <f>19.91598676</f>
        <v>19.915986759999999</v>
      </c>
      <c r="AO180">
        <f>18.89818914</f>
        <v>18.898189139999999</v>
      </c>
      <c r="AP180">
        <f>17.01637949</f>
        <v>17.016379489999998</v>
      </c>
      <c r="AQ180">
        <f>17.24652009</f>
        <v>17.246520090000001</v>
      </c>
      <c r="AR180">
        <f>16.14295056</f>
        <v>16.142950559999999</v>
      </c>
      <c r="AS180">
        <f>16.20675694</f>
        <v>16.206756939999998</v>
      </c>
      <c r="AT180">
        <f>16.2262973</f>
        <v>16.226297299999999</v>
      </c>
      <c r="AU180">
        <f>17.95408073</f>
        <v>17.954080730000001</v>
      </c>
      <c r="AV180">
        <f>18.9025752</f>
        <v>18.902575200000001</v>
      </c>
      <c r="AW180">
        <f>19.49412841</f>
        <v>19.494128409999998</v>
      </c>
      <c r="AX180">
        <f>20.25854517</f>
        <v>20.258545170000001</v>
      </c>
      <c r="AY180">
        <f>23.27766937</f>
        <v>23.277669370000002</v>
      </c>
      <c r="AZ180">
        <f>24.67707367</f>
        <v>24.677073669999999</v>
      </c>
      <c r="BA180">
        <f>26.40265965</f>
        <v>26.40265965</v>
      </c>
      <c r="BB180">
        <f>34.0879116</f>
        <v>34.087911599999998</v>
      </c>
      <c r="BC180">
        <f>33.4657898</f>
        <v>33.465789800000003</v>
      </c>
      <c r="BD180">
        <f>30.67699081</f>
        <v>30.676990809999999</v>
      </c>
      <c r="BE180">
        <f>31.62677846</f>
        <v>31.626778460000001</v>
      </c>
      <c r="BF180">
        <f>30.9011605</f>
        <v>30.9011605</v>
      </c>
      <c r="BG180">
        <f>28.08477192</f>
        <v>28.084771920000001</v>
      </c>
      <c r="BH180">
        <f>26.32153383</f>
        <v>26.32153383</v>
      </c>
      <c r="BI180">
        <f>26.18668286</f>
        <v>26.186682860000001</v>
      </c>
      <c r="BJ180">
        <f>19.84192211</f>
        <v>19.841922109999999</v>
      </c>
      <c r="BK180" t="str">
        <f>""</f>
        <v/>
      </c>
      <c r="BL180" t="str">
        <f>""</f>
        <v/>
      </c>
      <c r="BM180" t="str">
        <f>""</f>
        <v/>
      </c>
      <c r="BN180" t="str">
        <f>""</f>
        <v/>
      </c>
      <c r="BO180" t="str">
        <f>""</f>
        <v/>
      </c>
      <c r="BP180" t="str">
        <f>""</f>
        <v/>
      </c>
      <c r="BQ180" t="str">
        <f>""</f>
        <v/>
      </c>
      <c r="BR180" t="str">
        <f>""</f>
        <v/>
      </c>
      <c r="BS180" t="str">
        <f>""</f>
        <v/>
      </c>
    </row>
    <row r="181" spans="1:71" x14ac:dyDescent="0.25">
      <c r="A181" t="str">
        <f>"        Citizens Financial Group Inc"</f>
        <v xml:space="preserve">        Citizens Financial Group Inc</v>
      </c>
      <c r="B181" t="str">
        <f>"CFG US Equity"</f>
        <v>CFG US Equity</v>
      </c>
      <c r="C181" t="str">
        <f t="shared" si="24"/>
        <v>F0109</v>
      </c>
      <c r="D181" t="str">
        <f t="shared" si="25"/>
        <v>FED_RE_LNS_DOM_%_TOT_LNS_LEAS</v>
      </c>
      <c r="E181" t="str">
        <f t="shared" si="26"/>
        <v>Dynamic</v>
      </c>
      <c r="F181">
        <f ca="1">IF(AND(ISNUMBER($F$591),$B$427=1),$F$591,HLOOKUP(INDIRECT(ADDRESS(2,COLUMN())),OFFSET($AM$2,0,0,ROW()-1,33),ROW()-1,FALSE))</f>
        <v>57.083322539999998</v>
      </c>
      <c r="G181">
        <f ca="1">IF(AND(ISNUMBER($G$591),$B$427=1),$G$591,HLOOKUP(INDIRECT(ADDRESS(2,COLUMN())),OFFSET($AM$2,0,0,ROW()-1,33),ROW()-1,FALSE))</f>
        <v>53.813888990000002</v>
      </c>
      <c r="H181">
        <f ca="1">IF(AND(ISNUMBER($H$591),$B$427=1),$H$591,HLOOKUP(INDIRECT(ADDRESS(2,COLUMN())),OFFSET($AM$2,0,0,ROW()-1,33),ROW()-1,FALSE))</f>
        <v>48.621270889999998</v>
      </c>
      <c r="I181">
        <f ca="1">IF(AND(ISNUMBER($I$591),$B$427=1),$I$591,HLOOKUP(INDIRECT(ADDRESS(2,COLUMN())),OFFSET($AM$2,0,0,ROW()-1,33),ROW()-1,FALSE))</f>
        <v>40.99736103</v>
      </c>
      <c r="J181">
        <f ca="1">IF(AND(ISNUMBER($J$591),$B$427=1),$J$591,HLOOKUP(INDIRECT(ADDRESS(2,COLUMN())),OFFSET($AM$2,0,0,ROW()-1,33),ROW()-1,FALSE))</f>
        <v>41.892493229999999</v>
      </c>
      <c r="K181">
        <f ca="1">IF(AND(ISNUMBER($K$591),$B$427=1),$K$591,HLOOKUP(INDIRECT(ADDRESS(2,COLUMN())),OFFSET($AM$2,0,0,ROW()-1,33),ROW()-1,FALSE))</f>
        <v>42.425497049999997</v>
      </c>
      <c r="L181">
        <f ca="1">IF(AND(ISNUMBER($L$591),$B$427=1),$L$591,HLOOKUP(INDIRECT(ADDRESS(2,COLUMN())),OFFSET($AM$2,0,0,ROW()-1,33),ROW()-1,FALSE))</f>
        <v>42.824070769999999</v>
      </c>
      <c r="M181">
        <f ca="1">IF(AND(ISNUMBER($M$591),$B$427=1),$M$591,HLOOKUP(INDIRECT(ADDRESS(2,COLUMN())),OFFSET($AM$2,0,0,ROW()-1,33),ROW()-1,FALSE))</f>
        <v>42.909896349999997</v>
      </c>
      <c r="N181">
        <f ca="1">IF(AND(ISNUMBER($N$591),$B$427=1),$N$591,HLOOKUP(INDIRECT(ADDRESS(2,COLUMN())),OFFSET($AM$2,0,0,ROW()-1,33),ROW()-1,FALSE))</f>
        <v>42.13652158</v>
      </c>
      <c r="O181">
        <f ca="1">IF(AND(ISNUMBER($O$591),$B$427=1),$O$591,HLOOKUP(INDIRECT(ADDRESS(2,COLUMN())),OFFSET($AM$2,0,0,ROW()-1,33),ROW()-1,FALSE))</f>
        <v>44.031039309999997</v>
      </c>
      <c r="P181">
        <f ca="1">IF(AND(ISNUMBER($P$591),$B$427=1),$P$591,HLOOKUP(INDIRECT(ADDRESS(2,COLUMN())),OFFSET($AM$2,0,0,ROW()-1,33),ROW()-1,FALSE))</f>
        <v>45.756406429999998</v>
      </c>
      <c r="Q181">
        <f ca="1">IF(AND(ISNUMBER($Q$591),$B$427=1),$Q$591,HLOOKUP(INDIRECT(ADDRESS(2,COLUMN())),OFFSET($AM$2,0,0,ROW()-1,33),ROW()-1,FALSE))</f>
        <v>49.324680739999998</v>
      </c>
      <c r="R181">
        <f ca="1">IF(AND(ISNUMBER($R$591),$B$427=1),$R$591,HLOOKUP(INDIRECT(ADDRESS(2,COLUMN())),OFFSET($AM$2,0,0,ROW()-1,33),ROW()-1,FALSE))</f>
        <v>52.504997520000003</v>
      </c>
      <c r="S181">
        <f ca="1">IF(AND(ISNUMBER($S$591),$B$427=1),$S$591,HLOOKUP(INDIRECT(ADDRESS(2,COLUMN())),OFFSET($AM$2,0,0,ROW()-1,33),ROW()-1,FALSE))</f>
        <v>57.537876349999998</v>
      </c>
      <c r="T181">
        <f ca="1">IF(AND(ISNUMBER($T$591),$B$427=1),$T$591,HLOOKUP(INDIRECT(ADDRESS(2,COLUMN())),OFFSET($AM$2,0,0,ROW()-1,33),ROW()-1,FALSE))</f>
        <v>60.190101540000001</v>
      </c>
      <c r="U181">
        <f ca="1">IF(AND(ISNUMBER($U$591),$B$427=1),$U$591,HLOOKUP(INDIRECT(ADDRESS(2,COLUMN())),OFFSET($AM$2,0,0,ROW()-1,33),ROW()-1,FALSE))</f>
        <v>60.480890649999999</v>
      </c>
      <c r="V181">
        <f ca="1">IF(AND(ISNUMBER($V$591),$B$427=1),$V$591,HLOOKUP(INDIRECT(ADDRESS(2,COLUMN())),OFFSET($AM$2,0,0,ROW()-1,33),ROW()-1,FALSE))</f>
        <v>59.012274249999997</v>
      </c>
      <c r="W181">
        <f ca="1">IF(AND(ISNUMBER($W$591),$B$427=1),$W$591,HLOOKUP(INDIRECT(ADDRESS(2,COLUMN())),OFFSET($AM$2,0,0,ROW()-1,33),ROW()-1,FALSE))</f>
        <v>59.050540030000001</v>
      </c>
      <c r="X181">
        <f ca="1">IF(AND(ISNUMBER($X$591),$B$427=1),$X$591,HLOOKUP(INDIRECT(ADDRESS(2,COLUMN())),OFFSET($AM$2,0,0,ROW()-1,33),ROW()-1,FALSE))</f>
        <v>51.115223469999997</v>
      </c>
      <c r="Y181">
        <f ca="1">IF(AND(ISNUMBER($Y$591),$B$427=1),$Y$591,HLOOKUP(INDIRECT(ADDRESS(2,COLUMN())),OFFSET($AM$2,0,0,ROW()-1,33),ROW()-1,FALSE))</f>
        <v>51.379368329999998</v>
      </c>
      <c r="Z181">
        <f ca="1">IF(AND(ISNUMBER($Z$591),$B$427=1),$Z$591,HLOOKUP(INDIRECT(ADDRESS(2,COLUMN())),OFFSET($AM$2,0,0,ROW()-1,33),ROW()-1,FALSE))</f>
        <v>48.477302109999997</v>
      </c>
      <c r="AA181">
        <f ca="1">IF(AND(ISNUMBER($AA$591),$B$427=1),$AA$591,HLOOKUP(INDIRECT(ADDRESS(2,COLUMN())),OFFSET($AM$2,0,0,ROW()-1,33),ROW()-1,FALSE))</f>
        <v>40.384392290000001</v>
      </c>
      <c r="AB181">
        <f ca="1">IF(AND(ISNUMBER($AB$591),$B$427=1),$AB$591,HLOOKUP(INDIRECT(ADDRESS(2,COLUMN())),OFFSET($AM$2,0,0,ROW()-1,33),ROW()-1,FALSE))</f>
        <v>29.796123990000002</v>
      </c>
      <c r="AC181">
        <f ca="1">IF(AND(ISNUMBER($AC$591),$B$427=1),$AC$591,HLOOKUP(INDIRECT(ADDRESS(2,COLUMN())),OFFSET($AM$2,0,0,ROW()-1,33),ROW()-1,FALSE))</f>
        <v>22.873213960000001</v>
      </c>
      <c r="AD181" t="str">
        <f ca="1">IF(AND(ISNUMBER($AD$591),$B$427=1),$AD$591,HLOOKUP(INDIRECT(ADDRESS(2,COLUMN())),OFFSET($AM$2,0,0,ROW()-1,33),ROW()-1,FALSE))</f>
        <v/>
      </c>
      <c r="AE181" t="str">
        <f ca="1">IF(AND(ISNUMBER($AE$591),$B$427=1),$AE$591,HLOOKUP(INDIRECT(ADDRESS(2,COLUMN())),OFFSET($AM$2,0,0,ROW()-1,33),ROW()-1,FALSE))</f>
        <v/>
      </c>
      <c r="AF181" t="str">
        <f ca="1">IF(AND(ISNUMBER($AF$591),$B$427=1),$AF$591,HLOOKUP(INDIRECT(ADDRESS(2,COLUMN())),OFFSET($AM$2,0,0,ROW()-1,33),ROW()-1,FALSE))</f>
        <v/>
      </c>
      <c r="AG181" t="str">
        <f ca="1">IF(AND(ISNUMBER($AG$591),$B$427=1),$AG$591,HLOOKUP(INDIRECT(ADDRESS(2,COLUMN())),OFFSET($AM$2,0,0,ROW()-1,33),ROW()-1,FALSE))</f>
        <v/>
      </c>
      <c r="AH181" t="str">
        <f ca="1">IF(AND(ISNUMBER($AH$591),$B$427=1),$AH$591,HLOOKUP(INDIRECT(ADDRESS(2,COLUMN())),OFFSET($AM$2,0,0,ROW()-1,33),ROW()-1,FALSE))</f>
        <v/>
      </c>
      <c r="AI181" t="str">
        <f ca="1">IF(AND(ISNUMBER($AI$591),$B$427=1),$AI$591,HLOOKUP(INDIRECT(ADDRESS(2,COLUMN())),OFFSET($AM$2,0,0,ROW()-1,33),ROW()-1,FALSE))</f>
        <v/>
      </c>
      <c r="AJ181" t="str">
        <f ca="1">IF(AND(ISNUMBER($AJ$591),$B$427=1),$AJ$591,HLOOKUP(INDIRECT(ADDRESS(2,COLUMN())),OFFSET($AM$2,0,0,ROW()-1,33),ROW()-1,FALSE))</f>
        <v/>
      </c>
      <c r="AK181" t="str">
        <f ca="1">IF(AND(ISNUMBER($AK$591),$B$427=1),$AK$591,HLOOKUP(INDIRECT(ADDRESS(2,COLUMN())),OFFSET($AM$2,0,0,ROW()-1,33),ROW()-1,FALSE))</f>
        <v/>
      </c>
      <c r="AL181" t="str">
        <f ca="1">IF(AND(ISNUMBER($AL$591),$B$427=1),$AL$591,HLOOKUP(INDIRECT(ADDRESS(2,COLUMN())),OFFSET($AM$2,0,0,ROW()-1,33),ROW()-1,FALSE))</f>
        <v/>
      </c>
      <c r="AM181">
        <f>57.08332254</f>
        <v>57.083322539999998</v>
      </c>
      <c r="AN181">
        <f>53.81388899</f>
        <v>53.813888990000002</v>
      </c>
      <c r="AO181">
        <f>48.62127089</f>
        <v>48.621270889999998</v>
      </c>
      <c r="AP181">
        <f>40.99736103</f>
        <v>40.99736103</v>
      </c>
      <c r="AQ181">
        <f>41.89249323</f>
        <v>41.892493229999999</v>
      </c>
      <c r="AR181">
        <f>42.42549705</f>
        <v>42.425497049999997</v>
      </c>
      <c r="AS181">
        <f>42.82407077</f>
        <v>42.824070769999999</v>
      </c>
      <c r="AT181">
        <f>42.90989635</f>
        <v>42.909896349999997</v>
      </c>
      <c r="AU181">
        <f>42.13652158</f>
        <v>42.13652158</v>
      </c>
      <c r="AV181">
        <f>44.03103931</f>
        <v>44.031039309999997</v>
      </c>
      <c r="AW181">
        <f>45.75640643</f>
        <v>45.756406429999998</v>
      </c>
      <c r="AX181">
        <f>49.32468074</f>
        <v>49.324680739999998</v>
      </c>
      <c r="AY181">
        <f>52.50499752</f>
        <v>52.504997520000003</v>
      </c>
      <c r="AZ181">
        <f>57.53787635</f>
        <v>57.537876349999998</v>
      </c>
      <c r="BA181">
        <f>60.19010154</f>
        <v>60.190101540000001</v>
      </c>
      <c r="BB181">
        <f>60.48089065</f>
        <v>60.480890649999999</v>
      </c>
      <c r="BC181">
        <f>59.01227425</f>
        <v>59.012274249999997</v>
      </c>
      <c r="BD181">
        <f>59.05054003</f>
        <v>59.050540030000001</v>
      </c>
      <c r="BE181">
        <f>51.11522347</f>
        <v>51.115223469999997</v>
      </c>
      <c r="BF181">
        <f>51.37936833</f>
        <v>51.379368329999998</v>
      </c>
      <c r="BG181">
        <f>48.47730211</f>
        <v>48.477302109999997</v>
      </c>
      <c r="BH181">
        <f>40.38439229</f>
        <v>40.384392290000001</v>
      </c>
      <c r="BI181">
        <f>29.79612399</f>
        <v>29.796123990000002</v>
      </c>
      <c r="BJ181">
        <f>22.87321396</f>
        <v>22.873213960000001</v>
      </c>
      <c r="BK181" t="str">
        <f>""</f>
        <v/>
      </c>
      <c r="BL181" t="str">
        <f>""</f>
        <v/>
      </c>
      <c r="BM181" t="str">
        <f>""</f>
        <v/>
      </c>
      <c r="BN181" t="str">
        <f>""</f>
        <v/>
      </c>
      <c r="BO181" t="str">
        <f>""</f>
        <v/>
      </c>
      <c r="BP181" t="str">
        <f>""</f>
        <v/>
      </c>
      <c r="BQ181" t="str">
        <f>""</f>
        <v/>
      </c>
      <c r="BR181" t="str">
        <f>""</f>
        <v/>
      </c>
      <c r="BS181" t="str">
        <f>""</f>
        <v/>
      </c>
    </row>
    <row r="182" spans="1:71" x14ac:dyDescent="0.25">
      <c r="A182" t="str">
        <f>"        Capital One Financial Corp"</f>
        <v xml:space="preserve">        Capital One Financial Corp</v>
      </c>
      <c r="B182" t="str">
        <f>"COF US Equity"</f>
        <v>COF US Equity</v>
      </c>
      <c r="C182" t="str">
        <f t="shared" si="24"/>
        <v>F0109</v>
      </c>
      <c r="D182" t="str">
        <f t="shared" si="25"/>
        <v>FED_RE_LNS_DOM_%_TOT_LNS_LEAS</v>
      </c>
      <c r="E182" t="str">
        <f t="shared" si="26"/>
        <v>Dynamic</v>
      </c>
      <c r="F182">
        <f ca="1">IF(AND(ISNUMBER($F$592),$B$427=1),$F$592,HLOOKUP(INDIRECT(ADDRESS(2,COLUMN())),OFFSET($AM$2,0,0,ROW()-1,33),ROW()-1,FALSE))</f>
        <v>8.0803691900000008</v>
      </c>
      <c r="G182">
        <f ca="1">IF(AND(ISNUMBER($G$592),$B$427=1),$G$592,HLOOKUP(INDIRECT(ADDRESS(2,COLUMN())),OFFSET($AM$2,0,0,ROW()-1,33),ROW()-1,FALSE))</f>
        <v>9.0498325340000001</v>
      </c>
      <c r="H182">
        <f ca="1">IF(AND(ISNUMBER($H$592),$B$427=1),$H$592,HLOOKUP(INDIRECT(ADDRESS(2,COLUMN())),OFFSET($AM$2,0,0,ROW()-1,33),ROW()-1,FALSE))</f>
        <v>9.7476686570000002</v>
      </c>
      <c r="I182">
        <f ca="1">IF(AND(ISNUMBER($I$592),$B$427=1),$I$592,HLOOKUP(INDIRECT(ADDRESS(2,COLUMN())),OFFSET($AM$2,0,0,ROW()-1,33),ROW()-1,FALSE))</f>
        <v>11.36523103</v>
      </c>
      <c r="J182">
        <f ca="1">IF(AND(ISNUMBER($J$592),$B$427=1),$J$592,HLOOKUP(INDIRECT(ADDRESS(2,COLUMN())),OFFSET($AM$2,0,0,ROW()-1,33),ROW()-1,FALSE))</f>
        <v>12.682086630000001</v>
      </c>
      <c r="K182">
        <f ca="1">IF(AND(ISNUMBER($K$592),$B$427=1),$K$592,HLOOKUP(INDIRECT(ADDRESS(2,COLUMN())),OFFSET($AM$2,0,0,ROW()-1,33),ROW()-1,FALSE))</f>
        <v>11.759815359999999</v>
      </c>
      <c r="L182">
        <f ca="1">IF(AND(ISNUMBER($L$592),$B$427=1),$L$592,HLOOKUP(INDIRECT(ADDRESS(2,COLUMN())),OFFSET($AM$2,0,0,ROW()-1,33),ROW()-1,FALSE))</f>
        <v>12.562812750000001</v>
      </c>
      <c r="M182">
        <f ca="1">IF(AND(ISNUMBER($M$592),$B$427=1),$M$592,HLOOKUP(INDIRECT(ADDRESS(2,COLUMN())),OFFSET($AM$2,0,0,ROW()-1,33),ROW()-1,FALSE))</f>
        <v>18.808813220000001</v>
      </c>
      <c r="N182">
        <f ca="1">IF(AND(ISNUMBER($N$592),$B$427=1),$N$592,HLOOKUP(INDIRECT(ADDRESS(2,COLUMN())),OFFSET($AM$2,0,0,ROW()-1,33),ROW()-1,FALSE))</f>
        <v>21.3774227</v>
      </c>
      <c r="O182">
        <f ca="1">IF(AND(ISNUMBER($O$592),$B$427=1),$O$592,HLOOKUP(INDIRECT(ADDRESS(2,COLUMN())),OFFSET($AM$2,0,0,ROW()-1,33),ROW()-1,FALSE))</f>
        <v>23.555144179999999</v>
      </c>
      <c r="P182">
        <f ca="1">IF(AND(ISNUMBER($P$592),$B$427=1),$P$592,HLOOKUP(INDIRECT(ADDRESS(2,COLUMN())),OFFSET($AM$2,0,0,ROW()-1,33),ROW()-1,FALSE))</f>
        <v>25.931410419999999</v>
      </c>
      <c r="Q182">
        <f ca="1">IF(AND(ISNUMBER($Q$592),$B$427=1),$Q$592,HLOOKUP(INDIRECT(ADDRESS(2,COLUMN())),OFFSET($AM$2,0,0,ROW()-1,33),ROW()-1,FALSE))</f>
        <v>29.53952426</v>
      </c>
      <c r="R182">
        <f ca="1">IF(AND(ISNUMBER($R$592),$B$427=1),$R$592,HLOOKUP(INDIRECT(ADDRESS(2,COLUMN())),OFFSET($AM$2,0,0,ROW()-1,33),ROW()-1,FALSE))</f>
        <v>31.622801809999999</v>
      </c>
      <c r="S182">
        <f ca="1">IF(AND(ISNUMBER($S$592),$B$427=1),$S$592,HLOOKUP(INDIRECT(ADDRESS(2,COLUMN())),OFFSET($AM$2,0,0,ROW()-1,33),ROW()-1,FALSE))</f>
        <v>22.70156733</v>
      </c>
      <c r="T182">
        <f ca="1">IF(AND(ISNUMBER($T$592),$B$427=1),$T$592,HLOOKUP(INDIRECT(ADDRESS(2,COLUMN())),OFFSET($AM$2,0,0,ROW()-1,33),ROW()-1,FALSE))</f>
        <v>24.90261448</v>
      </c>
      <c r="U182">
        <f ca="1">IF(AND(ISNUMBER($U$592),$B$427=1),$U$592,HLOOKUP(INDIRECT(ADDRESS(2,COLUMN())),OFFSET($AM$2,0,0,ROW()-1,33),ROW()-1,FALSE))</f>
        <v>38.827616300000003</v>
      </c>
      <c r="V182">
        <f ca="1">IF(AND(ISNUMBER($V$592),$B$427=1),$V$592,HLOOKUP(INDIRECT(ADDRESS(2,COLUMN())),OFFSET($AM$2,0,0,ROW()-1,33),ROW()-1,FALSE))</f>
        <v>30.402589729999999</v>
      </c>
      <c r="W182">
        <f ca="1">IF(AND(ISNUMBER($W$592),$B$427=1),$W$592,HLOOKUP(INDIRECT(ADDRESS(2,COLUMN())),OFFSET($AM$2,0,0,ROW()-1,33),ROW()-1,FALSE))</f>
        <v>31.125199769999998</v>
      </c>
      <c r="X182">
        <f ca="1">IF(AND(ISNUMBER($X$592),$B$427=1),$X$592,HLOOKUP(INDIRECT(ADDRESS(2,COLUMN())),OFFSET($AM$2,0,0,ROW()-1,33),ROW()-1,FALSE))</f>
        <v>26.916851359999999</v>
      </c>
      <c r="Y182">
        <f ca="1">IF(AND(ISNUMBER($Y$592),$B$427=1),$Y$592,HLOOKUP(INDIRECT(ADDRESS(2,COLUMN())),OFFSET($AM$2,0,0,ROW()-1,33),ROW()-1,FALSE))</f>
        <v>10.199838720000001</v>
      </c>
      <c r="Z182">
        <f ca="1">IF(AND(ISNUMBER($Z$592),$B$427=1),$Z$592,HLOOKUP(INDIRECT(ADDRESS(2,COLUMN())),OFFSET($AM$2,0,0,ROW()-1,33),ROW()-1,FALSE))</f>
        <v>0.103568216</v>
      </c>
      <c r="AA182" t="str">
        <f ca="1">IF(AND(ISNUMBER($AA$592),$B$427=1),$AA$592,HLOOKUP(INDIRECT(ADDRESS(2,COLUMN())),OFFSET($AM$2,0,0,ROW()-1,33),ROW()-1,FALSE))</f>
        <v/>
      </c>
      <c r="AB182" t="str">
        <f ca="1">IF(AND(ISNUMBER($AB$592),$B$427=1),$AB$592,HLOOKUP(INDIRECT(ADDRESS(2,COLUMN())),OFFSET($AM$2,0,0,ROW()-1,33),ROW()-1,FALSE))</f>
        <v/>
      </c>
      <c r="AC182" t="str">
        <f ca="1">IF(AND(ISNUMBER($AC$592),$B$427=1),$AC$592,HLOOKUP(INDIRECT(ADDRESS(2,COLUMN())),OFFSET($AM$2,0,0,ROW()-1,33),ROW()-1,FALSE))</f>
        <v/>
      </c>
      <c r="AD182" t="str">
        <f ca="1">IF(AND(ISNUMBER($AD$592),$B$427=1),$AD$592,HLOOKUP(INDIRECT(ADDRESS(2,COLUMN())),OFFSET($AM$2,0,0,ROW()-1,33),ROW()-1,FALSE))</f>
        <v/>
      </c>
      <c r="AE182" t="str">
        <f ca="1">IF(AND(ISNUMBER($AE$592),$B$427=1),$AE$592,HLOOKUP(INDIRECT(ADDRESS(2,COLUMN())),OFFSET($AM$2,0,0,ROW()-1,33),ROW()-1,FALSE))</f>
        <v/>
      </c>
      <c r="AF182" t="str">
        <f ca="1">IF(AND(ISNUMBER($AF$592),$B$427=1),$AF$592,HLOOKUP(INDIRECT(ADDRESS(2,COLUMN())),OFFSET($AM$2,0,0,ROW()-1,33),ROW()-1,FALSE))</f>
        <v/>
      </c>
      <c r="AG182" t="str">
        <f ca="1">IF(AND(ISNUMBER($AG$592),$B$427=1),$AG$592,HLOOKUP(INDIRECT(ADDRESS(2,COLUMN())),OFFSET($AM$2,0,0,ROW()-1,33),ROW()-1,FALSE))</f>
        <v/>
      </c>
      <c r="AH182" t="str">
        <f ca="1">IF(AND(ISNUMBER($AH$592),$B$427=1),$AH$592,HLOOKUP(INDIRECT(ADDRESS(2,COLUMN())),OFFSET($AM$2,0,0,ROW()-1,33),ROW()-1,FALSE))</f>
        <v/>
      </c>
      <c r="AI182" t="str">
        <f ca="1">IF(AND(ISNUMBER($AI$592),$B$427=1),$AI$592,HLOOKUP(INDIRECT(ADDRESS(2,COLUMN())),OFFSET($AM$2,0,0,ROW()-1,33),ROW()-1,FALSE))</f>
        <v/>
      </c>
      <c r="AJ182" t="str">
        <f ca="1">IF(AND(ISNUMBER($AJ$592),$B$427=1),$AJ$592,HLOOKUP(INDIRECT(ADDRESS(2,COLUMN())),OFFSET($AM$2,0,0,ROW()-1,33),ROW()-1,FALSE))</f>
        <v/>
      </c>
      <c r="AK182" t="str">
        <f ca="1">IF(AND(ISNUMBER($AK$592),$B$427=1),$AK$592,HLOOKUP(INDIRECT(ADDRESS(2,COLUMN())),OFFSET($AM$2,0,0,ROW()-1,33),ROW()-1,FALSE))</f>
        <v/>
      </c>
      <c r="AL182" t="str">
        <f ca="1">IF(AND(ISNUMBER($AL$592),$B$427=1),$AL$592,HLOOKUP(INDIRECT(ADDRESS(2,COLUMN())),OFFSET($AM$2,0,0,ROW()-1,33),ROW()-1,FALSE))</f>
        <v/>
      </c>
      <c r="AM182">
        <f>8.08036919</f>
        <v>8.0803691900000008</v>
      </c>
      <c r="AN182">
        <f>9.049832534</f>
        <v>9.0498325340000001</v>
      </c>
      <c r="AO182">
        <f>9.747668657</f>
        <v>9.7476686570000002</v>
      </c>
      <c r="AP182">
        <f>11.36523103</f>
        <v>11.36523103</v>
      </c>
      <c r="AQ182">
        <f>12.68208663</f>
        <v>12.682086630000001</v>
      </c>
      <c r="AR182">
        <f>11.75981536</f>
        <v>11.759815359999999</v>
      </c>
      <c r="AS182">
        <f>12.56281275</f>
        <v>12.562812750000001</v>
      </c>
      <c r="AT182">
        <f>18.80881322</f>
        <v>18.808813220000001</v>
      </c>
      <c r="AU182">
        <f>21.3774227</f>
        <v>21.3774227</v>
      </c>
      <c r="AV182">
        <f>23.55514418</f>
        <v>23.555144179999999</v>
      </c>
      <c r="AW182">
        <f>25.93141042</f>
        <v>25.931410419999999</v>
      </c>
      <c r="AX182">
        <f>29.53952426</f>
        <v>29.53952426</v>
      </c>
      <c r="AY182">
        <f>31.62280181</f>
        <v>31.622801809999999</v>
      </c>
      <c r="AZ182">
        <f>22.70156733</f>
        <v>22.70156733</v>
      </c>
      <c r="BA182">
        <f>24.90261448</f>
        <v>24.90261448</v>
      </c>
      <c r="BB182">
        <f>38.8276163</f>
        <v>38.827616300000003</v>
      </c>
      <c r="BC182">
        <f>30.40258973</f>
        <v>30.402589729999999</v>
      </c>
      <c r="BD182">
        <f>31.12519977</f>
        <v>31.125199769999998</v>
      </c>
      <c r="BE182">
        <f>26.91685136</f>
        <v>26.916851359999999</v>
      </c>
      <c r="BF182">
        <f>10.19983872</f>
        <v>10.199838720000001</v>
      </c>
      <c r="BG182">
        <f>0.103568216</f>
        <v>0.103568216</v>
      </c>
      <c r="BH182" t="str">
        <f>""</f>
        <v/>
      </c>
      <c r="BI182" t="str">
        <f>""</f>
        <v/>
      </c>
      <c r="BJ182" t="str">
        <f>""</f>
        <v/>
      </c>
      <c r="BK182" t="str">
        <f>""</f>
        <v/>
      </c>
      <c r="BL182" t="str">
        <f>""</f>
        <v/>
      </c>
      <c r="BM182" t="str">
        <f>""</f>
        <v/>
      </c>
      <c r="BN182" t="str">
        <f>""</f>
        <v/>
      </c>
      <c r="BO182" t="str">
        <f>""</f>
        <v/>
      </c>
      <c r="BP182" t="str">
        <f>""</f>
        <v/>
      </c>
      <c r="BQ182" t="str">
        <f>""</f>
        <v/>
      </c>
      <c r="BR182" t="str">
        <f>""</f>
        <v/>
      </c>
      <c r="BS182" t="str">
        <f>""</f>
        <v/>
      </c>
    </row>
    <row r="183" spans="1:71" x14ac:dyDescent="0.25">
      <c r="A183" t="str">
        <f>"        Comerica Inc"</f>
        <v xml:space="preserve">        Comerica Inc</v>
      </c>
      <c r="B183" t="str">
        <f>"CMA US Equity"</f>
        <v>CMA US Equity</v>
      </c>
      <c r="C183" t="str">
        <f t="shared" si="24"/>
        <v>F0109</v>
      </c>
      <c r="D183" t="str">
        <f t="shared" si="25"/>
        <v>FED_RE_LNS_DOM_%_TOT_LNS_LEAS</v>
      </c>
      <c r="E183" t="str">
        <f t="shared" si="26"/>
        <v>Dynamic</v>
      </c>
      <c r="F183" t="str">
        <f ca="1">IF(AND(ISNUMBER($F$593),$B$427=1),$F$593,HLOOKUP(INDIRECT(ADDRESS(2,COLUMN())),OFFSET($AM$2,0,0,ROW()-1,33),ROW()-1,FALSE))</f>
        <v/>
      </c>
      <c r="G183">
        <f ca="1">IF(AND(ISNUMBER($G$593),$B$427=1),$G$593,HLOOKUP(INDIRECT(ADDRESS(2,COLUMN())),OFFSET($AM$2,0,0,ROW()-1,33),ROW()-1,FALSE))</f>
        <v>42.454866750000001</v>
      </c>
      <c r="H183">
        <f ca="1">IF(AND(ISNUMBER($H$593),$B$427=1),$H$593,HLOOKUP(INDIRECT(ADDRESS(2,COLUMN())),OFFSET($AM$2,0,0,ROW()-1,33),ROW()-1,FALSE))</f>
        <v>36.844372040000003</v>
      </c>
      <c r="I183">
        <f ca="1">IF(AND(ISNUMBER($I$593),$B$427=1),$I$593,HLOOKUP(INDIRECT(ADDRESS(2,COLUMN())),OFFSET($AM$2,0,0,ROW()-1,33),ROW()-1,FALSE))</f>
        <v>34.888722080000001</v>
      </c>
      <c r="J183">
        <f ca="1">IF(AND(ISNUMBER($J$593),$B$427=1),$J$593,HLOOKUP(INDIRECT(ADDRESS(2,COLUMN())),OFFSET($AM$2,0,0,ROW()-1,33),ROW()-1,FALSE))</f>
        <v>32.76350008</v>
      </c>
      <c r="K183">
        <f ca="1">IF(AND(ISNUMBER($K$593),$B$427=1),$K$593,HLOOKUP(INDIRECT(ADDRESS(2,COLUMN())),OFFSET($AM$2,0,0,ROW()-1,33),ROW()-1,FALSE))</f>
        <v>32.382483720000003</v>
      </c>
      <c r="L183">
        <f ca="1">IF(AND(ISNUMBER($L$593),$B$427=1),$L$593,HLOOKUP(INDIRECT(ADDRESS(2,COLUMN())),OFFSET($AM$2,0,0,ROW()-1,33),ROW()-1,FALSE))</f>
        <v>31.340422759999999</v>
      </c>
      <c r="M183">
        <f ca="1">IF(AND(ISNUMBER($M$593),$B$427=1),$M$593,HLOOKUP(INDIRECT(ADDRESS(2,COLUMN())),OFFSET($AM$2,0,0,ROW()-1,33),ROW()-1,FALSE))</f>
        <v>32.110950619999997</v>
      </c>
      <c r="N183">
        <f ca="1">IF(AND(ISNUMBER($N$593),$B$427=1),$N$593,HLOOKUP(INDIRECT(ADDRESS(2,COLUMN())),OFFSET($AM$2,0,0,ROW()-1,33),ROW()-1,FALSE))</f>
        <v>31.61569879</v>
      </c>
      <c r="O183">
        <f ca="1">IF(AND(ISNUMBER($O$593),$B$427=1),$O$593,HLOOKUP(INDIRECT(ADDRESS(2,COLUMN())),OFFSET($AM$2,0,0,ROW()-1,33),ROW()-1,FALSE))</f>
        <v>29.718426409999999</v>
      </c>
      <c r="P183">
        <f ca="1">IF(AND(ISNUMBER($P$593),$B$427=1),$P$593,HLOOKUP(INDIRECT(ADDRESS(2,COLUMN())),OFFSET($AM$2,0,0,ROW()-1,33),ROW()-1,FALSE))</f>
        <v>28.822840710000001</v>
      </c>
      <c r="Q183">
        <f ca="1">IF(AND(ISNUMBER($Q$593),$B$427=1),$Q$593,HLOOKUP(INDIRECT(ADDRESS(2,COLUMN())),OFFSET($AM$2,0,0,ROW()-1,33),ROW()-1,FALSE))</f>
        <v>30.033815489999999</v>
      </c>
      <c r="R183">
        <f ca="1">IF(AND(ISNUMBER($R$593),$B$427=1),$R$593,HLOOKUP(INDIRECT(ADDRESS(2,COLUMN())),OFFSET($AM$2,0,0,ROW()-1,33),ROW()-1,FALSE))</f>
        <v>29.77124384</v>
      </c>
      <c r="S183">
        <f ca="1">IF(AND(ISNUMBER($S$593),$B$427=1),$S$593,HLOOKUP(INDIRECT(ADDRESS(2,COLUMN())),OFFSET($AM$2,0,0,ROW()-1,33),ROW()-1,FALSE))</f>
        <v>34.599086569999997</v>
      </c>
      <c r="T183">
        <f ca="1">IF(AND(ISNUMBER($T$593),$B$427=1),$T$593,HLOOKUP(INDIRECT(ADDRESS(2,COLUMN())),OFFSET($AM$2,0,0,ROW()-1,33),ROW()-1,FALSE))</f>
        <v>38.188141440000003</v>
      </c>
      <c r="U183">
        <f ca="1">IF(AND(ISNUMBER($U$593),$B$427=1),$U$593,HLOOKUP(INDIRECT(ADDRESS(2,COLUMN())),OFFSET($AM$2,0,0,ROW()-1,33),ROW()-1,FALSE))</f>
        <v>42.62904262</v>
      </c>
      <c r="V183">
        <f ca="1">IF(AND(ISNUMBER($V$593),$B$427=1),$V$593,HLOOKUP(INDIRECT(ADDRESS(2,COLUMN())),OFFSET($AM$2,0,0,ROW()-1,33),ROW()-1,FALSE))</f>
        <v>43.049026529999999</v>
      </c>
      <c r="W183">
        <f ca="1">IF(AND(ISNUMBER($W$593),$B$427=1),$W$593,HLOOKUP(INDIRECT(ADDRESS(2,COLUMN())),OFFSET($AM$2,0,0,ROW()-1,33),ROW()-1,FALSE))</f>
        <v>43.298915280000003</v>
      </c>
      <c r="X183">
        <f ca="1">IF(AND(ISNUMBER($X$593),$B$427=1),$X$593,HLOOKUP(INDIRECT(ADDRESS(2,COLUMN())),OFFSET($AM$2,0,0,ROW()-1,33),ROW()-1,FALSE))</f>
        <v>7.2875382899999996</v>
      </c>
      <c r="Y183">
        <f ca="1">IF(AND(ISNUMBER($Y$593),$B$427=1),$Y$593,HLOOKUP(INDIRECT(ADDRESS(2,COLUMN())),OFFSET($AM$2,0,0,ROW()-1,33),ROW()-1,FALSE))</f>
        <v>7.9405321769999997</v>
      </c>
      <c r="Z183">
        <f ca="1">IF(AND(ISNUMBER($Z$593),$B$427=1),$Z$593,HLOOKUP(INDIRECT(ADDRESS(2,COLUMN())),OFFSET($AM$2,0,0,ROW()-1,33),ROW()-1,FALSE))</f>
        <v>7.8278438140000004</v>
      </c>
      <c r="AA183">
        <f ca="1">IF(AND(ISNUMBER($AA$593),$B$427=1),$AA$593,HLOOKUP(INDIRECT(ADDRESS(2,COLUMN())),OFFSET($AM$2,0,0,ROW()-1,33),ROW()-1,FALSE))</f>
        <v>7.3718149540000004</v>
      </c>
      <c r="AB183">
        <f ca="1">IF(AND(ISNUMBER($AB$593),$B$427=1),$AB$593,HLOOKUP(INDIRECT(ADDRESS(2,COLUMN())),OFFSET($AM$2,0,0,ROW()-1,33),ROW()-1,FALSE))</f>
        <v>6.6375922340000004</v>
      </c>
      <c r="AC183">
        <f ca="1">IF(AND(ISNUMBER($AC$593),$B$427=1),$AC$593,HLOOKUP(INDIRECT(ADDRESS(2,COLUMN())),OFFSET($AM$2,0,0,ROW()-1,33),ROW()-1,FALSE))</f>
        <v>6.1991346810000003</v>
      </c>
      <c r="AD183" t="str">
        <f ca="1">IF(AND(ISNUMBER($AD$593),$B$427=1),$AD$593,HLOOKUP(INDIRECT(ADDRESS(2,COLUMN())),OFFSET($AM$2,0,0,ROW()-1,33),ROW()-1,FALSE))</f>
        <v/>
      </c>
      <c r="AE183" t="str">
        <f ca="1">IF(AND(ISNUMBER($AE$593),$B$427=1),$AE$593,HLOOKUP(INDIRECT(ADDRESS(2,COLUMN())),OFFSET($AM$2,0,0,ROW()-1,33),ROW()-1,FALSE))</f>
        <v/>
      </c>
      <c r="AF183" t="str">
        <f ca="1">IF(AND(ISNUMBER($AF$593),$B$427=1),$AF$593,HLOOKUP(INDIRECT(ADDRESS(2,COLUMN())),OFFSET($AM$2,0,0,ROW()-1,33),ROW()-1,FALSE))</f>
        <v/>
      </c>
      <c r="AG183" t="str">
        <f ca="1">IF(AND(ISNUMBER($AG$593),$B$427=1),$AG$593,HLOOKUP(INDIRECT(ADDRESS(2,COLUMN())),OFFSET($AM$2,0,0,ROW()-1,33),ROW()-1,FALSE))</f>
        <v/>
      </c>
      <c r="AH183" t="str">
        <f ca="1">IF(AND(ISNUMBER($AH$593),$B$427=1),$AH$593,HLOOKUP(INDIRECT(ADDRESS(2,COLUMN())),OFFSET($AM$2,0,0,ROW()-1,33),ROW()-1,FALSE))</f>
        <v/>
      </c>
      <c r="AI183" t="str">
        <f ca="1">IF(AND(ISNUMBER($AI$593),$B$427=1),$AI$593,HLOOKUP(INDIRECT(ADDRESS(2,COLUMN())),OFFSET($AM$2,0,0,ROW()-1,33),ROW()-1,FALSE))</f>
        <v/>
      </c>
      <c r="AJ183" t="str">
        <f ca="1">IF(AND(ISNUMBER($AJ$593),$B$427=1),$AJ$593,HLOOKUP(INDIRECT(ADDRESS(2,COLUMN())),OFFSET($AM$2,0,0,ROW()-1,33),ROW()-1,FALSE))</f>
        <v/>
      </c>
      <c r="AK183" t="str">
        <f ca="1">IF(AND(ISNUMBER($AK$593),$B$427=1),$AK$593,HLOOKUP(INDIRECT(ADDRESS(2,COLUMN())),OFFSET($AM$2,0,0,ROW()-1,33),ROW()-1,FALSE))</f>
        <v/>
      </c>
      <c r="AL183" t="str">
        <f ca="1">IF(AND(ISNUMBER($AL$593),$B$427=1),$AL$593,HLOOKUP(INDIRECT(ADDRESS(2,COLUMN())),OFFSET($AM$2,0,0,ROW()-1,33),ROW()-1,FALSE))</f>
        <v/>
      </c>
      <c r="AM183" t="str">
        <f>""</f>
        <v/>
      </c>
      <c r="AN183">
        <f>42.45486675</f>
        <v>42.454866750000001</v>
      </c>
      <c r="AO183">
        <f>36.84437204</f>
        <v>36.844372040000003</v>
      </c>
      <c r="AP183">
        <f>34.88872208</f>
        <v>34.888722080000001</v>
      </c>
      <c r="AQ183">
        <f>32.76350008</f>
        <v>32.76350008</v>
      </c>
      <c r="AR183">
        <f>32.38248372</f>
        <v>32.382483720000003</v>
      </c>
      <c r="AS183">
        <f>31.34042276</f>
        <v>31.340422759999999</v>
      </c>
      <c r="AT183">
        <f>32.11095062</f>
        <v>32.110950619999997</v>
      </c>
      <c r="AU183">
        <f>31.61569879</f>
        <v>31.61569879</v>
      </c>
      <c r="AV183">
        <f>29.71842641</f>
        <v>29.718426409999999</v>
      </c>
      <c r="AW183">
        <f>28.82284071</f>
        <v>28.822840710000001</v>
      </c>
      <c r="AX183">
        <f>30.03381549</f>
        <v>30.033815489999999</v>
      </c>
      <c r="AY183">
        <f>29.77124384</f>
        <v>29.77124384</v>
      </c>
      <c r="AZ183">
        <f>34.59908657</f>
        <v>34.599086569999997</v>
      </c>
      <c r="BA183">
        <f>38.18814144</f>
        <v>38.188141440000003</v>
      </c>
      <c r="BB183">
        <f>42.62904262</f>
        <v>42.62904262</v>
      </c>
      <c r="BC183">
        <f>43.04902653</f>
        <v>43.049026529999999</v>
      </c>
      <c r="BD183">
        <f>43.29891528</f>
        <v>43.298915280000003</v>
      </c>
      <c r="BE183">
        <f>7.28753829</f>
        <v>7.2875382899999996</v>
      </c>
      <c r="BF183">
        <f>7.940532177</f>
        <v>7.9405321769999997</v>
      </c>
      <c r="BG183">
        <f>7.827843814</f>
        <v>7.8278438140000004</v>
      </c>
      <c r="BH183">
        <f>7.371814954</f>
        <v>7.3718149540000004</v>
      </c>
      <c r="BI183">
        <f>6.637592234</f>
        <v>6.6375922340000004</v>
      </c>
      <c r="BJ183">
        <f>6.199134681</f>
        <v>6.1991346810000003</v>
      </c>
      <c r="BK183" t="str">
        <f>""</f>
        <v/>
      </c>
      <c r="BL183" t="str">
        <f>""</f>
        <v/>
      </c>
      <c r="BM183" t="str">
        <f>""</f>
        <v/>
      </c>
      <c r="BN183" t="str">
        <f>""</f>
        <v/>
      </c>
      <c r="BO183" t="str">
        <f>""</f>
        <v/>
      </c>
      <c r="BP183" t="str">
        <f>""</f>
        <v/>
      </c>
      <c r="BQ183" t="str">
        <f>""</f>
        <v/>
      </c>
      <c r="BR183" t="str">
        <f>""</f>
        <v/>
      </c>
      <c r="BS183" t="str">
        <f>""</f>
        <v/>
      </c>
    </row>
    <row r="184" spans="1:71" x14ac:dyDescent="0.25">
      <c r="A184" t="str">
        <f>"        East West Bancorp Inc"</f>
        <v xml:space="preserve">        East West Bancorp Inc</v>
      </c>
      <c r="B184" t="str">
        <f>"EWBC US Equity"</f>
        <v>EWBC US Equity</v>
      </c>
      <c r="C184" t="str">
        <f t="shared" si="24"/>
        <v>F0109</v>
      </c>
      <c r="D184" t="str">
        <f t="shared" si="25"/>
        <v>FED_RE_LNS_DOM_%_TOT_LNS_LEAS</v>
      </c>
      <c r="E184" t="str">
        <f t="shared" si="26"/>
        <v>Dynamic</v>
      </c>
      <c r="F184" t="str">
        <f ca="1">IF(AND(ISNUMBER($F$594),$B$427=1),$F$594,HLOOKUP(INDIRECT(ADDRESS(2,COLUMN())),OFFSET($AM$2,0,0,ROW()-1,33),ROW()-1,FALSE))</f>
        <v/>
      </c>
      <c r="G184">
        <f ca="1">IF(AND(ISNUMBER($G$594),$B$427=1),$G$594,HLOOKUP(INDIRECT(ADDRESS(2,COLUMN())),OFFSET($AM$2,0,0,ROW()-1,33),ROW()-1,FALSE))</f>
        <v>69.364987749999997</v>
      </c>
      <c r="H184">
        <f ca="1">IF(AND(ISNUMBER($H$594),$B$427=1),$H$594,HLOOKUP(INDIRECT(ADDRESS(2,COLUMN())),OFFSET($AM$2,0,0,ROW()-1,33),ROW()-1,FALSE))</f>
        <v>68.476883240000006</v>
      </c>
      <c r="I184">
        <f ca="1">IF(AND(ISNUMBER($I$594),$B$427=1),$I$594,HLOOKUP(INDIRECT(ADDRESS(2,COLUMN())),OFFSET($AM$2,0,0,ROW()-1,33),ROW()-1,FALSE))</f>
        <v>65.798368870000004</v>
      </c>
      <c r="J184">
        <f ca="1">IF(AND(ISNUMBER($J$594),$B$427=1),$J$594,HLOOKUP(INDIRECT(ADDRESS(2,COLUMN())),OFFSET($AM$2,0,0,ROW()-1,33),ROW()-1,FALSE))</f>
        <v>65.080020300000001</v>
      </c>
      <c r="K184">
        <f ca="1">IF(AND(ISNUMBER($K$594),$B$427=1),$K$594,HLOOKUP(INDIRECT(ADDRESS(2,COLUMN())),OFFSET($AM$2,0,0,ROW()-1,33),ROW()-1,FALSE))</f>
        <v>66.07741695</v>
      </c>
      <c r="L184">
        <f ca="1">IF(AND(ISNUMBER($L$594),$B$427=1),$L$594,HLOOKUP(INDIRECT(ADDRESS(2,COLUMN())),OFFSET($AM$2,0,0,ROW()-1,33),ROW()-1,FALSE))</f>
        <v>63.644580769999997</v>
      </c>
      <c r="M184">
        <f ca="1">IF(AND(ISNUMBER($M$594),$B$427=1),$M$594,HLOOKUP(INDIRECT(ADDRESS(2,COLUMN())),OFFSET($AM$2,0,0,ROW()-1,33),ROW()-1,FALSE))</f>
        <v>64.108926710000006</v>
      </c>
      <c r="N184">
        <f ca="1">IF(AND(ISNUMBER($N$594),$B$427=1),$N$594,HLOOKUP(INDIRECT(ADDRESS(2,COLUMN())),OFFSET($AM$2,0,0,ROW()-1,33),ROW()-1,FALSE))</f>
        <v>62.972559230000002</v>
      </c>
      <c r="O184">
        <f ca="1">IF(AND(ISNUMBER($O$594),$B$427=1),$O$594,HLOOKUP(INDIRECT(ADDRESS(2,COLUMN())),OFFSET($AM$2,0,0,ROW()-1,33),ROW()-1,FALSE))</f>
        <v>63.008398700000001</v>
      </c>
      <c r="P184">
        <f ca="1">IF(AND(ISNUMBER($P$594),$B$427=1),$P$594,HLOOKUP(INDIRECT(ADDRESS(2,COLUMN())),OFFSET($AM$2,0,0,ROW()-1,33),ROW()-1,FALSE))</f>
        <v>62.191580369999997</v>
      </c>
      <c r="Q184">
        <f ca="1">IF(AND(ISNUMBER($Q$594),$B$427=1),$Q$594,HLOOKUP(INDIRECT(ADDRESS(2,COLUMN())),OFFSET($AM$2,0,0,ROW()-1,33),ROW()-1,FALSE))</f>
        <v>61.769849010000001</v>
      </c>
      <c r="R184">
        <f ca="1">IF(AND(ISNUMBER($R$594),$B$427=1),$R$594,HLOOKUP(INDIRECT(ADDRESS(2,COLUMN())),OFFSET($AM$2,0,0,ROW()-1,33),ROW()-1,FALSE))</f>
        <v>63.611683829999997</v>
      </c>
      <c r="S184">
        <f ca="1">IF(AND(ISNUMBER($S$594),$B$427=1),$S$594,HLOOKUP(INDIRECT(ADDRESS(2,COLUMN())),OFFSET($AM$2,0,0,ROW()-1,33),ROW()-1,FALSE))</f>
        <v>66.652589019999994</v>
      </c>
      <c r="T184">
        <f ca="1">IF(AND(ISNUMBER($T$594),$B$427=1),$T$594,HLOOKUP(INDIRECT(ADDRESS(2,COLUMN())),OFFSET($AM$2,0,0,ROW()-1,33),ROW()-1,FALSE))</f>
        <v>73.351454050000001</v>
      </c>
      <c r="U184">
        <f ca="1">IF(AND(ISNUMBER($U$594),$B$427=1),$U$594,HLOOKUP(INDIRECT(ADDRESS(2,COLUMN())),OFFSET($AM$2,0,0,ROW()-1,33),ROW()-1,FALSE))</f>
        <v>77.590133519999995</v>
      </c>
      <c r="V184">
        <f ca="1">IF(AND(ISNUMBER($V$594),$B$427=1),$V$594,HLOOKUP(INDIRECT(ADDRESS(2,COLUMN())),OFFSET($AM$2,0,0,ROW()-1,33),ROW()-1,FALSE))</f>
        <v>80.445482650000002</v>
      </c>
      <c r="W184">
        <f ca="1">IF(AND(ISNUMBER($W$594),$B$427=1),$W$594,HLOOKUP(INDIRECT(ADDRESS(2,COLUMN())),OFFSET($AM$2,0,0,ROW()-1,33),ROW()-1,FALSE))</f>
        <v>78.840549949999996</v>
      </c>
      <c r="X184">
        <f ca="1">IF(AND(ISNUMBER($X$594),$B$427=1),$X$594,HLOOKUP(INDIRECT(ADDRESS(2,COLUMN())),OFFSET($AM$2,0,0,ROW()-1,33),ROW()-1,FALSE))</f>
        <v>25.299630260000001</v>
      </c>
      <c r="Y184">
        <f ca="1">IF(AND(ISNUMBER($Y$594),$B$427=1),$Y$594,HLOOKUP(INDIRECT(ADDRESS(2,COLUMN())),OFFSET($AM$2,0,0,ROW()-1,33),ROW()-1,FALSE))</f>
        <v>28.428756150000002</v>
      </c>
      <c r="Z184">
        <f ca="1">IF(AND(ISNUMBER($Z$594),$B$427=1),$Z$594,HLOOKUP(INDIRECT(ADDRESS(2,COLUMN())),OFFSET($AM$2,0,0,ROW()-1,33),ROW()-1,FALSE))</f>
        <v>31.443638880000002</v>
      </c>
      <c r="AA184">
        <f ca="1">IF(AND(ISNUMBER($AA$594),$B$427=1),$AA$594,HLOOKUP(INDIRECT(ADDRESS(2,COLUMN())),OFFSET($AM$2,0,0,ROW()-1,33),ROW()-1,FALSE))</f>
        <v>32.993826560000002</v>
      </c>
      <c r="AB184">
        <f ca="1">IF(AND(ISNUMBER($AB$594),$B$427=1),$AB$594,HLOOKUP(INDIRECT(ADDRESS(2,COLUMN())),OFFSET($AM$2,0,0,ROW()-1,33),ROW()-1,FALSE))</f>
        <v>35.187664220000002</v>
      </c>
      <c r="AC184">
        <f ca="1">IF(AND(ISNUMBER($AC$594),$B$427=1),$AC$594,HLOOKUP(INDIRECT(ADDRESS(2,COLUMN())),OFFSET($AM$2,0,0,ROW()-1,33),ROW()-1,FALSE))</f>
        <v>34.530978259999998</v>
      </c>
      <c r="AD184" t="str">
        <f ca="1">IF(AND(ISNUMBER($AD$594),$B$427=1),$AD$594,HLOOKUP(INDIRECT(ADDRESS(2,COLUMN())),OFFSET($AM$2,0,0,ROW()-1,33),ROW()-1,FALSE))</f>
        <v/>
      </c>
      <c r="AE184" t="str">
        <f ca="1">IF(AND(ISNUMBER($AE$594),$B$427=1),$AE$594,HLOOKUP(INDIRECT(ADDRESS(2,COLUMN())),OFFSET($AM$2,0,0,ROW()-1,33),ROW()-1,FALSE))</f>
        <v/>
      </c>
      <c r="AF184" t="str">
        <f ca="1">IF(AND(ISNUMBER($AF$594),$B$427=1),$AF$594,HLOOKUP(INDIRECT(ADDRESS(2,COLUMN())),OFFSET($AM$2,0,0,ROW()-1,33),ROW()-1,FALSE))</f>
        <v/>
      </c>
      <c r="AG184" t="str">
        <f ca="1">IF(AND(ISNUMBER($AG$594),$B$427=1),$AG$594,HLOOKUP(INDIRECT(ADDRESS(2,COLUMN())),OFFSET($AM$2,0,0,ROW()-1,33),ROW()-1,FALSE))</f>
        <v/>
      </c>
      <c r="AH184" t="str">
        <f ca="1">IF(AND(ISNUMBER($AH$594),$B$427=1),$AH$594,HLOOKUP(INDIRECT(ADDRESS(2,COLUMN())),OFFSET($AM$2,0,0,ROW()-1,33),ROW()-1,FALSE))</f>
        <v/>
      </c>
      <c r="AI184" t="str">
        <f ca="1">IF(AND(ISNUMBER($AI$594),$B$427=1),$AI$594,HLOOKUP(INDIRECT(ADDRESS(2,COLUMN())),OFFSET($AM$2,0,0,ROW()-1,33),ROW()-1,FALSE))</f>
        <v/>
      </c>
      <c r="AJ184" t="str">
        <f ca="1">IF(AND(ISNUMBER($AJ$594),$B$427=1),$AJ$594,HLOOKUP(INDIRECT(ADDRESS(2,COLUMN())),OFFSET($AM$2,0,0,ROW()-1,33),ROW()-1,FALSE))</f>
        <v/>
      </c>
      <c r="AK184" t="str">
        <f ca="1">IF(AND(ISNUMBER($AK$594),$B$427=1),$AK$594,HLOOKUP(INDIRECT(ADDRESS(2,COLUMN())),OFFSET($AM$2,0,0,ROW()-1,33),ROW()-1,FALSE))</f>
        <v/>
      </c>
      <c r="AL184" t="str">
        <f ca="1">IF(AND(ISNUMBER($AL$594),$B$427=1),$AL$594,HLOOKUP(INDIRECT(ADDRESS(2,COLUMN())),OFFSET($AM$2,0,0,ROW()-1,33),ROW()-1,FALSE))</f>
        <v/>
      </c>
      <c r="AM184" t="str">
        <f>""</f>
        <v/>
      </c>
      <c r="AN184">
        <f>69.36498775</f>
        <v>69.364987749999997</v>
      </c>
      <c r="AO184">
        <f>68.47688324</f>
        <v>68.476883240000006</v>
      </c>
      <c r="AP184">
        <f>65.79836887</f>
        <v>65.798368870000004</v>
      </c>
      <c r="AQ184">
        <f>65.0800203</f>
        <v>65.080020300000001</v>
      </c>
      <c r="AR184">
        <f>66.07741695</f>
        <v>66.07741695</v>
      </c>
      <c r="AS184">
        <f>63.64458077</f>
        <v>63.644580769999997</v>
      </c>
      <c r="AT184">
        <f>64.10892671</f>
        <v>64.108926710000006</v>
      </c>
      <c r="AU184">
        <f>62.97255923</f>
        <v>62.972559230000002</v>
      </c>
      <c r="AV184">
        <f>63.0083987</f>
        <v>63.008398700000001</v>
      </c>
      <c r="AW184">
        <f>62.19158037</f>
        <v>62.191580369999997</v>
      </c>
      <c r="AX184">
        <f>61.76984901</f>
        <v>61.769849010000001</v>
      </c>
      <c r="AY184">
        <f>63.61168383</f>
        <v>63.611683829999997</v>
      </c>
      <c r="AZ184">
        <f>66.65258902</f>
        <v>66.652589019999994</v>
      </c>
      <c r="BA184">
        <f>73.35145405</f>
        <v>73.351454050000001</v>
      </c>
      <c r="BB184">
        <f>77.59013352</f>
        <v>77.590133519999995</v>
      </c>
      <c r="BC184">
        <f>80.44548265</f>
        <v>80.445482650000002</v>
      </c>
      <c r="BD184">
        <f>78.84054995</f>
        <v>78.840549949999996</v>
      </c>
      <c r="BE184">
        <f>25.29963026</f>
        <v>25.299630260000001</v>
      </c>
      <c r="BF184">
        <f>28.42875615</f>
        <v>28.428756150000002</v>
      </c>
      <c r="BG184">
        <f>31.44363888</f>
        <v>31.443638880000002</v>
      </c>
      <c r="BH184">
        <f>32.99382656</f>
        <v>32.993826560000002</v>
      </c>
      <c r="BI184">
        <f>35.18766422</f>
        <v>35.187664220000002</v>
      </c>
      <c r="BJ184">
        <f>34.53097826</f>
        <v>34.530978259999998</v>
      </c>
      <c r="BK184" t="str">
        <f>""</f>
        <v/>
      </c>
      <c r="BL184" t="str">
        <f>""</f>
        <v/>
      </c>
      <c r="BM184" t="str">
        <f>""</f>
        <v/>
      </c>
      <c r="BN184" t="str">
        <f>""</f>
        <v/>
      </c>
      <c r="BO184" t="str">
        <f>""</f>
        <v/>
      </c>
      <c r="BP184" t="str">
        <f>""</f>
        <v/>
      </c>
      <c r="BQ184" t="str">
        <f>""</f>
        <v/>
      </c>
      <c r="BR184" t="str">
        <f>""</f>
        <v/>
      </c>
      <c r="BS184" t="str">
        <f>""</f>
        <v/>
      </c>
    </row>
    <row r="185" spans="1:71" x14ac:dyDescent="0.25">
      <c r="A185" t="str">
        <f>"        Fifth Third Bancorp"</f>
        <v xml:space="preserve">        Fifth Third Bancorp</v>
      </c>
      <c r="B185" t="str">
        <f>"FITB US Equity"</f>
        <v>FITB US Equity</v>
      </c>
      <c r="C185" t="str">
        <f t="shared" si="24"/>
        <v>F0109</v>
      </c>
      <c r="D185" t="str">
        <f t="shared" si="25"/>
        <v>FED_RE_LNS_DOM_%_TOT_LNS_LEAS</v>
      </c>
      <c r="E185" t="str">
        <f t="shared" si="26"/>
        <v>Dynamic</v>
      </c>
      <c r="F185">
        <f ca="1">IF(AND(ISNUMBER($F$595),$B$427=1),$F$595,HLOOKUP(INDIRECT(ADDRESS(2,COLUMN())),OFFSET($AM$2,0,0,ROW()-1,33),ROW()-1,FALSE))</f>
        <v>32.095556790000003</v>
      </c>
      <c r="G185">
        <f ca="1">IF(AND(ISNUMBER($G$595),$B$427=1),$G$595,HLOOKUP(INDIRECT(ADDRESS(2,COLUMN())),OFFSET($AM$2,0,0,ROW()-1,33),ROW()-1,FALSE))</f>
        <v>31.42111349</v>
      </c>
      <c r="H185">
        <f ca="1">IF(AND(ISNUMBER($H$595),$B$427=1),$H$595,HLOOKUP(INDIRECT(ADDRESS(2,COLUMN())),OFFSET($AM$2,0,0,ROW()-1,33),ROW()-1,FALSE))</f>
        <v>30.644382480000001</v>
      </c>
      <c r="I185">
        <f ca="1">IF(AND(ISNUMBER($I$595),$B$427=1),$I$595,HLOOKUP(INDIRECT(ADDRESS(2,COLUMN())),OFFSET($AM$2,0,0,ROW()-1,33),ROW()-1,FALSE))</f>
        <v>33.435703060000002</v>
      </c>
      <c r="J185">
        <f ca="1">IF(AND(ISNUMBER($J$595),$B$427=1),$J$595,HLOOKUP(INDIRECT(ADDRESS(2,COLUMN())),OFFSET($AM$2,0,0,ROW()-1,33),ROW()-1,FALSE))</f>
        <v>35.8684911</v>
      </c>
      <c r="K185">
        <f ca="1">IF(AND(ISNUMBER($K$595),$B$427=1),$K$595,HLOOKUP(INDIRECT(ADDRESS(2,COLUMN())),OFFSET($AM$2,0,0,ROW()-1,33),ROW()-1,FALSE))</f>
        <v>35.102744020000003</v>
      </c>
      <c r="L185">
        <f ca="1">IF(AND(ISNUMBER($L$595),$B$427=1),$L$595,HLOOKUP(INDIRECT(ADDRESS(2,COLUMN())),OFFSET($AM$2,0,0,ROW()-1,33),ROW()-1,FALSE))</f>
        <v>34.517583190000003</v>
      </c>
      <c r="M185">
        <f ca="1">IF(AND(ISNUMBER($M$595),$B$427=1),$M$595,HLOOKUP(INDIRECT(ADDRESS(2,COLUMN())),OFFSET($AM$2,0,0,ROW()-1,33),ROW()-1,FALSE))</f>
        <v>36.045339470000002</v>
      </c>
      <c r="N185">
        <f ca="1">IF(AND(ISNUMBER($N$595),$B$427=1),$N$595,HLOOKUP(INDIRECT(ADDRESS(2,COLUMN())),OFFSET($AM$2,0,0,ROW()-1,33),ROW()-1,FALSE))</f>
        <v>36.514841990000001</v>
      </c>
      <c r="O185">
        <f ca="1">IF(AND(ISNUMBER($O$595),$B$427=1),$O$595,HLOOKUP(INDIRECT(ADDRESS(2,COLUMN())),OFFSET($AM$2,0,0,ROW()-1,33),ROW()-1,FALSE))</f>
        <v>34.747469129999999</v>
      </c>
      <c r="P185">
        <f ca="1">IF(AND(ISNUMBER($P$595),$B$427=1),$P$595,HLOOKUP(INDIRECT(ADDRESS(2,COLUMN())),OFFSET($AM$2,0,0,ROW()-1,33),ROW()-1,FALSE))</f>
        <v>34.613156940000003</v>
      </c>
      <c r="Q185">
        <f ca="1">IF(AND(ISNUMBER($Q$595),$B$427=1),$Q$595,HLOOKUP(INDIRECT(ADDRESS(2,COLUMN())),OFFSET($AM$2,0,0,ROW()-1,33),ROW()-1,FALSE))</f>
        <v>35.651065240000001</v>
      </c>
      <c r="R185">
        <f ca="1">IF(AND(ISNUMBER($R$595),$B$427=1),$R$595,HLOOKUP(INDIRECT(ADDRESS(2,COLUMN())),OFFSET($AM$2,0,0,ROW()-1,33),ROW()-1,FALSE))</f>
        <v>39.579667350000001</v>
      </c>
      <c r="S185">
        <f ca="1">IF(AND(ISNUMBER($S$595),$B$427=1),$S$595,HLOOKUP(INDIRECT(ADDRESS(2,COLUMN())),OFFSET($AM$2,0,0,ROW()-1,33),ROW()-1,FALSE))</f>
        <v>43.603847340000002</v>
      </c>
      <c r="T185">
        <f ca="1">IF(AND(ISNUMBER($T$595),$B$427=1),$T$595,HLOOKUP(INDIRECT(ADDRESS(2,COLUMN())),OFFSET($AM$2,0,0,ROW()-1,33),ROW()-1,FALSE))</f>
        <v>46.627025439999997</v>
      </c>
      <c r="U185">
        <f ca="1">IF(AND(ISNUMBER($U$595),$B$427=1),$U$595,HLOOKUP(INDIRECT(ADDRESS(2,COLUMN())),OFFSET($AM$2,0,0,ROW()-1,33),ROW()-1,FALSE))</f>
        <v>50.567448319999997</v>
      </c>
      <c r="V185">
        <f ca="1">IF(AND(ISNUMBER($V$595),$B$427=1),$V$595,HLOOKUP(INDIRECT(ADDRESS(2,COLUMN())),OFFSET($AM$2,0,0,ROW()-1,33),ROW()-1,FALSE))</f>
        <v>50.859334629999999</v>
      </c>
      <c r="W185">
        <f ca="1">IF(AND(ISNUMBER($W$595),$B$427=1),$W$595,HLOOKUP(INDIRECT(ADDRESS(2,COLUMN())),OFFSET($AM$2,0,0,ROW()-1,33),ROW()-1,FALSE))</f>
        <v>51.66296036</v>
      </c>
      <c r="X185">
        <f ca="1">IF(AND(ISNUMBER($X$595),$B$427=1),$X$595,HLOOKUP(INDIRECT(ADDRESS(2,COLUMN())),OFFSET($AM$2,0,0,ROW()-1,33),ROW()-1,FALSE))</f>
        <v>29.845296220000002</v>
      </c>
      <c r="Y185">
        <f ca="1">IF(AND(ISNUMBER($Y$595),$B$427=1),$Y$595,HLOOKUP(INDIRECT(ADDRESS(2,COLUMN())),OFFSET($AM$2,0,0,ROW()-1,33),ROW()-1,FALSE))</f>
        <v>29.59939078</v>
      </c>
      <c r="Z185">
        <f ca="1">IF(AND(ISNUMBER($Z$595),$B$427=1),$Z$595,HLOOKUP(INDIRECT(ADDRESS(2,COLUMN())),OFFSET($AM$2,0,0,ROW()-1,33),ROW()-1,FALSE))</f>
        <v>31.45610508</v>
      </c>
      <c r="AA185">
        <f ca="1">IF(AND(ISNUMBER($AA$595),$B$427=1),$AA$595,HLOOKUP(INDIRECT(ADDRESS(2,COLUMN())),OFFSET($AM$2,0,0,ROW()-1,33),ROW()-1,FALSE))</f>
        <v>28.379773400000001</v>
      </c>
      <c r="AB185">
        <f ca="1">IF(AND(ISNUMBER($AB$595),$B$427=1),$AB$595,HLOOKUP(INDIRECT(ADDRESS(2,COLUMN())),OFFSET($AM$2,0,0,ROW()-1,33),ROW()-1,FALSE))</f>
        <v>32.580901859999997</v>
      </c>
      <c r="AC185">
        <f ca="1">IF(AND(ISNUMBER($AC$595),$B$427=1),$AC$595,HLOOKUP(INDIRECT(ADDRESS(2,COLUMN())),OFFSET($AM$2,0,0,ROW()-1,33),ROW()-1,FALSE))</f>
        <v>34.348680369999997</v>
      </c>
      <c r="AD185" t="str">
        <f ca="1">IF(AND(ISNUMBER($AD$595),$B$427=1),$AD$595,HLOOKUP(INDIRECT(ADDRESS(2,COLUMN())),OFFSET($AM$2,0,0,ROW()-1,33),ROW()-1,FALSE))</f>
        <v/>
      </c>
      <c r="AE185" t="str">
        <f ca="1">IF(AND(ISNUMBER($AE$595),$B$427=1),$AE$595,HLOOKUP(INDIRECT(ADDRESS(2,COLUMN())),OFFSET($AM$2,0,0,ROW()-1,33),ROW()-1,FALSE))</f>
        <v/>
      </c>
      <c r="AF185" t="str">
        <f ca="1">IF(AND(ISNUMBER($AF$595),$B$427=1),$AF$595,HLOOKUP(INDIRECT(ADDRESS(2,COLUMN())),OFFSET($AM$2,0,0,ROW()-1,33),ROW()-1,FALSE))</f>
        <v/>
      </c>
      <c r="AG185" t="str">
        <f ca="1">IF(AND(ISNUMBER($AG$595),$B$427=1),$AG$595,HLOOKUP(INDIRECT(ADDRESS(2,COLUMN())),OFFSET($AM$2,0,0,ROW()-1,33),ROW()-1,FALSE))</f>
        <v/>
      </c>
      <c r="AH185" t="str">
        <f ca="1">IF(AND(ISNUMBER($AH$595),$B$427=1),$AH$595,HLOOKUP(INDIRECT(ADDRESS(2,COLUMN())),OFFSET($AM$2,0,0,ROW()-1,33),ROW()-1,FALSE))</f>
        <v/>
      </c>
      <c r="AI185" t="str">
        <f ca="1">IF(AND(ISNUMBER($AI$595),$B$427=1),$AI$595,HLOOKUP(INDIRECT(ADDRESS(2,COLUMN())),OFFSET($AM$2,0,0,ROW()-1,33),ROW()-1,FALSE))</f>
        <v/>
      </c>
      <c r="AJ185" t="str">
        <f ca="1">IF(AND(ISNUMBER($AJ$595),$B$427=1),$AJ$595,HLOOKUP(INDIRECT(ADDRESS(2,COLUMN())),OFFSET($AM$2,0,0,ROW()-1,33),ROW()-1,FALSE))</f>
        <v/>
      </c>
      <c r="AK185" t="str">
        <f ca="1">IF(AND(ISNUMBER($AK$595),$B$427=1),$AK$595,HLOOKUP(INDIRECT(ADDRESS(2,COLUMN())),OFFSET($AM$2,0,0,ROW()-1,33),ROW()-1,FALSE))</f>
        <v/>
      </c>
      <c r="AL185" t="str">
        <f ca="1">IF(AND(ISNUMBER($AL$595),$B$427=1),$AL$595,HLOOKUP(INDIRECT(ADDRESS(2,COLUMN())),OFFSET($AM$2,0,0,ROW()-1,33),ROW()-1,FALSE))</f>
        <v/>
      </c>
      <c r="AM185">
        <f>32.09555679</f>
        <v>32.095556790000003</v>
      </c>
      <c r="AN185">
        <f>31.42111349</f>
        <v>31.42111349</v>
      </c>
      <c r="AO185">
        <f>30.64438248</f>
        <v>30.644382480000001</v>
      </c>
      <c r="AP185">
        <f>33.43570306</f>
        <v>33.435703060000002</v>
      </c>
      <c r="AQ185">
        <f>35.8684911</f>
        <v>35.8684911</v>
      </c>
      <c r="AR185">
        <f>35.10274402</f>
        <v>35.102744020000003</v>
      </c>
      <c r="AS185">
        <f>34.51758319</f>
        <v>34.517583190000003</v>
      </c>
      <c r="AT185">
        <f>36.04533947</f>
        <v>36.045339470000002</v>
      </c>
      <c r="AU185">
        <f>36.51484199</f>
        <v>36.514841990000001</v>
      </c>
      <c r="AV185">
        <f>34.74746913</f>
        <v>34.747469129999999</v>
      </c>
      <c r="AW185">
        <f>34.61315694</f>
        <v>34.613156940000003</v>
      </c>
      <c r="AX185">
        <f>35.65106524</f>
        <v>35.651065240000001</v>
      </c>
      <c r="AY185">
        <f>39.57966735</f>
        <v>39.579667350000001</v>
      </c>
      <c r="AZ185">
        <f>43.60384734</f>
        <v>43.603847340000002</v>
      </c>
      <c r="BA185">
        <f>46.62702544</f>
        <v>46.627025439999997</v>
      </c>
      <c r="BB185">
        <f>50.56744832</f>
        <v>50.567448319999997</v>
      </c>
      <c r="BC185">
        <f>50.85933463</f>
        <v>50.859334629999999</v>
      </c>
      <c r="BD185">
        <f>51.66296036</f>
        <v>51.66296036</v>
      </c>
      <c r="BE185">
        <f>29.84529622</f>
        <v>29.845296220000002</v>
      </c>
      <c r="BF185">
        <f>29.59939078</f>
        <v>29.59939078</v>
      </c>
      <c r="BG185">
        <f>31.45610508</f>
        <v>31.45610508</v>
      </c>
      <c r="BH185">
        <f>28.3797734</f>
        <v>28.379773400000001</v>
      </c>
      <c r="BI185">
        <f>32.58090186</f>
        <v>32.580901859999997</v>
      </c>
      <c r="BJ185">
        <f>34.34868037</f>
        <v>34.348680369999997</v>
      </c>
      <c r="BK185" t="str">
        <f>""</f>
        <v/>
      </c>
      <c r="BL185" t="str">
        <f>""</f>
        <v/>
      </c>
      <c r="BM185" t="str">
        <f>""</f>
        <v/>
      </c>
      <c r="BN185" t="str">
        <f>""</f>
        <v/>
      </c>
      <c r="BO185" t="str">
        <f>""</f>
        <v/>
      </c>
      <c r="BP185" t="str">
        <f>""</f>
        <v/>
      </c>
      <c r="BQ185" t="str">
        <f>""</f>
        <v/>
      </c>
      <c r="BR185" t="str">
        <f>""</f>
        <v/>
      </c>
      <c r="BS185" t="str">
        <f>""</f>
        <v/>
      </c>
    </row>
    <row r="186" spans="1:71" x14ac:dyDescent="0.25">
      <c r="A186" t="str">
        <f>"        First Citizens BancShares Inc/"</f>
        <v xml:space="preserve">        First Citizens BancShares Inc/</v>
      </c>
      <c r="B186" t="str">
        <f>"FCNCA US Equity"</f>
        <v>FCNCA US Equity</v>
      </c>
      <c r="C186" t="str">
        <f t="shared" si="24"/>
        <v>F0109</v>
      </c>
      <c r="D186" t="str">
        <f t="shared" si="25"/>
        <v>FED_RE_LNS_DOM_%_TOT_LNS_LEAS</v>
      </c>
      <c r="E186" t="str">
        <f t="shared" si="26"/>
        <v>Dynamic</v>
      </c>
      <c r="F186">
        <f ca="1">IF(AND(ISNUMBER($F$596),$B$427=1),$F$596,HLOOKUP(INDIRECT(ADDRESS(2,COLUMN())),OFFSET($AM$2,0,0,ROW()-1,33),ROW()-1,FALSE))</f>
        <v>45.558541159999997</v>
      </c>
      <c r="G186">
        <f ca="1">IF(AND(ISNUMBER($G$596),$B$427=1),$G$596,HLOOKUP(INDIRECT(ADDRESS(2,COLUMN())),OFFSET($AM$2,0,0,ROW()-1,33),ROW()-1,FALSE))</f>
        <v>44.507351380000003</v>
      </c>
      <c r="H186">
        <f ca="1">IF(AND(ISNUMBER($H$596),$B$427=1),$H$596,HLOOKUP(INDIRECT(ADDRESS(2,COLUMN())),OFFSET($AM$2,0,0,ROW()-1,33),ROW()-1,FALSE))</f>
        <v>59.89224445</v>
      </c>
      <c r="I186">
        <f ca="1">IF(AND(ISNUMBER($I$596),$B$427=1),$I$596,HLOOKUP(INDIRECT(ADDRESS(2,COLUMN())),OFFSET($AM$2,0,0,ROW()-1,33),ROW()-1,FALSE))</f>
        <v>75.093755790000003</v>
      </c>
      <c r="J186">
        <f ca="1">IF(AND(ISNUMBER($J$596),$B$427=1),$J$596,HLOOKUP(INDIRECT(ADDRESS(2,COLUMN())),OFFSET($AM$2,0,0,ROW()-1,33),ROW()-1,FALSE))</f>
        <v>71.948094490000003</v>
      </c>
      <c r="K186">
        <f ca="1">IF(AND(ISNUMBER($K$596),$B$427=1),$K$596,HLOOKUP(INDIRECT(ADDRESS(2,COLUMN())),OFFSET($AM$2,0,0,ROW()-1,33),ROW()-1,FALSE))</f>
        <v>77.532830169999997</v>
      </c>
      <c r="L186">
        <f ca="1">IF(AND(ISNUMBER($L$596),$B$427=1),$L$596,HLOOKUP(INDIRECT(ADDRESS(2,COLUMN())),OFFSET($AM$2,0,0,ROW()-1,33),ROW()-1,FALSE))</f>
        <v>76.705185909999997</v>
      </c>
      <c r="M186">
        <f ca="1">IF(AND(ISNUMBER($M$596),$B$427=1),$M$596,HLOOKUP(INDIRECT(ADDRESS(2,COLUMN())),OFFSET($AM$2,0,0,ROW()-1,33),ROW()-1,FALSE))</f>
        <v>76.747280660000001</v>
      </c>
      <c r="N186">
        <f ca="1">IF(AND(ISNUMBER($N$596),$B$427=1),$N$596,HLOOKUP(INDIRECT(ADDRESS(2,COLUMN())),OFFSET($AM$2,0,0,ROW()-1,33),ROW()-1,FALSE))</f>
        <v>76.180888760000002</v>
      </c>
      <c r="O186">
        <f ca="1">IF(AND(ISNUMBER($O$596),$B$427=1),$O$596,HLOOKUP(INDIRECT(ADDRESS(2,COLUMN())),OFFSET($AM$2,0,0,ROW()-1,33),ROW()-1,FALSE))</f>
        <v>77.074345129999998</v>
      </c>
      <c r="P186">
        <f ca="1">IF(AND(ISNUMBER($P$596),$B$427=1),$P$596,HLOOKUP(INDIRECT(ADDRESS(2,COLUMN())),OFFSET($AM$2,0,0,ROW()-1,33),ROW()-1,FALSE))</f>
        <v>78.413151139999997</v>
      </c>
      <c r="Q186">
        <f ca="1">IF(AND(ISNUMBER($Q$596),$B$427=1),$Q$596,HLOOKUP(INDIRECT(ADDRESS(2,COLUMN())),OFFSET($AM$2,0,0,ROW()-1,33),ROW()-1,FALSE))</f>
        <v>84.49525362</v>
      </c>
      <c r="R186">
        <f ca="1">IF(AND(ISNUMBER($R$596),$B$427=1),$R$596,HLOOKUP(INDIRECT(ADDRESS(2,COLUMN())),OFFSET($AM$2,0,0,ROW()-1,33),ROW()-1,FALSE))</f>
        <v>80.076015740000003</v>
      </c>
      <c r="S186">
        <f ca="1">IF(AND(ISNUMBER($S$596),$B$427=1),$S$596,HLOOKUP(INDIRECT(ADDRESS(2,COLUMN())),OFFSET($AM$2,0,0,ROW()-1,33),ROW()-1,FALSE))</f>
        <v>79.678631050000007</v>
      </c>
      <c r="T186">
        <f ca="1">IF(AND(ISNUMBER($T$596),$B$427=1),$T$596,HLOOKUP(INDIRECT(ADDRESS(2,COLUMN())),OFFSET($AM$2,0,0,ROW()-1,33),ROW()-1,FALSE))</f>
        <v>77.24368509</v>
      </c>
      <c r="U186">
        <f ca="1">IF(AND(ISNUMBER($U$596),$B$427=1),$U$596,HLOOKUP(INDIRECT(ADDRESS(2,COLUMN())),OFFSET($AM$2,0,0,ROW()-1,33),ROW()-1,FALSE))</f>
        <v>73.715592839999999</v>
      </c>
      <c r="V186">
        <f ca="1">IF(AND(ISNUMBER($V$596),$B$427=1),$V$596,HLOOKUP(INDIRECT(ADDRESS(2,COLUMN())),OFFSET($AM$2,0,0,ROW()-1,33),ROW()-1,FALSE))</f>
        <v>69.52488142</v>
      </c>
      <c r="W186">
        <f ca="1">IF(AND(ISNUMBER($W$596),$B$427=1),$W$596,HLOOKUP(INDIRECT(ADDRESS(2,COLUMN())),OFFSET($AM$2,0,0,ROW()-1,33),ROW()-1,FALSE))</f>
        <v>68.062680959999994</v>
      </c>
      <c r="X186">
        <f ca="1">IF(AND(ISNUMBER($X$596),$B$427=1),$X$596,HLOOKUP(INDIRECT(ADDRESS(2,COLUMN())),OFFSET($AM$2,0,0,ROW()-1,33),ROW()-1,FALSE))</f>
        <v>24.57979847</v>
      </c>
      <c r="Y186">
        <f ca="1">IF(AND(ISNUMBER($Y$596),$B$427=1),$Y$596,HLOOKUP(INDIRECT(ADDRESS(2,COLUMN())),OFFSET($AM$2,0,0,ROW()-1,33),ROW()-1,FALSE))</f>
        <v>26.52847238</v>
      </c>
      <c r="Z186">
        <f ca="1">IF(AND(ISNUMBER($Z$596),$B$427=1),$Z$596,HLOOKUP(INDIRECT(ADDRESS(2,COLUMN())),OFFSET($AM$2,0,0,ROW()-1,33),ROW()-1,FALSE))</f>
        <v>30.63162771</v>
      </c>
      <c r="AA186">
        <f ca="1">IF(AND(ISNUMBER($AA$596),$B$427=1),$AA$596,HLOOKUP(INDIRECT(ADDRESS(2,COLUMN())),OFFSET($AM$2,0,0,ROW()-1,33),ROW()-1,FALSE))</f>
        <v>32.76581865</v>
      </c>
      <c r="AB186">
        <f ca="1">IF(AND(ISNUMBER($AB$596),$B$427=1),$AB$596,HLOOKUP(INDIRECT(ADDRESS(2,COLUMN())),OFFSET($AM$2,0,0,ROW()-1,33),ROW()-1,FALSE))</f>
        <v>34.452472309999997</v>
      </c>
      <c r="AC186">
        <f ca="1">IF(AND(ISNUMBER($AC$596),$B$427=1),$AC$596,HLOOKUP(INDIRECT(ADDRESS(2,COLUMN())),OFFSET($AM$2,0,0,ROW()-1,33),ROW()-1,FALSE))</f>
        <v>34.725382660000001</v>
      </c>
      <c r="AD186" t="str">
        <f ca="1">IF(AND(ISNUMBER($AD$596),$B$427=1),$AD$596,HLOOKUP(INDIRECT(ADDRESS(2,COLUMN())),OFFSET($AM$2,0,0,ROW()-1,33),ROW()-1,FALSE))</f>
        <v/>
      </c>
      <c r="AE186" t="str">
        <f ca="1">IF(AND(ISNUMBER($AE$596),$B$427=1),$AE$596,HLOOKUP(INDIRECT(ADDRESS(2,COLUMN())),OFFSET($AM$2,0,0,ROW()-1,33),ROW()-1,FALSE))</f>
        <v/>
      </c>
      <c r="AF186" t="str">
        <f ca="1">IF(AND(ISNUMBER($AF$596),$B$427=1),$AF$596,HLOOKUP(INDIRECT(ADDRESS(2,COLUMN())),OFFSET($AM$2,0,0,ROW()-1,33),ROW()-1,FALSE))</f>
        <v/>
      </c>
      <c r="AG186" t="str">
        <f ca="1">IF(AND(ISNUMBER($AG$596),$B$427=1),$AG$596,HLOOKUP(INDIRECT(ADDRESS(2,COLUMN())),OFFSET($AM$2,0,0,ROW()-1,33),ROW()-1,FALSE))</f>
        <v/>
      </c>
      <c r="AH186" t="str">
        <f ca="1">IF(AND(ISNUMBER($AH$596),$B$427=1),$AH$596,HLOOKUP(INDIRECT(ADDRESS(2,COLUMN())),OFFSET($AM$2,0,0,ROW()-1,33),ROW()-1,FALSE))</f>
        <v/>
      </c>
      <c r="AI186" t="str">
        <f ca="1">IF(AND(ISNUMBER($AI$596),$B$427=1),$AI$596,HLOOKUP(INDIRECT(ADDRESS(2,COLUMN())),OFFSET($AM$2,0,0,ROW()-1,33),ROW()-1,FALSE))</f>
        <v/>
      </c>
      <c r="AJ186" t="str">
        <f ca="1">IF(AND(ISNUMBER($AJ$596),$B$427=1),$AJ$596,HLOOKUP(INDIRECT(ADDRESS(2,COLUMN())),OFFSET($AM$2,0,0,ROW()-1,33),ROW()-1,FALSE))</f>
        <v/>
      </c>
      <c r="AK186" t="str">
        <f ca="1">IF(AND(ISNUMBER($AK$596),$B$427=1),$AK$596,HLOOKUP(INDIRECT(ADDRESS(2,COLUMN())),OFFSET($AM$2,0,0,ROW()-1,33),ROW()-1,FALSE))</f>
        <v/>
      </c>
      <c r="AL186" t="str">
        <f ca="1">IF(AND(ISNUMBER($AL$596),$B$427=1),$AL$596,HLOOKUP(INDIRECT(ADDRESS(2,COLUMN())),OFFSET($AM$2,0,0,ROW()-1,33),ROW()-1,FALSE))</f>
        <v/>
      </c>
      <c r="AM186">
        <f>45.55854116</f>
        <v>45.558541159999997</v>
      </c>
      <c r="AN186">
        <f>44.50735138</f>
        <v>44.507351380000003</v>
      </c>
      <c r="AO186">
        <f>59.89224445</f>
        <v>59.89224445</v>
      </c>
      <c r="AP186">
        <f>75.09375579</f>
        <v>75.093755790000003</v>
      </c>
      <c r="AQ186">
        <f>71.94809449</f>
        <v>71.948094490000003</v>
      </c>
      <c r="AR186">
        <f>77.53283017</f>
        <v>77.532830169999997</v>
      </c>
      <c r="AS186">
        <f>76.70518591</f>
        <v>76.705185909999997</v>
      </c>
      <c r="AT186">
        <f>76.74728066</f>
        <v>76.747280660000001</v>
      </c>
      <c r="AU186">
        <f>76.18088876</f>
        <v>76.180888760000002</v>
      </c>
      <c r="AV186">
        <f>77.07434513</f>
        <v>77.074345129999998</v>
      </c>
      <c r="AW186">
        <f>78.41315114</f>
        <v>78.413151139999997</v>
      </c>
      <c r="AX186">
        <f>84.49525362</f>
        <v>84.49525362</v>
      </c>
      <c r="AY186">
        <f>80.07601574</f>
        <v>80.076015740000003</v>
      </c>
      <c r="AZ186">
        <f>79.67863105</f>
        <v>79.678631050000007</v>
      </c>
      <c r="BA186">
        <f>77.24368509</f>
        <v>77.24368509</v>
      </c>
      <c r="BB186">
        <f>73.71559284</f>
        <v>73.715592839999999</v>
      </c>
      <c r="BC186">
        <f>69.52488142</f>
        <v>69.52488142</v>
      </c>
      <c r="BD186">
        <f>68.06268096</f>
        <v>68.062680959999994</v>
      </c>
      <c r="BE186">
        <f>24.57979847</f>
        <v>24.57979847</v>
      </c>
      <c r="BF186">
        <f>26.52847238</f>
        <v>26.52847238</v>
      </c>
      <c r="BG186">
        <f>30.63162771</f>
        <v>30.63162771</v>
      </c>
      <c r="BH186">
        <f>32.76581865</f>
        <v>32.76581865</v>
      </c>
      <c r="BI186">
        <f>34.45247231</f>
        <v>34.452472309999997</v>
      </c>
      <c r="BJ186">
        <f>34.72538266</f>
        <v>34.725382660000001</v>
      </c>
      <c r="BK186" t="str">
        <f>""</f>
        <v/>
      </c>
      <c r="BL186" t="str">
        <f>""</f>
        <v/>
      </c>
      <c r="BM186" t="str">
        <f>""</f>
        <v/>
      </c>
      <c r="BN186" t="str">
        <f>""</f>
        <v/>
      </c>
      <c r="BO186" t="str">
        <f>""</f>
        <v/>
      </c>
      <c r="BP186" t="str">
        <f>""</f>
        <v/>
      </c>
      <c r="BQ186" t="str">
        <f>""</f>
        <v/>
      </c>
      <c r="BR186" t="str">
        <f>""</f>
        <v/>
      </c>
      <c r="BS186" t="str">
        <f>""</f>
        <v/>
      </c>
    </row>
    <row r="187" spans="1:71" x14ac:dyDescent="0.25">
      <c r="A187" t="str">
        <f>"        Flagstar Financial Inc"</f>
        <v xml:space="preserve">        Flagstar Financial Inc</v>
      </c>
      <c r="B187" t="str">
        <f>"FLG US Equity"</f>
        <v>FLG US Equity</v>
      </c>
      <c r="C187" t="str">
        <f t="shared" si="24"/>
        <v>F0109</v>
      </c>
      <c r="D187" t="str">
        <f t="shared" si="25"/>
        <v>FED_RE_LNS_DOM_%_TOT_LNS_LEAS</v>
      </c>
      <c r="E187" t="str">
        <f t="shared" si="26"/>
        <v>Dynamic</v>
      </c>
      <c r="F187">
        <f ca="1">IF(AND(ISNUMBER($F$597),$B$427=1),$F$597,HLOOKUP(INDIRECT(ADDRESS(2,COLUMN())),OFFSET($AM$2,0,0,ROW()-1,33),ROW()-1,FALSE))</f>
        <v>77.391010800000004</v>
      </c>
      <c r="G187">
        <f ca="1">IF(AND(ISNUMBER($G$597),$B$427=1),$G$597,HLOOKUP(INDIRECT(ADDRESS(2,COLUMN())),OFFSET($AM$2,0,0,ROW()-1,33),ROW()-1,FALSE))</f>
        <v>68.883678840000002</v>
      </c>
      <c r="H187">
        <f ca="1">IF(AND(ISNUMBER($H$597),$B$427=1),$H$597,HLOOKUP(INDIRECT(ADDRESS(2,COLUMN())),OFFSET($AM$2,0,0,ROW()-1,33),ROW()-1,FALSE))</f>
        <v>80.55069263</v>
      </c>
      <c r="I187">
        <f ca="1">IF(AND(ISNUMBER($I$597),$B$427=1),$I$597,HLOOKUP(INDIRECT(ADDRESS(2,COLUMN())),OFFSET($AM$2,0,0,ROW()-1,33),ROW()-1,FALSE))</f>
        <v>91.165972550000006</v>
      </c>
      <c r="J187">
        <f ca="1">IF(AND(ISNUMBER($J$597),$B$427=1),$J$597,HLOOKUP(INDIRECT(ADDRESS(2,COLUMN())),OFFSET($AM$2,0,0,ROW()-1,33),ROW()-1,FALSE))</f>
        <v>91.687239570000003</v>
      </c>
      <c r="K187">
        <f ca="1">IF(AND(ISNUMBER($K$597),$B$427=1),$K$597,HLOOKUP(INDIRECT(ADDRESS(2,COLUMN())),OFFSET($AM$2,0,0,ROW()-1,33),ROW()-1,FALSE))</f>
        <v>92.728272000000004</v>
      </c>
      <c r="L187">
        <f ca="1">IF(AND(ISNUMBER($L$597),$B$427=1),$L$597,HLOOKUP(INDIRECT(ADDRESS(2,COLUMN())),OFFSET($AM$2,0,0,ROW()-1,33),ROW()-1,FALSE))</f>
        <v>94.008431229999999</v>
      </c>
      <c r="M187">
        <f ca="1">IF(AND(ISNUMBER($M$597),$B$427=1),$M$597,HLOOKUP(INDIRECT(ADDRESS(2,COLUMN())),OFFSET($AM$2,0,0,ROW()-1,33),ROW()-1,FALSE))</f>
        <v>94.643630810000005</v>
      </c>
      <c r="N187">
        <f ca="1">IF(AND(ISNUMBER($N$597),$B$427=1),$N$597,HLOOKUP(INDIRECT(ADDRESS(2,COLUMN())),OFFSET($AM$2,0,0,ROW()-1,33),ROW()-1,FALSE))</f>
        <v>95.134759029999998</v>
      </c>
      <c r="O187">
        <f ca="1">IF(AND(ISNUMBER($O$597),$B$427=1),$O$597,HLOOKUP(INDIRECT(ADDRESS(2,COLUMN())),OFFSET($AM$2,0,0,ROW()-1,33),ROW()-1,FALSE))</f>
        <v>96.154673279999997</v>
      </c>
      <c r="P187">
        <f ca="1">IF(AND(ISNUMBER($P$597),$B$427=1),$P$597,HLOOKUP(INDIRECT(ADDRESS(2,COLUMN())),OFFSET($AM$2,0,0,ROW()-1,33),ROW()-1,FALSE))</f>
        <v>96.382942270000001</v>
      </c>
      <c r="Q187">
        <f ca="1">IF(AND(ISNUMBER($Q$597),$B$427=1),$Q$597,HLOOKUP(INDIRECT(ADDRESS(2,COLUMN())),OFFSET($AM$2,0,0,ROW()-1,33),ROW()-1,FALSE))</f>
        <v>97.411388560000006</v>
      </c>
      <c r="R187">
        <f ca="1">IF(AND(ISNUMBER($R$597),$B$427=1),$R$597,HLOOKUP(INDIRECT(ADDRESS(2,COLUMN())),OFFSET($AM$2,0,0,ROW()-1,33),ROW()-1,FALSE))</f>
        <v>97.972940300000005</v>
      </c>
      <c r="S187">
        <f ca="1">IF(AND(ISNUMBER($S$597),$B$427=1),$S$597,HLOOKUP(INDIRECT(ADDRESS(2,COLUMN())),OFFSET($AM$2,0,0,ROW()-1,33),ROW()-1,FALSE))</f>
        <v>97.727829150000005</v>
      </c>
      <c r="T187">
        <f ca="1">IF(AND(ISNUMBER($T$597),$B$427=1),$T$597,HLOOKUP(INDIRECT(ADDRESS(2,COLUMN())),OFFSET($AM$2,0,0,ROW()-1,33),ROW()-1,FALSE))</f>
        <v>97.406565279999995</v>
      </c>
      <c r="U187">
        <f ca="1">IF(AND(ISNUMBER($U$597),$B$427=1),$U$597,HLOOKUP(INDIRECT(ADDRESS(2,COLUMN())),OFFSET($AM$2,0,0,ROW()-1,33),ROW()-1,FALSE))</f>
        <v>97.560015460000002</v>
      </c>
      <c r="V187">
        <f ca="1">IF(AND(ISNUMBER($V$597),$B$427=1),$V$597,HLOOKUP(INDIRECT(ADDRESS(2,COLUMN())),OFFSET($AM$2,0,0,ROW()-1,33),ROW()-1,FALSE))</f>
        <v>96.587569939999995</v>
      </c>
      <c r="W187">
        <f ca="1">IF(AND(ISNUMBER($W$597),$B$427=1),$W$597,HLOOKUP(INDIRECT(ADDRESS(2,COLUMN())),OFFSET($AM$2,0,0,ROW()-1,33),ROW()-1,FALSE))</f>
        <v>96.066849189999999</v>
      </c>
      <c r="X187">
        <f ca="1">IF(AND(ISNUMBER($X$597),$B$427=1),$X$597,HLOOKUP(INDIRECT(ADDRESS(2,COLUMN())),OFFSET($AM$2,0,0,ROW()-1,33),ROW()-1,FALSE))</f>
        <v>75.072959100000006</v>
      </c>
      <c r="Y187">
        <f ca="1">IF(AND(ISNUMBER($Y$597),$B$427=1),$Y$597,HLOOKUP(INDIRECT(ADDRESS(2,COLUMN())),OFFSET($AM$2,0,0,ROW()-1,33),ROW()-1,FALSE))</f>
        <v>77.052881650000003</v>
      </c>
      <c r="Z187">
        <f ca="1">IF(AND(ISNUMBER($Z$597),$B$427=1),$Z$597,HLOOKUP(INDIRECT(ADDRESS(2,COLUMN())),OFFSET($AM$2,0,0,ROW()-1,33),ROW()-1,FALSE))</f>
        <v>77.260873340000003</v>
      </c>
      <c r="AA187">
        <f ca="1">IF(AND(ISNUMBER($AA$597),$B$427=1),$AA$597,HLOOKUP(INDIRECT(ADDRESS(2,COLUMN())),OFFSET($AM$2,0,0,ROW()-1,33),ROW()-1,FALSE))</f>
        <v>78.446910529999997</v>
      </c>
      <c r="AB187">
        <f ca="1">IF(AND(ISNUMBER($AB$597),$B$427=1),$AB$597,HLOOKUP(INDIRECT(ADDRESS(2,COLUMN())),OFFSET($AM$2,0,0,ROW()-1,33),ROW()-1,FALSE))</f>
        <v>86.665399120000004</v>
      </c>
      <c r="AC187">
        <f ca="1">IF(AND(ISNUMBER($AC$597),$B$427=1),$AC$597,HLOOKUP(INDIRECT(ADDRESS(2,COLUMN())),OFFSET($AM$2,0,0,ROW()-1,33),ROW()-1,FALSE))</f>
        <v>86.373685620000003</v>
      </c>
      <c r="AD187" t="str">
        <f ca="1">IF(AND(ISNUMBER($AD$597),$B$427=1),$AD$597,HLOOKUP(INDIRECT(ADDRESS(2,COLUMN())),OFFSET($AM$2,0,0,ROW()-1,33),ROW()-1,FALSE))</f>
        <v/>
      </c>
      <c r="AE187" t="str">
        <f ca="1">IF(AND(ISNUMBER($AE$597),$B$427=1),$AE$597,HLOOKUP(INDIRECT(ADDRESS(2,COLUMN())),OFFSET($AM$2,0,0,ROW()-1,33),ROW()-1,FALSE))</f>
        <v/>
      </c>
      <c r="AF187" t="str">
        <f ca="1">IF(AND(ISNUMBER($AF$597),$B$427=1),$AF$597,HLOOKUP(INDIRECT(ADDRESS(2,COLUMN())),OFFSET($AM$2,0,0,ROW()-1,33),ROW()-1,FALSE))</f>
        <v/>
      </c>
      <c r="AG187" t="str">
        <f ca="1">IF(AND(ISNUMBER($AG$597),$B$427=1),$AG$597,HLOOKUP(INDIRECT(ADDRESS(2,COLUMN())),OFFSET($AM$2,0,0,ROW()-1,33),ROW()-1,FALSE))</f>
        <v/>
      </c>
      <c r="AH187" t="str">
        <f ca="1">IF(AND(ISNUMBER($AH$597),$B$427=1),$AH$597,HLOOKUP(INDIRECT(ADDRESS(2,COLUMN())),OFFSET($AM$2,0,0,ROW()-1,33),ROW()-1,FALSE))</f>
        <v/>
      </c>
      <c r="AI187" t="str">
        <f ca="1">IF(AND(ISNUMBER($AI$597),$B$427=1),$AI$597,HLOOKUP(INDIRECT(ADDRESS(2,COLUMN())),OFFSET($AM$2,0,0,ROW()-1,33),ROW()-1,FALSE))</f>
        <v/>
      </c>
      <c r="AJ187" t="str">
        <f ca="1">IF(AND(ISNUMBER($AJ$597),$B$427=1),$AJ$597,HLOOKUP(INDIRECT(ADDRESS(2,COLUMN())),OFFSET($AM$2,0,0,ROW()-1,33),ROW()-1,FALSE))</f>
        <v/>
      </c>
      <c r="AK187" t="str">
        <f ca="1">IF(AND(ISNUMBER($AK$597),$B$427=1),$AK$597,HLOOKUP(INDIRECT(ADDRESS(2,COLUMN())),OFFSET($AM$2,0,0,ROW()-1,33),ROW()-1,FALSE))</f>
        <v/>
      </c>
      <c r="AL187" t="str">
        <f ca="1">IF(AND(ISNUMBER($AL$597),$B$427=1),$AL$597,HLOOKUP(INDIRECT(ADDRESS(2,COLUMN())),OFFSET($AM$2,0,0,ROW()-1,33),ROW()-1,FALSE))</f>
        <v/>
      </c>
      <c r="AM187">
        <f>77.3910108</f>
        <v>77.391010800000004</v>
      </c>
      <c r="AN187">
        <f>68.88367884</f>
        <v>68.883678840000002</v>
      </c>
      <c r="AO187">
        <f>80.55069263</f>
        <v>80.55069263</v>
      </c>
      <c r="AP187">
        <f>91.16597255</f>
        <v>91.165972550000006</v>
      </c>
      <c r="AQ187">
        <f>91.68723957</f>
        <v>91.687239570000003</v>
      </c>
      <c r="AR187">
        <f>92.728272</f>
        <v>92.728272000000004</v>
      </c>
      <c r="AS187">
        <f>94.00843123</f>
        <v>94.008431229999999</v>
      </c>
      <c r="AT187">
        <f>94.64363081</f>
        <v>94.643630810000005</v>
      </c>
      <c r="AU187">
        <f>95.13475903</f>
        <v>95.134759029999998</v>
      </c>
      <c r="AV187">
        <f>96.15467328</f>
        <v>96.154673279999997</v>
      </c>
      <c r="AW187">
        <f>96.38294227</f>
        <v>96.382942270000001</v>
      </c>
      <c r="AX187">
        <f>97.41138856</f>
        <v>97.411388560000006</v>
      </c>
      <c r="AY187">
        <f>97.9729403</f>
        <v>97.972940300000005</v>
      </c>
      <c r="AZ187">
        <f>97.72782915</f>
        <v>97.727829150000005</v>
      </c>
      <c r="BA187">
        <f>97.40656528</f>
        <v>97.406565279999995</v>
      </c>
      <c r="BB187">
        <f>97.56001546</f>
        <v>97.560015460000002</v>
      </c>
      <c r="BC187">
        <f>96.58756994</f>
        <v>96.587569939999995</v>
      </c>
      <c r="BD187">
        <f>96.06684919</f>
        <v>96.066849189999999</v>
      </c>
      <c r="BE187">
        <f>75.0729591</f>
        <v>75.072959100000006</v>
      </c>
      <c r="BF187">
        <f>77.05288165</f>
        <v>77.052881650000003</v>
      </c>
      <c r="BG187">
        <f>77.26087334</f>
        <v>77.260873340000003</v>
      </c>
      <c r="BH187">
        <f>78.44691053</f>
        <v>78.446910529999997</v>
      </c>
      <c r="BI187">
        <f>86.66539912</f>
        <v>86.665399120000004</v>
      </c>
      <c r="BJ187">
        <f>86.37368562</f>
        <v>86.373685620000003</v>
      </c>
      <c r="BK187" t="str">
        <f>""</f>
        <v/>
      </c>
      <c r="BL187" t="str">
        <f>""</f>
        <v/>
      </c>
      <c r="BM187" t="str">
        <f>""</f>
        <v/>
      </c>
      <c r="BN187" t="str">
        <f>""</f>
        <v/>
      </c>
      <c r="BO187" t="str">
        <f>""</f>
        <v/>
      </c>
      <c r="BP187" t="str">
        <f>""</f>
        <v/>
      </c>
      <c r="BQ187" t="str">
        <f>""</f>
        <v/>
      </c>
      <c r="BR187" t="str">
        <f>""</f>
        <v/>
      </c>
      <c r="BS187" t="str">
        <f>""</f>
        <v/>
      </c>
    </row>
    <row r="188" spans="1:71" x14ac:dyDescent="0.25">
      <c r="A188" t="str">
        <f>"        Huntington Bancshares Inc/OH"</f>
        <v xml:space="preserve">        Huntington Bancshares Inc/OH</v>
      </c>
      <c r="B188" t="str">
        <f>"HBAN US Equity"</f>
        <v>HBAN US Equity</v>
      </c>
      <c r="C188" t="str">
        <f t="shared" si="24"/>
        <v>F0109</v>
      </c>
      <c r="D188" t="str">
        <f t="shared" si="25"/>
        <v>FED_RE_LNS_DOM_%_TOT_LNS_LEAS</v>
      </c>
      <c r="E188" t="str">
        <f t="shared" si="26"/>
        <v>Dynamic</v>
      </c>
      <c r="F188">
        <f ca="1">IF(AND(ISNUMBER($F$598),$B$427=1),$F$598,HLOOKUP(INDIRECT(ADDRESS(2,COLUMN())),OFFSET($AM$2,0,0,ROW()-1,33),ROW()-1,FALSE))</f>
        <v>40.922491399999998</v>
      </c>
      <c r="G188">
        <f ca="1">IF(AND(ISNUMBER($G$598),$B$427=1),$G$598,HLOOKUP(INDIRECT(ADDRESS(2,COLUMN())),OFFSET($AM$2,0,0,ROW()-1,33),ROW()-1,FALSE))</f>
        <v>43.594377000000001</v>
      </c>
      <c r="H188">
        <f ca="1">IF(AND(ISNUMBER($H$598),$B$427=1),$H$598,HLOOKUP(INDIRECT(ADDRESS(2,COLUMN())),OFFSET($AM$2,0,0,ROW()-1,33),ROW()-1,FALSE))</f>
        <v>44.007891809999997</v>
      </c>
      <c r="I188">
        <f ca="1">IF(AND(ISNUMBER($I$598),$B$427=1),$I$598,HLOOKUP(INDIRECT(ADDRESS(2,COLUMN())),OFFSET($AM$2,0,0,ROW()-1,33),ROW()-1,FALSE))</f>
        <v>44.716898989999997</v>
      </c>
      <c r="J188">
        <f ca="1">IF(AND(ISNUMBER($J$598),$B$427=1),$J$598,HLOOKUP(INDIRECT(ADDRESS(2,COLUMN())),OFFSET($AM$2,0,0,ROW()-1,33),ROW()-1,FALSE))</f>
        <v>39.122360649999997</v>
      </c>
      <c r="K188">
        <f ca="1">IF(AND(ISNUMBER($K$598),$B$427=1),$K$598,HLOOKUP(INDIRECT(ADDRESS(2,COLUMN())),OFFSET($AM$2,0,0,ROW()-1,33),ROW()-1,FALSE))</f>
        <v>40.538278290000001</v>
      </c>
      <c r="L188">
        <f ca="1">IF(AND(ISNUMBER($L$598),$B$427=1),$L$598,HLOOKUP(INDIRECT(ADDRESS(2,COLUMN())),OFFSET($AM$2,0,0,ROW()-1,33),ROW()-1,FALSE))</f>
        <v>41.044836789999998</v>
      </c>
      <c r="M188">
        <f ca="1">IF(AND(ISNUMBER($M$598),$B$427=1),$M$598,HLOOKUP(INDIRECT(ADDRESS(2,COLUMN())),OFFSET($AM$2,0,0,ROW()-1,33),ROW()-1,FALSE))</f>
        <v>42.531347740000001</v>
      </c>
      <c r="N188">
        <f ca="1">IF(AND(ISNUMBER($N$598),$B$427=1),$N$598,HLOOKUP(INDIRECT(ADDRESS(2,COLUMN())),OFFSET($AM$2,0,0,ROW()-1,33),ROW()-1,FALSE))</f>
        <v>44.14472524</v>
      </c>
      <c r="O188">
        <f ca="1">IF(AND(ISNUMBER($O$598),$B$427=1),$O$598,HLOOKUP(INDIRECT(ADDRESS(2,COLUMN())),OFFSET($AM$2,0,0,ROW()-1,33),ROW()-1,FALSE))</f>
        <v>44.494243949999998</v>
      </c>
      <c r="P188">
        <f ca="1">IF(AND(ISNUMBER($P$598),$B$427=1),$P$598,HLOOKUP(INDIRECT(ADDRESS(2,COLUMN())),OFFSET($AM$2,0,0,ROW()-1,33),ROW()-1,FALSE))</f>
        <v>47.69502086</v>
      </c>
      <c r="Q188">
        <f ca="1">IF(AND(ISNUMBER($Q$598),$B$427=1),$Q$598,HLOOKUP(INDIRECT(ADDRESS(2,COLUMN())),OFFSET($AM$2,0,0,ROW()-1,33),ROW()-1,FALSE))</f>
        <v>50.565757589999997</v>
      </c>
      <c r="R188">
        <f ca="1">IF(AND(ISNUMBER($R$598),$B$427=1),$R$598,HLOOKUP(INDIRECT(ADDRESS(2,COLUMN())),OFFSET($AM$2,0,0,ROW()-1,33),ROW()-1,FALSE))</f>
        <v>53.13423804</v>
      </c>
      <c r="S188">
        <f ca="1">IF(AND(ISNUMBER($S$598),$B$427=1),$S$598,HLOOKUP(INDIRECT(ADDRESS(2,COLUMN())),OFFSET($AM$2,0,0,ROW()-1,33),ROW()-1,FALSE))</f>
        <v>55.903683209999997</v>
      </c>
      <c r="T188">
        <f ca="1">IF(AND(ISNUMBER($T$598),$B$427=1),$T$598,HLOOKUP(INDIRECT(ADDRESS(2,COLUMN())),OFFSET($AM$2,0,0,ROW()-1,33),ROW()-1,FALSE))</f>
        <v>58.658938460000002</v>
      </c>
      <c r="U188">
        <f ca="1">IF(AND(ISNUMBER($U$598),$B$427=1),$U$598,HLOOKUP(INDIRECT(ADDRESS(2,COLUMN())),OFFSET($AM$2,0,0,ROW()-1,33),ROW()-1,FALSE))</f>
        <v>64.578855279999999</v>
      </c>
      <c r="V188">
        <f ca="1">IF(AND(ISNUMBER($V$598),$B$427=1),$V$598,HLOOKUP(INDIRECT(ADDRESS(2,COLUMN())),OFFSET($AM$2,0,0,ROW()-1,33),ROW()-1,FALSE))</f>
        <v>62.596640919999999</v>
      </c>
      <c r="W188">
        <f ca="1">IF(AND(ISNUMBER($W$598),$B$427=1),$W$598,HLOOKUP(INDIRECT(ADDRESS(2,COLUMN())),OFFSET($AM$2,0,0,ROW()-1,33),ROW()-1,FALSE))</f>
        <v>63.700400719999998</v>
      </c>
      <c r="X188">
        <f ca="1">IF(AND(ISNUMBER($X$598),$B$427=1),$X$598,HLOOKUP(INDIRECT(ADDRESS(2,COLUMN())),OFFSET($AM$2,0,0,ROW()-1,33),ROW()-1,FALSE))</f>
        <v>38.621438910000002</v>
      </c>
      <c r="Y188">
        <f ca="1">IF(AND(ISNUMBER($Y$598),$B$427=1),$Y$598,HLOOKUP(INDIRECT(ADDRESS(2,COLUMN())),OFFSET($AM$2,0,0,ROW()-1,33),ROW()-1,FALSE))</f>
        <v>38.897270839999997</v>
      </c>
      <c r="Z188">
        <f ca="1">IF(AND(ISNUMBER($Z$598),$B$427=1),$Z$598,HLOOKUP(INDIRECT(ADDRESS(2,COLUMN())),OFFSET($AM$2,0,0,ROW()-1,33),ROW()-1,FALSE))</f>
        <v>38.800549060000002</v>
      </c>
      <c r="AA188">
        <f ca="1">IF(AND(ISNUMBER($AA$598),$B$427=1),$AA$598,HLOOKUP(INDIRECT(ADDRESS(2,COLUMN())),OFFSET($AM$2,0,0,ROW()-1,33),ROW()-1,FALSE))</f>
        <v>31.140314149999998</v>
      </c>
      <c r="AB188">
        <f ca="1">IF(AND(ISNUMBER($AB$598),$B$427=1),$AB$598,HLOOKUP(INDIRECT(ADDRESS(2,COLUMN())),OFFSET($AM$2,0,0,ROW()-1,33),ROW()-1,FALSE))</f>
        <v>30.159998519999998</v>
      </c>
      <c r="AC188">
        <f ca="1">IF(AND(ISNUMBER($AC$598),$B$427=1),$AC$598,HLOOKUP(INDIRECT(ADDRESS(2,COLUMN())),OFFSET($AM$2,0,0,ROW()-1,33),ROW()-1,FALSE))</f>
        <v>29.41065017</v>
      </c>
      <c r="AD188" t="str">
        <f ca="1">IF(AND(ISNUMBER($AD$598),$B$427=1),$AD$598,HLOOKUP(INDIRECT(ADDRESS(2,COLUMN())),OFFSET($AM$2,0,0,ROW()-1,33),ROW()-1,FALSE))</f>
        <v/>
      </c>
      <c r="AE188" t="str">
        <f ca="1">IF(AND(ISNUMBER($AE$598),$B$427=1),$AE$598,HLOOKUP(INDIRECT(ADDRESS(2,COLUMN())),OFFSET($AM$2,0,0,ROW()-1,33),ROW()-1,FALSE))</f>
        <v/>
      </c>
      <c r="AF188" t="str">
        <f ca="1">IF(AND(ISNUMBER($AF$598),$B$427=1),$AF$598,HLOOKUP(INDIRECT(ADDRESS(2,COLUMN())),OFFSET($AM$2,0,0,ROW()-1,33),ROW()-1,FALSE))</f>
        <v/>
      </c>
      <c r="AG188" t="str">
        <f ca="1">IF(AND(ISNUMBER($AG$598),$B$427=1),$AG$598,HLOOKUP(INDIRECT(ADDRESS(2,COLUMN())),OFFSET($AM$2,0,0,ROW()-1,33),ROW()-1,FALSE))</f>
        <v/>
      </c>
      <c r="AH188" t="str">
        <f ca="1">IF(AND(ISNUMBER($AH$598),$B$427=1),$AH$598,HLOOKUP(INDIRECT(ADDRESS(2,COLUMN())),OFFSET($AM$2,0,0,ROW()-1,33),ROW()-1,FALSE))</f>
        <v/>
      </c>
      <c r="AI188" t="str">
        <f ca="1">IF(AND(ISNUMBER($AI$598),$B$427=1),$AI$598,HLOOKUP(INDIRECT(ADDRESS(2,COLUMN())),OFFSET($AM$2,0,0,ROW()-1,33),ROW()-1,FALSE))</f>
        <v/>
      </c>
      <c r="AJ188" t="str">
        <f ca="1">IF(AND(ISNUMBER($AJ$598),$B$427=1),$AJ$598,HLOOKUP(INDIRECT(ADDRESS(2,COLUMN())),OFFSET($AM$2,0,0,ROW()-1,33),ROW()-1,FALSE))</f>
        <v/>
      </c>
      <c r="AK188" t="str">
        <f ca="1">IF(AND(ISNUMBER($AK$598),$B$427=1),$AK$598,HLOOKUP(INDIRECT(ADDRESS(2,COLUMN())),OFFSET($AM$2,0,0,ROW()-1,33),ROW()-1,FALSE))</f>
        <v/>
      </c>
      <c r="AL188" t="str">
        <f ca="1">IF(AND(ISNUMBER($AL$598),$B$427=1),$AL$598,HLOOKUP(INDIRECT(ADDRESS(2,COLUMN())),OFFSET($AM$2,0,0,ROW()-1,33),ROW()-1,FALSE))</f>
        <v/>
      </c>
      <c r="AM188">
        <f>40.9224914</f>
        <v>40.922491399999998</v>
      </c>
      <c r="AN188">
        <f>43.594377</f>
        <v>43.594377000000001</v>
      </c>
      <c r="AO188">
        <f>44.00789181</f>
        <v>44.007891809999997</v>
      </c>
      <c r="AP188">
        <f>44.71689899</f>
        <v>44.716898989999997</v>
      </c>
      <c r="AQ188">
        <f>39.12236065</f>
        <v>39.122360649999997</v>
      </c>
      <c r="AR188">
        <f>40.53827829</f>
        <v>40.538278290000001</v>
      </c>
      <c r="AS188">
        <f>41.04483679</f>
        <v>41.044836789999998</v>
      </c>
      <c r="AT188">
        <f>42.53134774</f>
        <v>42.531347740000001</v>
      </c>
      <c r="AU188">
        <f>44.14472524</f>
        <v>44.14472524</v>
      </c>
      <c r="AV188">
        <f>44.49424395</f>
        <v>44.494243949999998</v>
      </c>
      <c r="AW188">
        <f>47.69502086</f>
        <v>47.69502086</v>
      </c>
      <c r="AX188">
        <f>50.56575759</f>
        <v>50.565757589999997</v>
      </c>
      <c r="AY188">
        <f>53.13423804</f>
        <v>53.13423804</v>
      </c>
      <c r="AZ188">
        <f>55.90368321</f>
        <v>55.903683209999997</v>
      </c>
      <c r="BA188">
        <f>58.65893846</f>
        <v>58.658938460000002</v>
      </c>
      <c r="BB188">
        <f>64.57885528</f>
        <v>64.578855279999999</v>
      </c>
      <c r="BC188">
        <f>62.59664092</f>
        <v>62.596640919999999</v>
      </c>
      <c r="BD188">
        <f>63.70040072</f>
        <v>63.700400719999998</v>
      </c>
      <c r="BE188">
        <f>38.62143891</f>
        <v>38.621438910000002</v>
      </c>
      <c r="BF188">
        <f>38.89727084</f>
        <v>38.897270839999997</v>
      </c>
      <c r="BG188">
        <f>38.80054906</f>
        <v>38.800549060000002</v>
      </c>
      <c r="BH188">
        <f>31.14031415</f>
        <v>31.140314149999998</v>
      </c>
      <c r="BI188">
        <f>30.15999852</f>
        <v>30.159998519999998</v>
      </c>
      <c r="BJ188">
        <f>29.41065017</f>
        <v>29.41065017</v>
      </c>
      <c r="BK188" t="str">
        <f>""</f>
        <v/>
      </c>
      <c r="BL188" t="str">
        <f>""</f>
        <v/>
      </c>
      <c r="BM188" t="str">
        <f>""</f>
        <v/>
      </c>
      <c r="BN188" t="str">
        <f>""</f>
        <v/>
      </c>
      <c r="BO188" t="str">
        <f>""</f>
        <v/>
      </c>
      <c r="BP188" t="str">
        <f>""</f>
        <v/>
      </c>
      <c r="BQ188" t="str">
        <f>""</f>
        <v/>
      </c>
      <c r="BR188" t="str">
        <f>""</f>
        <v/>
      </c>
      <c r="BS188" t="str">
        <f>""</f>
        <v/>
      </c>
    </row>
    <row r="189" spans="1:71" x14ac:dyDescent="0.25">
      <c r="A189" t="str">
        <f>"        JPMorgan Chase &amp; Co"</f>
        <v xml:space="preserve">        JPMorgan Chase &amp; Co</v>
      </c>
      <c r="B189" t="str">
        <f>"JPM US Equity"</f>
        <v>JPM US Equity</v>
      </c>
      <c r="C189" t="str">
        <f t="shared" si="24"/>
        <v>F0109</v>
      </c>
      <c r="D189" t="str">
        <f t="shared" si="25"/>
        <v>FED_RE_LNS_DOM_%_TOT_LNS_LEAS</v>
      </c>
      <c r="E189" t="str">
        <f t="shared" si="26"/>
        <v>Dynamic</v>
      </c>
      <c r="F189">
        <f ca="1">IF(AND(ISNUMBER($F$599),$B$427=1),$F$599,HLOOKUP(INDIRECT(ADDRESS(2,COLUMN())),OFFSET($AM$2,0,0,ROW()-1,33),ROW()-1,FALSE))</f>
        <v>35.106081289999999</v>
      </c>
      <c r="G189">
        <f ca="1">IF(AND(ISNUMBER($G$599),$B$427=1),$G$599,HLOOKUP(INDIRECT(ADDRESS(2,COLUMN())),OFFSET($AM$2,0,0,ROW()-1,33),ROW()-1,FALSE))</f>
        <v>36.767627570000002</v>
      </c>
      <c r="H189">
        <f ca="1">IF(AND(ISNUMBER($H$599),$B$427=1),$H$599,HLOOKUP(INDIRECT(ADDRESS(2,COLUMN())),OFFSET($AM$2,0,0,ROW()-1,33),ROW()-1,FALSE))</f>
        <v>32.043803509999996</v>
      </c>
      <c r="I189">
        <f ca="1">IF(AND(ISNUMBER($I$599),$B$427=1),$I$599,HLOOKUP(INDIRECT(ADDRESS(2,COLUMN())),OFFSET($AM$2,0,0,ROW()-1,33),ROW()-1,FALSE))</f>
        <v>33.182840079999998</v>
      </c>
      <c r="J189">
        <f ca="1">IF(AND(ISNUMBER($J$599),$B$427=1),$J$599,HLOOKUP(INDIRECT(ADDRESS(2,COLUMN())),OFFSET($AM$2,0,0,ROW()-1,33),ROW()-1,FALSE))</f>
        <v>34.603866949999997</v>
      </c>
      <c r="K189">
        <f ca="1">IF(AND(ISNUMBER($K$599),$B$427=1),$K$599,HLOOKUP(INDIRECT(ADDRESS(2,COLUMN())),OFFSET($AM$2,0,0,ROW()-1,33),ROW()-1,FALSE))</f>
        <v>37.231853829999999</v>
      </c>
      <c r="L189">
        <f ca="1">IF(AND(ISNUMBER($L$599),$B$427=1),$L$599,HLOOKUP(INDIRECT(ADDRESS(2,COLUMN())),OFFSET($AM$2,0,0,ROW()-1,33),ROW()-1,FALSE))</f>
        <v>39.67785645</v>
      </c>
      <c r="M189">
        <f ca="1">IF(AND(ISNUMBER($M$599),$B$427=1),$M$599,HLOOKUP(INDIRECT(ADDRESS(2,COLUMN())),OFFSET($AM$2,0,0,ROW()-1,33),ROW()-1,FALSE))</f>
        <v>41.49424819</v>
      </c>
      <c r="N189">
        <f ca="1">IF(AND(ISNUMBER($N$599),$B$427=1),$N$599,HLOOKUP(INDIRECT(ADDRESS(2,COLUMN())),OFFSET($AM$2,0,0,ROW()-1,33),ROW()-1,FALSE))</f>
        <v>41.326649189999998</v>
      </c>
      <c r="O189">
        <f ca="1">IF(AND(ISNUMBER($O$599),$B$427=1),$O$599,HLOOKUP(INDIRECT(ADDRESS(2,COLUMN())),OFFSET($AM$2,0,0,ROW()-1,33),ROW()-1,FALSE))</f>
        <v>40.943916530000003</v>
      </c>
      <c r="P189">
        <f ca="1">IF(AND(ISNUMBER($P$599),$B$427=1),$P$599,HLOOKUP(INDIRECT(ADDRESS(2,COLUMN())),OFFSET($AM$2,0,0,ROW()-1,33),ROW()-1,FALSE))</f>
        <v>37.256879490000003</v>
      </c>
      <c r="Q189">
        <f ca="1">IF(AND(ISNUMBER($Q$599),$B$427=1),$Q$599,HLOOKUP(INDIRECT(ADDRESS(2,COLUMN())),OFFSET($AM$2,0,0,ROW()-1,33),ROW()-1,FALSE))</f>
        <v>37.167365480000001</v>
      </c>
      <c r="R189">
        <f ca="1">IF(AND(ISNUMBER($R$599),$B$427=1),$R$599,HLOOKUP(INDIRECT(ADDRESS(2,COLUMN())),OFFSET($AM$2,0,0,ROW()-1,33),ROW()-1,FALSE))</f>
        <v>37.477790259999999</v>
      </c>
      <c r="S189">
        <f ca="1">IF(AND(ISNUMBER($S$599),$B$427=1),$S$599,HLOOKUP(INDIRECT(ADDRESS(2,COLUMN())),OFFSET($AM$2,0,0,ROW()-1,33),ROW()-1,FALSE))</f>
        <v>39.692041600000003</v>
      </c>
      <c r="T189">
        <f ca="1">IF(AND(ISNUMBER($T$599),$B$427=1),$T$599,HLOOKUP(INDIRECT(ADDRESS(2,COLUMN())),OFFSET($AM$2,0,0,ROW()-1,33),ROW()-1,FALSE))</f>
        <v>42.625343569999998</v>
      </c>
      <c r="U189">
        <f ca="1">IF(AND(ISNUMBER($U$599),$B$427=1),$U$599,HLOOKUP(INDIRECT(ADDRESS(2,COLUMN())),OFFSET($AM$2,0,0,ROW()-1,33),ROW()-1,FALSE))</f>
        <v>51.286156589999997</v>
      </c>
      <c r="V189">
        <f ca="1">IF(AND(ISNUMBER($V$599),$B$427=1),$V$599,HLOOKUP(INDIRECT(ADDRESS(2,COLUMN())),OFFSET($AM$2,0,0,ROW()-1,33),ROW()-1,FALSE))</f>
        <v>48.142635310000003</v>
      </c>
      <c r="W189">
        <f ca="1">IF(AND(ISNUMBER($W$599),$B$427=1),$W$599,HLOOKUP(INDIRECT(ADDRESS(2,COLUMN())),OFFSET($AM$2,0,0,ROW()-1,33),ROW()-1,FALSE))</f>
        <v>35.62816368</v>
      </c>
      <c r="X189">
        <f ca="1">IF(AND(ISNUMBER($X$599),$B$427=1),$X$599,HLOOKUP(INDIRECT(ADDRESS(2,COLUMN())),OFFSET($AM$2,0,0,ROW()-1,33),ROW()-1,FALSE))</f>
        <v>33.297041980000003</v>
      </c>
      <c r="Y189">
        <f ca="1">IF(AND(ISNUMBER($Y$599),$B$427=1),$Y$599,HLOOKUP(INDIRECT(ADDRESS(2,COLUMN())),OFFSET($AM$2,0,0,ROW()-1,33),ROW()-1,FALSE))</f>
        <v>32.969248450000002</v>
      </c>
      <c r="Z189">
        <f ca="1">IF(AND(ISNUMBER($Z$599),$B$427=1),$Z$599,HLOOKUP(INDIRECT(ADDRESS(2,COLUMN())),OFFSET($AM$2,0,0,ROW()-1,33),ROW()-1,FALSE))</f>
        <v>30.957781279999999</v>
      </c>
      <c r="AA189">
        <f ca="1">IF(AND(ISNUMBER($AA$599),$B$427=1),$AA$599,HLOOKUP(INDIRECT(ADDRESS(2,COLUMN())),OFFSET($AM$2,0,0,ROW()-1,33),ROW()-1,FALSE))</f>
        <v>33.364006600000003</v>
      </c>
      <c r="AB189">
        <f ca="1">IF(AND(ISNUMBER($AB$599),$B$427=1),$AB$599,HLOOKUP(INDIRECT(ADDRESS(2,COLUMN())),OFFSET($AM$2,0,0,ROW()-1,33),ROW()-1,FALSE))</f>
        <v>29.384563450000002</v>
      </c>
      <c r="AC189">
        <f ca="1">IF(AND(ISNUMBER($AC$599),$B$427=1),$AC$599,HLOOKUP(INDIRECT(ADDRESS(2,COLUMN())),OFFSET($AM$2,0,0,ROW()-1,33),ROW()-1,FALSE))</f>
        <v>27.309484489999999</v>
      </c>
      <c r="AD189" t="str">
        <f ca="1">IF(AND(ISNUMBER($AD$599),$B$427=1),$AD$599,HLOOKUP(INDIRECT(ADDRESS(2,COLUMN())),OFFSET($AM$2,0,0,ROW()-1,33),ROW()-1,FALSE))</f>
        <v/>
      </c>
      <c r="AE189" t="str">
        <f ca="1">IF(AND(ISNUMBER($AE$599),$B$427=1),$AE$599,HLOOKUP(INDIRECT(ADDRESS(2,COLUMN())),OFFSET($AM$2,0,0,ROW()-1,33),ROW()-1,FALSE))</f>
        <v/>
      </c>
      <c r="AF189" t="str">
        <f ca="1">IF(AND(ISNUMBER($AF$599),$B$427=1),$AF$599,HLOOKUP(INDIRECT(ADDRESS(2,COLUMN())),OFFSET($AM$2,0,0,ROW()-1,33),ROW()-1,FALSE))</f>
        <v/>
      </c>
      <c r="AG189" t="str">
        <f ca="1">IF(AND(ISNUMBER($AG$599),$B$427=1),$AG$599,HLOOKUP(INDIRECT(ADDRESS(2,COLUMN())),OFFSET($AM$2,0,0,ROW()-1,33),ROW()-1,FALSE))</f>
        <v/>
      </c>
      <c r="AH189" t="str">
        <f ca="1">IF(AND(ISNUMBER($AH$599),$B$427=1),$AH$599,HLOOKUP(INDIRECT(ADDRESS(2,COLUMN())),OFFSET($AM$2,0,0,ROW()-1,33),ROW()-1,FALSE))</f>
        <v/>
      </c>
      <c r="AI189" t="str">
        <f ca="1">IF(AND(ISNUMBER($AI$599),$B$427=1),$AI$599,HLOOKUP(INDIRECT(ADDRESS(2,COLUMN())),OFFSET($AM$2,0,0,ROW()-1,33),ROW()-1,FALSE))</f>
        <v/>
      </c>
      <c r="AJ189" t="str">
        <f ca="1">IF(AND(ISNUMBER($AJ$599),$B$427=1),$AJ$599,HLOOKUP(INDIRECT(ADDRESS(2,COLUMN())),OFFSET($AM$2,0,0,ROW()-1,33),ROW()-1,FALSE))</f>
        <v/>
      </c>
      <c r="AK189" t="str">
        <f ca="1">IF(AND(ISNUMBER($AK$599),$B$427=1),$AK$599,HLOOKUP(INDIRECT(ADDRESS(2,COLUMN())),OFFSET($AM$2,0,0,ROW()-1,33),ROW()-1,FALSE))</f>
        <v/>
      </c>
      <c r="AL189" t="str">
        <f ca="1">IF(AND(ISNUMBER($AL$599),$B$427=1),$AL$599,HLOOKUP(INDIRECT(ADDRESS(2,COLUMN())),OFFSET($AM$2,0,0,ROW()-1,33),ROW()-1,FALSE))</f>
        <v/>
      </c>
      <c r="AM189">
        <f>35.10608129</f>
        <v>35.106081289999999</v>
      </c>
      <c r="AN189">
        <f>36.76762757</f>
        <v>36.767627570000002</v>
      </c>
      <c r="AO189">
        <f>32.04380351</f>
        <v>32.043803509999996</v>
      </c>
      <c r="AP189">
        <f>33.18284008</f>
        <v>33.182840079999998</v>
      </c>
      <c r="AQ189">
        <f>34.60386695</f>
        <v>34.603866949999997</v>
      </c>
      <c r="AR189">
        <f>37.23185383</f>
        <v>37.231853829999999</v>
      </c>
      <c r="AS189">
        <f>39.67785645</f>
        <v>39.67785645</v>
      </c>
      <c r="AT189">
        <f>41.49424819</f>
        <v>41.49424819</v>
      </c>
      <c r="AU189">
        <f>41.32664919</f>
        <v>41.326649189999998</v>
      </c>
      <c r="AV189">
        <f>40.94391653</f>
        <v>40.943916530000003</v>
      </c>
      <c r="AW189">
        <f>37.25687949</f>
        <v>37.256879490000003</v>
      </c>
      <c r="AX189">
        <f>37.16736548</f>
        <v>37.167365480000001</v>
      </c>
      <c r="AY189">
        <f>37.47779026</f>
        <v>37.477790259999999</v>
      </c>
      <c r="AZ189">
        <f>39.6920416</f>
        <v>39.692041600000003</v>
      </c>
      <c r="BA189">
        <f>42.62534357</f>
        <v>42.625343569999998</v>
      </c>
      <c r="BB189">
        <f>51.28615659</f>
        <v>51.286156589999997</v>
      </c>
      <c r="BC189">
        <f>48.14263531</f>
        <v>48.142635310000003</v>
      </c>
      <c r="BD189">
        <f>35.62816368</f>
        <v>35.62816368</v>
      </c>
      <c r="BE189">
        <f>33.29704198</f>
        <v>33.297041980000003</v>
      </c>
      <c r="BF189">
        <f>32.96924845</f>
        <v>32.969248450000002</v>
      </c>
      <c r="BG189">
        <f>30.95778128</f>
        <v>30.957781279999999</v>
      </c>
      <c r="BH189">
        <f>33.3640066</f>
        <v>33.364006600000003</v>
      </c>
      <c r="BI189">
        <f>29.38456345</f>
        <v>29.384563450000002</v>
      </c>
      <c r="BJ189">
        <f>27.30948449</f>
        <v>27.309484489999999</v>
      </c>
      <c r="BK189" t="str">
        <f>""</f>
        <v/>
      </c>
      <c r="BL189" t="str">
        <f>""</f>
        <v/>
      </c>
      <c r="BM189" t="str">
        <f>""</f>
        <v/>
      </c>
      <c r="BN189" t="str">
        <f>""</f>
        <v/>
      </c>
      <c r="BO189" t="str">
        <f>""</f>
        <v/>
      </c>
      <c r="BP189" t="str">
        <f>""</f>
        <v/>
      </c>
      <c r="BQ189" t="str">
        <f>""</f>
        <v/>
      </c>
      <c r="BR189" t="str">
        <f>""</f>
        <v/>
      </c>
      <c r="BS189" t="str">
        <f>""</f>
        <v/>
      </c>
    </row>
    <row r="190" spans="1:71" x14ac:dyDescent="0.25">
      <c r="A190" t="str">
        <f>"        KeyCorp"</f>
        <v xml:space="preserve">        KeyCorp</v>
      </c>
      <c r="B190" t="str">
        <f>"KEY US Equity"</f>
        <v>KEY US Equity</v>
      </c>
      <c r="C190" t="str">
        <f t="shared" si="24"/>
        <v>F0109</v>
      </c>
      <c r="D190" t="str">
        <f t="shared" si="25"/>
        <v>FED_RE_LNS_DOM_%_TOT_LNS_LEAS</v>
      </c>
      <c r="E190" t="str">
        <f t="shared" si="26"/>
        <v>Dynamic</v>
      </c>
      <c r="F190">
        <f ca="1">IF(AND(ISNUMBER($F$600),$B$427=1),$F$600,HLOOKUP(INDIRECT(ADDRESS(2,COLUMN())),OFFSET($AM$2,0,0,ROW()-1,33),ROW()-1,FALSE))</f>
        <v>41.015468540000001</v>
      </c>
      <c r="G190">
        <f ca="1">IF(AND(ISNUMBER($G$600),$B$427=1),$G$600,HLOOKUP(INDIRECT(ADDRESS(2,COLUMN())),OFFSET($AM$2,0,0,ROW()-1,33),ROW()-1,FALSE))</f>
        <v>41.245762300000003</v>
      </c>
      <c r="H190">
        <f ca="1">IF(AND(ISNUMBER($H$600),$B$427=1),$H$600,HLOOKUP(INDIRECT(ADDRESS(2,COLUMN())),OFFSET($AM$2,0,0,ROW()-1,33),ROW()-1,FALSE))</f>
        <v>40.30432347</v>
      </c>
      <c r="I190">
        <f ca="1">IF(AND(ISNUMBER($I$600),$B$427=1),$I$600,HLOOKUP(INDIRECT(ADDRESS(2,COLUMN())),OFFSET($AM$2,0,0,ROW()-1,33),ROW()-1,FALSE))</f>
        <v>39.709442709999998</v>
      </c>
      <c r="J190">
        <f ca="1">IF(AND(ISNUMBER($J$600),$B$427=1),$J$600,HLOOKUP(INDIRECT(ADDRESS(2,COLUMN())),OFFSET($AM$2,0,0,ROW()-1,33),ROW()-1,FALSE))</f>
        <v>33.445827899999998</v>
      </c>
      <c r="K190">
        <f ca="1">IF(AND(ISNUMBER($K$600),$B$427=1),$K$600,HLOOKUP(INDIRECT(ADDRESS(2,COLUMN())),OFFSET($AM$2,0,0,ROW()-1,33),ROW()-1,FALSE))</f>
        <v>34.341604109999999</v>
      </c>
      <c r="L190">
        <f ca="1">IF(AND(ISNUMBER($L$600),$B$427=1),$L$600,HLOOKUP(INDIRECT(ADDRESS(2,COLUMN())),OFFSET($AM$2,0,0,ROW()-1,33),ROW()-1,FALSE))</f>
        <v>36.541213200000001</v>
      </c>
      <c r="M190">
        <f ca="1">IF(AND(ISNUMBER($M$600),$B$427=1),$M$600,HLOOKUP(INDIRECT(ADDRESS(2,COLUMN())),OFFSET($AM$2,0,0,ROW()-1,33),ROW()-1,FALSE))</f>
        <v>38.834632599999999</v>
      </c>
      <c r="N190">
        <f ca="1">IF(AND(ISNUMBER($N$600),$B$427=1),$N$600,HLOOKUP(INDIRECT(ADDRESS(2,COLUMN())),OFFSET($AM$2,0,0,ROW()-1,33),ROW()-1,FALSE))</f>
        <v>41.417891359999999</v>
      </c>
      <c r="O190">
        <f ca="1">IF(AND(ISNUMBER($O$600),$B$427=1),$O$600,HLOOKUP(INDIRECT(ADDRESS(2,COLUMN())),OFFSET($AM$2,0,0,ROW()-1,33),ROW()-1,FALSE))</f>
        <v>35.497419999999998</v>
      </c>
      <c r="P190">
        <f ca="1">IF(AND(ISNUMBER($P$600),$B$427=1),$P$600,HLOOKUP(INDIRECT(ADDRESS(2,COLUMN())),OFFSET($AM$2,0,0,ROW()-1,33),ROW()-1,FALSE))</f>
        <v>37.512328779999997</v>
      </c>
      <c r="Q190">
        <f ca="1">IF(AND(ISNUMBER($Q$600),$B$427=1),$Q$600,HLOOKUP(INDIRECT(ADDRESS(2,COLUMN())),OFFSET($AM$2,0,0,ROW()-1,33),ROW()-1,FALSE))</f>
        <v>36.930828030000001</v>
      </c>
      <c r="R190">
        <f ca="1">IF(AND(ISNUMBER($R$600),$B$427=1),$R$600,HLOOKUP(INDIRECT(ADDRESS(2,COLUMN())),OFFSET($AM$2,0,0,ROW()-1,33),ROW()-1,FALSE))</f>
        <v>37.011832929999997</v>
      </c>
      <c r="S190">
        <f ca="1">IF(AND(ISNUMBER($S$600),$B$427=1),$S$600,HLOOKUP(INDIRECT(ADDRESS(2,COLUMN())),OFFSET($AM$2,0,0,ROW()-1,33),ROW()-1,FALSE))</f>
        <v>38.770454890000003</v>
      </c>
      <c r="T190">
        <f ca="1">IF(AND(ISNUMBER($T$600),$B$427=1),$T$600,HLOOKUP(INDIRECT(ADDRESS(2,COLUMN())),OFFSET($AM$2,0,0,ROW()-1,33),ROW()-1,FALSE))</f>
        <v>41.892953509999998</v>
      </c>
      <c r="U190">
        <f ca="1">IF(AND(ISNUMBER($U$600),$B$427=1),$U$600,HLOOKUP(INDIRECT(ADDRESS(2,COLUMN())),OFFSET($AM$2,0,0,ROW()-1,33),ROW()-1,FALSE))</f>
        <v>44.768231980000003</v>
      </c>
      <c r="V190">
        <f ca="1">IF(AND(ISNUMBER($V$600),$B$427=1),$V$600,HLOOKUP(INDIRECT(ADDRESS(2,COLUMN())),OFFSET($AM$2,0,0,ROW()-1,33),ROW()-1,FALSE))</f>
        <v>41.44613511</v>
      </c>
      <c r="W190">
        <f ca="1">IF(AND(ISNUMBER($W$600),$B$427=1),$W$600,HLOOKUP(INDIRECT(ADDRESS(2,COLUMN())),OFFSET($AM$2,0,0,ROW()-1,33),ROW()-1,FALSE))</f>
        <v>41.747884200000001</v>
      </c>
      <c r="X190">
        <f ca="1">IF(AND(ISNUMBER($X$600),$B$427=1),$X$600,HLOOKUP(INDIRECT(ADDRESS(2,COLUMN())),OFFSET($AM$2,0,0,ROW()-1,33),ROW()-1,FALSE))</f>
        <v>19.16747032</v>
      </c>
      <c r="Y190">
        <f ca="1">IF(AND(ISNUMBER($Y$600),$B$427=1),$Y$600,HLOOKUP(INDIRECT(ADDRESS(2,COLUMN())),OFFSET($AM$2,0,0,ROW()-1,33),ROW()-1,FALSE))</f>
        <v>22.506417209999999</v>
      </c>
      <c r="Z190">
        <f ca="1">IF(AND(ISNUMBER($Z$600),$B$427=1),$Z$600,HLOOKUP(INDIRECT(ADDRESS(2,COLUMN())),OFFSET($AM$2,0,0,ROW()-1,33),ROW()-1,FALSE))</f>
        <v>23.772908099999999</v>
      </c>
      <c r="AA190">
        <f ca="1">IF(AND(ISNUMBER($AA$600),$B$427=1),$AA$600,HLOOKUP(INDIRECT(ADDRESS(2,COLUMN())),OFFSET($AM$2,0,0,ROW()-1,33),ROW()-1,FALSE))</f>
        <v>27.449950009999998</v>
      </c>
      <c r="AB190">
        <f ca="1">IF(AND(ISNUMBER($AB$600),$B$427=1),$AB$600,HLOOKUP(INDIRECT(ADDRESS(2,COLUMN())),OFFSET($AM$2,0,0,ROW()-1,33),ROW()-1,FALSE))</f>
        <v>26.435229700000001</v>
      </c>
      <c r="AC190">
        <f ca="1">IF(AND(ISNUMBER($AC$600),$B$427=1),$AC$600,HLOOKUP(INDIRECT(ADDRESS(2,COLUMN())),OFFSET($AM$2,0,0,ROW()-1,33),ROW()-1,FALSE))</f>
        <v>22.272272019999999</v>
      </c>
      <c r="AD190" t="str">
        <f ca="1">IF(AND(ISNUMBER($AD$600),$B$427=1),$AD$600,HLOOKUP(INDIRECT(ADDRESS(2,COLUMN())),OFFSET($AM$2,0,0,ROW()-1,33),ROW()-1,FALSE))</f>
        <v/>
      </c>
      <c r="AE190" t="str">
        <f ca="1">IF(AND(ISNUMBER($AE$600),$B$427=1),$AE$600,HLOOKUP(INDIRECT(ADDRESS(2,COLUMN())),OFFSET($AM$2,0,0,ROW()-1,33),ROW()-1,FALSE))</f>
        <v/>
      </c>
      <c r="AF190" t="str">
        <f ca="1">IF(AND(ISNUMBER($AF$600),$B$427=1),$AF$600,HLOOKUP(INDIRECT(ADDRESS(2,COLUMN())),OFFSET($AM$2,0,0,ROW()-1,33),ROW()-1,FALSE))</f>
        <v/>
      </c>
      <c r="AG190" t="str">
        <f ca="1">IF(AND(ISNUMBER($AG$600),$B$427=1),$AG$600,HLOOKUP(INDIRECT(ADDRESS(2,COLUMN())),OFFSET($AM$2,0,0,ROW()-1,33),ROW()-1,FALSE))</f>
        <v/>
      </c>
      <c r="AH190" t="str">
        <f ca="1">IF(AND(ISNUMBER($AH$600),$B$427=1),$AH$600,HLOOKUP(INDIRECT(ADDRESS(2,COLUMN())),OFFSET($AM$2,0,0,ROW()-1,33),ROW()-1,FALSE))</f>
        <v/>
      </c>
      <c r="AI190" t="str">
        <f ca="1">IF(AND(ISNUMBER($AI$600),$B$427=1),$AI$600,HLOOKUP(INDIRECT(ADDRESS(2,COLUMN())),OFFSET($AM$2,0,0,ROW()-1,33),ROW()-1,FALSE))</f>
        <v/>
      </c>
      <c r="AJ190" t="str">
        <f ca="1">IF(AND(ISNUMBER($AJ$600),$B$427=1),$AJ$600,HLOOKUP(INDIRECT(ADDRESS(2,COLUMN())),OFFSET($AM$2,0,0,ROW()-1,33),ROW()-1,FALSE))</f>
        <v/>
      </c>
      <c r="AK190" t="str">
        <f ca="1">IF(AND(ISNUMBER($AK$600),$B$427=1),$AK$600,HLOOKUP(INDIRECT(ADDRESS(2,COLUMN())),OFFSET($AM$2,0,0,ROW()-1,33),ROW()-1,FALSE))</f>
        <v/>
      </c>
      <c r="AL190" t="str">
        <f ca="1">IF(AND(ISNUMBER($AL$600),$B$427=1),$AL$600,HLOOKUP(INDIRECT(ADDRESS(2,COLUMN())),OFFSET($AM$2,0,0,ROW()-1,33),ROW()-1,FALSE))</f>
        <v/>
      </c>
      <c r="AM190">
        <f>41.01546854</f>
        <v>41.015468540000001</v>
      </c>
      <c r="AN190">
        <f>41.2457623</f>
        <v>41.245762300000003</v>
      </c>
      <c r="AO190">
        <f>40.30432347</f>
        <v>40.30432347</v>
      </c>
      <c r="AP190">
        <f>39.70944271</f>
        <v>39.709442709999998</v>
      </c>
      <c r="AQ190">
        <f>33.4458279</f>
        <v>33.445827899999998</v>
      </c>
      <c r="AR190">
        <f>34.34160411</f>
        <v>34.341604109999999</v>
      </c>
      <c r="AS190">
        <f>36.5412132</f>
        <v>36.541213200000001</v>
      </c>
      <c r="AT190">
        <f>38.8346326</f>
        <v>38.834632599999999</v>
      </c>
      <c r="AU190">
        <f>41.41789136</f>
        <v>41.417891359999999</v>
      </c>
      <c r="AV190">
        <f>35.49742</f>
        <v>35.497419999999998</v>
      </c>
      <c r="AW190">
        <f>37.51232878</f>
        <v>37.512328779999997</v>
      </c>
      <c r="AX190">
        <f>36.93082803</f>
        <v>36.930828030000001</v>
      </c>
      <c r="AY190">
        <f>37.01183293</f>
        <v>37.011832929999997</v>
      </c>
      <c r="AZ190">
        <f>38.77045489</f>
        <v>38.770454890000003</v>
      </c>
      <c r="BA190">
        <f>41.89295351</f>
        <v>41.892953509999998</v>
      </c>
      <c r="BB190">
        <f>44.76823198</f>
        <v>44.768231980000003</v>
      </c>
      <c r="BC190">
        <f>41.44613511</f>
        <v>41.44613511</v>
      </c>
      <c r="BD190">
        <f>41.7478842</f>
        <v>41.747884200000001</v>
      </c>
      <c r="BE190">
        <f>19.16747032</f>
        <v>19.16747032</v>
      </c>
      <c r="BF190">
        <f>22.50641721</f>
        <v>22.506417209999999</v>
      </c>
      <c r="BG190">
        <f>23.7729081</f>
        <v>23.772908099999999</v>
      </c>
      <c r="BH190">
        <f>27.44995001</f>
        <v>27.449950009999998</v>
      </c>
      <c r="BI190">
        <f>26.4352297</f>
        <v>26.435229700000001</v>
      </c>
      <c r="BJ190">
        <f>22.27227202</f>
        <v>22.272272019999999</v>
      </c>
      <c r="BK190" t="str">
        <f>""</f>
        <v/>
      </c>
      <c r="BL190" t="str">
        <f>""</f>
        <v/>
      </c>
      <c r="BM190" t="str">
        <f>""</f>
        <v/>
      </c>
      <c r="BN190" t="str">
        <f>""</f>
        <v/>
      </c>
      <c r="BO190" t="str">
        <f>""</f>
        <v/>
      </c>
      <c r="BP190" t="str">
        <f>""</f>
        <v/>
      </c>
      <c r="BQ190" t="str">
        <f>""</f>
        <v/>
      </c>
      <c r="BR190" t="str">
        <f>""</f>
        <v/>
      </c>
      <c r="BS190" t="str">
        <f>""</f>
        <v/>
      </c>
    </row>
    <row r="191" spans="1:71" x14ac:dyDescent="0.25">
      <c r="A191" t="str">
        <f>"        M&amp;T Bank Corp"</f>
        <v xml:space="preserve">        M&amp;T Bank Corp</v>
      </c>
      <c r="B191" t="str">
        <f>"MTB US Equity"</f>
        <v>MTB US Equity</v>
      </c>
      <c r="C191" t="str">
        <f t="shared" si="24"/>
        <v>F0109</v>
      </c>
      <c r="D191" t="str">
        <f t="shared" si="25"/>
        <v>FED_RE_LNS_DOM_%_TOT_LNS_LEAS</v>
      </c>
      <c r="E191" t="str">
        <f t="shared" si="26"/>
        <v>Dynamic</v>
      </c>
      <c r="F191">
        <f ca="1">IF(AND(ISNUMBER($F$601),$B$427=1),$F$601,HLOOKUP(INDIRECT(ADDRESS(2,COLUMN())),OFFSET($AM$2,0,0,ROW()-1,33),ROW()-1,FALSE))</f>
        <v>47.355129410000004</v>
      </c>
      <c r="G191">
        <f ca="1">IF(AND(ISNUMBER($G$601),$B$427=1),$G$601,HLOOKUP(INDIRECT(ADDRESS(2,COLUMN())),OFFSET($AM$2,0,0,ROW()-1,33),ROW()-1,FALSE))</f>
        <v>51.825317320000003</v>
      </c>
      <c r="H191">
        <f ca="1">IF(AND(ISNUMBER($H$601),$B$427=1),$H$601,HLOOKUP(INDIRECT(ADDRESS(2,COLUMN())),OFFSET($AM$2,0,0,ROW()-1,33),ROW()-1,FALSE))</f>
        <v>55.640250539999997</v>
      </c>
      <c r="I191">
        <f ca="1">IF(AND(ISNUMBER($I$601),$B$427=1),$I$601,HLOOKUP(INDIRECT(ADDRESS(2,COLUMN())),OFFSET($AM$2,0,0,ROW()-1,33),ROW()-1,FALSE))</f>
        <v>58.609892250000001</v>
      </c>
      <c r="J191">
        <f ca="1">IF(AND(ISNUMBER($J$601),$B$427=1),$J$601,HLOOKUP(INDIRECT(ADDRESS(2,COLUMN())),OFFSET($AM$2,0,0,ROW()-1,33),ROW()-1,FALSE))</f>
        <v>59.165279380000001</v>
      </c>
      <c r="K191">
        <f ca="1">IF(AND(ISNUMBER($K$601),$B$427=1),$K$601,HLOOKUP(INDIRECT(ADDRESS(2,COLUMN())),OFFSET($AM$2,0,0,ROW()-1,33),ROW()-1,FALSE))</f>
        <v>61.745801270000001</v>
      </c>
      <c r="L191">
        <f ca="1">IF(AND(ISNUMBER($L$601),$B$427=1),$L$601,HLOOKUP(INDIRECT(ADDRESS(2,COLUMN())),OFFSET($AM$2,0,0,ROW()-1,33),ROW()-1,FALSE))</f>
        <v>63.702977570000002</v>
      </c>
      <c r="M191">
        <f ca="1">IF(AND(ISNUMBER($M$601),$B$427=1),$M$601,HLOOKUP(INDIRECT(ADDRESS(2,COLUMN())),OFFSET($AM$2,0,0,ROW()-1,33),ROW()-1,FALSE))</f>
        <v>66.170886420000002</v>
      </c>
      <c r="N191">
        <f ca="1">IF(AND(ISNUMBER($N$601),$B$427=1),$N$601,HLOOKUP(INDIRECT(ADDRESS(2,COLUMN())),OFFSET($AM$2,0,0,ROW()-1,33),ROW()-1,FALSE))</f>
        <v>67.877881439999996</v>
      </c>
      <c r="O191">
        <f ca="1">IF(AND(ISNUMBER($O$601),$B$427=1),$O$601,HLOOKUP(INDIRECT(ADDRESS(2,COLUMN())),OFFSET($AM$2,0,0,ROW()-1,33),ROW()-1,FALSE))</f>
        <v>70.156433289999995</v>
      </c>
      <c r="P191">
        <f ca="1">IF(AND(ISNUMBER($P$601),$B$427=1),$P$601,HLOOKUP(INDIRECT(ADDRESS(2,COLUMN())),OFFSET($AM$2,0,0,ROW()-1,33),ROW()-1,FALSE))</f>
        <v>63.16256877</v>
      </c>
      <c r="Q191">
        <f ca="1">IF(AND(ISNUMBER($Q$601),$B$427=1),$Q$601,HLOOKUP(INDIRECT(ADDRESS(2,COLUMN())),OFFSET($AM$2,0,0,ROW()-1,33),ROW()-1,FALSE))</f>
        <v>64.263009100000005</v>
      </c>
      <c r="R191">
        <f ca="1">IF(AND(ISNUMBER($R$601),$B$427=1),$R$601,HLOOKUP(INDIRECT(ADDRESS(2,COLUMN())),OFFSET($AM$2,0,0,ROW()-1,33),ROW()-1,FALSE))</f>
        <v>65.345793360000002</v>
      </c>
      <c r="S191">
        <f ca="1">IF(AND(ISNUMBER($S$601),$B$427=1),$S$601,HLOOKUP(INDIRECT(ADDRESS(2,COLUMN())),OFFSET($AM$2,0,0,ROW()-1,33),ROW()-1,FALSE))</f>
        <v>64.808071679999998</v>
      </c>
      <c r="T191">
        <f ca="1">IF(AND(ISNUMBER($T$601),$B$427=1),$T$601,HLOOKUP(INDIRECT(ADDRESS(2,COLUMN())),OFFSET($AM$2,0,0,ROW()-1,33),ROW()-1,FALSE))</f>
        <v>64.59363003</v>
      </c>
      <c r="U191">
        <f ca="1">IF(AND(ISNUMBER($U$601),$B$427=1),$U$601,HLOOKUP(INDIRECT(ADDRESS(2,COLUMN())),OFFSET($AM$2,0,0,ROW()-1,33),ROW()-1,FALSE))</f>
        <v>63.835045229999999</v>
      </c>
      <c r="V191">
        <f ca="1">IF(AND(ISNUMBER($V$601),$B$427=1),$V$601,HLOOKUP(INDIRECT(ADDRESS(2,COLUMN())),OFFSET($AM$2,0,0,ROW()-1,33),ROW()-1,FALSE))</f>
        <v>59.869022049999998</v>
      </c>
      <c r="W191">
        <f ca="1">IF(AND(ISNUMBER($W$601),$B$427=1),$W$601,HLOOKUP(INDIRECT(ADDRESS(2,COLUMN())),OFFSET($AM$2,0,0,ROW()-1,33),ROW()-1,FALSE))</f>
        <v>60.40230845</v>
      </c>
      <c r="X191">
        <f ca="1">IF(AND(ISNUMBER($X$601),$B$427=1),$X$601,HLOOKUP(INDIRECT(ADDRESS(2,COLUMN())),OFFSET($AM$2,0,0,ROW()-1,33),ROW()-1,FALSE))</f>
        <v>29.75408208</v>
      </c>
      <c r="Y191">
        <f ca="1">IF(AND(ISNUMBER($Y$601),$B$427=1),$Y$601,HLOOKUP(INDIRECT(ADDRESS(2,COLUMN())),OFFSET($AM$2,0,0,ROW()-1,33),ROW()-1,FALSE))</f>
        <v>28.231383359999999</v>
      </c>
      <c r="Z191">
        <f ca="1">IF(AND(ISNUMBER($Z$601),$B$427=1),$Z$601,HLOOKUP(INDIRECT(ADDRESS(2,COLUMN())),OFFSET($AM$2,0,0,ROW()-1,33),ROW()-1,FALSE))</f>
        <v>27.506494589999999</v>
      </c>
      <c r="AA191">
        <f ca="1">IF(AND(ISNUMBER($AA$601),$B$427=1),$AA$601,HLOOKUP(INDIRECT(ADDRESS(2,COLUMN())),OFFSET($AM$2,0,0,ROW()-1,33),ROW()-1,FALSE))</f>
        <v>27.53748324</v>
      </c>
      <c r="AB191">
        <f ca="1">IF(AND(ISNUMBER($AB$601),$B$427=1),$AB$601,HLOOKUP(INDIRECT(ADDRESS(2,COLUMN())),OFFSET($AM$2,0,0,ROW()-1,33),ROW()-1,FALSE))</f>
        <v>29.586143140000001</v>
      </c>
      <c r="AC191">
        <f ca="1">IF(AND(ISNUMBER($AC$601),$B$427=1),$AC$601,HLOOKUP(INDIRECT(ADDRESS(2,COLUMN())),OFFSET($AM$2,0,0,ROW()-1,33),ROW()-1,FALSE))</f>
        <v>34.391450450000001</v>
      </c>
      <c r="AD191" t="str">
        <f ca="1">IF(AND(ISNUMBER($AD$601),$B$427=1),$AD$601,HLOOKUP(INDIRECT(ADDRESS(2,COLUMN())),OFFSET($AM$2,0,0,ROW()-1,33),ROW()-1,FALSE))</f>
        <v/>
      </c>
      <c r="AE191" t="str">
        <f ca="1">IF(AND(ISNUMBER($AE$601),$B$427=1),$AE$601,HLOOKUP(INDIRECT(ADDRESS(2,COLUMN())),OFFSET($AM$2,0,0,ROW()-1,33),ROW()-1,FALSE))</f>
        <v/>
      </c>
      <c r="AF191" t="str">
        <f ca="1">IF(AND(ISNUMBER($AF$601),$B$427=1),$AF$601,HLOOKUP(INDIRECT(ADDRESS(2,COLUMN())),OFFSET($AM$2,0,0,ROW()-1,33),ROW()-1,FALSE))</f>
        <v/>
      </c>
      <c r="AG191" t="str">
        <f ca="1">IF(AND(ISNUMBER($AG$601),$B$427=1),$AG$601,HLOOKUP(INDIRECT(ADDRESS(2,COLUMN())),OFFSET($AM$2,0,0,ROW()-1,33),ROW()-1,FALSE))</f>
        <v/>
      </c>
      <c r="AH191" t="str">
        <f ca="1">IF(AND(ISNUMBER($AH$601),$B$427=1),$AH$601,HLOOKUP(INDIRECT(ADDRESS(2,COLUMN())),OFFSET($AM$2,0,0,ROW()-1,33),ROW()-1,FALSE))</f>
        <v/>
      </c>
      <c r="AI191" t="str">
        <f ca="1">IF(AND(ISNUMBER($AI$601),$B$427=1),$AI$601,HLOOKUP(INDIRECT(ADDRESS(2,COLUMN())),OFFSET($AM$2,0,0,ROW()-1,33),ROW()-1,FALSE))</f>
        <v/>
      </c>
      <c r="AJ191" t="str">
        <f ca="1">IF(AND(ISNUMBER($AJ$601),$B$427=1),$AJ$601,HLOOKUP(INDIRECT(ADDRESS(2,COLUMN())),OFFSET($AM$2,0,0,ROW()-1,33),ROW()-1,FALSE))</f>
        <v/>
      </c>
      <c r="AK191" t="str">
        <f ca="1">IF(AND(ISNUMBER($AK$601),$B$427=1),$AK$601,HLOOKUP(INDIRECT(ADDRESS(2,COLUMN())),OFFSET($AM$2,0,0,ROW()-1,33),ROW()-1,FALSE))</f>
        <v/>
      </c>
      <c r="AL191" t="str">
        <f ca="1">IF(AND(ISNUMBER($AL$601),$B$427=1),$AL$601,HLOOKUP(INDIRECT(ADDRESS(2,COLUMN())),OFFSET($AM$2,0,0,ROW()-1,33),ROW()-1,FALSE))</f>
        <v/>
      </c>
      <c r="AM191">
        <f>47.35512941</f>
        <v>47.355129410000004</v>
      </c>
      <c r="AN191">
        <f>51.82531732</f>
        <v>51.825317320000003</v>
      </c>
      <c r="AO191">
        <f>55.64025054</f>
        <v>55.640250539999997</v>
      </c>
      <c r="AP191">
        <f>58.60989225</f>
        <v>58.609892250000001</v>
      </c>
      <c r="AQ191">
        <f>59.16527938</f>
        <v>59.165279380000001</v>
      </c>
      <c r="AR191">
        <f>61.74580127</f>
        <v>61.745801270000001</v>
      </c>
      <c r="AS191">
        <f>63.70297757</f>
        <v>63.702977570000002</v>
      </c>
      <c r="AT191">
        <f>66.17088642</f>
        <v>66.170886420000002</v>
      </c>
      <c r="AU191">
        <f>67.87788144</f>
        <v>67.877881439999996</v>
      </c>
      <c r="AV191">
        <f>70.15643329</f>
        <v>70.156433289999995</v>
      </c>
      <c r="AW191">
        <f>63.16256877</f>
        <v>63.16256877</v>
      </c>
      <c r="AX191">
        <f>64.2630091</f>
        <v>64.263009100000005</v>
      </c>
      <c r="AY191">
        <f>65.34579336</f>
        <v>65.345793360000002</v>
      </c>
      <c r="AZ191">
        <f>64.80807168</f>
        <v>64.808071679999998</v>
      </c>
      <c r="BA191">
        <f>64.59363003</f>
        <v>64.59363003</v>
      </c>
      <c r="BB191">
        <f>63.83504523</f>
        <v>63.835045229999999</v>
      </c>
      <c r="BC191">
        <f>59.86902205</f>
        <v>59.869022049999998</v>
      </c>
      <c r="BD191">
        <f>60.40230845</f>
        <v>60.40230845</v>
      </c>
      <c r="BE191">
        <f>29.75408208</f>
        <v>29.75408208</v>
      </c>
      <c r="BF191">
        <f>28.23138336</f>
        <v>28.231383359999999</v>
      </c>
      <c r="BG191">
        <f>27.50649459</f>
        <v>27.506494589999999</v>
      </c>
      <c r="BH191">
        <f>27.53748324</f>
        <v>27.53748324</v>
      </c>
      <c r="BI191">
        <f>29.58614314</f>
        <v>29.586143140000001</v>
      </c>
      <c r="BJ191">
        <f>34.39145045</f>
        <v>34.391450450000001</v>
      </c>
      <c r="BK191" t="str">
        <f>""</f>
        <v/>
      </c>
      <c r="BL191" t="str">
        <f>""</f>
        <v/>
      </c>
      <c r="BM191" t="str">
        <f>""</f>
        <v/>
      </c>
      <c r="BN191" t="str">
        <f>""</f>
        <v/>
      </c>
      <c r="BO191" t="str">
        <f>""</f>
        <v/>
      </c>
      <c r="BP191" t="str">
        <f>""</f>
        <v/>
      </c>
      <c r="BQ191" t="str">
        <f>""</f>
        <v/>
      </c>
      <c r="BR191" t="str">
        <f>""</f>
        <v/>
      </c>
      <c r="BS191" t="str">
        <f>""</f>
        <v/>
      </c>
    </row>
    <row r="192" spans="1:71" x14ac:dyDescent="0.25">
      <c r="A192" t="str">
        <f>"        PNC Financial Services Group I"</f>
        <v xml:space="preserve">        PNC Financial Services Group I</v>
      </c>
      <c r="B192" t="str">
        <f>"PNC US Equity"</f>
        <v>PNC US Equity</v>
      </c>
      <c r="C192" t="str">
        <f t="shared" si="24"/>
        <v>F0109</v>
      </c>
      <c r="D192" t="str">
        <f t="shared" si="25"/>
        <v>FED_RE_LNS_DOM_%_TOT_LNS_LEAS</v>
      </c>
      <c r="E192" t="str">
        <f t="shared" si="26"/>
        <v>Dynamic</v>
      </c>
      <c r="F192" t="str">
        <f ca="1">IF(AND(ISNUMBER($F$602),$B$427=1),$F$602,HLOOKUP(INDIRECT(ADDRESS(2,COLUMN())),OFFSET($AM$2,0,0,ROW()-1,33),ROW()-1,FALSE))</f>
        <v/>
      </c>
      <c r="G192">
        <f ca="1">IF(AND(ISNUMBER($G$602),$B$427=1),$G$602,HLOOKUP(INDIRECT(ADDRESS(2,COLUMN())),OFFSET($AM$2,0,0,ROW()-1,33),ROW()-1,FALSE))</f>
        <v>37.008748300000001</v>
      </c>
      <c r="H192">
        <f ca="1">IF(AND(ISNUMBER($H$602),$B$427=1),$H$602,HLOOKUP(INDIRECT(ADDRESS(2,COLUMN())),OFFSET($AM$2,0,0,ROW()-1,33),ROW()-1,FALSE))</f>
        <v>36.444345499999997</v>
      </c>
      <c r="I192">
        <f ca="1">IF(AND(ISNUMBER($I$602),$B$427=1),$I$602,HLOOKUP(INDIRECT(ADDRESS(2,COLUMN())),OFFSET($AM$2,0,0,ROW()-1,33),ROW()-1,FALSE))</f>
        <v>38.119940649999997</v>
      </c>
      <c r="J192">
        <f ca="1">IF(AND(ISNUMBER($J$602),$B$427=1),$J$602,HLOOKUP(INDIRECT(ADDRESS(2,COLUMN())),OFFSET($AM$2,0,0,ROW()-1,33),ROW()-1,FALSE))</f>
        <v>34.408538399999998</v>
      </c>
      <c r="K192">
        <f ca="1">IF(AND(ISNUMBER($K$602),$B$427=1),$K$602,HLOOKUP(INDIRECT(ADDRESS(2,COLUMN())),OFFSET($AM$2,0,0,ROW()-1,33),ROW()-1,FALSE))</f>
        <v>34.530472609999997</v>
      </c>
      <c r="L192">
        <f ca="1">IF(AND(ISNUMBER($L$602),$B$427=1),$L$602,HLOOKUP(INDIRECT(ADDRESS(2,COLUMN())),OFFSET($AM$2,0,0,ROW()-1,33),ROW()-1,FALSE))</f>
        <v>35.258518889999998</v>
      </c>
      <c r="M192">
        <f ca="1">IF(AND(ISNUMBER($M$602),$B$427=1),$M$602,HLOOKUP(INDIRECT(ADDRESS(2,COLUMN())),OFFSET($AM$2,0,0,ROW()-1,33),ROW()-1,FALSE))</f>
        <v>37.225291599999998</v>
      </c>
      <c r="N192">
        <f ca="1">IF(AND(ISNUMBER($N$602),$B$427=1),$N$602,HLOOKUP(INDIRECT(ADDRESS(2,COLUMN())),OFFSET($AM$2,0,0,ROW()-1,33),ROW()-1,FALSE))</f>
        <v>39.250271650000002</v>
      </c>
      <c r="O192">
        <f ca="1">IF(AND(ISNUMBER($O$602),$B$427=1),$O$602,HLOOKUP(INDIRECT(ADDRESS(2,COLUMN())),OFFSET($AM$2,0,0,ROW()-1,33),ROW()-1,FALSE))</f>
        <v>39.900916530000003</v>
      </c>
      <c r="P192">
        <f ca="1">IF(AND(ISNUMBER($P$602),$B$427=1),$P$602,HLOOKUP(INDIRECT(ADDRESS(2,COLUMN())),OFFSET($AM$2,0,0,ROW()-1,33),ROW()-1,FALSE))</f>
        <v>40.536903879999997</v>
      </c>
      <c r="Q192">
        <f ca="1">IF(AND(ISNUMBER($Q$602),$B$427=1),$Q$602,HLOOKUP(INDIRECT(ADDRESS(2,COLUMN())),OFFSET($AM$2,0,0,ROW()-1,33),ROW()-1,FALSE))</f>
        <v>43.179275789999998</v>
      </c>
      <c r="R192">
        <f ca="1">IF(AND(ISNUMBER($R$602),$B$427=1),$R$602,HLOOKUP(INDIRECT(ADDRESS(2,COLUMN())),OFFSET($AM$2,0,0,ROW()-1,33),ROW()-1,FALSE))</f>
        <v>44.677137850000001</v>
      </c>
      <c r="S192">
        <f ca="1">IF(AND(ISNUMBER($S$602),$B$427=1),$S$602,HLOOKUP(INDIRECT(ADDRESS(2,COLUMN())),OFFSET($AM$2,0,0,ROW()-1,33),ROW()-1,FALSE))</f>
        <v>47.037288420000003</v>
      </c>
      <c r="T192">
        <f ca="1">IF(AND(ISNUMBER($T$602),$B$427=1),$T$602,HLOOKUP(INDIRECT(ADDRESS(2,COLUMN())),OFFSET($AM$2,0,0,ROW()-1,33),ROW()-1,FALSE))</f>
        <v>52.202906069999997</v>
      </c>
      <c r="U192">
        <f ca="1">IF(AND(ISNUMBER($U$602),$B$427=1),$U$602,HLOOKUP(INDIRECT(ADDRESS(2,COLUMN())),OFFSET($AM$2,0,0,ROW()-1,33),ROW()-1,FALSE))</f>
        <v>56.411979279999997</v>
      </c>
      <c r="V192">
        <f ca="1">IF(AND(ISNUMBER($V$602),$B$427=1),$V$602,HLOOKUP(INDIRECT(ADDRESS(2,COLUMN())),OFFSET($AM$2,0,0,ROW()-1,33),ROW()-1,FALSE))</f>
        <v>55.377623270000001</v>
      </c>
      <c r="W192">
        <f ca="1">IF(AND(ISNUMBER($W$602),$B$427=1),$W$602,HLOOKUP(INDIRECT(ADDRESS(2,COLUMN())),OFFSET($AM$2,0,0,ROW()-1,33),ROW()-1,FALSE))</f>
        <v>55.16277127</v>
      </c>
      <c r="X192">
        <f ca="1">IF(AND(ISNUMBER($X$602),$B$427=1),$X$602,HLOOKUP(INDIRECT(ADDRESS(2,COLUMN())),OFFSET($AM$2,0,0,ROW()-1,33),ROW()-1,FALSE))</f>
        <v>39.729593860000001</v>
      </c>
      <c r="Y192">
        <f ca="1">IF(AND(ISNUMBER($Y$602),$B$427=1),$Y$602,HLOOKUP(INDIRECT(ADDRESS(2,COLUMN())),OFFSET($AM$2,0,0,ROW()-1,33),ROW()-1,FALSE))</f>
        <v>42.425117890000003</v>
      </c>
      <c r="Z192">
        <f ca="1">IF(AND(ISNUMBER($Z$602),$B$427=1),$Z$602,HLOOKUP(INDIRECT(ADDRESS(2,COLUMN())),OFFSET($AM$2,0,0,ROW()-1,33),ROW()-1,FALSE))</f>
        <v>40.002667219999999</v>
      </c>
      <c r="AA192">
        <f ca="1">IF(AND(ISNUMBER($AA$602),$B$427=1),$AA$602,HLOOKUP(INDIRECT(ADDRESS(2,COLUMN())),OFFSET($AM$2,0,0,ROW()-1,33),ROW()-1,FALSE))</f>
        <v>36.909080359999997</v>
      </c>
      <c r="AB192">
        <f ca="1">IF(AND(ISNUMBER($AB$602),$B$427=1),$AB$602,HLOOKUP(INDIRECT(ADDRESS(2,COLUMN())),OFFSET($AM$2,0,0,ROW()-1,33),ROW()-1,FALSE))</f>
        <v>33.650275229999998</v>
      </c>
      <c r="AC192">
        <f ca="1">IF(AND(ISNUMBER($AC$602),$B$427=1),$AC$602,HLOOKUP(INDIRECT(ADDRESS(2,COLUMN())),OFFSET($AM$2,0,0,ROW()-1,33),ROW()-1,FALSE))</f>
        <v>33.350330499999998</v>
      </c>
      <c r="AD192" t="str">
        <f ca="1">IF(AND(ISNUMBER($AD$602),$B$427=1),$AD$602,HLOOKUP(INDIRECT(ADDRESS(2,COLUMN())),OFFSET($AM$2,0,0,ROW()-1,33),ROW()-1,FALSE))</f>
        <v/>
      </c>
      <c r="AE192" t="str">
        <f ca="1">IF(AND(ISNUMBER($AE$602),$B$427=1),$AE$602,HLOOKUP(INDIRECT(ADDRESS(2,COLUMN())),OFFSET($AM$2,0,0,ROW()-1,33),ROW()-1,FALSE))</f>
        <v/>
      </c>
      <c r="AF192" t="str">
        <f ca="1">IF(AND(ISNUMBER($AF$602),$B$427=1),$AF$602,HLOOKUP(INDIRECT(ADDRESS(2,COLUMN())),OFFSET($AM$2,0,0,ROW()-1,33),ROW()-1,FALSE))</f>
        <v/>
      </c>
      <c r="AG192" t="str">
        <f ca="1">IF(AND(ISNUMBER($AG$602),$B$427=1),$AG$602,HLOOKUP(INDIRECT(ADDRESS(2,COLUMN())),OFFSET($AM$2,0,0,ROW()-1,33),ROW()-1,FALSE))</f>
        <v/>
      </c>
      <c r="AH192" t="str">
        <f ca="1">IF(AND(ISNUMBER($AH$602),$B$427=1),$AH$602,HLOOKUP(INDIRECT(ADDRESS(2,COLUMN())),OFFSET($AM$2,0,0,ROW()-1,33),ROW()-1,FALSE))</f>
        <v/>
      </c>
      <c r="AI192" t="str">
        <f ca="1">IF(AND(ISNUMBER($AI$602),$B$427=1),$AI$602,HLOOKUP(INDIRECT(ADDRESS(2,COLUMN())),OFFSET($AM$2,0,0,ROW()-1,33),ROW()-1,FALSE))</f>
        <v/>
      </c>
      <c r="AJ192" t="str">
        <f ca="1">IF(AND(ISNUMBER($AJ$602),$B$427=1),$AJ$602,HLOOKUP(INDIRECT(ADDRESS(2,COLUMN())),OFFSET($AM$2,0,0,ROW()-1,33),ROW()-1,FALSE))</f>
        <v/>
      </c>
      <c r="AK192" t="str">
        <f ca="1">IF(AND(ISNUMBER($AK$602),$B$427=1),$AK$602,HLOOKUP(INDIRECT(ADDRESS(2,COLUMN())),OFFSET($AM$2,0,0,ROW()-1,33),ROW()-1,FALSE))</f>
        <v/>
      </c>
      <c r="AL192" t="str">
        <f ca="1">IF(AND(ISNUMBER($AL$602),$B$427=1),$AL$602,HLOOKUP(INDIRECT(ADDRESS(2,COLUMN())),OFFSET($AM$2,0,0,ROW()-1,33),ROW()-1,FALSE))</f>
        <v/>
      </c>
      <c r="AM192" t="str">
        <f>""</f>
        <v/>
      </c>
      <c r="AN192">
        <f>37.0087483</f>
        <v>37.008748300000001</v>
      </c>
      <c r="AO192">
        <f>36.4443455</f>
        <v>36.444345499999997</v>
      </c>
      <c r="AP192">
        <f>38.11994065</f>
        <v>38.119940649999997</v>
      </c>
      <c r="AQ192">
        <f>34.4085384</f>
        <v>34.408538399999998</v>
      </c>
      <c r="AR192">
        <f>34.53047261</f>
        <v>34.530472609999997</v>
      </c>
      <c r="AS192">
        <f>35.25851889</f>
        <v>35.258518889999998</v>
      </c>
      <c r="AT192">
        <f>37.2252916</f>
        <v>37.225291599999998</v>
      </c>
      <c r="AU192">
        <f>39.25027165</f>
        <v>39.250271650000002</v>
      </c>
      <c r="AV192">
        <f>39.90091653</f>
        <v>39.900916530000003</v>
      </c>
      <c r="AW192">
        <f>40.53690388</f>
        <v>40.536903879999997</v>
      </c>
      <c r="AX192">
        <f>43.17927579</f>
        <v>43.179275789999998</v>
      </c>
      <c r="AY192">
        <f>44.67713785</f>
        <v>44.677137850000001</v>
      </c>
      <c r="AZ192">
        <f>47.03728842</f>
        <v>47.037288420000003</v>
      </c>
      <c r="BA192">
        <f>52.20290607</f>
        <v>52.202906069999997</v>
      </c>
      <c r="BB192">
        <f>56.41197928</f>
        <v>56.411979279999997</v>
      </c>
      <c r="BC192">
        <f>55.37762327</f>
        <v>55.377623270000001</v>
      </c>
      <c r="BD192">
        <f>55.16277127</f>
        <v>55.16277127</v>
      </c>
      <c r="BE192">
        <f>39.72959386</f>
        <v>39.729593860000001</v>
      </c>
      <c r="BF192">
        <f>42.42511789</f>
        <v>42.425117890000003</v>
      </c>
      <c r="BG192">
        <f>40.00266722</f>
        <v>40.002667219999999</v>
      </c>
      <c r="BH192">
        <f>36.90908036</f>
        <v>36.909080359999997</v>
      </c>
      <c r="BI192">
        <f>33.65027523</f>
        <v>33.650275229999998</v>
      </c>
      <c r="BJ192">
        <f>33.3503305</f>
        <v>33.350330499999998</v>
      </c>
      <c r="BK192" t="str">
        <f>""</f>
        <v/>
      </c>
      <c r="BL192" t="str">
        <f>""</f>
        <v/>
      </c>
      <c r="BM192" t="str">
        <f>""</f>
        <v/>
      </c>
      <c r="BN192" t="str">
        <f>""</f>
        <v/>
      </c>
      <c r="BO192" t="str">
        <f>""</f>
        <v/>
      </c>
      <c r="BP192" t="str">
        <f>""</f>
        <v/>
      </c>
      <c r="BQ192" t="str">
        <f>""</f>
        <v/>
      </c>
      <c r="BR192" t="str">
        <f>""</f>
        <v/>
      </c>
      <c r="BS192" t="str">
        <f>""</f>
        <v/>
      </c>
    </row>
    <row r="193" spans="1:71" x14ac:dyDescent="0.25">
      <c r="A193" t="str">
        <f>"        Regions Financial Corp"</f>
        <v xml:space="preserve">        Regions Financial Corp</v>
      </c>
      <c r="B193" t="str">
        <f>"RF US Equity"</f>
        <v>RF US Equity</v>
      </c>
      <c r="C193" t="str">
        <f t="shared" si="24"/>
        <v>F0109</v>
      </c>
      <c r="D193" t="str">
        <f t="shared" si="25"/>
        <v>FED_RE_LNS_DOM_%_TOT_LNS_LEAS</v>
      </c>
      <c r="E193" t="str">
        <f t="shared" si="26"/>
        <v>Dynamic</v>
      </c>
      <c r="F193" t="str">
        <f ca="1">IF(AND(ISNUMBER($F$603),$B$427=1),$F$603,HLOOKUP(INDIRECT(ADDRESS(2,COLUMN())),OFFSET($AM$2,0,0,ROW()-1,33),ROW()-1,FALSE))</f>
        <v/>
      </c>
      <c r="G193">
        <f ca="1">IF(AND(ISNUMBER($G$603),$B$427=1),$G$603,HLOOKUP(INDIRECT(ADDRESS(2,COLUMN())),OFFSET($AM$2,0,0,ROW()-1,33),ROW()-1,FALSE))</f>
        <v>41.180818530000003</v>
      </c>
      <c r="H193">
        <f ca="1">IF(AND(ISNUMBER($H$603),$B$427=1),$H$603,HLOOKUP(INDIRECT(ADDRESS(2,COLUMN())),OFFSET($AM$2,0,0,ROW()-1,33),ROW()-1,FALSE))</f>
        <v>40.338171699999997</v>
      </c>
      <c r="I193">
        <f ca="1">IF(AND(ISNUMBER($I$603),$B$427=1),$I$603,HLOOKUP(INDIRECT(ADDRESS(2,COLUMN())),OFFSET($AM$2,0,0,ROW()-1,33),ROW()-1,FALSE))</f>
        <v>42.475274290000002</v>
      </c>
      <c r="J193">
        <f ca="1">IF(AND(ISNUMBER($J$603),$B$427=1),$J$603,HLOOKUP(INDIRECT(ADDRESS(2,COLUMN())),OFFSET($AM$2,0,0,ROW()-1,33),ROW()-1,FALSE))</f>
        <v>44.906153920000001</v>
      </c>
      <c r="K193">
        <f ca="1">IF(AND(ISNUMBER($K$603),$B$427=1),$K$603,HLOOKUP(INDIRECT(ADDRESS(2,COLUMN())),OFFSET($AM$2,0,0,ROW()-1,33),ROW()-1,FALSE))</f>
        <v>43.955741629999999</v>
      </c>
      <c r="L193">
        <f ca="1">IF(AND(ISNUMBER($L$603),$B$427=1),$L$603,HLOOKUP(INDIRECT(ADDRESS(2,COLUMN())),OFFSET($AM$2,0,0,ROW()-1,33),ROW()-1,FALSE))</f>
        <v>44.192509860000001</v>
      </c>
      <c r="M193">
        <f ca="1">IF(AND(ISNUMBER($M$603),$B$427=1),$M$603,HLOOKUP(INDIRECT(ADDRESS(2,COLUMN())),OFFSET($AM$2,0,0,ROW()-1,33),ROW()-1,FALSE))</f>
        <v>46.688695469999999</v>
      </c>
      <c r="N193">
        <f ca="1">IF(AND(ISNUMBER($N$603),$B$427=1),$N$603,HLOOKUP(INDIRECT(ADDRESS(2,COLUMN())),OFFSET($AM$2,0,0,ROW()-1,33),ROW()-1,FALSE))</f>
        <v>48.388888100000003</v>
      </c>
      <c r="O193">
        <f ca="1">IF(AND(ISNUMBER($O$603),$B$427=1),$O$603,HLOOKUP(INDIRECT(ADDRESS(2,COLUMN())),OFFSET($AM$2,0,0,ROW()-1,33),ROW()-1,FALSE))</f>
        <v>48.525502090000003</v>
      </c>
      <c r="P193">
        <f ca="1">IF(AND(ISNUMBER($P$603),$B$427=1),$P$603,HLOOKUP(INDIRECT(ADDRESS(2,COLUMN())),OFFSET($AM$2,0,0,ROW()-1,33),ROW()-1,FALSE))</f>
        <v>50.612783219999997</v>
      </c>
      <c r="Q193">
        <f ca="1">IF(AND(ISNUMBER($Q$603),$B$427=1),$Q$603,HLOOKUP(INDIRECT(ADDRESS(2,COLUMN())),OFFSET($AM$2,0,0,ROW()-1,33),ROW()-1,FALSE))</f>
        <v>54.447656430000002</v>
      </c>
      <c r="R193">
        <f ca="1">IF(AND(ISNUMBER($R$603),$B$427=1),$R$603,HLOOKUP(INDIRECT(ADDRESS(2,COLUMN())),OFFSET($AM$2,0,0,ROW()-1,33),ROW()-1,FALSE))</f>
        <v>59.209509439999998</v>
      </c>
      <c r="S193">
        <f ca="1">IF(AND(ISNUMBER($S$603),$B$427=1),$S$603,HLOOKUP(INDIRECT(ADDRESS(2,COLUMN())),OFFSET($AM$2,0,0,ROW()-1,33),ROW()-1,FALSE))</f>
        <v>64.360841980000004</v>
      </c>
      <c r="T193">
        <f ca="1">IF(AND(ISNUMBER($T$603),$B$427=1),$T$603,HLOOKUP(INDIRECT(ADDRESS(2,COLUMN())),OFFSET($AM$2,0,0,ROW()-1,33),ROW()-1,FALSE))</f>
        <v>70.459110080000002</v>
      </c>
      <c r="U193">
        <f ca="1">IF(AND(ISNUMBER($U$603),$B$427=1),$U$603,HLOOKUP(INDIRECT(ADDRESS(2,COLUMN())),OFFSET($AM$2,0,0,ROW()-1,33),ROW()-1,FALSE))</f>
        <v>66.887258399999993</v>
      </c>
      <c r="V193">
        <f ca="1">IF(AND(ISNUMBER($V$603),$B$427=1),$V$603,HLOOKUP(INDIRECT(ADDRESS(2,COLUMN())),OFFSET($AM$2,0,0,ROW()-1,33),ROW()-1,FALSE))</f>
        <v>65.379991320000002</v>
      </c>
      <c r="W193">
        <f ca="1">IF(AND(ISNUMBER($W$603),$B$427=1),$W$603,HLOOKUP(INDIRECT(ADDRESS(2,COLUMN())),OFFSET($AM$2,0,0,ROW()-1,33),ROW()-1,FALSE))</f>
        <v>66.646453699999995</v>
      </c>
      <c r="X193">
        <f ca="1">IF(AND(ISNUMBER($X$603),$B$427=1),$X$603,HLOOKUP(INDIRECT(ADDRESS(2,COLUMN())),OFFSET($AM$2,0,0,ROW()-1,33),ROW()-1,FALSE))</f>
        <v>36.498407950000001</v>
      </c>
      <c r="Y193">
        <f ca="1">IF(AND(ISNUMBER($Y$603),$B$427=1),$Y$603,HLOOKUP(INDIRECT(ADDRESS(2,COLUMN())),OFFSET($AM$2,0,0,ROW()-1,33),ROW()-1,FALSE))</f>
        <v>34.827290580000003</v>
      </c>
      <c r="Z193">
        <f ca="1">IF(AND(ISNUMBER($Z$603),$B$427=1),$Z$603,HLOOKUP(INDIRECT(ADDRESS(2,COLUMN())),OFFSET($AM$2,0,0,ROW()-1,33),ROW()-1,FALSE))</f>
        <v>34.970141480000002</v>
      </c>
      <c r="AA193" t="str">
        <f ca="1">IF(AND(ISNUMBER($AA$603),$B$427=1),$AA$603,HLOOKUP(INDIRECT(ADDRESS(2,COLUMN())),OFFSET($AM$2,0,0,ROW()-1,33),ROW()-1,FALSE))</f>
        <v/>
      </c>
      <c r="AB193" t="str">
        <f ca="1">IF(AND(ISNUMBER($AB$603),$B$427=1),$AB$603,HLOOKUP(INDIRECT(ADDRESS(2,COLUMN())),OFFSET($AM$2,0,0,ROW()-1,33),ROW()-1,FALSE))</f>
        <v/>
      </c>
      <c r="AC193" t="str">
        <f ca="1">IF(AND(ISNUMBER($AC$603),$B$427=1),$AC$603,HLOOKUP(INDIRECT(ADDRESS(2,COLUMN())),OFFSET($AM$2,0,0,ROW()-1,33),ROW()-1,FALSE))</f>
        <v/>
      </c>
      <c r="AD193" t="str">
        <f ca="1">IF(AND(ISNUMBER($AD$603),$B$427=1),$AD$603,HLOOKUP(INDIRECT(ADDRESS(2,COLUMN())),OFFSET($AM$2,0,0,ROW()-1,33),ROW()-1,FALSE))</f>
        <v/>
      </c>
      <c r="AE193" t="str">
        <f ca="1">IF(AND(ISNUMBER($AE$603),$B$427=1),$AE$603,HLOOKUP(INDIRECT(ADDRESS(2,COLUMN())),OFFSET($AM$2,0,0,ROW()-1,33),ROW()-1,FALSE))</f>
        <v/>
      </c>
      <c r="AF193" t="str">
        <f ca="1">IF(AND(ISNUMBER($AF$603),$B$427=1),$AF$603,HLOOKUP(INDIRECT(ADDRESS(2,COLUMN())),OFFSET($AM$2,0,0,ROW()-1,33),ROW()-1,FALSE))</f>
        <v/>
      </c>
      <c r="AG193" t="str">
        <f ca="1">IF(AND(ISNUMBER($AG$603),$B$427=1),$AG$603,HLOOKUP(INDIRECT(ADDRESS(2,COLUMN())),OFFSET($AM$2,0,0,ROW()-1,33),ROW()-1,FALSE))</f>
        <v/>
      </c>
      <c r="AH193" t="str">
        <f ca="1">IF(AND(ISNUMBER($AH$603),$B$427=1),$AH$603,HLOOKUP(INDIRECT(ADDRESS(2,COLUMN())),OFFSET($AM$2,0,0,ROW()-1,33),ROW()-1,FALSE))</f>
        <v/>
      </c>
      <c r="AI193" t="str">
        <f ca="1">IF(AND(ISNUMBER($AI$603),$B$427=1),$AI$603,HLOOKUP(INDIRECT(ADDRESS(2,COLUMN())),OFFSET($AM$2,0,0,ROW()-1,33),ROW()-1,FALSE))</f>
        <v/>
      </c>
      <c r="AJ193" t="str">
        <f ca="1">IF(AND(ISNUMBER($AJ$603),$B$427=1),$AJ$603,HLOOKUP(INDIRECT(ADDRESS(2,COLUMN())),OFFSET($AM$2,0,0,ROW()-1,33),ROW()-1,FALSE))</f>
        <v/>
      </c>
      <c r="AK193" t="str">
        <f ca="1">IF(AND(ISNUMBER($AK$603),$B$427=1),$AK$603,HLOOKUP(INDIRECT(ADDRESS(2,COLUMN())),OFFSET($AM$2,0,0,ROW()-1,33),ROW()-1,FALSE))</f>
        <v/>
      </c>
      <c r="AL193" t="str">
        <f ca="1">IF(AND(ISNUMBER($AL$603),$B$427=1),$AL$603,HLOOKUP(INDIRECT(ADDRESS(2,COLUMN())),OFFSET($AM$2,0,0,ROW()-1,33),ROW()-1,FALSE))</f>
        <v/>
      </c>
      <c r="AM193" t="str">
        <f>""</f>
        <v/>
      </c>
      <c r="AN193">
        <f>41.18081853</f>
        <v>41.180818530000003</v>
      </c>
      <c r="AO193">
        <f>40.3381717</f>
        <v>40.338171699999997</v>
      </c>
      <c r="AP193">
        <f>42.47527429</f>
        <v>42.475274290000002</v>
      </c>
      <c r="AQ193">
        <f>44.90615392</f>
        <v>44.906153920000001</v>
      </c>
      <c r="AR193">
        <f>43.95574163</f>
        <v>43.955741629999999</v>
      </c>
      <c r="AS193">
        <f>44.19250986</f>
        <v>44.192509860000001</v>
      </c>
      <c r="AT193">
        <f>46.68869547</f>
        <v>46.688695469999999</v>
      </c>
      <c r="AU193">
        <f>48.3888881</f>
        <v>48.388888100000003</v>
      </c>
      <c r="AV193">
        <f>48.52550209</f>
        <v>48.525502090000003</v>
      </c>
      <c r="AW193">
        <f>50.61278322</f>
        <v>50.612783219999997</v>
      </c>
      <c r="AX193">
        <f>54.44765643</f>
        <v>54.447656430000002</v>
      </c>
      <c r="AY193">
        <f>59.20950944</f>
        <v>59.209509439999998</v>
      </c>
      <c r="AZ193">
        <f>64.36084198</f>
        <v>64.360841980000004</v>
      </c>
      <c r="BA193">
        <f>70.45911008</f>
        <v>70.459110080000002</v>
      </c>
      <c r="BB193">
        <f>66.8872584</f>
        <v>66.887258399999993</v>
      </c>
      <c r="BC193">
        <f>65.37999132</f>
        <v>65.379991320000002</v>
      </c>
      <c r="BD193">
        <f>66.6464537</f>
        <v>66.646453699999995</v>
      </c>
      <c r="BE193">
        <f>36.49840795</f>
        <v>36.498407950000001</v>
      </c>
      <c r="BF193">
        <f>34.82729058</f>
        <v>34.827290580000003</v>
      </c>
      <c r="BG193">
        <f>34.97014148</f>
        <v>34.970141480000002</v>
      </c>
      <c r="BH193" t="str">
        <f>""</f>
        <v/>
      </c>
      <c r="BI193" t="str">
        <f>""</f>
        <v/>
      </c>
      <c r="BJ193" t="str">
        <f>""</f>
        <v/>
      </c>
      <c r="BK193" t="str">
        <f>""</f>
        <v/>
      </c>
      <c r="BL193" t="str">
        <f>""</f>
        <v/>
      </c>
      <c r="BM193" t="str">
        <f>""</f>
        <v/>
      </c>
      <c r="BN193" t="str">
        <f>""</f>
        <v/>
      </c>
      <c r="BO193" t="str">
        <f>""</f>
        <v/>
      </c>
      <c r="BP193" t="str">
        <f>""</f>
        <v/>
      </c>
      <c r="BQ193" t="str">
        <f>""</f>
        <v/>
      </c>
      <c r="BR193" t="str">
        <f>""</f>
        <v/>
      </c>
      <c r="BS193" t="str">
        <f>""</f>
        <v/>
      </c>
    </row>
    <row r="194" spans="1:71" x14ac:dyDescent="0.25">
      <c r="A194" t="str">
        <f>"        Truist Financial Corp"</f>
        <v xml:space="preserve">        Truist Financial Corp</v>
      </c>
      <c r="B194" t="str">
        <f>"TFC US Equity"</f>
        <v>TFC US Equity</v>
      </c>
      <c r="C194" t="str">
        <f t="shared" si="24"/>
        <v>F0109</v>
      </c>
      <c r="D194" t="str">
        <f t="shared" si="25"/>
        <v>FED_RE_LNS_DOM_%_TOT_LNS_LEAS</v>
      </c>
      <c r="E194" t="str">
        <f t="shared" si="26"/>
        <v>Dynamic</v>
      </c>
      <c r="F194">
        <f ca="1">IF(AND(ISNUMBER($F$604),$B$427=1),$F$604,HLOOKUP(INDIRECT(ADDRESS(2,COLUMN())),OFFSET($AM$2,0,0,ROW()-1,33),ROW()-1,FALSE))</f>
        <v>37.92592544</v>
      </c>
      <c r="G194">
        <f ca="1">IF(AND(ISNUMBER($G$604),$B$427=1),$G$604,HLOOKUP(INDIRECT(ADDRESS(2,COLUMN())),OFFSET($AM$2,0,0,ROW()-1,33),ROW()-1,FALSE))</f>
        <v>38.026303609999999</v>
      </c>
      <c r="H194">
        <f ca="1">IF(AND(ISNUMBER($H$604),$B$427=1),$H$604,HLOOKUP(INDIRECT(ADDRESS(2,COLUMN())),OFFSET($AM$2,0,0,ROW()-1,33),ROW()-1,FALSE))</f>
        <v>37.457510650000003</v>
      </c>
      <c r="I194">
        <f ca="1">IF(AND(ISNUMBER($I$604),$B$427=1),$I$604,HLOOKUP(INDIRECT(ADDRESS(2,COLUMN())),OFFSET($AM$2,0,0,ROW()-1,33),ROW()-1,FALSE))</f>
        <v>39.790367789999998</v>
      </c>
      <c r="J194">
        <f ca="1">IF(AND(ISNUMBER($J$604),$B$427=1),$J$604,HLOOKUP(INDIRECT(ADDRESS(2,COLUMN())),OFFSET($AM$2,0,0,ROW()-1,33),ROW()-1,FALSE))</f>
        <v>40.364887359999997</v>
      </c>
      <c r="K194">
        <f ca="1">IF(AND(ISNUMBER($K$604),$B$427=1),$K$604,HLOOKUP(INDIRECT(ADDRESS(2,COLUMN())),OFFSET($AM$2,0,0,ROW()-1,33),ROW()-1,FALSE))</f>
        <v>43.583861910000003</v>
      </c>
      <c r="L194">
        <f ca="1">IF(AND(ISNUMBER($L$604),$B$427=1),$L$604,HLOOKUP(INDIRECT(ADDRESS(2,COLUMN())),OFFSET($AM$2,0,0,ROW()-1,33),ROW()-1,FALSE))</f>
        <v>51.882320780000001</v>
      </c>
      <c r="M194">
        <f ca="1">IF(AND(ISNUMBER($M$604),$B$427=1),$M$604,HLOOKUP(INDIRECT(ADDRESS(2,COLUMN())),OFFSET($AM$2,0,0,ROW()-1,33),ROW()-1,FALSE))</f>
        <v>53.134668509999997</v>
      </c>
      <c r="N194">
        <f ca="1">IF(AND(ISNUMBER($N$604),$B$427=1),$N$604,HLOOKUP(INDIRECT(ADDRESS(2,COLUMN())),OFFSET($AM$2,0,0,ROW()-1,33),ROW()-1,FALSE))</f>
        <v>54.745726699999999</v>
      </c>
      <c r="O194">
        <f ca="1">IF(AND(ISNUMBER($O$604),$B$427=1),$O$604,HLOOKUP(INDIRECT(ADDRESS(2,COLUMN())),OFFSET($AM$2,0,0,ROW()-1,33),ROW()-1,FALSE))</f>
        <v>56.194772270000001</v>
      </c>
      <c r="P194">
        <f ca="1">IF(AND(ISNUMBER($P$604),$B$427=1),$P$604,HLOOKUP(INDIRECT(ADDRESS(2,COLUMN())),OFFSET($AM$2,0,0,ROW()-1,33),ROW()-1,FALSE))</f>
        <v>57.393425399999998</v>
      </c>
      <c r="Q194">
        <f ca="1">IF(AND(ISNUMBER($Q$604),$B$427=1),$Q$604,HLOOKUP(INDIRECT(ADDRESS(2,COLUMN())),OFFSET($AM$2,0,0,ROW()-1,33),ROW()-1,FALSE))</f>
        <v>60.899177199999997</v>
      </c>
      <c r="R194">
        <f ca="1">IF(AND(ISNUMBER($R$604),$B$427=1),$R$604,HLOOKUP(INDIRECT(ADDRESS(2,COLUMN())),OFFSET($AM$2,0,0,ROW()-1,33),ROW()-1,FALSE))</f>
        <v>63.719221689999998</v>
      </c>
      <c r="S194">
        <f ca="1">IF(AND(ISNUMBER($S$604),$B$427=1),$S$604,HLOOKUP(INDIRECT(ADDRESS(2,COLUMN())),OFFSET($AM$2,0,0,ROW()-1,33),ROW()-1,FALSE))</f>
        <v>64.989806310000006</v>
      </c>
      <c r="T194">
        <f ca="1">IF(AND(ISNUMBER($T$604),$B$427=1),$T$604,HLOOKUP(INDIRECT(ADDRESS(2,COLUMN())),OFFSET($AM$2,0,0,ROW()-1,33),ROW()-1,FALSE))</f>
        <v>67.182026629999996</v>
      </c>
      <c r="U194">
        <f ca="1">IF(AND(ISNUMBER($U$604),$B$427=1),$U$604,HLOOKUP(INDIRECT(ADDRESS(2,COLUMN())),OFFSET($AM$2,0,0,ROW()-1,33),ROW()-1,FALSE))</f>
        <v>69.275663179999995</v>
      </c>
      <c r="V194">
        <f ca="1">IF(AND(ISNUMBER($V$604),$B$427=1),$V$604,HLOOKUP(INDIRECT(ADDRESS(2,COLUMN())),OFFSET($AM$2,0,0,ROW()-1,33),ROW()-1,FALSE))</f>
        <v>69.037679920000002</v>
      </c>
      <c r="W194">
        <f ca="1">IF(AND(ISNUMBER($W$604),$B$427=1),$W$604,HLOOKUP(INDIRECT(ADDRESS(2,COLUMN())),OFFSET($AM$2,0,0,ROW()-1,33),ROW()-1,FALSE))</f>
        <v>70.792602200000005</v>
      </c>
      <c r="X194">
        <f ca="1">IF(AND(ISNUMBER($X$604),$B$427=1),$X$604,HLOOKUP(INDIRECT(ADDRESS(2,COLUMN())),OFFSET($AM$2,0,0,ROW()-1,33),ROW()-1,FALSE))</f>
        <v>36.240336739999996</v>
      </c>
      <c r="Y194">
        <f ca="1">IF(AND(ISNUMBER($Y$604),$B$427=1),$Y$604,HLOOKUP(INDIRECT(ADDRESS(2,COLUMN())),OFFSET($AM$2,0,0,ROW()-1,33),ROW()-1,FALSE))</f>
        <v>38.000882429999997</v>
      </c>
      <c r="Z194">
        <f ca="1">IF(AND(ISNUMBER($Z$604),$B$427=1),$Z$604,HLOOKUP(INDIRECT(ADDRESS(2,COLUMN())),OFFSET($AM$2,0,0,ROW()-1,33),ROW()-1,FALSE))</f>
        <v>38.141209809999999</v>
      </c>
      <c r="AA194">
        <f ca="1">IF(AND(ISNUMBER($AA$604),$B$427=1),$AA$604,HLOOKUP(INDIRECT(ADDRESS(2,COLUMN())),OFFSET($AM$2,0,0,ROW()-1,33),ROW()-1,FALSE))</f>
        <v>38.092453570000004</v>
      </c>
      <c r="AB194">
        <f ca="1">IF(AND(ISNUMBER($AB$604),$B$427=1),$AB$604,HLOOKUP(INDIRECT(ADDRESS(2,COLUMN())),OFFSET($AM$2,0,0,ROW()-1,33),ROW()-1,FALSE))</f>
        <v>37.68439987</v>
      </c>
      <c r="AC194">
        <f ca="1">IF(AND(ISNUMBER($AC$604),$B$427=1),$AC$604,HLOOKUP(INDIRECT(ADDRESS(2,COLUMN())),OFFSET($AM$2,0,0,ROW()-1,33),ROW()-1,FALSE))</f>
        <v>36.37981654</v>
      </c>
      <c r="AD194" t="str">
        <f ca="1">IF(AND(ISNUMBER($AD$604),$B$427=1),$AD$604,HLOOKUP(INDIRECT(ADDRESS(2,COLUMN())),OFFSET($AM$2,0,0,ROW()-1,33),ROW()-1,FALSE))</f>
        <v/>
      </c>
      <c r="AE194" t="str">
        <f ca="1">IF(AND(ISNUMBER($AE$604),$B$427=1),$AE$604,HLOOKUP(INDIRECT(ADDRESS(2,COLUMN())),OFFSET($AM$2,0,0,ROW()-1,33),ROW()-1,FALSE))</f>
        <v/>
      </c>
      <c r="AF194" t="str">
        <f ca="1">IF(AND(ISNUMBER($AF$604),$B$427=1),$AF$604,HLOOKUP(INDIRECT(ADDRESS(2,COLUMN())),OFFSET($AM$2,0,0,ROW()-1,33),ROW()-1,FALSE))</f>
        <v/>
      </c>
      <c r="AG194" t="str">
        <f ca="1">IF(AND(ISNUMBER($AG$604),$B$427=1),$AG$604,HLOOKUP(INDIRECT(ADDRESS(2,COLUMN())),OFFSET($AM$2,0,0,ROW()-1,33),ROW()-1,FALSE))</f>
        <v/>
      </c>
      <c r="AH194" t="str">
        <f ca="1">IF(AND(ISNUMBER($AH$604),$B$427=1),$AH$604,HLOOKUP(INDIRECT(ADDRESS(2,COLUMN())),OFFSET($AM$2,0,0,ROW()-1,33),ROW()-1,FALSE))</f>
        <v/>
      </c>
      <c r="AI194" t="str">
        <f ca="1">IF(AND(ISNUMBER($AI$604),$B$427=1),$AI$604,HLOOKUP(INDIRECT(ADDRESS(2,COLUMN())),OFFSET($AM$2,0,0,ROW()-1,33),ROW()-1,FALSE))</f>
        <v/>
      </c>
      <c r="AJ194" t="str">
        <f ca="1">IF(AND(ISNUMBER($AJ$604),$B$427=1),$AJ$604,HLOOKUP(INDIRECT(ADDRESS(2,COLUMN())),OFFSET($AM$2,0,0,ROW()-1,33),ROW()-1,FALSE))</f>
        <v/>
      </c>
      <c r="AK194" t="str">
        <f ca="1">IF(AND(ISNUMBER($AK$604),$B$427=1),$AK$604,HLOOKUP(INDIRECT(ADDRESS(2,COLUMN())),OFFSET($AM$2,0,0,ROW()-1,33),ROW()-1,FALSE))</f>
        <v/>
      </c>
      <c r="AL194" t="str">
        <f ca="1">IF(AND(ISNUMBER($AL$604),$B$427=1),$AL$604,HLOOKUP(INDIRECT(ADDRESS(2,COLUMN())),OFFSET($AM$2,0,0,ROW()-1,33),ROW()-1,FALSE))</f>
        <v/>
      </c>
      <c r="AM194">
        <f>37.92592544</f>
        <v>37.92592544</v>
      </c>
      <c r="AN194">
        <f>38.02630361</f>
        <v>38.026303609999999</v>
      </c>
      <c r="AO194">
        <f>37.45751065</f>
        <v>37.457510650000003</v>
      </c>
      <c r="AP194">
        <f>39.79036779</f>
        <v>39.790367789999998</v>
      </c>
      <c r="AQ194">
        <f>40.36488736</f>
        <v>40.364887359999997</v>
      </c>
      <c r="AR194">
        <f>43.58386191</f>
        <v>43.583861910000003</v>
      </c>
      <c r="AS194">
        <f>51.88232078</f>
        <v>51.882320780000001</v>
      </c>
      <c r="AT194">
        <f>53.13466851</f>
        <v>53.134668509999997</v>
      </c>
      <c r="AU194">
        <f>54.7457267</f>
        <v>54.745726699999999</v>
      </c>
      <c r="AV194">
        <f>56.19477227</f>
        <v>56.194772270000001</v>
      </c>
      <c r="AW194">
        <f>57.3934254</f>
        <v>57.393425399999998</v>
      </c>
      <c r="AX194">
        <f>60.8991772</f>
        <v>60.899177199999997</v>
      </c>
      <c r="AY194">
        <f>63.71922169</f>
        <v>63.719221689999998</v>
      </c>
      <c r="AZ194">
        <f>64.98980631</f>
        <v>64.989806310000006</v>
      </c>
      <c r="BA194">
        <f>67.18202663</f>
        <v>67.182026629999996</v>
      </c>
      <c r="BB194">
        <f>69.27566318</f>
        <v>69.275663179999995</v>
      </c>
      <c r="BC194">
        <f>69.03767992</f>
        <v>69.037679920000002</v>
      </c>
      <c r="BD194">
        <f>70.7926022</f>
        <v>70.792602200000005</v>
      </c>
      <c r="BE194">
        <f>36.24033674</f>
        <v>36.240336739999996</v>
      </c>
      <c r="BF194">
        <f>38.00088243</f>
        <v>38.000882429999997</v>
      </c>
      <c r="BG194">
        <f>38.14120981</f>
        <v>38.141209809999999</v>
      </c>
      <c r="BH194">
        <f>38.09245357</f>
        <v>38.092453570000004</v>
      </c>
      <c r="BI194">
        <f>37.68439987</f>
        <v>37.68439987</v>
      </c>
      <c r="BJ194">
        <f>36.37981654</f>
        <v>36.37981654</v>
      </c>
      <c r="BK194" t="str">
        <f>""</f>
        <v/>
      </c>
      <c r="BL194" t="str">
        <f>""</f>
        <v/>
      </c>
      <c r="BM194" t="str">
        <f>""</f>
        <v/>
      </c>
      <c r="BN194" t="str">
        <f>""</f>
        <v/>
      </c>
      <c r="BO194" t="str">
        <f>""</f>
        <v/>
      </c>
      <c r="BP194" t="str">
        <f>""</f>
        <v/>
      </c>
      <c r="BQ194" t="str">
        <f>""</f>
        <v/>
      </c>
      <c r="BR194" t="str">
        <f>""</f>
        <v/>
      </c>
      <c r="BS194" t="str">
        <f>""</f>
        <v/>
      </c>
    </row>
    <row r="195" spans="1:71" x14ac:dyDescent="0.25">
      <c r="A195" t="str">
        <f>"        US Bancorp"</f>
        <v xml:space="preserve">        US Bancorp</v>
      </c>
      <c r="B195" t="str">
        <f>"USB US Equity"</f>
        <v>USB US Equity</v>
      </c>
      <c r="C195" t="str">
        <f t="shared" si="24"/>
        <v>F0109</v>
      </c>
      <c r="D195" t="str">
        <f t="shared" si="25"/>
        <v>FED_RE_LNS_DOM_%_TOT_LNS_LEAS</v>
      </c>
      <c r="E195" t="str">
        <f t="shared" si="26"/>
        <v>Dynamic</v>
      </c>
      <c r="F195">
        <f ca="1">IF(AND(ISNUMBER($F$605),$B$427=1),$F$605,HLOOKUP(INDIRECT(ADDRESS(2,COLUMN())),OFFSET($AM$2,0,0,ROW()-1,33),ROW()-1,FALSE))</f>
        <v>47.560832099999999</v>
      </c>
      <c r="G195">
        <f ca="1">IF(AND(ISNUMBER($G$605),$B$427=1),$G$605,HLOOKUP(INDIRECT(ADDRESS(2,COLUMN())),OFFSET($AM$2,0,0,ROW()-1,33),ROW()-1,FALSE))</f>
        <v>48.461849399999998</v>
      </c>
      <c r="H195">
        <f ca="1">IF(AND(ISNUMBER($H$605),$B$427=1),$H$605,HLOOKUP(INDIRECT(ADDRESS(2,COLUMN())),OFFSET($AM$2,0,0,ROW()-1,33),ROW()-1,FALSE))</f>
        <v>47.27967563</v>
      </c>
      <c r="I195">
        <f ca="1">IF(AND(ISNUMBER($I$605),$B$427=1),$I$605,HLOOKUP(INDIRECT(ADDRESS(2,COLUMN())),OFFSET($AM$2,0,0,ROW()-1,33),ROW()-1,FALSE))</f>
        <v>40.970222290000002</v>
      </c>
      <c r="J195">
        <f ca="1">IF(AND(ISNUMBER($J$605),$B$427=1),$J$605,HLOOKUP(INDIRECT(ADDRESS(2,COLUMN())),OFFSET($AM$2,0,0,ROW()-1,33),ROW()-1,FALSE))</f>
        <v>44.021235500000003</v>
      </c>
      <c r="K195">
        <f ca="1">IF(AND(ISNUMBER($K$605),$B$427=1),$K$605,HLOOKUP(INDIRECT(ADDRESS(2,COLUMN())),OFFSET($AM$2,0,0,ROW()-1,33),ROW()-1,FALSE))</f>
        <v>42.788716520000001</v>
      </c>
      <c r="L195">
        <f ca="1">IF(AND(ISNUMBER($L$605),$B$427=1),$L$605,HLOOKUP(INDIRECT(ADDRESS(2,COLUMN())),OFFSET($AM$2,0,0,ROW()-1,33),ROW()-1,FALSE))</f>
        <v>41.762416279999997</v>
      </c>
      <c r="M195">
        <f ca="1">IF(AND(ISNUMBER($M$605),$B$427=1),$M$605,HLOOKUP(INDIRECT(ADDRESS(2,COLUMN())),OFFSET($AM$2,0,0,ROW()-1,33),ROW()-1,FALSE))</f>
        <v>42.50285787</v>
      </c>
      <c r="N195">
        <f ca="1">IF(AND(ISNUMBER($N$605),$B$427=1),$N$605,HLOOKUP(INDIRECT(ADDRESS(2,COLUMN())),OFFSET($AM$2,0,0,ROW()-1,33),ROW()-1,FALSE))</f>
        <v>44.052389900000001</v>
      </c>
      <c r="O195">
        <f ca="1">IF(AND(ISNUMBER($O$605),$B$427=1),$O$605,HLOOKUP(INDIRECT(ADDRESS(2,COLUMN())),OFFSET($AM$2,0,0,ROW()-1,33),ROW()-1,FALSE))</f>
        <v>44.149642020000002</v>
      </c>
      <c r="P195">
        <f ca="1">IF(AND(ISNUMBER($P$605),$B$427=1),$P$605,HLOOKUP(INDIRECT(ADDRESS(2,COLUMN())),OFFSET($AM$2,0,0,ROW()-1,33),ROW()-1,FALSE))</f>
        <v>46.322394899999999</v>
      </c>
      <c r="Q195">
        <f ca="1">IF(AND(ISNUMBER($Q$605),$B$427=1),$Q$605,HLOOKUP(INDIRECT(ADDRESS(2,COLUMN())),OFFSET($AM$2,0,0,ROW()-1,33),ROW()-1,FALSE))</f>
        <v>48.002346950000003</v>
      </c>
      <c r="R195">
        <f ca="1">IF(AND(ISNUMBER($R$605),$B$427=1),$R$605,HLOOKUP(INDIRECT(ADDRESS(2,COLUMN())),OFFSET($AM$2,0,0,ROW()-1,33),ROW()-1,FALSE))</f>
        <v>49.01554179</v>
      </c>
      <c r="S195">
        <f ca="1">IF(AND(ISNUMBER($S$605),$B$427=1),$S$605,HLOOKUP(INDIRECT(ADDRESS(2,COLUMN())),OFFSET($AM$2,0,0,ROW()-1,33),ROW()-1,FALSE))</f>
        <v>50.111673230000001</v>
      </c>
      <c r="T195">
        <f ca="1">IF(AND(ISNUMBER($T$605),$B$427=1),$T$605,HLOOKUP(INDIRECT(ADDRESS(2,COLUMN())),OFFSET($AM$2,0,0,ROW()-1,33),ROW()-1,FALSE))</f>
        <v>51.707654660000003</v>
      </c>
      <c r="U195">
        <f ca="1">IF(AND(ISNUMBER($U$605),$B$427=1),$U$605,HLOOKUP(INDIRECT(ADDRESS(2,COLUMN())),OFFSET($AM$2,0,0,ROW()-1,33),ROW()-1,FALSE))</f>
        <v>49.81180492</v>
      </c>
      <c r="V195">
        <f ca="1">IF(AND(ISNUMBER($V$605),$B$427=1),$V$605,HLOOKUP(INDIRECT(ADDRESS(2,COLUMN())),OFFSET($AM$2,0,0,ROW()-1,33),ROW()-1,FALSE))</f>
        <v>45.528126909999997</v>
      </c>
      <c r="W195">
        <f ca="1">IF(AND(ISNUMBER($W$605),$B$427=1),$W$605,HLOOKUP(INDIRECT(ADDRESS(2,COLUMN())),OFFSET($AM$2,0,0,ROW()-1,33),ROW()-1,FALSE))</f>
        <v>44.200294999999997</v>
      </c>
      <c r="X195">
        <f ca="1">IF(AND(ISNUMBER($X$605),$B$427=1),$X$605,HLOOKUP(INDIRECT(ADDRESS(2,COLUMN())),OFFSET($AM$2,0,0,ROW()-1,33),ROW()-1,FALSE))</f>
        <v>28.020537539999999</v>
      </c>
      <c r="Y195">
        <f ca="1">IF(AND(ISNUMBER($Y$605),$B$427=1),$Y$605,HLOOKUP(INDIRECT(ADDRESS(2,COLUMN())),OFFSET($AM$2,0,0,ROW()-1,33),ROW()-1,FALSE))</f>
        <v>28.864020880000002</v>
      </c>
      <c r="Z195">
        <f ca="1">IF(AND(ISNUMBER($Z$605),$B$427=1),$Z$605,HLOOKUP(INDIRECT(ADDRESS(2,COLUMN())),OFFSET($AM$2,0,0,ROW()-1,33),ROW()-1,FALSE))</f>
        <v>27.04572851</v>
      </c>
      <c r="AA195">
        <f ca="1">IF(AND(ISNUMBER($AA$605),$B$427=1),$AA$605,HLOOKUP(INDIRECT(ADDRESS(2,COLUMN())),OFFSET($AM$2,0,0,ROW()-1,33),ROW()-1,FALSE))</f>
        <v>26.067954669999999</v>
      </c>
      <c r="AB195">
        <f ca="1">IF(AND(ISNUMBER($AB$605),$B$427=1),$AB$605,HLOOKUP(INDIRECT(ADDRESS(2,COLUMN())),OFFSET($AM$2,0,0,ROW()-1,33),ROW()-1,FALSE))</f>
        <v>25.467984390000002</v>
      </c>
      <c r="AC195">
        <f ca="1">IF(AND(ISNUMBER($AC$605),$B$427=1),$AC$605,HLOOKUP(INDIRECT(ADDRESS(2,COLUMN())),OFFSET($AM$2,0,0,ROW()-1,33),ROW()-1,FALSE))</f>
        <v>21.853700150000002</v>
      </c>
      <c r="AD195" t="str">
        <f ca="1">IF(AND(ISNUMBER($AD$605),$B$427=1),$AD$605,HLOOKUP(INDIRECT(ADDRESS(2,COLUMN())),OFFSET($AM$2,0,0,ROW()-1,33),ROW()-1,FALSE))</f>
        <v/>
      </c>
      <c r="AE195" t="str">
        <f ca="1">IF(AND(ISNUMBER($AE$605),$B$427=1),$AE$605,HLOOKUP(INDIRECT(ADDRESS(2,COLUMN())),OFFSET($AM$2,0,0,ROW()-1,33),ROW()-1,FALSE))</f>
        <v/>
      </c>
      <c r="AF195" t="str">
        <f ca="1">IF(AND(ISNUMBER($AF$605),$B$427=1),$AF$605,HLOOKUP(INDIRECT(ADDRESS(2,COLUMN())),OFFSET($AM$2,0,0,ROW()-1,33),ROW()-1,FALSE))</f>
        <v/>
      </c>
      <c r="AG195" t="str">
        <f ca="1">IF(AND(ISNUMBER($AG$605),$B$427=1),$AG$605,HLOOKUP(INDIRECT(ADDRESS(2,COLUMN())),OFFSET($AM$2,0,0,ROW()-1,33),ROW()-1,FALSE))</f>
        <v/>
      </c>
      <c r="AH195" t="str">
        <f ca="1">IF(AND(ISNUMBER($AH$605),$B$427=1),$AH$605,HLOOKUP(INDIRECT(ADDRESS(2,COLUMN())),OFFSET($AM$2,0,0,ROW()-1,33),ROW()-1,FALSE))</f>
        <v/>
      </c>
      <c r="AI195" t="str">
        <f ca="1">IF(AND(ISNUMBER($AI$605),$B$427=1),$AI$605,HLOOKUP(INDIRECT(ADDRESS(2,COLUMN())),OFFSET($AM$2,0,0,ROW()-1,33),ROW()-1,FALSE))</f>
        <v/>
      </c>
      <c r="AJ195" t="str">
        <f ca="1">IF(AND(ISNUMBER($AJ$605),$B$427=1),$AJ$605,HLOOKUP(INDIRECT(ADDRESS(2,COLUMN())),OFFSET($AM$2,0,0,ROW()-1,33),ROW()-1,FALSE))</f>
        <v/>
      </c>
      <c r="AK195" t="str">
        <f ca="1">IF(AND(ISNUMBER($AK$605),$B$427=1),$AK$605,HLOOKUP(INDIRECT(ADDRESS(2,COLUMN())),OFFSET($AM$2,0,0,ROW()-1,33),ROW()-1,FALSE))</f>
        <v/>
      </c>
      <c r="AL195" t="str">
        <f ca="1">IF(AND(ISNUMBER($AL$605),$B$427=1),$AL$605,HLOOKUP(INDIRECT(ADDRESS(2,COLUMN())),OFFSET($AM$2,0,0,ROW()-1,33),ROW()-1,FALSE))</f>
        <v/>
      </c>
      <c r="AM195">
        <f>47.5608321</f>
        <v>47.560832099999999</v>
      </c>
      <c r="AN195">
        <f>48.4618494</f>
        <v>48.461849399999998</v>
      </c>
      <c r="AO195">
        <f>47.27967563</f>
        <v>47.27967563</v>
      </c>
      <c r="AP195">
        <f>40.97022229</f>
        <v>40.970222290000002</v>
      </c>
      <c r="AQ195">
        <f>44.0212355</f>
        <v>44.021235500000003</v>
      </c>
      <c r="AR195">
        <f>42.78871652</f>
        <v>42.788716520000001</v>
      </c>
      <c r="AS195">
        <f>41.76241628</f>
        <v>41.762416279999997</v>
      </c>
      <c r="AT195">
        <f>42.50285787</f>
        <v>42.50285787</v>
      </c>
      <c r="AU195">
        <f>44.0523899</f>
        <v>44.052389900000001</v>
      </c>
      <c r="AV195">
        <f>44.14964202</f>
        <v>44.149642020000002</v>
      </c>
      <c r="AW195">
        <f>46.3223949</f>
        <v>46.322394899999999</v>
      </c>
      <c r="AX195">
        <f>48.00234695</f>
        <v>48.002346950000003</v>
      </c>
      <c r="AY195">
        <f>49.01554179</f>
        <v>49.01554179</v>
      </c>
      <c r="AZ195">
        <f>50.11167323</f>
        <v>50.111673230000001</v>
      </c>
      <c r="BA195">
        <f>51.70765466</f>
        <v>51.707654660000003</v>
      </c>
      <c r="BB195">
        <f>49.81180492</f>
        <v>49.81180492</v>
      </c>
      <c r="BC195">
        <f>45.52812691</f>
        <v>45.528126909999997</v>
      </c>
      <c r="BD195">
        <f>44.200295</f>
        <v>44.200294999999997</v>
      </c>
      <c r="BE195">
        <f>28.02053754</f>
        <v>28.020537539999999</v>
      </c>
      <c r="BF195">
        <f>28.86402088</f>
        <v>28.864020880000002</v>
      </c>
      <c r="BG195">
        <f>27.04572851</f>
        <v>27.04572851</v>
      </c>
      <c r="BH195">
        <f>26.06795467</f>
        <v>26.067954669999999</v>
      </c>
      <c r="BI195">
        <f>25.46798439</f>
        <v>25.467984390000002</v>
      </c>
      <c r="BJ195">
        <f>21.85370015</f>
        <v>21.853700150000002</v>
      </c>
      <c r="BK195" t="str">
        <f>""</f>
        <v/>
      </c>
      <c r="BL195" t="str">
        <f>""</f>
        <v/>
      </c>
      <c r="BM195" t="str">
        <f>""</f>
        <v/>
      </c>
      <c r="BN195" t="str">
        <f>""</f>
        <v/>
      </c>
      <c r="BO195" t="str">
        <f>""</f>
        <v/>
      </c>
      <c r="BP195" t="str">
        <f>""</f>
        <v/>
      </c>
      <c r="BQ195" t="str">
        <f>""</f>
        <v/>
      </c>
      <c r="BR195" t="str">
        <f>""</f>
        <v/>
      </c>
      <c r="BS195" t="str">
        <f>""</f>
        <v/>
      </c>
    </row>
    <row r="196" spans="1:71" x14ac:dyDescent="0.25">
      <c r="A196" t="str">
        <f>"        Wells Fargo &amp; Co"</f>
        <v xml:space="preserve">        Wells Fargo &amp; Co</v>
      </c>
      <c r="B196" t="str">
        <f>"WFC US Equity"</f>
        <v>WFC US Equity</v>
      </c>
      <c r="C196" t="str">
        <f t="shared" si="24"/>
        <v>F0109</v>
      </c>
      <c r="D196" t="str">
        <f t="shared" si="25"/>
        <v>FED_RE_LNS_DOM_%_TOT_LNS_LEAS</v>
      </c>
      <c r="E196" t="str">
        <f t="shared" si="26"/>
        <v>Dynamic</v>
      </c>
      <c r="F196">
        <f ca="1">IF(AND(ISNUMBER($F$606),$B$427=1),$F$606,HLOOKUP(INDIRECT(ADDRESS(2,COLUMN())),OFFSET($AM$2,0,0,ROW()-1,33),ROW()-1,FALSE))</f>
        <v>41.219748789999997</v>
      </c>
      <c r="G196">
        <f ca="1">IF(AND(ISNUMBER($G$606),$B$427=1),$G$606,HLOOKUP(INDIRECT(ADDRESS(2,COLUMN())),OFFSET($AM$2,0,0,ROW()-1,33),ROW()-1,FALSE))</f>
        <v>42.513021039999998</v>
      </c>
      <c r="H196">
        <f ca="1">IF(AND(ISNUMBER($H$606),$B$427=1),$H$606,HLOOKUP(INDIRECT(ADDRESS(2,COLUMN())),OFFSET($AM$2,0,0,ROW()-1,33),ROW()-1,FALSE))</f>
        <v>43.126377390000002</v>
      </c>
      <c r="I196">
        <f ca="1">IF(AND(ISNUMBER($I$606),$B$427=1),$I$606,HLOOKUP(INDIRECT(ADDRESS(2,COLUMN())),OFFSET($AM$2,0,0,ROW()-1,33),ROW()-1,FALSE))</f>
        <v>44.871119890000003</v>
      </c>
      <c r="J196">
        <f ca="1">IF(AND(ISNUMBER($J$606),$B$427=1),$J$606,HLOOKUP(INDIRECT(ADDRESS(2,COLUMN())),OFFSET($AM$2,0,0,ROW()-1,33),ROW()-1,FALSE))</f>
        <v>48.796299099999999</v>
      </c>
      <c r="K196">
        <f ca="1">IF(AND(ISNUMBER($K$606),$B$427=1),$K$606,HLOOKUP(INDIRECT(ADDRESS(2,COLUMN())),OFFSET($AM$2,0,0,ROW()-1,33),ROW()-1,FALSE))</f>
        <v>48.11992128</v>
      </c>
      <c r="L196">
        <f ca="1">IF(AND(ISNUMBER($L$606),$B$427=1),$L$606,HLOOKUP(INDIRECT(ADDRESS(2,COLUMN())),OFFSET($AM$2,0,0,ROW()-1,33),ROW()-1,FALSE))</f>
        <v>48.450837649999997</v>
      </c>
      <c r="M196">
        <f ca="1">IF(AND(ISNUMBER($M$606),$B$427=1),$M$606,HLOOKUP(INDIRECT(ADDRESS(2,COLUMN())),OFFSET($AM$2,0,0,ROW()-1,33),ROW()-1,FALSE))</f>
        <v>49.926709279999997</v>
      </c>
      <c r="N196">
        <f ca="1">IF(AND(ISNUMBER($N$606),$B$427=1),$N$606,HLOOKUP(INDIRECT(ADDRESS(2,COLUMN())),OFFSET($AM$2,0,0,ROW()-1,33),ROW()-1,FALSE))</f>
        <v>50.244545270000003</v>
      </c>
      <c r="O196">
        <f ca="1">IF(AND(ISNUMBER($O$606),$B$427=1),$O$606,HLOOKUP(INDIRECT(ADDRESS(2,COLUMN())),OFFSET($AM$2,0,0,ROW()-1,33),ROW()-1,FALSE))</f>
        <v>51.809601270000002</v>
      </c>
      <c r="P196">
        <f ca="1">IF(AND(ISNUMBER($P$606),$B$427=1),$P$606,HLOOKUP(INDIRECT(ADDRESS(2,COLUMN())),OFFSET($AM$2,0,0,ROW()-1,33),ROW()-1,FALSE))</f>
        <v>53.626781899999997</v>
      </c>
      <c r="Q196">
        <f ca="1">IF(AND(ISNUMBER($Q$606),$B$427=1),$Q$606,HLOOKUP(INDIRECT(ADDRESS(2,COLUMN())),OFFSET($AM$2,0,0,ROW()-1,33),ROW()-1,FALSE))</f>
        <v>55.444125390000004</v>
      </c>
      <c r="R196">
        <f ca="1">IF(AND(ISNUMBER($R$606),$B$427=1),$R$606,HLOOKUP(INDIRECT(ADDRESS(2,COLUMN())),OFFSET($AM$2,0,0,ROW()-1,33),ROW()-1,FALSE))</f>
        <v>58.752408260000003</v>
      </c>
      <c r="S196">
        <f ca="1">IF(AND(ISNUMBER($S$606),$B$427=1),$S$606,HLOOKUP(INDIRECT(ADDRESS(2,COLUMN())),OFFSET($AM$2,0,0,ROW()-1,33),ROW()-1,FALSE))</f>
        <v>59.531126800000003</v>
      </c>
      <c r="T196">
        <f ca="1">IF(AND(ISNUMBER($T$606),$B$427=1),$T$606,HLOOKUP(INDIRECT(ADDRESS(2,COLUMN())),OFFSET($AM$2,0,0,ROW()-1,33),ROW()-1,FALSE))</f>
        <v>61.918108760000003</v>
      </c>
      <c r="U196">
        <f ca="1">IF(AND(ISNUMBER($U$606),$B$427=1),$U$606,HLOOKUP(INDIRECT(ADDRESS(2,COLUMN())),OFFSET($AM$2,0,0,ROW()-1,33),ROW()-1,FALSE))</f>
        <v>61.157785730000001</v>
      </c>
      <c r="V196">
        <f ca="1">IF(AND(ISNUMBER($V$606),$B$427=1),$V$606,HLOOKUP(INDIRECT(ADDRESS(2,COLUMN())),OFFSET($AM$2,0,0,ROW()-1,33),ROW()-1,FALSE))</f>
        <v>57.954723979999997</v>
      </c>
      <c r="W196">
        <f ca="1">IF(AND(ISNUMBER($W$606),$B$427=1),$W$606,HLOOKUP(INDIRECT(ADDRESS(2,COLUMN())),OFFSET($AM$2,0,0,ROW()-1,33),ROW()-1,FALSE))</f>
        <v>55.887920229999999</v>
      </c>
      <c r="X196">
        <f ca="1">IF(AND(ISNUMBER($X$606),$B$427=1),$X$606,HLOOKUP(INDIRECT(ADDRESS(2,COLUMN())),OFFSET($AM$2,0,0,ROW()-1,33),ROW()-1,FALSE))</f>
        <v>44.901023850000001</v>
      </c>
      <c r="Y196">
        <f ca="1">IF(AND(ISNUMBER($Y$606),$B$427=1),$Y$606,HLOOKUP(INDIRECT(ADDRESS(2,COLUMN())),OFFSET($AM$2,0,0,ROW()-1,33),ROW()-1,FALSE))</f>
        <v>51.563853940000001</v>
      </c>
      <c r="Z196">
        <f ca="1">IF(AND(ISNUMBER($Z$606),$B$427=1),$Z$606,HLOOKUP(INDIRECT(ADDRESS(2,COLUMN())),OFFSET($AM$2,0,0,ROW()-1,33),ROW()-1,FALSE))</f>
        <v>53.201982530000002</v>
      </c>
      <c r="AA196">
        <f ca="1">IF(AND(ISNUMBER($AA$606),$B$427=1),$AA$606,HLOOKUP(INDIRECT(ADDRESS(2,COLUMN())),OFFSET($AM$2,0,0,ROW()-1,33),ROW()-1,FALSE))</f>
        <v>52.614495320000003</v>
      </c>
      <c r="AB196">
        <f ca="1">IF(AND(ISNUMBER($AB$606),$B$427=1),$AB$606,HLOOKUP(INDIRECT(ADDRESS(2,COLUMN())),OFFSET($AM$2,0,0,ROW()-1,33),ROW()-1,FALSE))</f>
        <v>49.710162580000002</v>
      </c>
      <c r="AC196">
        <f ca="1">IF(AND(ISNUMBER($AC$606),$B$427=1),$AC$606,HLOOKUP(INDIRECT(ADDRESS(2,COLUMN())),OFFSET($AM$2,0,0,ROW()-1,33),ROW()-1,FALSE))</f>
        <v>40.751460399999999</v>
      </c>
      <c r="AD196" t="str">
        <f ca="1">IF(AND(ISNUMBER($AD$606),$B$427=1),$AD$606,HLOOKUP(INDIRECT(ADDRESS(2,COLUMN())),OFFSET($AM$2,0,0,ROW()-1,33),ROW()-1,FALSE))</f>
        <v/>
      </c>
      <c r="AE196" t="str">
        <f ca="1">IF(AND(ISNUMBER($AE$606),$B$427=1),$AE$606,HLOOKUP(INDIRECT(ADDRESS(2,COLUMN())),OFFSET($AM$2,0,0,ROW()-1,33),ROW()-1,FALSE))</f>
        <v/>
      </c>
      <c r="AF196" t="str">
        <f ca="1">IF(AND(ISNUMBER($AF$606),$B$427=1),$AF$606,HLOOKUP(INDIRECT(ADDRESS(2,COLUMN())),OFFSET($AM$2,0,0,ROW()-1,33),ROW()-1,FALSE))</f>
        <v/>
      </c>
      <c r="AG196" t="str">
        <f ca="1">IF(AND(ISNUMBER($AG$606),$B$427=1),$AG$606,HLOOKUP(INDIRECT(ADDRESS(2,COLUMN())),OFFSET($AM$2,0,0,ROW()-1,33),ROW()-1,FALSE))</f>
        <v/>
      </c>
      <c r="AH196" t="str">
        <f ca="1">IF(AND(ISNUMBER($AH$606),$B$427=1),$AH$606,HLOOKUP(INDIRECT(ADDRESS(2,COLUMN())),OFFSET($AM$2,0,0,ROW()-1,33),ROW()-1,FALSE))</f>
        <v/>
      </c>
      <c r="AI196" t="str">
        <f ca="1">IF(AND(ISNUMBER($AI$606),$B$427=1),$AI$606,HLOOKUP(INDIRECT(ADDRESS(2,COLUMN())),OFFSET($AM$2,0,0,ROW()-1,33),ROW()-1,FALSE))</f>
        <v/>
      </c>
      <c r="AJ196" t="str">
        <f ca="1">IF(AND(ISNUMBER($AJ$606),$B$427=1),$AJ$606,HLOOKUP(INDIRECT(ADDRESS(2,COLUMN())),OFFSET($AM$2,0,0,ROW()-1,33),ROW()-1,FALSE))</f>
        <v/>
      </c>
      <c r="AK196" t="str">
        <f ca="1">IF(AND(ISNUMBER($AK$606),$B$427=1),$AK$606,HLOOKUP(INDIRECT(ADDRESS(2,COLUMN())),OFFSET($AM$2,0,0,ROW()-1,33),ROW()-1,FALSE))</f>
        <v/>
      </c>
      <c r="AL196" t="str">
        <f ca="1">IF(AND(ISNUMBER($AL$606),$B$427=1),$AL$606,HLOOKUP(INDIRECT(ADDRESS(2,COLUMN())),OFFSET($AM$2,0,0,ROW()-1,33),ROW()-1,FALSE))</f>
        <v/>
      </c>
      <c r="AM196">
        <f>41.21974879</f>
        <v>41.219748789999997</v>
      </c>
      <c r="AN196">
        <f>42.51302104</f>
        <v>42.513021039999998</v>
      </c>
      <c r="AO196">
        <f>43.12637739</f>
        <v>43.126377390000002</v>
      </c>
      <c r="AP196">
        <f>44.87111989</f>
        <v>44.871119890000003</v>
      </c>
      <c r="AQ196">
        <f>48.7962991</f>
        <v>48.796299099999999</v>
      </c>
      <c r="AR196">
        <f>48.11992128</f>
        <v>48.11992128</v>
      </c>
      <c r="AS196">
        <f>48.45083765</f>
        <v>48.450837649999997</v>
      </c>
      <c r="AT196">
        <f>49.92670928</f>
        <v>49.926709279999997</v>
      </c>
      <c r="AU196">
        <f>50.24454527</f>
        <v>50.244545270000003</v>
      </c>
      <c r="AV196">
        <f>51.80960127</f>
        <v>51.809601270000002</v>
      </c>
      <c r="AW196">
        <f>53.6267819</f>
        <v>53.626781899999997</v>
      </c>
      <c r="AX196">
        <f>55.44412539</f>
        <v>55.444125390000004</v>
      </c>
      <c r="AY196">
        <f>58.75240826</f>
        <v>58.752408260000003</v>
      </c>
      <c r="AZ196">
        <f>59.5311268</f>
        <v>59.531126800000003</v>
      </c>
      <c r="BA196">
        <f>61.91810876</f>
        <v>61.918108760000003</v>
      </c>
      <c r="BB196">
        <f>61.15778573</f>
        <v>61.157785730000001</v>
      </c>
      <c r="BC196">
        <f>57.95472398</f>
        <v>57.954723979999997</v>
      </c>
      <c r="BD196">
        <f>55.88792023</f>
        <v>55.887920229999999</v>
      </c>
      <c r="BE196">
        <f>44.90102385</f>
        <v>44.901023850000001</v>
      </c>
      <c r="BF196">
        <f>51.56385394</f>
        <v>51.563853940000001</v>
      </c>
      <c r="BG196">
        <f>53.20198253</f>
        <v>53.201982530000002</v>
      </c>
      <c r="BH196">
        <f>52.61449532</f>
        <v>52.614495320000003</v>
      </c>
      <c r="BI196">
        <f>49.71016258</f>
        <v>49.710162580000002</v>
      </c>
      <c r="BJ196">
        <f>40.7514604</f>
        <v>40.751460399999999</v>
      </c>
      <c r="BK196" t="str">
        <f>""</f>
        <v/>
      </c>
      <c r="BL196" t="str">
        <f>""</f>
        <v/>
      </c>
      <c r="BM196" t="str">
        <f>""</f>
        <v/>
      </c>
      <c r="BN196" t="str">
        <f>""</f>
        <v/>
      </c>
      <c r="BO196" t="str">
        <f>""</f>
        <v/>
      </c>
      <c r="BP196" t="str">
        <f>""</f>
        <v/>
      </c>
      <c r="BQ196" t="str">
        <f>""</f>
        <v/>
      </c>
      <c r="BR196" t="str">
        <f>""</f>
        <v/>
      </c>
      <c r="BS196" t="str">
        <f>""</f>
        <v/>
      </c>
    </row>
    <row r="197" spans="1:71" x14ac:dyDescent="0.25">
      <c r="A197" t="str">
        <f>"        Western Alliance Bancorp"</f>
        <v xml:space="preserve">        Western Alliance Bancorp</v>
      </c>
      <c r="B197" t="str">
        <f>"WAL US Equity"</f>
        <v>WAL US Equity</v>
      </c>
      <c r="C197" t="str">
        <f t="shared" si="24"/>
        <v>F0109</v>
      </c>
      <c r="D197" t="str">
        <f t="shared" si="25"/>
        <v>FED_RE_LNS_DOM_%_TOT_LNS_LEAS</v>
      </c>
      <c r="E197" t="str">
        <f t="shared" si="26"/>
        <v>Dynamic</v>
      </c>
      <c r="F197">
        <f ca="1">IF(AND(ISNUMBER($F$607),$B$427=1),$F$607,HLOOKUP(INDIRECT(ADDRESS(2,COLUMN())),OFFSET($AM$2,0,0,ROW()-1,33),ROW()-1,FALSE))</f>
        <v>58.44719714</v>
      </c>
      <c r="G197">
        <f ca="1">IF(AND(ISNUMBER($G$607),$B$427=1),$G$607,HLOOKUP(INDIRECT(ADDRESS(2,COLUMN())),OFFSET($AM$2,0,0,ROW()-1,33),ROW()-1,FALSE))</f>
        <v>62.561144059999997</v>
      </c>
      <c r="H197">
        <f ca="1">IF(AND(ISNUMBER($H$607),$B$427=1),$H$607,HLOOKUP(INDIRECT(ADDRESS(2,COLUMN())),OFFSET($AM$2,0,0,ROW()-1,33),ROW()-1,FALSE))</f>
        <v>60.740013240000003</v>
      </c>
      <c r="I197">
        <f ca="1">IF(AND(ISNUMBER($I$607),$B$427=1),$I$607,HLOOKUP(INDIRECT(ADDRESS(2,COLUMN())),OFFSET($AM$2,0,0,ROW()-1,33),ROW()-1,FALSE))</f>
        <v>58.409343819999997</v>
      </c>
      <c r="J197">
        <f ca="1">IF(AND(ISNUMBER($J$607),$B$427=1),$J$607,HLOOKUP(INDIRECT(ADDRESS(2,COLUMN())),OFFSET($AM$2,0,0,ROW()-1,33),ROW()-1,FALSE))</f>
        <v>45.708419669999998</v>
      </c>
      <c r="K197">
        <f ca="1">IF(AND(ISNUMBER($K$607),$B$427=1),$K$607,HLOOKUP(INDIRECT(ADDRESS(2,COLUMN())),OFFSET($AM$2,0,0,ROW()-1,33),ROW()-1,FALSE))</f>
        <v>53.663145180000001</v>
      </c>
      <c r="L197">
        <f ca="1">IF(AND(ISNUMBER($L$607),$B$427=1),$L$607,HLOOKUP(INDIRECT(ADDRESS(2,COLUMN())),OFFSET($AM$2,0,0,ROW()-1,33),ROW()-1,FALSE))</f>
        <v>53.981284350000003</v>
      </c>
      <c r="M197">
        <f ca="1">IF(AND(ISNUMBER($M$607),$B$427=1),$M$607,HLOOKUP(INDIRECT(ADDRESS(2,COLUMN())),OFFSET($AM$2,0,0,ROW()-1,33),ROW()-1,FALSE))</f>
        <v>52.17350545</v>
      </c>
      <c r="N197">
        <f ca="1">IF(AND(ISNUMBER($N$607),$B$427=1),$N$607,HLOOKUP(INDIRECT(ADDRESS(2,COLUMN())),OFFSET($AM$2,0,0,ROW()-1,33),ROW()-1,FALSE))</f>
        <v>53.336125490000001</v>
      </c>
      <c r="O197">
        <f ca="1">IF(AND(ISNUMBER($O$607),$B$427=1),$O$607,HLOOKUP(INDIRECT(ADDRESS(2,COLUMN())),OFFSET($AM$2,0,0,ROW()-1,33),ROW()-1,FALSE))</f>
        <v>50.21035475</v>
      </c>
      <c r="P197">
        <f ca="1">IF(AND(ISNUMBER($P$607),$B$427=1),$P$607,HLOOKUP(INDIRECT(ADDRESS(2,COLUMN())),OFFSET($AM$2,0,0,ROW()-1,33),ROW()-1,FALSE))</f>
        <v>57.190360149999997</v>
      </c>
      <c r="Q197">
        <f ca="1">IF(AND(ISNUMBER($Q$607),$B$427=1),$Q$607,HLOOKUP(INDIRECT(ADDRESS(2,COLUMN())),OFFSET($AM$2,0,0,ROW()-1,33),ROW()-1,FALSE))</f>
        <v>62.793566290000001</v>
      </c>
      <c r="R197">
        <f ca="1">IF(AND(ISNUMBER($R$607),$B$427=1),$R$607,HLOOKUP(INDIRECT(ADDRESS(2,COLUMN())),OFFSET($AM$2,0,0,ROW()-1,33),ROW()-1,FALSE))</f>
        <v>64.819196120000001</v>
      </c>
      <c r="S197">
        <f ca="1">IF(AND(ISNUMBER($S$607),$B$427=1),$S$607,HLOOKUP(INDIRECT(ADDRESS(2,COLUMN())),OFFSET($AM$2,0,0,ROW()-1,33),ROW()-1,FALSE))</f>
        <v>70.565135400000003</v>
      </c>
      <c r="T197">
        <f ca="1">IF(AND(ISNUMBER($T$607),$B$427=1),$T$607,HLOOKUP(INDIRECT(ADDRESS(2,COLUMN())),OFFSET($AM$2,0,0,ROW()-1,33),ROW()-1,FALSE))</f>
        <v>76.306303819999997</v>
      </c>
      <c r="U197">
        <f ca="1">IF(AND(ISNUMBER($U$607),$B$427=1),$U$607,HLOOKUP(INDIRECT(ADDRESS(2,COLUMN())),OFFSET($AM$2,0,0,ROW()-1,33),ROW()-1,FALSE))</f>
        <v>78.604051179999999</v>
      </c>
      <c r="V197">
        <f ca="1">IF(AND(ISNUMBER($V$607),$B$427=1),$V$607,HLOOKUP(INDIRECT(ADDRESS(2,COLUMN())),OFFSET($AM$2,0,0,ROW()-1,33),ROW()-1,FALSE))</f>
        <v>77.334760180000004</v>
      </c>
      <c r="W197">
        <f ca="1">IF(AND(ISNUMBER($W$607),$B$427=1),$W$607,HLOOKUP(INDIRECT(ADDRESS(2,COLUMN())),OFFSET($AM$2,0,0,ROW()-1,33),ROW()-1,FALSE))</f>
        <v>77.274296230000004</v>
      </c>
      <c r="X197">
        <f ca="1">IF(AND(ISNUMBER($X$607),$B$427=1),$X$607,HLOOKUP(INDIRECT(ADDRESS(2,COLUMN())),OFFSET($AM$2,0,0,ROW()-1,33),ROW()-1,FALSE))</f>
        <v>13.883584450000001</v>
      </c>
      <c r="Y197">
        <f ca="1">IF(AND(ISNUMBER($Y$607),$B$427=1),$Y$607,HLOOKUP(INDIRECT(ADDRESS(2,COLUMN())),OFFSET($AM$2,0,0,ROW()-1,33),ROW()-1,FALSE))</f>
        <v>16.60882234</v>
      </c>
      <c r="Z197">
        <f ca="1">IF(AND(ISNUMBER($Z$607),$B$427=1),$Z$607,HLOOKUP(INDIRECT(ADDRESS(2,COLUMN())),OFFSET($AM$2,0,0,ROW()-1,33),ROW()-1,FALSE))</f>
        <v>11.228778139999999</v>
      </c>
      <c r="AA197">
        <f ca="1">IF(AND(ISNUMBER($AA$607),$B$427=1),$AA$607,HLOOKUP(INDIRECT(ADDRESS(2,COLUMN())),OFFSET($AM$2,0,0,ROW()-1,33),ROW()-1,FALSE))</f>
        <v>7.7240051369999998</v>
      </c>
      <c r="AB197">
        <f ca="1">IF(AND(ISNUMBER($AB$607),$B$427=1),$AB$607,HLOOKUP(INDIRECT(ADDRESS(2,COLUMN())),OFFSET($AM$2,0,0,ROW()-1,33),ROW()-1,FALSE))</f>
        <v>5.6260537949999998</v>
      </c>
      <c r="AC197">
        <f ca="1">IF(AND(ISNUMBER($AC$607),$B$427=1),$AC$607,HLOOKUP(INDIRECT(ADDRESS(2,COLUMN())),OFFSET($AM$2,0,0,ROW()-1,33),ROW()-1,FALSE))</f>
        <v>4.4329173429999997</v>
      </c>
      <c r="AD197" t="str">
        <f ca="1">IF(AND(ISNUMBER($AD$607),$B$427=1),$AD$607,HLOOKUP(INDIRECT(ADDRESS(2,COLUMN())),OFFSET($AM$2,0,0,ROW()-1,33),ROW()-1,FALSE))</f>
        <v/>
      </c>
      <c r="AE197" t="str">
        <f ca="1">IF(AND(ISNUMBER($AE$607),$B$427=1),$AE$607,HLOOKUP(INDIRECT(ADDRESS(2,COLUMN())),OFFSET($AM$2,0,0,ROW()-1,33),ROW()-1,FALSE))</f>
        <v/>
      </c>
      <c r="AF197" t="str">
        <f ca="1">IF(AND(ISNUMBER($AF$607),$B$427=1),$AF$607,HLOOKUP(INDIRECT(ADDRESS(2,COLUMN())),OFFSET($AM$2,0,0,ROW()-1,33),ROW()-1,FALSE))</f>
        <v/>
      </c>
      <c r="AG197" t="str">
        <f ca="1">IF(AND(ISNUMBER($AG$607),$B$427=1),$AG$607,HLOOKUP(INDIRECT(ADDRESS(2,COLUMN())),OFFSET($AM$2,0,0,ROW()-1,33),ROW()-1,FALSE))</f>
        <v/>
      </c>
      <c r="AH197" t="str">
        <f ca="1">IF(AND(ISNUMBER($AH$607),$B$427=1),$AH$607,HLOOKUP(INDIRECT(ADDRESS(2,COLUMN())),OFFSET($AM$2,0,0,ROW()-1,33),ROW()-1,FALSE))</f>
        <v/>
      </c>
      <c r="AI197" t="str">
        <f ca="1">IF(AND(ISNUMBER($AI$607),$B$427=1),$AI$607,HLOOKUP(INDIRECT(ADDRESS(2,COLUMN())),OFFSET($AM$2,0,0,ROW()-1,33),ROW()-1,FALSE))</f>
        <v/>
      </c>
      <c r="AJ197" t="str">
        <f ca="1">IF(AND(ISNUMBER($AJ$607),$B$427=1),$AJ$607,HLOOKUP(INDIRECT(ADDRESS(2,COLUMN())),OFFSET($AM$2,0,0,ROW()-1,33),ROW()-1,FALSE))</f>
        <v/>
      </c>
      <c r="AK197" t="str">
        <f ca="1">IF(AND(ISNUMBER($AK$607),$B$427=1),$AK$607,HLOOKUP(INDIRECT(ADDRESS(2,COLUMN())),OFFSET($AM$2,0,0,ROW()-1,33),ROW()-1,FALSE))</f>
        <v/>
      </c>
      <c r="AL197" t="str">
        <f ca="1">IF(AND(ISNUMBER($AL$607),$B$427=1),$AL$607,HLOOKUP(INDIRECT(ADDRESS(2,COLUMN())),OFFSET($AM$2,0,0,ROW()-1,33),ROW()-1,FALSE))</f>
        <v/>
      </c>
      <c r="AM197">
        <f>58.44719714</f>
        <v>58.44719714</v>
      </c>
      <c r="AN197">
        <f>62.56114406</f>
        <v>62.561144059999997</v>
      </c>
      <c r="AO197">
        <f>60.74001324</f>
        <v>60.740013240000003</v>
      </c>
      <c r="AP197">
        <f>58.40934382</f>
        <v>58.409343819999997</v>
      </c>
      <c r="AQ197">
        <f>45.70841967</f>
        <v>45.708419669999998</v>
      </c>
      <c r="AR197">
        <f>53.66314518</f>
        <v>53.663145180000001</v>
      </c>
      <c r="AS197">
        <f>53.98128435</f>
        <v>53.981284350000003</v>
      </c>
      <c r="AT197">
        <f>52.17350545</f>
        <v>52.17350545</v>
      </c>
      <c r="AU197">
        <f>53.33612549</f>
        <v>53.336125490000001</v>
      </c>
      <c r="AV197">
        <f>50.21035475</f>
        <v>50.21035475</v>
      </c>
      <c r="AW197">
        <f>57.19036015</f>
        <v>57.190360149999997</v>
      </c>
      <c r="AX197">
        <f>62.79356629</f>
        <v>62.793566290000001</v>
      </c>
      <c r="AY197">
        <f>64.81919612</f>
        <v>64.819196120000001</v>
      </c>
      <c r="AZ197">
        <f>70.5651354</f>
        <v>70.565135400000003</v>
      </c>
      <c r="BA197">
        <f>76.30630382</f>
        <v>76.306303819999997</v>
      </c>
      <c r="BB197">
        <f>78.60405118</f>
        <v>78.604051179999999</v>
      </c>
      <c r="BC197">
        <f>77.33476018</f>
        <v>77.334760180000004</v>
      </c>
      <c r="BD197">
        <f>77.27429623</f>
        <v>77.274296230000004</v>
      </c>
      <c r="BE197">
        <f>13.88358445</f>
        <v>13.883584450000001</v>
      </c>
      <c r="BF197">
        <f>16.60882234</f>
        <v>16.60882234</v>
      </c>
      <c r="BG197">
        <f>11.22877814</f>
        <v>11.228778139999999</v>
      </c>
      <c r="BH197">
        <f>7.724005137</f>
        <v>7.7240051369999998</v>
      </c>
      <c r="BI197">
        <f>5.626053795</f>
        <v>5.6260537949999998</v>
      </c>
      <c r="BJ197">
        <f>4.432917343</f>
        <v>4.4329173429999997</v>
      </c>
      <c r="BK197" t="str">
        <f>""</f>
        <v/>
      </c>
      <c r="BL197" t="str">
        <f>""</f>
        <v/>
      </c>
      <c r="BM197" t="str">
        <f>""</f>
        <v/>
      </c>
      <c r="BN197" t="str">
        <f>""</f>
        <v/>
      </c>
      <c r="BO197" t="str">
        <f>""</f>
        <v/>
      </c>
      <c r="BP197" t="str">
        <f>""</f>
        <v/>
      </c>
      <c r="BQ197" t="str">
        <f>""</f>
        <v/>
      </c>
      <c r="BR197" t="str">
        <f>""</f>
        <v/>
      </c>
      <c r="BS197" t="str">
        <f>""</f>
        <v/>
      </c>
    </row>
    <row r="198" spans="1:71" x14ac:dyDescent="0.25">
      <c r="A198" t="str">
        <f>"        Zions Bancorp NA"</f>
        <v xml:space="preserve">        Zions Bancorp NA</v>
      </c>
      <c r="B198" t="str">
        <f>"ZION US Equity"</f>
        <v>ZION US Equity</v>
      </c>
      <c r="C198" t="str">
        <f t="shared" si="24"/>
        <v>F0109</v>
      </c>
      <c r="D198" t="str">
        <f t="shared" si="25"/>
        <v>FED_RE_LNS_DOM_%_TOT_LNS_LEAS</v>
      </c>
      <c r="E198" t="str">
        <f t="shared" si="26"/>
        <v>Dynamic</v>
      </c>
      <c r="F198" t="str">
        <f ca="1">IF(AND(ISNUMBER($F$608),$B$427=1),$F$608,HLOOKUP(INDIRECT(ADDRESS(2,COLUMN())),OFFSET($AM$2,0,0,ROW()-1,33),ROW()-1,FALSE))</f>
        <v/>
      </c>
      <c r="G198" t="str">
        <f ca="1">IF(AND(ISNUMBER($G$608),$B$427=1),$G$608,HLOOKUP(INDIRECT(ADDRESS(2,COLUMN())),OFFSET($AM$2,0,0,ROW()-1,33),ROW()-1,FALSE))</f>
        <v/>
      </c>
      <c r="H198" t="str">
        <f ca="1">IF(AND(ISNUMBER($H$608),$B$427=1),$H$608,HLOOKUP(INDIRECT(ADDRESS(2,COLUMN())),OFFSET($AM$2,0,0,ROW()-1,33),ROW()-1,FALSE))</f>
        <v/>
      </c>
      <c r="I198" t="str">
        <f ca="1">IF(AND(ISNUMBER($I$608),$B$427=1),$I$608,HLOOKUP(INDIRECT(ADDRESS(2,COLUMN())),OFFSET($AM$2,0,0,ROW()-1,33),ROW()-1,FALSE))</f>
        <v/>
      </c>
      <c r="J198" t="str">
        <f ca="1">IF(AND(ISNUMBER($J$608),$B$427=1),$J$608,HLOOKUP(INDIRECT(ADDRESS(2,COLUMN())),OFFSET($AM$2,0,0,ROW()-1,33),ROW()-1,FALSE))</f>
        <v/>
      </c>
      <c r="K198" t="str">
        <f ca="1">IF(AND(ISNUMBER($K$608),$B$427=1),$K$608,HLOOKUP(INDIRECT(ADDRESS(2,COLUMN())),OFFSET($AM$2,0,0,ROW()-1,33),ROW()-1,FALSE))</f>
        <v/>
      </c>
      <c r="L198" t="str">
        <f ca="1">IF(AND(ISNUMBER($L$608),$B$427=1),$L$608,HLOOKUP(INDIRECT(ADDRESS(2,COLUMN())),OFFSET($AM$2,0,0,ROW()-1,33),ROW()-1,FALSE))</f>
        <v/>
      </c>
      <c r="M198" t="str">
        <f ca="1">IF(AND(ISNUMBER($M$608),$B$427=1),$M$608,HLOOKUP(INDIRECT(ADDRESS(2,COLUMN())),OFFSET($AM$2,0,0,ROW()-1,33),ROW()-1,FALSE))</f>
        <v/>
      </c>
      <c r="N198" t="str">
        <f ca="1">IF(AND(ISNUMBER($N$608),$B$427=1),$N$608,HLOOKUP(INDIRECT(ADDRESS(2,COLUMN())),OFFSET($AM$2,0,0,ROW()-1,33),ROW()-1,FALSE))</f>
        <v/>
      </c>
      <c r="O198" t="str">
        <f ca="1">IF(AND(ISNUMBER($O$608),$B$427=1),$O$608,HLOOKUP(INDIRECT(ADDRESS(2,COLUMN())),OFFSET($AM$2,0,0,ROW()-1,33),ROW()-1,FALSE))</f>
        <v/>
      </c>
      <c r="P198" t="str">
        <f ca="1">IF(AND(ISNUMBER($P$608),$B$427=1),$P$608,HLOOKUP(INDIRECT(ADDRESS(2,COLUMN())),OFFSET($AM$2,0,0,ROW()-1,33),ROW()-1,FALSE))</f>
        <v/>
      </c>
      <c r="Q198" t="str">
        <f ca="1">IF(AND(ISNUMBER($Q$608),$B$427=1),$Q$608,HLOOKUP(INDIRECT(ADDRESS(2,COLUMN())),OFFSET($AM$2,0,0,ROW()-1,33),ROW()-1,FALSE))</f>
        <v/>
      </c>
      <c r="R198" t="str">
        <f ca="1">IF(AND(ISNUMBER($R$608),$B$427=1),$R$608,HLOOKUP(INDIRECT(ADDRESS(2,COLUMN())),OFFSET($AM$2,0,0,ROW()-1,33),ROW()-1,FALSE))</f>
        <v/>
      </c>
      <c r="S198" t="str">
        <f ca="1">IF(AND(ISNUMBER($S$608),$B$427=1),$S$608,HLOOKUP(INDIRECT(ADDRESS(2,COLUMN())),OFFSET($AM$2,0,0,ROW()-1,33),ROW()-1,FALSE))</f>
        <v/>
      </c>
      <c r="T198" t="str">
        <f ca="1">IF(AND(ISNUMBER($T$608),$B$427=1),$T$608,HLOOKUP(INDIRECT(ADDRESS(2,COLUMN())),OFFSET($AM$2,0,0,ROW()-1,33),ROW()-1,FALSE))</f>
        <v/>
      </c>
      <c r="U198" t="str">
        <f ca="1">IF(AND(ISNUMBER($U$608),$B$427=1),$U$608,HLOOKUP(INDIRECT(ADDRESS(2,COLUMN())),OFFSET($AM$2,0,0,ROW()-1,33),ROW()-1,FALSE))</f>
        <v/>
      </c>
      <c r="V198" t="str">
        <f ca="1">IF(AND(ISNUMBER($V$608),$B$427=1),$V$608,HLOOKUP(INDIRECT(ADDRESS(2,COLUMN())),OFFSET($AM$2,0,0,ROW()-1,33),ROW()-1,FALSE))</f>
        <v/>
      </c>
      <c r="W198" t="str">
        <f ca="1">IF(AND(ISNUMBER($W$608),$B$427=1),$W$608,HLOOKUP(INDIRECT(ADDRESS(2,COLUMN())),OFFSET($AM$2,0,0,ROW()-1,33),ROW()-1,FALSE))</f>
        <v/>
      </c>
      <c r="X198" t="str">
        <f ca="1">IF(AND(ISNUMBER($X$608),$B$427=1),$X$608,HLOOKUP(INDIRECT(ADDRESS(2,COLUMN())),OFFSET($AM$2,0,0,ROW()-1,33),ROW()-1,FALSE))</f>
        <v/>
      </c>
      <c r="Y198" t="str">
        <f ca="1">IF(AND(ISNUMBER($Y$608),$B$427=1),$Y$608,HLOOKUP(INDIRECT(ADDRESS(2,COLUMN())),OFFSET($AM$2,0,0,ROW()-1,33),ROW()-1,FALSE))</f>
        <v/>
      </c>
      <c r="Z198" t="str">
        <f ca="1">IF(AND(ISNUMBER($Z$608),$B$427=1),$Z$608,HLOOKUP(INDIRECT(ADDRESS(2,COLUMN())),OFFSET($AM$2,0,0,ROW()-1,33),ROW()-1,FALSE))</f>
        <v/>
      </c>
      <c r="AA198" t="str">
        <f ca="1">IF(AND(ISNUMBER($AA$608),$B$427=1),$AA$608,HLOOKUP(INDIRECT(ADDRESS(2,COLUMN())),OFFSET($AM$2,0,0,ROW()-1,33),ROW()-1,FALSE))</f>
        <v/>
      </c>
      <c r="AB198" t="str">
        <f ca="1">IF(AND(ISNUMBER($AB$608),$B$427=1),$AB$608,HLOOKUP(INDIRECT(ADDRESS(2,COLUMN())),OFFSET($AM$2,0,0,ROW()-1,33),ROW()-1,FALSE))</f>
        <v/>
      </c>
      <c r="AC198" t="str">
        <f ca="1">IF(AND(ISNUMBER($AC$608),$B$427=1),$AC$608,HLOOKUP(INDIRECT(ADDRESS(2,COLUMN())),OFFSET($AM$2,0,0,ROW()-1,33),ROW()-1,FALSE))</f>
        <v/>
      </c>
      <c r="AD198" t="str">
        <f ca="1">IF(AND(ISNUMBER($AD$608),$B$427=1),$AD$608,HLOOKUP(INDIRECT(ADDRESS(2,COLUMN())),OFFSET($AM$2,0,0,ROW()-1,33),ROW()-1,FALSE))</f>
        <v/>
      </c>
      <c r="AE198" t="str">
        <f ca="1">IF(AND(ISNUMBER($AE$608),$B$427=1),$AE$608,HLOOKUP(INDIRECT(ADDRESS(2,COLUMN())),OFFSET($AM$2,0,0,ROW()-1,33),ROW()-1,FALSE))</f>
        <v/>
      </c>
      <c r="AF198" t="str">
        <f ca="1">IF(AND(ISNUMBER($AF$608),$B$427=1),$AF$608,HLOOKUP(INDIRECT(ADDRESS(2,COLUMN())),OFFSET($AM$2,0,0,ROW()-1,33),ROW()-1,FALSE))</f>
        <v/>
      </c>
      <c r="AG198" t="str">
        <f ca="1">IF(AND(ISNUMBER($AG$608),$B$427=1),$AG$608,HLOOKUP(INDIRECT(ADDRESS(2,COLUMN())),OFFSET($AM$2,0,0,ROW()-1,33),ROW()-1,FALSE))</f>
        <v/>
      </c>
      <c r="AH198" t="str">
        <f ca="1">IF(AND(ISNUMBER($AH$608),$B$427=1),$AH$608,HLOOKUP(INDIRECT(ADDRESS(2,COLUMN())),OFFSET($AM$2,0,0,ROW()-1,33),ROW()-1,FALSE))</f>
        <v/>
      </c>
      <c r="AI198" t="str">
        <f ca="1">IF(AND(ISNUMBER($AI$608),$B$427=1),$AI$608,HLOOKUP(INDIRECT(ADDRESS(2,COLUMN())),OFFSET($AM$2,0,0,ROW()-1,33),ROW()-1,FALSE))</f>
        <v/>
      </c>
      <c r="AJ198" t="str">
        <f ca="1">IF(AND(ISNUMBER($AJ$608),$B$427=1),$AJ$608,HLOOKUP(INDIRECT(ADDRESS(2,COLUMN())),OFFSET($AM$2,0,0,ROW()-1,33),ROW()-1,FALSE))</f>
        <v/>
      </c>
      <c r="AK198" t="str">
        <f ca="1">IF(AND(ISNUMBER($AK$608),$B$427=1),$AK$608,HLOOKUP(INDIRECT(ADDRESS(2,COLUMN())),OFFSET($AM$2,0,0,ROW()-1,33),ROW()-1,FALSE))</f>
        <v/>
      </c>
      <c r="AL198" t="str">
        <f ca="1">IF(AND(ISNUMBER($AL$608),$B$427=1),$AL$608,HLOOKUP(INDIRECT(ADDRESS(2,COLUMN())),OFFSET($AM$2,0,0,ROW()-1,33),ROW()-1,FALSE))</f>
        <v/>
      </c>
      <c r="AM198" t="str">
        <f>""</f>
        <v/>
      </c>
      <c r="AN198" t="str">
        <f>""</f>
        <v/>
      </c>
      <c r="AO198" t="str">
        <f>""</f>
        <v/>
      </c>
      <c r="AP198" t="str">
        <f>""</f>
        <v/>
      </c>
      <c r="AQ198" t="str">
        <f>""</f>
        <v/>
      </c>
      <c r="AR198" t="str">
        <f>""</f>
        <v/>
      </c>
      <c r="AS198" t="str">
        <f>""</f>
        <v/>
      </c>
      <c r="AT198" t="str">
        <f>""</f>
        <v/>
      </c>
      <c r="AU198" t="str">
        <f>""</f>
        <v/>
      </c>
      <c r="AV198" t="str">
        <f>""</f>
        <v/>
      </c>
      <c r="AW198" t="str">
        <f>""</f>
        <v/>
      </c>
      <c r="AX198" t="str">
        <f>""</f>
        <v/>
      </c>
      <c r="AY198" t="str">
        <f>""</f>
        <v/>
      </c>
      <c r="AZ198" t="str">
        <f>""</f>
        <v/>
      </c>
      <c r="BA198" t="str">
        <f>""</f>
        <v/>
      </c>
      <c r="BB198" t="str">
        <f>""</f>
        <v/>
      </c>
      <c r="BC198" t="str">
        <f>""</f>
        <v/>
      </c>
      <c r="BD198" t="str">
        <f>""</f>
        <v/>
      </c>
      <c r="BE198" t="str">
        <f>""</f>
        <v/>
      </c>
      <c r="BF198" t="str">
        <f>""</f>
        <v/>
      </c>
      <c r="BG198" t="str">
        <f>""</f>
        <v/>
      </c>
      <c r="BH198" t="str">
        <f>""</f>
        <v/>
      </c>
      <c r="BI198" t="str">
        <f>""</f>
        <v/>
      </c>
      <c r="BJ198" t="str">
        <f>""</f>
        <v/>
      </c>
      <c r="BK198" t="str">
        <f>""</f>
        <v/>
      </c>
      <c r="BL198" t="str">
        <f>""</f>
        <v/>
      </c>
      <c r="BM198" t="str">
        <f>""</f>
        <v/>
      </c>
      <c r="BN198" t="str">
        <f>""</f>
        <v/>
      </c>
      <c r="BO198" t="str">
        <f>""</f>
        <v/>
      </c>
      <c r="BP198" t="str">
        <f>""</f>
        <v/>
      </c>
      <c r="BQ198" t="str">
        <f>""</f>
        <v/>
      </c>
      <c r="BR198" t="str">
        <f>""</f>
        <v/>
      </c>
      <c r="BS198" t="str">
        <f>""</f>
        <v/>
      </c>
    </row>
    <row r="199" spans="1:71" x14ac:dyDescent="0.25">
      <c r="A199" t="str">
        <f>"C&amp;I loans"</f>
        <v>C&amp;I loans</v>
      </c>
      <c r="B199" t="str">
        <f>""</f>
        <v/>
      </c>
      <c r="E199" t="str">
        <f>"Expression"</f>
        <v>Expression</v>
      </c>
      <c r="F199">
        <f ca="1">IF(AND($B$427=1,LEN($F$200)&gt;0),$F$200,HLOOKUP(INDIRECT(ADDRESS(2,COLUMN())),OFFSET($AM$2,0,0,ROW()-1,33),ROW()-1,FALSE))</f>
        <v>23.733229999999999</v>
      </c>
      <c r="G199">
        <f ca="1">IF(AND($B$427=1,LEN($G$200)&gt;0),$G$200,HLOOKUP(INDIRECT(ADDRESS(2,COLUMN())),OFFSET($AM$2,0,0,ROW()-1,33),ROW()-1,FALSE))</f>
        <v>26.705959</v>
      </c>
      <c r="H199">
        <f ca="1">IF(AND($B$427=1,LEN($H$200)&gt;0),$H$200,HLOOKUP(INDIRECT(ADDRESS(2,COLUMN())),OFFSET($AM$2,0,0,ROW()-1,33),ROW()-1,FALSE))</f>
        <v>26.326224</v>
      </c>
      <c r="I199">
        <f ca="1">IF(AND($B$427=1,LEN($I$200)&gt;0),$I$200,HLOOKUP(INDIRECT(ADDRESS(2,COLUMN())),OFFSET($AM$2,0,0,ROW()-1,33),ROW()-1,FALSE))</f>
        <v>24.295380999999999</v>
      </c>
      <c r="J199">
        <f ca="1">IF(AND($B$427=1,LEN($J$200)&gt;0),$J$200,HLOOKUP(INDIRECT(ADDRESS(2,COLUMN())),OFFSET($AM$2,0,0,ROW()-1,33),ROW()-1,FALSE))</f>
        <v>26.859912999999999</v>
      </c>
      <c r="K199">
        <f ca="1">IF(AND($B$427=1,LEN($K$200)&gt;0),$K$200,HLOOKUP(INDIRECT(ADDRESS(2,COLUMN())),OFFSET($AM$2,0,0,ROW()-1,33),ROW()-1,FALSE))</f>
        <v>26.102492999999999</v>
      </c>
      <c r="L199">
        <f ca="1">IF(AND($B$427=1,LEN($L$200)&gt;0),$L$200,HLOOKUP(INDIRECT(ADDRESS(2,COLUMN())),OFFSET($AM$2,0,0,ROW()-1,33),ROW()-1,FALSE))</f>
        <v>27.147527</v>
      </c>
      <c r="M199">
        <f ca="1">IF(AND($B$427=1,LEN($M$200)&gt;0),$M$200,HLOOKUP(INDIRECT(ADDRESS(2,COLUMN())),OFFSET($AM$2,0,0,ROW()-1,33),ROW()-1,FALSE))</f>
        <v>26.586195</v>
      </c>
      <c r="N199">
        <f ca="1">IF(AND($B$427=1,LEN($N$200)&gt;0),$N$200,HLOOKUP(INDIRECT(ADDRESS(2,COLUMN())),OFFSET($AM$2,0,0,ROW()-1,33),ROW()-1,FALSE))</f>
        <v>25.577669</v>
      </c>
      <c r="O199">
        <f ca="1">IF(AND($B$427=1,LEN($O$200)&gt;0),$O$200,HLOOKUP(INDIRECT(ADDRESS(2,COLUMN())),OFFSET($AM$2,0,0,ROW()-1,33),ROW()-1,FALSE))</f>
        <v>25.271007000000001</v>
      </c>
      <c r="P199">
        <f ca="1">IF(AND($B$427=1,LEN($P$200)&gt;0),$P$200,HLOOKUP(INDIRECT(ADDRESS(2,COLUMN())),OFFSET($AM$2,0,0,ROW()-1,33),ROW()-1,FALSE))</f>
        <v>23.877832999999999</v>
      </c>
      <c r="Q199">
        <f ca="1">IF(AND($B$427=1,LEN($Q$200)&gt;0),$Q$200,HLOOKUP(INDIRECT(ADDRESS(2,COLUMN())),OFFSET($AM$2,0,0,ROW()-1,33),ROW()-1,FALSE))</f>
        <v>23.824327</v>
      </c>
      <c r="R199">
        <f ca="1">IF(AND($B$427=1,LEN($R$200)&gt;0),$R$200,HLOOKUP(INDIRECT(ADDRESS(2,COLUMN())),OFFSET($AM$2,0,0,ROW()-1,33),ROW()-1,FALSE))</f>
        <v>21.459745999999999</v>
      </c>
      <c r="S199">
        <f ca="1">IF(AND($B$427=1,LEN($S$200)&gt;0),$S$200,HLOOKUP(INDIRECT(ADDRESS(2,COLUMN())),OFFSET($AM$2,0,0,ROW()-1,33),ROW()-1,FALSE))</f>
        <v>19.419485999999999</v>
      </c>
      <c r="T199">
        <f ca="1">IF(AND($B$427=1,LEN($T$200)&gt;0),$T$200,HLOOKUP(INDIRECT(ADDRESS(2,COLUMN())),OFFSET($AM$2,0,0,ROW()-1,33),ROW()-1,FALSE))</f>
        <v>17.610914999999999</v>
      </c>
      <c r="U199">
        <f ca="1">IF(AND($B$427=1,LEN($U$200)&gt;0),$U$200,HLOOKUP(INDIRECT(ADDRESS(2,COLUMN())),OFFSET($AM$2,0,0,ROW()-1,33),ROW()-1,FALSE))</f>
        <v>17.249338000000002</v>
      </c>
      <c r="V199">
        <f ca="1">IF(AND($B$427=1,LEN($V$200)&gt;0),$V$200,HLOOKUP(INDIRECT(ADDRESS(2,COLUMN())),OFFSET($AM$2,0,0,ROW()-1,33),ROW()-1,FALSE))</f>
        <v>19.655014000000001</v>
      </c>
      <c r="W199">
        <f ca="1">IF(AND($B$427=1,LEN($W$200)&gt;0),$W$200,HLOOKUP(INDIRECT(ADDRESS(2,COLUMN())),OFFSET($AM$2,0,0,ROW()-1,33),ROW()-1,FALSE))</f>
        <v>19.979724000000001</v>
      </c>
      <c r="X199">
        <f ca="1">IF(AND($B$427=1,LEN($X$200)&gt;0),$X$200,HLOOKUP(INDIRECT(ADDRESS(2,COLUMN())),OFFSET($AM$2,0,0,ROW()-1,33),ROW()-1,FALSE))</f>
        <v>17.303222000000002</v>
      </c>
      <c r="Y199">
        <f ca="1">IF(AND($B$427=1,LEN($Y$200)&gt;0),$Y$200,HLOOKUP(INDIRECT(ADDRESS(2,COLUMN())),OFFSET($AM$2,0,0,ROW()-1,33),ROW()-1,FALSE))</f>
        <v>18.850216</v>
      </c>
      <c r="Z199">
        <f ca="1">IF(AND($B$427=1,LEN($Z$200)&gt;0),$Z$200,HLOOKUP(INDIRECT(ADDRESS(2,COLUMN())),OFFSET($AM$2,0,0,ROW()-1,33),ROW()-1,FALSE))</f>
        <v>16.991505</v>
      </c>
      <c r="AA199">
        <f ca="1">IF(AND($B$427=1,LEN($AA$200)&gt;0),$AA$200,HLOOKUP(INDIRECT(ADDRESS(2,COLUMN())),OFFSET($AM$2,0,0,ROW()-1,33),ROW()-1,FALSE))</f>
        <v>19.975490000000001</v>
      </c>
      <c r="AB199">
        <f ca="1">IF(AND($B$427=1,LEN($AB$200)&gt;0),$AB$200,HLOOKUP(INDIRECT(ADDRESS(2,COLUMN())),OFFSET($AM$2,0,0,ROW()-1,33),ROW()-1,FALSE))</f>
        <v>22.273779999999999</v>
      </c>
      <c r="AC199">
        <f ca="1">IF(AND($B$427=1,LEN($AC$200)&gt;0),$AC$200,HLOOKUP(INDIRECT(ADDRESS(2,COLUMN())),OFFSET($AM$2,0,0,ROW()-1,33),ROW()-1,FALSE))</f>
        <v>26.095435999999999</v>
      </c>
      <c r="AD199" t="str">
        <f ca="1">IF(AND($B$427=1,LEN($AD$200)&gt;0),$AD$200,HLOOKUP(INDIRECT(ADDRESS(2,COLUMN())),OFFSET($AM$2,0,0,ROW()-1,33),ROW()-1,FALSE))</f>
        <v/>
      </c>
      <c r="AE199" t="str">
        <f ca="1">IF(AND($B$427=1,LEN($AE$200)&gt;0),$AE$200,HLOOKUP(INDIRECT(ADDRESS(2,COLUMN())),OFFSET($AM$2,0,0,ROW()-1,33),ROW()-1,FALSE))</f>
        <v/>
      </c>
      <c r="AF199" t="str">
        <f ca="1">IF(AND($B$427=1,LEN($AF$200)&gt;0),$AF$200,HLOOKUP(INDIRECT(ADDRESS(2,COLUMN())),OFFSET($AM$2,0,0,ROW()-1,33),ROW()-1,FALSE))</f>
        <v/>
      </c>
      <c r="AG199" t="str">
        <f ca="1">IF(AND($B$427=1,LEN($AG$200)&gt;0),$AG$200,HLOOKUP(INDIRECT(ADDRESS(2,COLUMN())),OFFSET($AM$2,0,0,ROW()-1,33),ROW()-1,FALSE))</f>
        <v/>
      </c>
      <c r="AH199" t="str">
        <f ca="1">IF(AND($B$427=1,LEN($AH$200)&gt;0),$AH$200,HLOOKUP(INDIRECT(ADDRESS(2,COLUMN())),OFFSET($AM$2,0,0,ROW()-1,33),ROW()-1,FALSE))</f>
        <v/>
      </c>
      <c r="AI199" t="str">
        <f ca="1">IF(AND($B$427=1,LEN($AI$200)&gt;0),$AI$200,HLOOKUP(INDIRECT(ADDRESS(2,COLUMN())),OFFSET($AM$2,0,0,ROW()-1,33),ROW()-1,FALSE))</f>
        <v/>
      </c>
      <c r="AJ199" t="str">
        <f ca="1">IF(AND($B$427=1,LEN($AJ$200)&gt;0),$AJ$200,HLOOKUP(INDIRECT(ADDRESS(2,COLUMN())),OFFSET($AM$2,0,0,ROW()-1,33),ROW()-1,FALSE))</f>
        <v/>
      </c>
      <c r="AK199" t="str">
        <f ca="1">IF(AND($B$427=1,LEN($AK$200)&gt;0),$AK$200,HLOOKUP(INDIRECT(ADDRESS(2,COLUMN())),OFFSET($AM$2,0,0,ROW()-1,33),ROW()-1,FALSE))</f>
        <v/>
      </c>
      <c r="AL199" t="str">
        <f ca="1">IF(AND($B$427=1,LEN($AL$200)&gt;0),$AL$200,HLOOKUP(INDIRECT(ADDRESS(2,COLUMN())),OFFSET($AM$2,0,0,ROW()-1,33),ROW()-1,FALSE))</f>
        <v/>
      </c>
      <c r="AM199">
        <f>23.73323</f>
        <v>23.733229999999999</v>
      </c>
      <c r="AN199">
        <f>26.705959</f>
        <v>26.705959</v>
      </c>
      <c r="AO199">
        <f>26.326224</f>
        <v>26.326224</v>
      </c>
      <c r="AP199">
        <f>24.295381</f>
        <v>24.295380999999999</v>
      </c>
      <c r="AQ199">
        <f>26.859913</f>
        <v>26.859912999999999</v>
      </c>
      <c r="AR199">
        <f>26.102493</f>
        <v>26.102492999999999</v>
      </c>
      <c r="AS199">
        <f>27.147527</f>
        <v>27.147527</v>
      </c>
      <c r="AT199">
        <f>26.586195</f>
        <v>26.586195</v>
      </c>
      <c r="AU199">
        <f>25.577669</f>
        <v>25.577669</v>
      </c>
      <c r="AV199">
        <f>25.271007</f>
        <v>25.271007000000001</v>
      </c>
      <c r="AW199">
        <f>23.877833</f>
        <v>23.877832999999999</v>
      </c>
      <c r="AX199">
        <f>23.824327</f>
        <v>23.824327</v>
      </c>
      <c r="AY199">
        <f>21.459746</f>
        <v>21.459745999999999</v>
      </c>
      <c r="AZ199">
        <f>19.419486</f>
        <v>19.419485999999999</v>
      </c>
      <c r="BA199">
        <f>17.610915</f>
        <v>17.610914999999999</v>
      </c>
      <c r="BB199">
        <f>17.249338</f>
        <v>17.249338000000002</v>
      </c>
      <c r="BC199">
        <f>19.655014</f>
        <v>19.655014000000001</v>
      </c>
      <c r="BD199">
        <f>19.979724</f>
        <v>19.979724000000001</v>
      </c>
      <c r="BE199">
        <f>17.303222</f>
        <v>17.303222000000002</v>
      </c>
      <c r="BF199">
        <f>18.850216</f>
        <v>18.850216</v>
      </c>
      <c r="BG199">
        <f>16.991505</f>
        <v>16.991505</v>
      </c>
      <c r="BH199">
        <f>19.97549</f>
        <v>19.975490000000001</v>
      </c>
      <c r="BI199">
        <f>22.27378</f>
        <v>22.273779999999999</v>
      </c>
      <c r="BJ199">
        <f>26.095436</f>
        <v>26.095435999999999</v>
      </c>
      <c r="BK199" t="str">
        <f>""</f>
        <v/>
      </c>
      <c r="BL199" t="str">
        <f>""</f>
        <v/>
      </c>
      <c r="BM199" t="str">
        <f>""</f>
        <v/>
      </c>
      <c r="BN199" t="str">
        <f>""</f>
        <v/>
      </c>
      <c r="BO199" t="str">
        <f>""</f>
        <v/>
      </c>
      <c r="BP199" t="str">
        <f>""</f>
        <v/>
      </c>
      <c r="BQ199" t="str">
        <f>""</f>
        <v/>
      </c>
      <c r="BR199" t="str">
        <f>""</f>
        <v/>
      </c>
      <c r="BS199" t="str">
        <f>""</f>
        <v/>
      </c>
    </row>
    <row r="200" spans="1:71" x14ac:dyDescent="0.25">
      <c r="A200" t="str">
        <f>"    C&amp;I Loans by Company"</f>
        <v xml:space="preserve">    C&amp;I Loans by Company</v>
      </c>
      <c r="B200" t="str">
        <f>""</f>
        <v/>
      </c>
      <c r="E200" t="str">
        <f>"Median"</f>
        <v>Median</v>
      </c>
      <c r="F200">
        <f ca="1">IF(ISERROR(IF(MEDIAN($F$201:$F$220) = 0, "", MEDIAN($F$201:$F$220))), "", (IF(MEDIAN($F$201:$F$220) = 0, "", MEDIAN($F$201:$F$220))))</f>
        <v>23.73323023</v>
      </c>
      <c r="G200">
        <f ca="1">IF(ISERROR(IF(MEDIAN($G$201:$G$220) = 0, "", MEDIAN($G$201:$G$220))), "", (IF(MEDIAN($G$201:$G$220) = 0, "", MEDIAN($G$201:$G$220))))</f>
        <v>26.705959050000001</v>
      </c>
      <c r="H200">
        <f ca="1">IF(ISERROR(IF(MEDIAN($H$201:$H$220) = 0, "", MEDIAN($H$201:$H$220))), "", (IF(MEDIAN($H$201:$H$220) = 0, "", MEDIAN($H$201:$H$220))))</f>
        <v>26.326223769999999</v>
      </c>
      <c r="I200">
        <f ca="1">IF(ISERROR(IF(MEDIAN($I$201:$I$220) = 0, "", MEDIAN($I$201:$I$220))), "", (IF(MEDIAN($I$201:$I$220) = 0, "", MEDIAN($I$201:$I$220))))</f>
        <v>24.295380890000001</v>
      </c>
      <c r="J200">
        <f ca="1">IF(ISERROR(IF(MEDIAN($J$201:$J$220) = 0, "", MEDIAN($J$201:$J$220))), "", (IF(MEDIAN($J$201:$J$220) = 0, "", MEDIAN($J$201:$J$220))))</f>
        <v>26.859912720000001</v>
      </c>
      <c r="K200">
        <f ca="1">IF(ISERROR(IF(MEDIAN($K$201:$K$220) = 0, "", MEDIAN($K$201:$K$220))), "", (IF(MEDIAN($K$201:$K$220) = 0, "", MEDIAN($K$201:$K$220))))</f>
        <v>26.10249271</v>
      </c>
      <c r="L200">
        <f ca="1">IF(ISERROR(IF(MEDIAN($L$201:$L$220) = 0, "", MEDIAN($L$201:$L$220))), "", (IF(MEDIAN($L$201:$L$220) = 0, "", MEDIAN($L$201:$L$220))))</f>
        <v>27.14752713</v>
      </c>
      <c r="M200">
        <f ca="1">IF(ISERROR(IF(MEDIAN($M$201:$M$220) = 0, "", MEDIAN($M$201:$M$220))), "", (IF(MEDIAN($M$201:$M$220) = 0, "", MEDIAN($M$201:$M$220))))</f>
        <v>26.586195050000001</v>
      </c>
      <c r="N200">
        <f ca="1">IF(ISERROR(IF(MEDIAN($N$201:$N$220) = 0, "", MEDIAN($N$201:$N$220))), "", (IF(MEDIAN($N$201:$N$220) = 0, "", MEDIAN($N$201:$N$220))))</f>
        <v>25.5776687</v>
      </c>
      <c r="O200">
        <f ca="1">IF(ISERROR(IF(MEDIAN($O$201:$O$220) = 0, "", MEDIAN($O$201:$O$220))), "", (IF(MEDIAN($O$201:$O$220) = 0, "", MEDIAN($O$201:$O$220))))</f>
        <v>25.271006570000001</v>
      </c>
      <c r="P200">
        <f ca="1">IF(ISERROR(IF(MEDIAN($P$201:$P$220) = 0, "", MEDIAN($P$201:$P$220))), "", (IF(MEDIAN($P$201:$P$220) = 0, "", MEDIAN($P$201:$P$220))))</f>
        <v>23.877832590000001</v>
      </c>
      <c r="Q200">
        <f ca="1">IF(ISERROR(IF(MEDIAN($Q$201:$Q$220) = 0, "", MEDIAN($Q$201:$Q$220))), "", (IF(MEDIAN($Q$201:$Q$220) = 0, "", MEDIAN($Q$201:$Q$220))))</f>
        <v>23.82432713</v>
      </c>
      <c r="R200">
        <f ca="1">IF(ISERROR(IF(MEDIAN($R$201:$R$220) = 0, "", MEDIAN($R$201:$R$220))), "", (IF(MEDIAN($R$201:$R$220) = 0, "", MEDIAN($R$201:$R$220))))</f>
        <v>21.45974558</v>
      </c>
      <c r="S200">
        <f ca="1">IF(ISERROR(IF(MEDIAN($S$201:$S$220) = 0, "", MEDIAN($S$201:$S$220))), "", (IF(MEDIAN($S$201:$S$220) = 0, "", MEDIAN($S$201:$S$220))))</f>
        <v>19.419485699999999</v>
      </c>
      <c r="T200">
        <f ca="1">IF(ISERROR(IF(MEDIAN($T$201:$T$220) = 0, "", MEDIAN($T$201:$T$220))), "", (IF(MEDIAN($T$201:$T$220) = 0, "", MEDIAN($T$201:$T$220))))</f>
        <v>17.610914749999999</v>
      </c>
      <c r="U200">
        <f ca="1">IF(ISERROR(IF(MEDIAN($U$201:$U$220) = 0, "", MEDIAN($U$201:$U$220))), "", (IF(MEDIAN($U$201:$U$220) = 0, "", MEDIAN($U$201:$U$220))))</f>
        <v>17.249337539999999</v>
      </c>
      <c r="V200">
        <f ca="1">IF(ISERROR(IF(MEDIAN($V$201:$V$220) = 0, "", MEDIAN($V$201:$V$220))), "", (IF(MEDIAN($V$201:$V$220) = 0, "", MEDIAN($V$201:$V$220))))</f>
        <v>19.655014080000001</v>
      </c>
      <c r="W200">
        <f ca="1">IF(ISERROR(IF(MEDIAN($W$201:$W$220) = 0, "", MEDIAN($W$201:$W$220))), "", (IF(MEDIAN($W$201:$W$220) = 0, "", MEDIAN($W$201:$W$220))))</f>
        <v>19.979723679999999</v>
      </c>
      <c r="X200">
        <f ca="1">IF(ISERROR(IF(MEDIAN($X$201:$X$220) = 0, "", MEDIAN($X$201:$X$220))), "", (IF(MEDIAN($X$201:$X$220) = 0, "", MEDIAN($X$201:$X$220))))</f>
        <v>17.303221929999999</v>
      </c>
      <c r="Y200">
        <f ca="1">IF(ISERROR(IF(MEDIAN($Y$201:$Y$220) = 0, "", MEDIAN($Y$201:$Y$220))), "", (IF(MEDIAN($Y$201:$Y$220) = 0, "", MEDIAN($Y$201:$Y$220))))</f>
        <v>18.850215859999999</v>
      </c>
      <c r="Z200">
        <f ca="1">IF(ISERROR(IF(MEDIAN($Z$201:$Z$220) = 0, "", MEDIAN($Z$201:$Z$220))), "", (IF(MEDIAN($Z$201:$Z$220) = 0, "", MEDIAN($Z$201:$Z$220))))</f>
        <v>16.99150539</v>
      </c>
      <c r="AA200">
        <f ca="1">IF(ISERROR(IF(MEDIAN($AA$201:$AA$220) = 0, "", MEDIAN($AA$201:$AA$220))), "", (IF(MEDIAN($AA$201:$AA$220) = 0, "", MEDIAN($AA$201:$AA$220))))</f>
        <v>19.97548995</v>
      </c>
      <c r="AB200">
        <f ca="1">IF(ISERROR(IF(MEDIAN($AB$201:$AB$220) = 0, "", MEDIAN($AB$201:$AB$220))), "", (IF(MEDIAN($AB$201:$AB$220) = 0, "", MEDIAN($AB$201:$AB$220))))</f>
        <v>22.27378045</v>
      </c>
      <c r="AC200">
        <f ca="1">IF(ISERROR(IF(MEDIAN($AC$201:$AC$220) = 0, "", MEDIAN($AC$201:$AC$220))), "", (IF(MEDIAN($AC$201:$AC$220) = 0, "", MEDIAN($AC$201:$AC$220))))</f>
        <v>26.09543609</v>
      </c>
      <c r="AD200" t="str">
        <f ca="1">IF(ISERROR(IF(MEDIAN($AD$201:$AD$220) = 0, "", MEDIAN($AD$201:$AD$220))), "", (IF(MEDIAN($AD$201:$AD$220) = 0, "", MEDIAN($AD$201:$AD$220))))</f>
        <v/>
      </c>
      <c r="AE200" t="str">
        <f ca="1">IF(ISERROR(IF(MEDIAN($AE$201:$AE$220) = 0, "", MEDIAN($AE$201:$AE$220))), "", (IF(MEDIAN($AE$201:$AE$220) = 0, "", MEDIAN($AE$201:$AE$220))))</f>
        <v/>
      </c>
      <c r="AF200" t="str">
        <f ca="1">IF(ISERROR(IF(MEDIAN($AF$201:$AF$220) = 0, "", MEDIAN($AF$201:$AF$220))), "", (IF(MEDIAN($AF$201:$AF$220) = 0, "", MEDIAN($AF$201:$AF$220))))</f>
        <v/>
      </c>
      <c r="AG200" t="str">
        <f ca="1">IF(ISERROR(IF(MEDIAN($AG$201:$AG$220) = 0, "", MEDIAN($AG$201:$AG$220))), "", (IF(MEDIAN($AG$201:$AG$220) = 0, "", MEDIAN($AG$201:$AG$220))))</f>
        <v/>
      </c>
      <c r="AH200" t="str">
        <f ca="1">IF(ISERROR(IF(MEDIAN($AH$201:$AH$220) = 0, "", MEDIAN($AH$201:$AH$220))), "", (IF(MEDIAN($AH$201:$AH$220) = 0, "", MEDIAN($AH$201:$AH$220))))</f>
        <v/>
      </c>
      <c r="AI200" t="str">
        <f ca="1">IF(ISERROR(IF(MEDIAN($AI$201:$AI$220) = 0, "", MEDIAN($AI$201:$AI$220))), "", (IF(MEDIAN($AI$201:$AI$220) = 0, "", MEDIAN($AI$201:$AI$220))))</f>
        <v/>
      </c>
      <c r="AJ200" t="str">
        <f ca="1">IF(ISERROR(IF(MEDIAN($AJ$201:$AJ$220) = 0, "", MEDIAN($AJ$201:$AJ$220))), "", (IF(MEDIAN($AJ$201:$AJ$220) = 0, "", MEDIAN($AJ$201:$AJ$220))))</f>
        <v/>
      </c>
      <c r="AK200" t="str">
        <f ca="1">IF(ISERROR(IF(MEDIAN($AK$201:$AK$220) = 0, "", MEDIAN($AK$201:$AK$220))), "", (IF(MEDIAN($AK$201:$AK$220) = 0, "", MEDIAN($AK$201:$AK$220))))</f>
        <v/>
      </c>
      <c r="AL200" t="str">
        <f ca="1">IF(ISERROR(IF(MEDIAN($AL$201:$AL$220) = 0, "", MEDIAN($AL$201:$AL$220))), "", (IF(MEDIAN($AL$201:$AL$220) = 0, "", MEDIAN($AL$201:$AL$220))))</f>
        <v/>
      </c>
      <c r="AM200">
        <f>23.73323023</f>
        <v>23.73323023</v>
      </c>
      <c r="AN200">
        <f>26.70595905</f>
        <v>26.705959050000001</v>
      </c>
      <c r="AO200">
        <f>26.32622377</f>
        <v>26.326223769999999</v>
      </c>
      <c r="AP200">
        <f>24.29538089</f>
        <v>24.295380890000001</v>
      </c>
      <c r="AQ200">
        <f>26.85991272</f>
        <v>26.859912720000001</v>
      </c>
      <c r="AR200">
        <f>26.10249271</f>
        <v>26.10249271</v>
      </c>
      <c r="AS200">
        <f>27.14752713</f>
        <v>27.14752713</v>
      </c>
      <c r="AT200">
        <f>26.58619505</f>
        <v>26.586195050000001</v>
      </c>
      <c r="AU200">
        <f>25.5776687</f>
        <v>25.5776687</v>
      </c>
      <c r="AV200">
        <f>25.27100657</f>
        <v>25.271006570000001</v>
      </c>
      <c r="AW200">
        <f>23.87783259</f>
        <v>23.877832590000001</v>
      </c>
      <c r="AX200">
        <f>23.82432713</f>
        <v>23.82432713</v>
      </c>
      <c r="AY200">
        <f>21.45974558</f>
        <v>21.45974558</v>
      </c>
      <c r="AZ200">
        <f>19.4194857</f>
        <v>19.419485699999999</v>
      </c>
      <c r="BA200">
        <f>17.61091475</f>
        <v>17.610914749999999</v>
      </c>
      <c r="BB200">
        <f>17.24933754</f>
        <v>17.249337539999999</v>
      </c>
      <c r="BC200">
        <f>19.65501408</f>
        <v>19.655014080000001</v>
      </c>
      <c r="BD200">
        <f>19.97972368</f>
        <v>19.979723679999999</v>
      </c>
      <c r="BE200">
        <f>17.30322193</f>
        <v>17.303221929999999</v>
      </c>
      <c r="BF200">
        <f>18.85021586</f>
        <v>18.850215859999999</v>
      </c>
      <c r="BG200">
        <f>16.99150539</f>
        <v>16.99150539</v>
      </c>
      <c r="BH200">
        <f>19.97548995</f>
        <v>19.97548995</v>
      </c>
      <c r="BI200">
        <f>22.27378045</f>
        <v>22.27378045</v>
      </c>
      <c r="BJ200">
        <f>26.09543609</f>
        <v>26.09543609</v>
      </c>
      <c r="BK200" t="str">
        <f>""</f>
        <v/>
      </c>
      <c r="BL200" t="str">
        <f>""</f>
        <v/>
      </c>
      <c r="BM200" t="str">
        <f>""</f>
        <v/>
      </c>
      <c r="BN200" t="str">
        <f>""</f>
        <v/>
      </c>
      <c r="BO200" t="str">
        <f>""</f>
        <v/>
      </c>
      <c r="BP200" t="str">
        <f>""</f>
        <v/>
      </c>
      <c r="BQ200" t="str">
        <f>""</f>
        <v/>
      </c>
      <c r="BR200" t="str">
        <f>""</f>
        <v/>
      </c>
      <c r="BS200" t="str">
        <f>""</f>
        <v/>
      </c>
    </row>
    <row r="201" spans="1:71" x14ac:dyDescent="0.25">
      <c r="A201" t="str">
        <f>"        Bank of America Corp"</f>
        <v xml:space="preserve">        Bank of America Corp</v>
      </c>
      <c r="B201" t="str">
        <f>"BAC US Equity"</f>
        <v>BAC US Equity</v>
      </c>
      <c r="C201" t="str">
        <f t="shared" ref="C201:C220" si="27">"F0115"</f>
        <v>F0115</v>
      </c>
      <c r="D201" t="str">
        <f t="shared" ref="D201:D220" si="28">"FED_C&amp;I_LNS_CONS_%_TOT_LNS_LEAS"</f>
        <v>FED_C&amp;I_LNS_CONS_%_TOT_LNS_LEAS</v>
      </c>
      <c r="E201" t="str">
        <f t="shared" ref="E201:E220" si="29">"Dynamic"</f>
        <v>Dynamic</v>
      </c>
      <c r="F201">
        <f ca="1">IF(AND(ISNUMBER($F$609),$B$427=1),$F$609,HLOOKUP(INDIRECT(ADDRESS(2,COLUMN())),OFFSET($AM$2,0,0,ROW()-1,33),ROW()-1,FALSE))</f>
        <v>28.742355499999999</v>
      </c>
      <c r="G201">
        <f ca="1">IF(AND(ISNUMBER($G$609),$B$427=1),$G$609,HLOOKUP(INDIRECT(ADDRESS(2,COLUMN())),OFFSET($AM$2,0,0,ROW()-1,33),ROW()-1,FALSE))</f>
        <v>28.9788304</v>
      </c>
      <c r="H201">
        <f ca="1">IF(AND(ISNUMBER($H$609),$B$427=1),$H$609,HLOOKUP(INDIRECT(ADDRESS(2,COLUMN())),OFFSET($AM$2,0,0,ROW()-1,33),ROW()-1,FALSE))</f>
        <v>30.441468950000001</v>
      </c>
      <c r="I201">
        <f ca="1">IF(AND(ISNUMBER($I$609),$B$427=1),$I$609,HLOOKUP(INDIRECT(ADDRESS(2,COLUMN())),OFFSET($AM$2,0,0,ROW()-1,33),ROW()-1,FALSE))</f>
        <v>28.68412824</v>
      </c>
      <c r="J201">
        <f ca="1">IF(AND(ISNUMBER($J$609),$B$427=1),$J$609,HLOOKUP(INDIRECT(ADDRESS(2,COLUMN())),OFFSET($AM$2,0,0,ROW()-1,33),ROW()-1,FALSE))</f>
        <v>29.914588760000001</v>
      </c>
      <c r="K201">
        <f ca="1">IF(AND(ISNUMBER($K$609),$B$427=1),$K$609,HLOOKUP(INDIRECT(ADDRESS(2,COLUMN())),OFFSET($AM$2,0,0,ROW()-1,33),ROW()-1,FALSE))</f>
        <v>28.918337959999999</v>
      </c>
      <c r="L201">
        <f ca="1">IF(AND(ISNUMBER($L$609),$B$427=1),$L$609,HLOOKUP(INDIRECT(ADDRESS(2,COLUMN())),OFFSET($AM$2,0,0,ROW()-1,33),ROW()-1,FALSE))</f>
        <v>28.528223749999999</v>
      </c>
      <c r="M201">
        <f ca="1">IF(AND(ISNUMBER($M$609),$B$427=1),$M$609,HLOOKUP(INDIRECT(ADDRESS(2,COLUMN())),OFFSET($AM$2,0,0,ROW()-1,33),ROW()-1,FALSE))</f>
        <v>27.3782043</v>
      </c>
      <c r="N201">
        <f ca="1">IF(AND(ISNUMBER($N$609),$B$427=1),$N$609,HLOOKUP(INDIRECT(ADDRESS(2,COLUMN())),OFFSET($AM$2,0,0,ROW()-1,33),ROW()-1,FALSE))</f>
        <v>26.68682956</v>
      </c>
      <c r="O201">
        <f ca="1">IF(AND(ISNUMBER($O$609),$B$427=1),$O$609,HLOOKUP(INDIRECT(ADDRESS(2,COLUMN())),OFFSET($AM$2,0,0,ROW()-1,33),ROW()-1,FALSE))</f>
        <v>25.223503480000002</v>
      </c>
      <c r="P201">
        <f ca="1">IF(AND(ISNUMBER($P$609),$B$427=1),$P$609,HLOOKUP(INDIRECT(ADDRESS(2,COLUMN())),OFFSET($AM$2,0,0,ROW()-1,33),ROW()-1,FALSE))</f>
        <v>23.496292029999999</v>
      </c>
      <c r="Q201">
        <f ca="1">IF(AND(ISNUMBER($Q$609),$B$427=1),$Q$609,HLOOKUP(INDIRECT(ADDRESS(2,COLUMN())),OFFSET($AM$2,0,0,ROW()-1,33),ROW()-1,FALSE))</f>
        <v>23.933726780000001</v>
      </c>
      <c r="R201">
        <f ca="1">IF(AND(ISNUMBER($R$609),$B$427=1),$R$609,HLOOKUP(INDIRECT(ADDRESS(2,COLUMN())),OFFSET($AM$2,0,0,ROW()-1,33),ROW()-1,FALSE))</f>
        <v>21.77040246</v>
      </c>
      <c r="S201">
        <f ca="1">IF(AND(ISNUMBER($S$609),$B$427=1),$S$609,HLOOKUP(INDIRECT(ADDRESS(2,COLUMN())),OFFSET($AM$2,0,0,ROW()-1,33),ROW()-1,FALSE))</f>
        <v>19.12452678</v>
      </c>
      <c r="T201">
        <f ca="1">IF(AND(ISNUMBER($T$609),$B$427=1),$T$609,HLOOKUP(INDIRECT(ADDRESS(2,COLUMN())),OFFSET($AM$2,0,0,ROW()-1,33),ROW()-1,FALSE))</f>
        <v>15.88573809</v>
      </c>
      <c r="U201">
        <f ca="1">IF(AND(ISNUMBER($U$609),$B$427=1),$U$609,HLOOKUP(INDIRECT(ADDRESS(2,COLUMN())),OFFSET($AM$2,0,0,ROW()-1,33),ROW()-1,FALSE))</f>
        <v>17.233314700000001</v>
      </c>
      <c r="V201">
        <f ca="1">IF(AND(ISNUMBER($V$609),$B$427=1),$V$609,HLOOKUP(INDIRECT(ADDRESS(2,COLUMN())),OFFSET($AM$2,0,0,ROW()-1,33),ROW()-1,FALSE))</f>
        <v>19.655014080000001</v>
      </c>
      <c r="W201">
        <f ca="1">IF(AND(ISNUMBER($W$609),$B$427=1),$W$609,HLOOKUP(INDIRECT(ADDRESS(2,COLUMN())),OFFSET($AM$2,0,0,ROW()-1,33),ROW()-1,FALSE))</f>
        <v>19.468891370000001</v>
      </c>
      <c r="X201">
        <f ca="1">IF(AND(ISNUMBER($X$609),$B$427=1),$X$609,HLOOKUP(INDIRECT(ADDRESS(2,COLUMN())),OFFSET($AM$2,0,0,ROW()-1,33),ROW()-1,FALSE))</f>
        <v>17.303221929999999</v>
      </c>
      <c r="Y201">
        <f ca="1">IF(AND(ISNUMBER($Y$609),$B$427=1),$Y$609,HLOOKUP(INDIRECT(ADDRESS(2,COLUMN())),OFFSET($AM$2,0,0,ROW()-1,33),ROW()-1,FALSE))</f>
        <v>19.153136570000001</v>
      </c>
      <c r="Z201">
        <f ca="1">IF(AND(ISNUMBER($Z$609),$B$427=1),$Z$609,HLOOKUP(INDIRECT(ADDRESS(2,COLUMN())),OFFSET($AM$2,0,0,ROW()-1,33),ROW()-1,FALSE))</f>
        <v>17.86603556</v>
      </c>
      <c r="AA201">
        <f ca="1">IF(AND(ISNUMBER($AA$609),$B$427=1),$AA$609,HLOOKUP(INDIRECT(ADDRESS(2,COLUMN())),OFFSET($AM$2,0,0,ROW()-1,33),ROW()-1,FALSE))</f>
        <v>18.55823874</v>
      </c>
      <c r="AB201">
        <f ca="1">IF(AND(ISNUMBER($AB$609),$B$427=1),$AB$609,HLOOKUP(INDIRECT(ADDRESS(2,COLUMN())),OFFSET($AM$2,0,0,ROW()-1,33),ROW()-1,FALSE))</f>
        <v>23.81164712</v>
      </c>
      <c r="AC201">
        <f ca="1">IF(AND(ISNUMBER($AC$609),$B$427=1),$AC$609,HLOOKUP(INDIRECT(ADDRESS(2,COLUMN())),OFFSET($AM$2,0,0,ROW()-1,33),ROW()-1,FALSE))</f>
        <v>30.796287629999998</v>
      </c>
      <c r="AD201" t="str">
        <f ca="1">IF(AND(ISNUMBER($AD$609),$B$427=1),$AD$609,HLOOKUP(INDIRECT(ADDRESS(2,COLUMN())),OFFSET($AM$2,0,0,ROW()-1,33),ROW()-1,FALSE))</f>
        <v/>
      </c>
      <c r="AE201" t="str">
        <f ca="1">IF(AND(ISNUMBER($AE$609),$B$427=1),$AE$609,HLOOKUP(INDIRECT(ADDRESS(2,COLUMN())),OFFSET($AM$2,0,0,ROW()-1,33),ROW()-1,FALSE))</f>
        <v/>
      </c>
      <c r="AF201" t="str">
        <f ca="1">IF(AND(ISNUMBER($AF$609),$B$427=1),$AF$609,HLOOKUP(INDIRECT(ADDRESS(2,COLUMN())),OFFSET($AM$2,0,0,ROW()-1,33),ROW()-1,FALSE))</f>
        <v/>
      </c>
      <c r="AG201" t="str">
        <f ca="1">IF(AND(ISNUMBER($AG$609),$B$427=1),$AG$609,HLOOKUP(INDIRECT(ADDRESS(2,COLUMN())),OFFSET($AM$2,0,0,ROW()-1,33),ROW()-1,FALSE))</f>
        <v/>
      </c>
      <c r="AH201" t="str">
        <f ca="1">IF(AND(ISNUMBER($AH$609),$B$427=1),$AH$609,HLOOKUP(INDIRECT(ADDRESS(2,COLUMN())),OFFSET($AM$2,0,0,ROW()-1,33),ROW()-1,FALSE))</f>
        <v/>
      </c>
      <c r="AI201" t="str">
        <f ca="1">IF(AND(ISNUMBER($AI$609),$B$427=1),$AI$609,HLOOKUP(INDIRECT(ADDRESS(2,COLUMN())),OFFSET($AM$2,0,0,ROW()-1,33),ROW()-1,FALSE))</f>
        <v/>
      </c>
      <c r="AJ201" t="str">
        <f ca="1">IF(AND(ISNUMBER($AJ$609),$B$427=1),$AJ$609,HLOOKUP(INDIRECT(ADDRESS(2,COLUMN())),OFFSET($AM$2,0,0,ROW()-1,33),ROW()-1,FALSE))</f>
        <v/>
      </c>
      <c r="AK201" t="str">
        <f ca="1">IF(AND(ISNUMBER($AK$609),$B$427=1),$AK$609,HLOOKUP(INDIRECT(ADDRESS(2,COLUMN())),OFFSET($AM$2,0,0,ROW()-1,33),ROW()-1,FALSE))</f>
        <v/>
      </c>
      <c r="AL201" t="str">
        <f ca="1">IF(AND(ISNUMBER($AL$609),$B$427=1),$AL$609,HLOOKUP(INDIRECT(ADDRESS(2,COLUMN())),OFFSET($AM$2,0,0,ROW()-1,33),ROW()-1,FALSE))</f>
        <v/>
      </c>
      <c r="AM201">
        <f>28.7423555</f>
        <v>28.742355499999999</v>
      </c>
      <c r="AN201">
        <f>28.9788304</f>
        <v>28.9788304</v>
      </c>
      <c r="AO201">
        <f>30.44146895</f>
        <v>30.441468950000001</v>
      </c>
      <c r="AP201">
        <f>28.68412824</f>
        <v>28.68412824</v>
      </c>
      <c r="AQ201">
        <f>29.91458876</f>
        <v>29.914588760000001</v>
      </c>
      <c r="AR201">
        <f>28.91833796</f>
        <v>28.918337959999999</v>
      </c>
      <c r="AS201">
        <f>28.52822375</f>
        <v>28.528223749999999</v>
      </c>
      <c r="AT201">
        <f>27.3782043</f>
        <v>27.3782043</v>
      </c>
      <c r="AU201">
        <f>26.68682956</f>
        <v>26.68682956</v>
      </c>
      <c r="AV201">
        <f>25.22350348</f>
        <v>25.223503480000002</v>
      </c>
      <c r="AW201">
        <f>23.49629203</f>
        <v>23.496292029999999</v>
      </c>
      <c r="AX201">
        <f>23.93372678</f>
        <v>23.933726780000001</v>
      </c>
      <c r="AY201">
        <f>21.77040246</f>
        <v>21.77040246</v>
      </c>
      <c r="AZ201">
        <f>19.12452678</f>
        <v>19.12452678</v>
      </c>
      <c r="BA201">
        <f>15.88573809</f>
        <v>15.88573809</v>
      </c>
      <c r="BB201">
        <f>17.2333147</f>
        <v>17.233314700000001</v>
      </c>
      <c r="BC201">
        <f>19.65501408</f>
        <v>19.655014080000001</v>
      </c>
      <c r="BD201">
        <f>19.46889137</f>
        <v>19.468891370000001</v>
      </c>
      <c r="BE201">
        <f>17.30322193</f>
        <v>17.303221929999999</v>
      </c>
      <c r="BF201">
        <f>19.15313657</f>
        <v>19.153136570000001</v>
      </c>
      <c r="BG201">
        <f>17.86603556</f>
        <v>17.86603556</v>
      </c>
      <c r="BH201">
        <f>18.55823874</f>
        <v>18.55823874</v>
      </c>
      <c r="BI201">
        <f>23.81164712</f>
        <v>23.81164712</v>
      </c>
      <c r="BJ201">
        <f>30.79628763</f>
        <v>30.796287629999998</v>
      </c>
      <c r="BK201" t="str">
        <f>""</f>
        <v/>
      </c>
      <c r="BL201" t="str">
        <f>""</f>
        <v/>
      </c>
      <c r="BM201" t="str">
        <f>""</f>
        <v/>
      </c>
      <c r="BN201" t="str">
        <f>""</f>
        <v/>
      </c>
      <c r="BO201" t="str">
        <f>""</f>
        <v/>
      </c>
      <c r="BP201" t="str">
        <f>""</f>
        <v/>
      </c>
      <c r="BQ201" t="str">
        <f>""</f>
        <v/>
      </c>
      <c r="BR201" t="str">
        <f>""</f>
        <v/>
      </c>
      <c r="BS201" t="str">
        <f>""</f>
        <v/>
      </c>
    </row>
    <row r="202" spans="1:71" x14ac:dyDescent="0.25">
      <c r="A202" t="str">
        <f>"        Citigroup Inc"</f>
        <v xml:space="preserve">        Citigroup Inc</v>
      </c>
      <c r="B202" t="str">
        <f>"C US Equity"</f>
        <v>C US Equity</v>
      </c>
      <c r="C202" t="str">
        <f t="shared" si="27"/>
        <v>F0115</v>
      </c>
      <c r="D202" t="str">
        <f t="shared" si="28"/>
        <v>FED_C&amp;I_LNS_CONS_%_TOT_LNS_LEAS</v>
      </c>
      <c r="E202" t="str">
        <f t="shared" si="29"/>
        <v>Dynamic</v>
      </c>
      <c r="F202">
        <f ca="1">IF(AND(ISNUMBER($F$610),$B$427=1),$F$610,HLOOKUP(INDIRECT(ADDRESS(2,COLUMN())),OFFSET($AM$2,0,0,ROW()-1,33),ROW()-1,FALSE))</f>
        <v>22.315758420000002</v>
      </c>
      <c r="G202">
        <f ca="1">IF(AND(ISNUMBER($G$610),$B$427=1),$G$610,HLOOKUP(INDIRECT(ADDRESS(2,COLUMN())),OFFSET($AM$2,0,0,ROW()-1,33),ROW()-1,FALSE))</f>
        <v>23.198065840000002</v>
      </c>
      <c r="H202">
        <f ca="1">IF(AND(ISNUMBER($H$610),$B$427=1),$H$610,HLOOKUP(INDIRECT(ADDRESS(2,COLUMN())),OFFSET($AM$2,0,0,ROW()-1,33),ROW()-1,FALSE))</f>
        <v>23.137616999999999</v>
      </c>
      <c r="I202">
        <f ca="1">IF(AND(ISNUMBER($I$610),$B$427=1),$I$610,HLOOKUP(INDIRECT(ADDRESS(2,COLUMN())),OFFSET($AM$2,0,0,ROW()-1,33),ROW()-1,FALSE))</f>
        <v>22.571651419999998</v>
      </c>
      <c r="J202">
        <f ca="1">IF(AND(ISNUMBER($J$610),$B$427=1),$J$610,HLOOKUP(INDIRECT(ADDRESS(2,COLUMN())),OFFSET($AM$2,0,0,ROW()-1,33),ROW()-1,FALSE))</f>
        <v>24.126190609999998</v>
      </c>
      <c r="K202">
        <f ca="1">IF(AND(ISNUMBER($K$610),$B$427=1),$K$610,HLOOKUP(INDIRECT(ADDRESS(2,COLUMN())),OFFSET($AM$2,0,0,ROW()-1,33),ROW()-1,FALSE))</f>
        <v>24.6324665</v>
      </c>
      <c r="L202">
        <f ca="1">IF(AND(ISNUMBER($L$610),$B$427=1),$L$610,HLOOKUP(INDIRECT(ADDRESS(2,COLUMN())),OFFSET($AM$2,0,0,ROW()-1,33),ROW()-1,FALSE))</f>
        <v>25.422771950000001</v>
      </c>
      <c r="M202">
        <f ca="1">IF(AND(ISNUMBER($M$610),$B$427=1),$M$610,HLOOKUP(INDIRECT(ADDRESS(2,COLUMN())),OFFSET($AM$2,0,0,ROW()-1,33),ROW()-1,FALSE))</f>
        <v>25.37212881</v>
      </c>
      <c r="N202">
        <f ca="1">IF(AND(ISNUMBER($N$610),$B$427=1),$N$610,HLOOKUP(INDIRECT(ADDRESS(2,COLUMN())),OFFSET($AM$2,0,0,ROW()-1,33),ROW()-1,FALSE))</f>
        <v>24.121312280000001</v>
      </c>
      <c r="O202">
        <f ca="1">IF(AND(ISNUMBER($O$610),$B$427=1),$O$610,HLOOKUP(INDIRECT(ADDRESS(2,COLUMN())),OFFSET($AM$2,0,0,ROW()-1,33),ROW()-1,FALSE))</f>
        <v>24.535256189999998</v>
      </c>
      <c r="P202">
        <f ca="1">IF(AND(ISNUMBER($P$610),$B$427=1),$P$610,HLOOKUP(INDIRECT(ADDRESS(2,COLUMN())),OFFSET($AM$2,0,0,ROW()-1,33),ROW()-1,FALSE))</f>
        <v>22.959915909999999</v>
      </c>
      <c r="Q202">
        <f ca="1">IF(AND(ISNUMBER($Q$610),$B$427=1),$Q$610,HLOOKUP(INDIRECT(ADDRESS(2,COLUMN())),OFFSET($AM$2,0,0,ROW()-1,33),ROW()-1,FALSE))</f>
        <v>22.15935275</v>
      </c>
      <c r="R202">
        <f ca="1">IF(AND(ISNUMBER($R$610),$B$427=1),$R$610,HLOOKUP(INDIRECT(ADDRESS(2,COLUMN())),OFFSET($AM$2,0,0,ROW()-1,33),ROW()-1,FALSE))</f>
        <v>20.790348219999998</v>
      </c>
      <c r="S202">
        <f ca="1">IF(AND(ISNUMBER($S$610),$B$427=1),$S$610,HLOOKUP(INDIRECT(ADDRESS(2,COLUMN())),OFFSET($AM$2,0,0,ROW()-1,33),ROW()-1,FALSE))</f>
        <v>19.098859640000001</v>
      </c>
      <c r="T202">
        <f ca="1">IF(AND(ISNUMBER($T$610),$B$427=1),$T$610,HLOOKUP(INDIRECT(ADDRESS(2,COLUMN())),OFFSET($AM$2,0,0,ROW()-1,33),ROW()-1,FALSE))</f>
        <v>16.427505759999999</v>
      </c>
      <c r="U202">
        <f ca="1">IF(AND(ISNUMBER($U$610),$B$427=1),$U$610,HLOOKUP(INDIRECT(ADDRESS(2,COLUMN())),OFFSET($AM$2,0,0,ROW()-1,33),ROW()-1,FALSE))</f>
        <v>18.706583609999999</v>
      </c>
      <c r="V202">
        <f ca="1">IF(AND(ISNUMBER($V$610),$B$427=1),$V$610,HLOOKUP(INDIRECT(ADDRESS(2,COLUMN())),OFFSET($AM$2,0,0,ROW()-1,33),ROW()-1,FALSE))</f>
        <v>20.786681389999998</v>
      </c>
      <c r="W202">
        <f ca="1">IF(AND(ISNUMBER($W$610),$B$427=1),$W$610,HLOOKUP(INDIRECT(ADDRESS(2,COLUMN())),OFFSET($AM$2,0,0,ROW()-1,33),ROW()-1,FALSE))</f>
        <v>23.71330206</v>
      </c>
      <c r="X202">
        <f ca="1">IF(AND(ISNUMBER($X$610),$B$427=1),$X$610,HLOOKUP(INDIRECT(ADDRESS(2,COLUMN())),OFFSET($AM$2,0,0,ROW()-1,33),ROW()-1,FALSE))</f>
        <v>22.009633099999999</v>
      </c>
      <c r="Y202">
        <f ca="1">IF(AND(ISNUMBER($Y$610),$B$427=1),$Y$610,HLOOKUP(INDIRECT(ADDRESS(2,COLUMN())),OFFSET($AM$2,0,0,ROW()-1,33),ROW()-1,FALSE))</f>
        <v>20.587312539999999</v>
      </c>
      <c r="Z202">
        <f ca="1">IF(AND(ISNUMBER($Z$610),$B$427=1),$Z$610,HLOOKUP(INDIRECT(ADDRESS(2,COLUMN())),OFFSET($AM$2,0,0,ROW()-1,33),ROW()-1,FALSE))</f>
        <v>19.561914430000002</v>
      </c>
      <c r="AA202">
        <f ca="1">IF(AND(ISNUMBER($AA$610),$B$427=1),$AA$610,HLOOKUP(INDIRECT(ADDRESS(2,COLUMN())),OFFSET($AM$2,0,0,ROW()-1,33),ROW()-1,FALSE))</f>
        <v>18.964837899999999</v>
      </c>
      <c r="AB202">
        <f ca="1">IF(AND(ISNUMBER($AB$610),$B$427=1),$AB$610,HLOOKUP(INDIRECT(ADDRESS(2,COLUMN())),OFFSET($AM$2,0,0,ROW()-1,33),ROW()-1,FALSE))</f>
        <v>22.27378045</v>
      </c>
      <c r="AC202">
        <f ca="1">IF(AND(ISNUMBER($AC$610),$B$427=1),$AC$610,HLOOKUP(INDIRECT(ADDRESS(2,COLUMN())),OFFSET($AM$2,0,0,ROW()-1,33),ROW()-1,FALSE))</f>
        <v>27.115806379999999</v>
      </c>
      <c r="AD202" t="str">
        <f ca="1">IF(AND(ISNUMBER($AD$610),$B$427=1),$AD$610,HLOOKUP(INDIRECT(ADDRESS(2,COLUMN())),OFFSET($AM$2,0,0,ROW()-1,33),ROW()-1,FALSE))</f>
        <v/>
      </c>
      <c r="AE202" t="str">
        <f ca="1">IF(AND(ISNUMBER($AE$610),$B$427=1),$AE$610,HLOOKUP(INDIRECT(ADDRESS(2,COLUMN())),OFFSET($AM$2,0,0,ROW()-1,33),ROW()-1,FALSE))</f>
        <v/>
      </c>
      <c r="AF202" t="str">
        <f ca="1">IF(AND(ISNUMBER($AF$610),$B$427=1),$AF$610,HLOOKUP(INDIRECT(ADDRESS(2,COLUMN())),OFFSET($AM$2,0,0,ROW()-1,33),ROW()-1,FALSE))</f>
        <v/>
      </c>
      <c r="AG202" t="str">
        <f ca="1">IF(AND(ISNUMBER($AG$610),$B$427=1),$AG$610,HLOOKUP(INDIRECT(ADDRESS(2,COLUMN())),OFFSET($AM$2,0,0,ROW()-1,33),ROW()-1,FALSE))</f>
        <v/>
      </c>
      <c r="AH202" t="str">
        <f ca="1">IF(AND(ISNUMBER($AH$610),$B$427=1),$AH$610,HLOOKUP(INDIRECT(ADDRESS(2,COLUMN())),OFFSET($AM$2,0,0,ROW()-1,33),ROW()-1,FALSE))</f>
        <v/>
      </c>
      <c r="AI202" t="str">
        <f ca="1">IF(AND(ISNUMBER($AI$610),$B$427=1),$AI$610,HLOOKUP(INDIRECT(ADDRESS(2,COLUMN())),OFFSET($AM$2,0,0,ROW()-1,33),ROW()-1,FALSE))</f>
        <v/>
      </c>
      <c r="AJ202" t="str">
        <f ca="1">IF(AND(ISNUMBER($AJ$610),$B$427=1),$AJ$610,HLOOKUP(INDIRECT(ADDRESS(2,COLUMN())),OFFSET($AM$2,0,0,ROW()-1,33),ROW()-1,FALSE))</f>
        <v/>
      </c>
      <c r="AK202" t="str">
        <f ca="1">IF(AND(ISNUMBER($AK$610),$B$427=1),$AK$610,HLOOKUP(INDIRECT(ADDRESS(2,COLUMN())),OFFSET($AM$2,0,0,ROW()-1,33),ROW()-1,FALSE))</f>
        <v/>
      </c>
      <c r="AL202" t="str">
        <f ca="1">IF(AND(ISNUMBER($AL$610),$B$427=1),$AL$610,HLOOKUP(INDIRECT(ADDRESS(2,COLUMN())),OFFSET($AM$2,0,0,ROW()-1,33),ROW()-1,FALSE))</f>
        <v/>
      </c>
      <c r="AM202">
        <f>22.31575842</f>
        <v>22.315758420000002</v>
      </c>
      <c r="AN202">
        <f>23.19806584</f>
        <v>23.198065840000002</v>
      </c>
      <c r="AO202">
        <f>23.137617</f>
        <v>23.137616999999999</v>
      </c>
      <c r="AP202">
        <f>22.57165142</f>
        <v>22.571651419999998</v>
      </c>
      <c r="AQ202">
        <f>24.12619061</f>
        <v>24.126190609999998</v>
      </c>
      <c r="AR202">
        <f>24.6324665</f>
        <v>24.6324665</v>
      </c>
      <c r="AS202">
        <f>25.42277195</f>
        <v>25.422771950000001</v>
      </c>
      <c r="AT202">
        <f>25.37212881</f>
        <v>25.37212881</v>
      </c>
      <c r="AU202">
        <f>24.12131228</f>
        <v>24.121312280000001</v>
      </c>
      <c r="AV202">
        <f>24.53525619</f>
        <v>24.535256189999998</v>
      </c>
      <c r="AW202">
        <f>22.95991591</f>
        <v>22.959915909999999</v>
      </c>
      <c r="AX202">
        <f>22.15935275</f>
        <v>22.15935275</v>
      </c>
      <c r="AY202">
        <f>20.79034822</f>
        <v>20.790348219999998</v>
      </c>
      <c r="AZ202">
        <f>19.09885964</f>
        <v>19.098859640000001</v>
      </c>
      <c r="BA202">
        <f>16.42750576</f>
        <v>16.427505759999999</v>
      </c>
      <c r="BB202">
        <f>18.70658361</f>
        <v>18.706583609999999</v>
      </c>
      <c r="BC202">
        <f>20.78668139</f>
        <v>20.786681389999998</v>
      </c>
      <c r="BD202">
        <f>23.71330206</f>
        <v>23.71330206</v>
      </c>
      <c r="BE202">
        <f>22.0096331</f>
        <v>22.009633099999999</v>
      </c>
      <c r="BF202">
        <f>20.58731254</f>
        <v>20.587312539999999</v>
      </c>
      <c r="BG202">
        <f>19.56191443</f>
        <v>19.561914430000002</v>
      </c>
      <c r="BH202">
        <f>18.9648379</f>
        <v>18.964837899999999</v>
      </c>
      <c r="BI202">
        <f>22.27378045</f>
        <v>22.27378045</v>
      </c>
      <c r="BJ202">
        <f>27.11580638</f>
        <v>27.115806379999999</v>
      </c>
      <c r="BK202" t="str">
        <f>""</f>
        <v/>
      </c>
      <c r="BL202" t="str">
        <f>""</f>
        <v/>
      </c>
      <c r="BM202" t="str">
        <f>""</f>
        <v/>
      </c>
      <c r="BN202" t="str">
        <f>""</f>
        <v/>
      </c>
      <c r="BO202" t="str">
        <f>""</f>
        <v/>
      </c>
      <c r="BP202" t="str">
        <f>""</f>
        <v/>
      </c>
      <c r="BQ202" t="str">
        <f>""</f>
        <v/>
      </c>
      <c r="BR202" t="str">
        <f>""</f>
        <v/>
      </c>
      <c r="BS202" t="str">
        <f>""</f>
        <v/>
      </c>
    </row>
    <row r="203" spans="1:71" x14ac:dyDescent="0.25">
      <c r="A203" t="str">
        <f>"        Citizens Financial Group Inc"</f>
        <v xml:space="preserve">        Citizens Financial Group Inc</v>
      </c>
      <c r="B203" t="str">
        <f>"CFG US Equity"</f>
        <v>CFG US Equity</v>
      </c>
      <c r="C203" t="str">
        <f t="shared" si="27"/>
        <v>F0115</v>
      </c>
      <c r="D203" t="str">
        <f t="shared" si="28"/>
        <v>FED_C&amp;I_LNS_CONS_%_TOT_LNS_LEAS</v>
      </c>
      <c r="E203" t="str">
        <f t="shared" si="29"/>
        <v>Dynamic</v>
      </c>
      <c r="F203">
        <f ca="1">IF(AND(ISNUMBER($F$611),$B$427=1),$F$611,HLOOKUP(INDIRECT(ADDRESS(2,COLUMN())),OFFSET($AM$2,0,0,ROW()-1,33),ROW()-1,FALSE))</f>
        <v>18.43603899</v>
      </c>
      <c r="G203">
        <f ca="1">IF(AND(ISNUMBER($G$611),$B$427=1),$G$611,HLOOKUP(INDIRECT(ADDRESS(2,COLUMN())),OFFSET($AM$2,0,0,ROW()-1,33),ROW()-1,FALSE))</f>
        <v>26.705959050000001</v>
      </c>
      <c r="H203">
        <f ca="1">IF(AND(ISNUMBER($H$611),$B$427=1),$H$611,HLOOKUP(INDIRECT(ADDRESS(2,COLUMN())),OFFSET($AM$2,0,0,ROW()-1,33),ROW()-1,FALSE))</f>
        <v>29.755132509999999</v>
      </c>
      <c r="I203">
        <f ca="1">IF(AND(ISNUMBER($I$611),$B$427=1),$I$611,HLOOKUP(INDIRECT(ADDRESS(2,COLUMN())),OFFSET($AM$2,0,0,ROW()-1,33),ROW()-1,FALSE))</f>
        <v>31.32080663</v>
      </c>
      <c r="J203">
        <f ca="1">IF(AND(ISNUMBER($J$611),$B$427=1),$J$611,HLOOKUP(INDIRECT(ADDRESS(2,COLUMN())),OFFSET($AM$2,0,0,ROW()-1,33),ROW()-1,FALSE))</f>
        <v>31.126064629999998</v>
      </c>
      <c r="K203">
        <f ca="1">IF(AND(ISNUMBER($K$611),$B$427=1),$K$611,HLOOKUP(INDIRECT(ADDRESS(2,COLUMN())),OFFSET($AM$2,0,0,ROW()-1,33),ROW()-1,FALSE))</f>
        <v>29.878663499999998</v>
      </c>
      <c r="L203">
        <f ca="1">IF(AND(ISNUMBER($L$611),$B$427=1),$L$611,HLOOKUP(INDIRECT(ADDRESS(2,COLUMN())),OFFSET($AM$2,0,0,ROW()-1,33),ROW()-1,FALSE))</f>
        <v>30.549927449999998</v>
      </c>
      <c r="M203">
        <f ca="1">IF(AND(ISNUMBER($M$611),$B$427=1),$M$611,HLOOKUP(INDIRECT(ADDRESS(2,COLUMN())),OFFSET($AM$2,0,0,ROW()-1,33),ROW()-1,FALSE))</f>
        <v>28.787615760000001</v>
      </c>
      <c r="N203">
        <f ca="1">IF(AND(ISNUMBER($N$611),$B$427=1),$N$611,HLOOKUP(INDIRECT(ADDRESS(2,COLUMN())),OFFSET($AM$2,0,0,ROW()-1,33),ROW()-1,FALSE))</f>
        <v>29.358110459999999</v>
      </c>
      <c r="O203">
        <f ca="1">IF(AND(ISNUMBER($O$611),$B$427=1),$O$611,HLOOKUP(INDIRECT(ADDRESS(2,COLUMN())),OFFSET($AM$2,0,0,ROW()-1,33),ROW()-1,FALSE))</f>
        <v>27.422248150000001</v>
      </c>
      <c r="P203">
        <f ca="1">IF(AND(ISNUMBER($P$611),$B$427=1),$P$611,HLOOKUP(INDIRECT(ADDRESS(2,COLUMN())),OFFSET($AM$2,0,0,ROW()-1,33),ROW()-1,FALSE))</f>
        <v>26.960485349999999</v>
      </c>
      <c r="Q203">
        <f ca="1">IF(AND(ISNUMBER($Q$611),$B$427=1),$Q$611,HLOOKUP(INDIRECT(ADDRESS(2,COLUMN())),OFFSET($AM$2,0,0,ROW()-1,33),ROW()-1,FALSE))</f>
        <v>26.513473770000001</v>
      </c>
      <c r="R203">
        <f ca="1">IF(AND(ISNUMBER($R$611),$B$427=1),$R$611,HLOOKUP(INDIRECT(ADDRESS(2,COLUMN())),OFFSET($AM$2,0,0,ROW()-1,33),ROW()-1,FALSE))</f>
        <v>24.728529940000001</v>
      </c>
      <c r="S203">
        <f ca="1">IF(AND(ISNUMBER($S$611),$B$427=1),$S$611,HLOOKUP(INDIRECT(ADDRESS(2,COLUMN())),OFFSET($AM$2,0,0,ROW()-1,33),ROW()-1,FALSE))</f>
        <v>21.658870780000001</v>
      </c>
      <c r="T203">
        <f ca="1">IF(AND(ISNUMBER($T$611),$B$427=1),$T$611,HLOOKUP(INDIRECT(ADDRESS(2,COLUMN())),OFFSET($AM$2,0,0,ROW()-1,33),ROW()-1,FALSE))</f>
        <v>17.762949280000001</v>
      </c>
      <c r="U203">
        <f ca="1">IF(AND(ISNUMBER($U$611),$B$427=1),$U$611,HLOOKUP(INDIRECT(ADDRESS(2,COLUMN())),OFFSET($AM$2,0,0,ROW()-1,33),ROW()-1,FALSE))</f>
        <v>15.76918759</v>
      </c>
      <c r="V203">
        <f ca="1">IF(AND(ISNUMBER($V$611),$B$427=1),$V$611,HLOOKUP(INDIRECT(ADDRESS(2,COLUMN())),OFFSET($AM$2,0,0,ROW()-1,33),ROW()-1,FALSE))</f>
        <v>17.49847505</v>
      </c>
      <c r="W203">
        <f ca="1">IF(AND(ISNUMBER($W$611),$B$427=1),$W$611,HLOOKUP(INDIRECT(ADDRESS(2,COLUMN())),OFFSET($AM$2,0,0,ROW()-1,33),ROW()-1,FALSE))</f>
        <v>18.28904082</v>
      </c>
      <c r="X203">
        <f ca="1">IF(AND(ISNUMBER($X$611),$B$427=1),$X$611,HLOOKUP(INDIRECT(ADDRESS(2,COLUMN())),OFFSET($AM$2,0,0,ROW()-1,33),ROW()-1,FALSE))</f>
        <v>15.312031620000001</v>
      </c>
      <c r="Y203">
        <f ca="1">IF(AND(ISNUMBER($Y$611),$B$427=1),$Y$611,HLOOKUP(INDIRECT(ADDRESS(2,COLUMN())),OFFSET($AM$2,0,0,ROW()-1,33),ROW()-1,FALSE))</f>
        <v>12.01121305</v>
      </c>
      <c r="Z203">
        <f ca="1">IF(AND(ISNUMBER($Z$611),$B$427=1),$Z$611,HLOOKUP(INDIRECT(ADDRESS(2,COLUMN())),OFFSET($AM$2,0,0,ROW()-1,33),ROW()-1,FALSE))</f>
        <v>12.14028592</v>
      </c>
      <c r="AA203">
        <f ca="1">IF(AND(ISNUMBER($AA$611),$B$427=1),$AA$611,HLOOKUP(INDIRECT(ADDRESS(2,COLUMN())),OFFSET($AM$2,0,0,ROW()-1,33),ROW()-1,FALSE))</f>
        <v>19.97548995</v>
      </c>
      <c r="AB203">
        <f ca="1">IF(AND(ISNUMBER($AB$611),$B$427=1),$AB$611,HLOOKUP(INDIRECT(ADDRESS(2,COLUMN())),OFFSET($AM$2,0,0,ROW()-1,33),ROW()-1,FALSE))</f>
        <v>26.081984949999999</v>
      </c>
      <c r="AC203">
        <f ca="1">IF(AND(ISNUMBER($AC$611),$B$427=1),$AC$611,HLOOKUP(INDIRECT(ADDRESS(2,COLUMN())),OFFSET($AM$2,0,0,ROW()-1,33),ROW()-1,FALSE))</f>
        <v>32.860920110000002</v>
      </c>
      <c r="AD203" t="str">
        <f ca="1">IF(AND(ISNUMBER($AD$611),$B$427=1),$AD$611,HLOOKUP(INDIRECT(ADDRESS(2,COLUMN())),OFFSET($AM$2,0,0,ROW()-1,33),ROW()-1,FALSE))</f>
        <v/>
      </c>
      <c r="AE203" t="str">
        <f ca="1">IF(AND(ISNUMBER($AE$611),$B$427=1),$AE$611,HLOOKUP(INDIRECT(ADDRESS(2,COLUMN())),OFFSET($AM$2,0,0,ROW()-1,33),ROW()-1,FALSE))</f>
        <v/>
      </c>
      <c r="AF203" t="str">
        <f ca="1">IF(AND(ISNUMBER($AF$611),$B$427=1),$AF$611,HLOOKUP(INDIRECT(ADDRESS(2,COLUMN())),OFFSET($AM$2,0,0,ROW()-1,33),ROW()-1,FALSE))</f>
        <v/>
      </c>
      <c r="AG203" t="str">
        <f ca="1">IF(AND(ISNUMBER($AG$611),$B$427=1),$AG$611,HLOOKUP(INDIRECT(ADDRESS(2,COLUMN())),OFFSET($AM$2,0,0,ROW()-1,33),ROW()-1,FALSE))</f>
        <v/>
      </c>
      <c r="AH203" t="str">
        <f ca="1">IF(AND(ISNUMBER($AH$611),$B$427=1),$AH$611,HLOOKUP(INDIRECT(ADDRESS(2,COLUMN())),OFFSET($AM$2,0,0,ROW()-1,33),ROW()-1,FALSE))</f>
        <v/>
      </c>
      <c r="AI203" t="str">
        <f ca="1">IF(AND(ISNUMBER($AI$611),$B$427=1),$AI$611,HLOOKUP(INDIRECT(ADDRESS(2,COLUMN())),OFFSET($AM$2,0,0,ROW()-1,33),ROW()-1,FALSE))</f>
        <v/>
      </c>
      <c r="AJ203" t="str">
        <f ca="1">IF(AND(ISNUMBER($AJ$611),$B$427=1),$AJ$611,HLOOKUP(INDIRECT(ADDRESS(2,COLUMN())),OFFSET($AM$2,0,0,ROW()-1,33),ROW()-1,FALSE))</f>
        <v/>
      </c>
      <c r="AK203" t="str">
        <f ca="1">IF(AND(ISNUMBER($AK$611),$B$427=1),$AK$611,HLOOKUP(INDIRECT(ADDRESS(2,COLUMN())),OFFSET($AM$2,0,0,ROW()-1,33),ROW()-1,FALSE))</f>
        <v/>
      </c>
      <c r="AL203" t="str">
        <f ca="1">IF(AND(ISNUMBER($AL$611),$B$427=1),$AL$611,HLOOKUP(INDIRECT(ADDRESS(2,COLUMN())),OFFSET($AM$2,0,0,ROW()-1,33),ROW()-1,FALSE))</f>
        <v/>
      </c>
      <c r="AM203">
        <f>18.43603899</f>
        <v>18.43603899</v>
      </c>
      <c r="AN203">
        <f>26.70595905</f>
        <v>26.705959050000001</v>
      </c>
      <c r="AO203">
        <f>29.75513251</f>
        <v>29.755132509999999</v>
      </c>
      <c r="AP203">
        <f>31.32080663</f>
        <v>31.32080663</v>
      </c>
      <c r="AQ203">
        <f>31.12606463</f>
        <v>31.126064629999998</v>
      </c>
      <c r="AR203">
        <f>29.8786635</f>
        <v>29.878663499999998</v>
      </c>
      <c r="AS203">
        <f>30.54992745</f>
        <v>30.549927449999998</v>
      </c>
      <c r="AT203">
        <f>28.78761576</f>
        <v>28.787615760000001</v>
      </c>
      <c r="AU203">
        <f>29.35811046</f>
        <v>29.358110459999999</v>
      </c>
      <c r="AV203">
        <f>27.42224815</f>
        <v>27.422248150000001</v>
      </c>
      <c r="AW203">
        <f>26.96048535</f>
        <v>26.960485349999999</v>
      </c>
      <c r="AX203">
        <f>26.51347377</f>
        <v>26.513473770000001</v>
      </c>
      <c r="AY203">
        <f>24.72852994</f>
        <v>24.728529940000001</v>
      </c>
      <c r="AZ203">
        <f>21.65887078</f>
        <v>21.658870780000001</v>
      </c>
      <c r="BA203">
        <f>17.76294928</f>
        <v>17.762949280000001</v>
      </c>
      <c r="BB203">
        <f>15.76918759</f>
        <v>15.76918759</v>
      </c>
      <c r="BC203">
        <f>17.49847505</f>
        <v>17.49847505</v>
      </c>
      <c r="BD203">
        <f>18.28904082</f>
        <v>18.28904082</v>
      </c>
      <c r="BE203">
        <f>15.31203162</f>
        <v>15.312031620000001</v>
      </c>
      <c r="BF203">
        <f>12.01121305</f>
        <v>12.01121305</v>
      </c>
      <c r="BG203">
        <f>12.14028592</f>
        <v>12.14028592</v>
      </c>
      <c r="BH203">
        <f>19.97548995</f>
        <v>19.97548995</v>
      </c>
      <c r="BI203">
        <f>26.08198495</f>
        <v>26.081984949999999</v>
      </c>
      <c r="BJ203">
        <f>32.86092011</f>
        <v>32.860920110000002</v>
      </c>
      <c r="BK203" t="str">
        <f>""</f>
        <v/>
      </c>
      <c r="BL203" t="str">
        <f>""</f>
        <v/>
      </c>
      <c r="BM203" t="str">
        <f>""</f>
        <v/>
      </c>
      <c r="BN203" t="str">
        <f>""</f>
        <v/>
      </c>
      <c r="BO203" t="str">
        <f>""</f>
        <v/>
      </c>
      <c r="BP203" t="str">
        <f>""</f>
        <v/>
      </c>
      <c r="BQ203" t="str">
        <f>""</f>
        <v/>
      </c>
      <c r="BR203" t="str">
        <f>""</f>
        <v/>
      </c>
      <c r="BS203" t="str">
        <f>""</f>
        <v/>
      </c>
    </row>
    <row r="204" spans="1:71" x14ac:dyDescent="0.25">
      <c r="A204" t="str">
        <f>"        Capital One Financial Corp"</f>
        <v xml:space="preserve">        Capital One Financial Corp</v>
      </c>
      <c r="B204" t="str">
        <f>"COF US Equity"</f>
        <v>COF US Equity</v>
      </c>
      <c r="C204" t="str">
        <f t="shared" si="27"/>
        <v>F0115</v>
      </c>
      <c r="D204" t="str">
        <f t="shared" si="28"/>
        <v>FED_C&amp;I_LNS_CONS_%_TOT_LNS_LEAS</v>
      </c>
      <c r="E204" t="str">
        <f t="shared" si="29"/>
        <v>Dynamic</v>
      </c>
      <c r="F204">
        <f ca="1">IF(AND(ISNUMBER($F$612),$B$427=1),$F$612,HLOOKUP(INDIRECT(ADDRESS(2,COLUMN())),OFFSET($AM$2,0,0,ROW()-1,33),ROW()-1,FALSE))</f>
        <v>13.732867519999999</v>
      </c>
      <c r="G204">
        <f ca="1">IF(AND(ISNUMBER($G$612),$B$427=1),$G$612,HLOOKUP(INDIRECT(ADDRESS(2,COLUMN())),OFFSET($AM$2,0,0,ROW()-1,33),ROW()-1,FALSE))</f>
        <v>14.39080877</v>
      </c>
      <c r="H204">
        <f ca="1">IF(AND(ISNUMBER($H$612),$B$427=1),$H$612,HLOOKUP(INDIRECT(ADDRESS(2,COLUMN())),OFFSET($AM$2,0,0,ROW()-1,33),ROW()-1,FALSE))</f>
        <v>15.226330259999999</v>
      </c>
      <c r="I204">
        <f ca="1">IF(AND(ISNUMBER($I$612),$B$427=1),$I$612,HLOOKUP(INDIRECT(ADDRESS(2,COLUMN())),OFFSET($AM$2,0,0,ROW()-1,33),ROW()-1,FALSE))</f>
        <v>14.30954365</v>
      </c>
      <c r="J204">
        <f ca="1">IF(AND(ISNUMBER($J$612),$B$427=1),$J$612,HLOOKUP(INDIRECT(ADDRESS(2,COLUMN())),OFFSET($AM$2,0,0,ROW()-1,33),ROW()-1,FALSE))</f>
        <v>13.82445772</v>
      </c>
      <c r="K204">
        <f ca="1">IF(AND(ISNUMBER($K$612),$B$427=1),$K$612,HLOOKUP(INDIRECT(ADDRESS(2,COLUMN())),OFFSET($AM$2,0,0,ROW()-1,33),ROW()-1,FALSE))</f>
        <v>14.02986026</v>
      </c>
      <c r="L204">
        <f ca="1">IF(AND(ISNUMBER($L$612),$B$427=1),$L$612,HLOOKUP(INDIRECT(ADDRESS(2,COLUMN())),OFFSET($AM$2,0,0,ROW()-1,33),ROW()-1,FALSE))</f>
        <v>13.692091380000001</v>
      </c>
      <c r="M204">
        <f ca="1">IF(AND(ISNUMBER($M$612),$B$427=1),$M$612,HLOOKUP(INDIRECT(ADDRESS(2,COLUMN())),OFFSET($AM$2,0,0,ROW()-1,33),ROW()-1,FALSE))</f>
        <v>11.389146480000001</v>
      </c>
      <c r="N204">
        <f ca="1">IF(AND(ISNUMBER($N$612),$B$427=1),$N$612,HLOOKUP(INDIRECT(ADDRESS(2,COLUMN())),OFFSET($AM$2,0,0,ROW()-1,33),ROW()-1,FALSE))</f>
        <v>11.94091491</v>
      </c>
      <c r="O204">
        <f ca="1">IF(AND(ISNUMBER($O$612),$B$427=1),$O$612,HLOOKUP(INDIRECT(ADDRESS(2,COLUMN())),OFFSET($AM$2,0,0,ROW()-1,33),ROW()-1,FALSE))</f>
        <v>11.61145264</v>
      </c>
      <c r="P204">
        <f ca="1">IF(AND(ISNUMBER($P$612),$B$427=1),$P$612,HLOOKUP(INDIRECT(ADDRESS(2,COLUMN())),OFFSET($AM$2,0,0,ROW()-1,33),ROW()-1,FALSE))</f>
        <v>10.604659959999999</v>
      </c>
      <c r="Q204">
        <f ca="1">IF(AND(ISNUMBER($Q$612),$B$427=1),$Q$612,HLOOKUP(INDIRECT(ADDRESS(2,COLUMN())),OFFSET($AM$2,0,0,ROW()-1,33),ROW()-1,FALSE))</f>
        <v>9.6921172640000002</v>
      </c>
      <c r="R204">
        <f ca="1">IF(AND(ISNUMBER($R$612),$B$427=1),$R$612,HLOOKUP(INDIRECT(ADDRESS(2,COLUMN())),OFFSET($AM$2,0,0,ROW()-1,33),ROW()-1,FALSE))</f>
        <v>8.7522071379999993</v>
      </c>
      <c r="S204">
        <f ca="1">IF(AND(ISNUMBER($S$612),$B$427=1),$S$612,HLOOKUP(INDIRECT(ADDRESS(2,COLUMN())),OFFSET($AM$2,0,0,ROW()-1,33),ROW()-1,FALSE))</f>
        <v>12.716961599999999</v>
      </c>
      <c r="T204">
        <f ca="1">IF(AND(ISNUMBER($T$612),$B$427=1),$T$612,HLOOKUP(INDIRECT(ADDRESS(2,COLUMN())),OFFSET($AM$2,0,0,ROW()-1,33),ROW()-1,FALSE))</f>
        <v>12.66444295</v>
      </c>
      <c r="U204">
        <f ca="1">IF(AND(ISNUMBER($U$612),$B$427=1),$U$612,HLOOKUP(INDIRECT(ADDRESS(2,COLUMN())),OFFSET($AM$2,0,0,ROW()-1,33),ROW()-1,FALSE))</f>
        <v>13.72656059</v>
      </c>
      <c r="V204">
        <f ca="1">IF(AND(ISNUMBER($V$612),$B$427=1),$V$612,HLOOKUP(INDIRECT(ADDRESS(2,COLUMN())),OFFSET($AM$2,0,0,ROW()-1,33),ROW()-1,FALSE))</f>
        <v>15.377176520000001</v>
      </c>
      <c r="W204">
        <f ca="1">IF(AND(ISNUMBER($W$612),$B$427=1),$W$612,HLOOKUP(INDIRECT(ADDRESS(2,COLUMN())),OFFSET($AM$2,0,0,ROW()-1,33),ROW()-1,FALSE))</f>
        <v>15.95691566</v>
      </c>
      <c r="X204">
        <f ca="1">IF(AND(ISNUMBER($X$612),$B$427=1),$X$612,HLOOKUP(INDIRECT(ADDRESS(2,COLUMN())),OFFSET($AM$2,0,0,ROW()-1,33),ROW()-1,FALSE))</f>
        <v>10.653799640000001</v>
      </c>
      <c r="Y204">
        <f ca="1">IF(AND(ISNUMBER($Y$612),$B$427=1),$Y$612,HLOOKUP(INDIRECT(ADDRESS(2,COLUMN())),OFFSET($AM$2,0,0,ROW()-1,33),ROW()-1,FALSE))</f>
        <v>9.3642868410000002</v>
      </c>
      <c r="Z204">
        <f ca="1">IF(AND(ISNUMBER($Z$612),$B$427=1),$Z$612,HLOOKUP(INDIRECT(ADDRESS(2,COLUMN())),OFFSET($AM$2,0,0,ROW()-1,33),ROW()-1,FALSE))</f>
        <v>6.944850067</v>
      </c>
      <c r="AA204" t="str">
        <f ca="1">IF(AND(ISNUMBER($AA$612),$B$427=1),$AA$612,HLOOKUP(INDIRECT(ADDRESS(2,COLUMN())),OFFSET($AM$2,0,0,ROW()-1,33),ROW()-1,FALSE))</f>
        <v/>
      </c>
      <c r="AB204" t="str">
        <f ca="1">IF(AND(ISNUMBER($AB$612),$B$427=1),$AB$612,HLOOKUP(INDIRECT(ADDRESS(2,COLUMN())),OFFSET($AM$2,0,0,ROW()-1,33),ROW()-1,FALSE))</f>
        <v/>
      </c>
      <c r="AC204" t="str">
        <f ca="1">IF(AND(ISNUMBER($AC$612),$B$427=1),$AC$612,HLOOKUP(INDIRECT(ADDRESS(2,COLUMN())),OFFSET($AM$2,0,0,ROW()-1,33),ROW()-1,FALSE))</f>
        <v/>
      </c>
      <c r="AD204" t="str">
        <f ca="1">IF(AND(ISNUMBER($AD$612),$B$427=1),$AD$612,HLOOKUP(INDIRECT(ADDRESS(2,COLUMN())),OFFSET($AM$2,0,0,ROW()-1,33),ROW()-1,FALSE))</f>
        <v/>
      </c>
      <c r="AE204" t="str">
        <f ca="1">IF(AND(ISNUMBER($AE$612),$B$427=1),$AE$612,HLOOKUP(INDIRECT(ADDRESS(2,COLUMN())),OFFSET($AM$2,0,0,ROW()-1,33),ROW()-1,FALSE))</f>
        <v/>
      </c>
      <c r="AF204" t="str">
        <f ca="1">IF(AND(ISNUMBER($AF$612),$B$427=1),$AF$612,HLOOKUP(INDIRECT(ADDRESS(2,COLUMN())),OFFSET($AM$2,0,0,ROW()-1,33),ROW()-1,FALSE))</f>
        <v/>
      </c>
      <c r="AG204" t="str">
        <f ca="1">IF(AND(ISNUMBER($AG$612),$B$427=1),$AG$612,HLOOKUP(INDIRECT(ADDRESS(2,COLUMN())),OFFSET($AM$2,0,0,ROW()-1,33),ROW()-1,FALSE))</f>
        <v/>
      </c>
      <c r="AH204" t="str">
        <f ca="1">IF(AND(ISNUMBER($AH$612),$B$427=1),$AH$612,HLOOKUP(INDIRECT(ADDRESS(2,COLUMN())),OFFSET($AM$2,0,0,ROW()-1,33),ROW()-1,FALSE))</f>
        <v/>
      </c>
      <c r="AI204" t="str">
        <f ca="1">IF(AND(ISNUMBER($AI$612),$B$427=1),$AI$612,HLOOKUP(INDIRECT(ADDRESS(2,COLUMN())),OFFSET($AM$2,0,0,ROW()-1,33),ROW()-1,FALSE))</f>
        <v/>
      </c>
      <c r="AJ204" t="str">
        <f ca="1">IF(AND(ISNUMBER($AJ$612),$B$427=1),$AJ$612,HLOOKUP(INDIRECT(ADDRESS(2,COLUMN())),OFFSET($AM$2,0,0,ROW()-1,33),ROW()-1,FALSE))</f>
        <v/>
      </c>
      <c r="AK204" t="str">
        <f ca="1">IF(AND(ISNUMBER($AK$612),$B$427=1),$AK$612,HLOOKUP(INDIRECT(ADDRESS(2,COLUMN())),OFFSET($AM$2,0,0,ROW()-1,33),ROW()-1,FALSE))</f>
        <v/>
      </c>
      <c r="AL204" t="str">
        <f ca="1">IF(AND(ISNUMBER($AL$612),$B$427=1),$AL$612,HLOOKUP(INDIRECT(ADDRESS(2,COLUMN())),OFFSET($AM$2,0,0,ROW()-1,33),ROW()-1,FALSE))</f>
        <v/>
      </c>
      <c r="AM204">
        <f>13.73286752</f>
        <v>13.732867519999999</v>
      </c>
      <c r="AN204">
        <f>14.39080877</f>
        <v>14.39080877</v>
      </c>
      <c r="AO204">
        <f>15.22633026</f>
        <v>15.226330259999999</v>
      </c>
      <c r="AP204">
        <f>14.30954365</f>
        <v>14.30954365</v>
      </c>
      <c r="AQ204">
        <f>13.82445772</f>
        <v>13.82445772</v>
      </c>
      <c r="AR204">
        <f>14.02986026</f>
        <v>14.02986026</v>
      </c>
      <c r="AS204">
        <f>13.69209138</f>
        <v>13.692091380000001</v>
      </c>
      <c r="AT204">
        <f>11.38914648</f>
        <v>11.389146480000001</v>
      </c>
      <c r="AU204">
        <f>11.94091491</f>
        <v>11.94091491</v>
      </c>
      <c r="AV204">
        <f>11.61145264</f>
        <v>11.61145264</v>
      </c>
      <c r="AW204">
        <f>10.60465996</f>
        <v>10.604659959999999</v>
      </c>
      <c r="AX204">
        <f>9.692117264</f>
        <v>9.6921172640000002</v>
      </c>
      <c r="AY204">
        <f>8.752207138</f>
        <v>8.7522071379999993</v>
      </c>
      <c r="AZ204">
        <f>12.7169616</f>
        <v>12.716961599999999</v>
      </c>
      <c r="BA204">
        <f>12.66444295</f>
        <v>12.66444295</v>
      </c>
      <c r="BB204">
        <f>13.72656059</f>
        <v>13.72656059</v>
      </c>
      <c r="BC204">
        <f>15.37717652</f>
        <v>15.377176520000001</v>
      </c>
      <c r="BD204">
        <f>15.95691566</f>
        <v>15.95691566</v>
      </c>
      <c r="BE204">
        <f>10.65379964</f>
        <v>10.653799640000001</v>
      </c>
      <c r="BF204">
        <f>9.364286841</f>
        <v>9.3642868410000002</v>
      </c>
      <c r="BG204">
        <f>6.944850067</f>
        <v>6.944850067</v>
      </c>
      <c r="BH204" t="str">
        <f>""</f>
        <v/>
      </c>
      <c r="BI204" t="str">
        <f>""</f>
        <v/>
      </c>
      <c r="BJ204" t="str">
        <f>""</f>
        <v/>
      </c>
      <c r="BK204" t="str">
        <f>""</f>
        <v/>
      </c>
      <c r="BL204" t="str">
        <f>""</f>
        <v/>
      </c>
      <c r="BM204" t="str">
        <f>""</f>
        <v/>
      </c>
      <c r="BN204" t="str">
        <f>""</f>
        <v/>
      </c>
      <c r="BO204" t="str">
        <f>""</f>
        <v/>
      </c>
      <c r="BP204" t="str">
        <f>""</f>
        <v/>
      </c>
      <c r="BQ204" t="str">
        <f>""</f>
        <v/>
      </c>
      <c r="BR204" t="str">
        <f>""</f>
        <v/>
      </c>
      <c r="BS204" t="str">
        <f>""</f>
        <v/>
      </c>
    </row>
    <row r="205" spans="1:71" x14ac:dyDescent="0.25">
      <c r="A205" t="str">
        <f>"        Comerica Inc"</f>
        <v xml:space="preserve">        Comerica Inc</v>
      </c>
      <c r="B205" t="str">
        <f>"CMA US Equity"</f>
        <v>CMA US Equity</v>
      </c>
      <c r="C205" t="str">
        <f t="shared" si="27"/>
        <v>F0115</v>
      </c>
      <c r="D205" t="str">
        <f t="shared" si="28"/>
        <v>FED_C&amp;I_LNS_CONS_%_TOT_LNS_LEAS</v>
      </c>
      <c r="E205" t="str">
        <f t="shared" si="29"/>
        <v>Dynamic</v>
      </c>
      <c r="F205" t="str">
        <f ca="1">IF(AND(ISNUMBER($F$613),$B$427=1),$F$613,HLOOKUP(INDIRECT(ADDRESS(2,COLUMN())),OFFSET($AM$2,0,0,ROW()-1,33),ROW()-1,FALSE))</f>
        <v/>
      </c>
      <c r="G205">
        <f ca="1">IF(AND(ISNUMBER($G$613),$B$427=1),$G$613,HLOOKUP(INDIRECT(ADDRESS(2,COLUMN())),OFFSET($AM$2,0,0,ROW()-1,33),ROW()-1,FALSE))</f>
        <v>47.318750600000001</v>
      </c>
      <c r="H205">
        <f ca="1">IF(AND(ISNUMBER($H$613),$B$427=1),$H$613,HLOOKUP(INDIRECT(ADDRESS(2,COLUMN())),OFFSET($AM$2,0,0,ROW()-1,33),ROW()-1,FALSE))</f>
        <v>47.972960319999999</v>
      </c>
      <c r="I205">
        <f ca="1">IF(AND(ISNUMBER($I$613),$B$427=1),$I$613,HLOOKUP(INDIRECT(ADDRESS(2,COLUMN())),OFFSET($AM$2,0,0,ROW()-1,33),ROW()-1,FALSE))</f>
        <v>46.529792460000003</v>
      </c>
      <c r="J205">
        <f ca="1">IF(AND(ISNUMBER($J$613),$B$427=1),$J$613,HLOOKUP(INDIRECT(ADDRESS(2,COLUMN())),OFFSET($AM$2,0,0,ROW()-1,33),ROW()-1,FALSE))</f>
        <v>48.359339149999997</v>
      </c>
      <c r="K205">
        <f ca="1">IF(AND(ISNUMBER($K$613),$B$427=1),$K$613,HLOOKUP(INDIRECT(ADDRESS(2,COLUMN())),OFFSET($AM$2,0,0,ROW()-1,33),ROW()-1,FALSE))</f>
        <v>51.377640149999998</v>
      </c>
      <c r="L205">
        <f ca="1">IF(AND(ISNUMBER($L$613),$B$427=1),$L$613,HLOOKUP(INDIRECT(ADDRESS(2,COLUMN())),OFFSET($AM$2,0,0,ROW()-1,33),ROW()-1,FALSE))</f>
        <v>53.900947369999997</v>
      </c>
      <c r="M205">
        <f ca="1">IF(AND(ISNUMBER($M$613),$B$427=1),$M$613,HLOOKUP(INDIRECT(ADDRESS(2,COLUMN())),OFFSET($AM$2,0,0,ROW()-1,33),ROW()-1,FALSE))</f>
        <v>54.820890720000001</v>
      </c>
      <c r="N205">
        <f ca="1">IF(AND(ISNUMBER($N$613),$B$427=1),$N$613,HLOOKUP(INDIRECT(ADDRESS(2,COLUMN())),OFFSET($AM$2,0,0,ROW()-1,33),ROW()-1,FALSE))</f>
        <v>54.26372241</v>
      </c>
      <c r="O205">
        <f ca="1">IF(AND(ISNUMBER($O$613),$B$427=1),$O$613,HLOOKUP(INDIRECT(ADDRESS(2,COLUMN())),OFFSET($AM$2,0,0,ROW()-1,33),ROW()-1,FALSE))</f>
        <v>55.887925299999999</v>
      </c>
      <c r="P205">
        <f ca="1">IF(AND(ISNUMBER($P$613),$B$427=1),$P$613,HLOOKUP(INDIRECT(ADDRESS(2,COLUMN())),OFFSET($AM$2,0,0,ROW()-1,33),ROW()-1,FALSE))</f>
        <v>58.976974810000002</v>
      </c>
      <c r="Q205">
        <f ca="1">IF(AND(ISNUMBER($Q$613),$B$427=1),$Q$613,HLOOKUP(INDIRECT(ADDRESS(2,COLUMN())),OFFSET($AM$2,0,0,ROW()-1,33),ROW()-1,FALSE))</f>
        <v>58.584356069999998</v>
      </c>
      <c r="R205">
        <f ca="1">IF(AND(ISNUMBER($R$613),$B$427=1),$R$613,HLOOKUP(INDIRECT(ADDRESS(2,COLUMN())),OFFSET($AM$2,0,0,ROW()-1,33),ROW()-1,FALSE))</f>
        <v>56.613995420000002</v>
      </c>
      <c r="S205">
        <f ca="1">IF(AND(ISNUMBER($S$613),$B$427=1),$S$613,HLOOKUP(INDIRECT(ADDRESS(2,COLUMN())),OFFSET($AM$2,0,0,ROW()-1,33),ROW()-1,FALSE))</f>
        <v>54.785473799999998</v>
      </c>
      <c r="T205">
        <f ca="1">IF(AND(ISNUMBER($T$613),$B$427=1),$T$613,HLOOKUP(INDIRECT(ADDRESS(2,COLUMN())),OFFSET($AM$2,0,0,ROW()-1,33),ROW()-1,FALSE))</f>
        <v>52.788637860000001</v>
      </c>
      <c r="U205">
        <f ca="1">IF(AND(ISNUMBER($U$613),$B$427=1),$U$613,HLOOKUP(INDIRECT(ADDRESS(2,COLUMN())),OFFSET($AM$2,0,0,ROW()-1,33),ROW()-1,FALSE))</f>
        <v>48.730199059999997</v>
      </c>
      <c r="V205">
        <f ca="1">IF(AND(ISNUMBER($V$613),$B$427=1),$V$613,HLOOKUP(INDIRECT(ADDRESS(2,COLUMN())),OFFSET($AM$2,0,0,ROW()-1,33),ROW()-1,FALSE))</f>
        <v>48.37997867</v>
      </c>
      <c r="W205">
        <f ca="1">IF(AND(ISNUMBER($W$613),$B$427=1),$W$613,HLOOKUP(INDIRECT(ADDRESS(2,COLUMN())),OFFSET($AM$2,0,0,ROW()-1,33),ROW()-1,FALSE))</f>
        <v>48.63494438</v>
      </c>
      <c r="X205">
        <f ca="1">IF(AND(ISNUMBER($X$613),$B$427=1),$X$613,HLOOKUP(INDIRECT(ADDRESS(2,COLUMN())),OFFSET($AM$2,0,0,ROW()-1,33),ROW()-1,FALSE))</f>
        <v>49.356905320000003</v>
      </c>
      <c r="Y205">
        <f ca="1">IF(AND(ISNUMBER($Y$613),$B$427=1),$Y$613,HLOOKUP(INDIRECT(ADDRESS(2,COLUMN())),OFFSET($AM$2,0,0,ROW()-1,33),ROW()-1,FALSE))</f>
        <v>48.433324409999997</v>
      </c>
      <c r="Z205">
        <f ca="1">IF(AND(ISNUMBER($Z$613),$B$427=1),$Z$613,HLOOKUP(INDIRECT(ADDRESS(2,COLUMN())),OFFSET($AM$2,0,0,ROW()-1,33),ROW()-1,FALSE))</f>
        <v>53.960458289999998</v>
      </c>
      <c r="AA205">
        <f ca="1">IF(AND(ISNUMBER($AA$613),$B$427=1),$AA$613,HLOOKUP(INDIRECT(ADDRESS(2,COLUMN())),OFFSET($AM$2,0,0,ROW()-1,33),ROW()-1,FALSE))</f>
        <v>55.278024139999999</v>
      </c>
      <c r="AB205">
        <f ca="1">IF(AND(ISNUMBER($AB$613),$B$427=1),$AB$613,HLOOKUP(INDIRECT(ADDRESS(2,COLUMN())),OFFSET($AM$2,0,0,ROW()-1,33),ROW()-1,FALSE))</f>
        <v>57.240502159999998</v>
      </c>
      <c r="AC205">
        <f ca="1">IF(AND(ISNUMBER($AC$613),$B$427=1),$AC$613,HLOOKUP(INDIRECT(ADDRESS(2,COLUMN())),OFFSET($AM$2,0,0,ROW()-1,33),ROW()-1,FALSE))</f>
        <v>59.205198490000001</v>
      </c>
      <c r="AD205" t="str">
        <f ca="1">IF(AND(ISNUMBER($AD$613),$B$427=1),$AD$613,HLOOKUP(INDIRECT(ADDRESS(2,COLUMN())),OFFSET($AM$2,0,0,ROW()-1,33),ROW()-1,FALSE))</f>
        <v/>
      </c>
      <c r="AE205" t="str">
        <f ca="1">IF(AND(ISNUMBER($AE$613),$B$427=1),$AE$613,HLOOKUP(INDIRECT(ADDRESS(2,COLUMN())),OFFSET($AM$2,0,0,ROW()-1,33),ROW()-1,FALSE))</f>
        <v/>
      </c>
      <c r="AF205" t="str">
        <f ca="1">IF(AND(ISNUMBER($AF$613),$B$427=1),$AF$613,HLOOKUP(INDIRECT(ADDRESS(2,COLUMN())),OFFSET($AM$2,0,0,ROW()-1,33),ROW()-1,FALSE))</f>
        <v/>
      </c>
      <c r="AG205" t="str">
        <f ca="1">IF(AND(ISNUMBER($AG$613),$B$427=1),$AG$613,HLOOKUP(INDIRECT(ADDRESS(2,COLUMN())),OFFSET($AM$2,0,0,ROW()-1,33),ROW()-1,FALSE))</f>
        <v/>
      </c>
      <c r="AH205" t="str">
        <f ca="1">IF(AND(ISNUMBER($AH$613),$B$427=1),$AH$613,HLOOKUP(INDIRECT(ADDRESS(2,COLUMN())),OFFSET($AM$2,0,0,ROW()-1,33),ROW()-1,FALSE))</f>
        <v/>
      </c>
      <c r="AI205" t="str">
        <f ca="1">IF(AND(ISNUMBER($AI$613),$B$427=1),$AI$613,HLOOKUP(INDIRECT(ADDRESS(2,COLUMN())),OFFSET($AM$2,0,0,ROW()-1,33),ROW()-1,FALSE))</f>
        <v/>
      </c>
      <c r="AJ205" t="str">
        <f ca="1">IF(AND(ISNUMBER($AJ$613),$B$427=1),$AJ$613,HLOOKUP(INDIRECT(ADDRESS(2,COLUMN())),OFFSET($AM$2,0,0,ROW()-1,33),ROW()-1,FALSE))</f>
        <v/>
      </c>
      <c r="AK205" t="str">
        <f ca="1">IF(AND(ISNUMBER($AK$613),$B$427=1),$AK$613,HLOOKUP(INDIRECT(ADDRESS(2,COLUMN())),OFFSET($AM$2,0,0,ROW()-1,33),ROW()-1,FALSE))</f>
        <v/>
      </c>
      <c r="AL205" t="str">
        <f ca="1">IF(AND(ISNUMBER($AL$613),$B$427=1),$AL$613,HLOOKUP(INDIRECT(ADDRESS(2,COLUMN())),OFFSET($AM$2,0,0,ROW()-1,33),ROW()-1,FALSE))</f>
        <v/>
      </c>
      <c r="AM205" t="str">
        <f>""</f>
        <v/>
      </c>
      <c r="AN205">
        <f>47.3187506</f>
        <v>47.318750600000001</v>
      </c>
      <c r="AO205">
        <f>47.97296032</f>
        <v>47.972960319999999</v>
      </c>
      <c r="AP205">
        <f>46.52979246</f>
        <v>46.529792460000003</v>
      </c>
      <c r="AQ205">
        <f>48.35933915</f>
        <v>48.359339149999997</v>
      </c>
      <c r="AR205">
        <f>51.37764015</f>
        <v>51.377640149999998</v>
      </c>
      <c r="AS205">
        <f>53.90094737</f>
        <v>53.900947369999997</v>
      </c>
      <c r="AT205">
        <f>54.82089072</f>
        <v>54.820890720000001</v>
      </c>
      <c r="AU205">
        <f>54.26372241</f>
        <v>54.26372241</v>
      </c>
      <c r="AV205">
        <f>55.8879253</f>
        <v>55.887925299999999</v>
      </c>
      <c r="AW205">
        <f>58.97697481</f>
        <v>58.976974810000002</v>
      </c>
      <c r="AX205">
        <f>58.58435607</f>
        <v>58.584356069999998</v>
      </c>
      <c r="AY205">
        <f>56.61399542</f>
        <v>56.613995420000002</v>
      </c>
      <c r="AZ205">
        <f>54.7854738</f>
        <v>54.785473799999998</v>
      </c>
      <c r="BA205">
        <f>52.78863786</f>
        <v>52.788637860000001</v>
      </c>
      <c r="BB205">
        <f>48.73019906</f>
        <v>48.730199059999997</v>
      </c>
      <c r="BC205">
        <f>48.37997867</f>
        <v>48.37997867</v>
      </c>
      <c r="BD205">
        <f>48.63494438</f>
        <v>48.63494438</v>
      </c>
      <c r="BE205">
        <f>49.35690532</f>
        <v>49.356905320000003</v>
      </c>
      <c r="BF205">
        <f>48.43332441</f>
        <v>48.433324409999997</v>
      </c>
      <c r="BG205">
        <f>53.96045829</f>
        <v>53.960458289999998</v>
      </c>
      <c r="BH205">
        <f>55.27802414</f>
        <v>55.278024139999999</v>
      </c>
      <c r="BI205">
        <f>57.24050216</f>
        <v>57.240502159999998</v>
      </c>
      <c r="BJ205">
        <f>59.20519849</f>
        <v>59.205198490000001</v>
      </c>
      <c r="BK205" t="str">
        <f>""</f>
        <v/>
      </c>
      <c r="BL205" t="str">
        <f>""</f>
        <v/>
      </c>
      <c r="BM205" t="str">
        <f>""</f>
        <v/>
      </c>
      <c r="BN205" t="str">
        <f>""</f>
        <v/>
      </c>
      <c r="BO205" t="str">
        <f>""</f>
        <v/>
      </c>
      <c r="BP205" t="str">
        <f>""</f>
        <v/>
      </c>
      <c r="BQ205" t="str">
        <f>""</f>
        <v/>
      </c>
      <c r="BR205" t="str">
        <f>""</f>
        <v/>
      </c>
      <c r="BS205" t="str">
        <f>""</f>
        <v/>
      </c>
    </row>
    <row r="206" spans="1:71" x14ac:dyDescent="0.25">
      <c r="A206" t="str">
        <f>"        East West Bancorp Inc"</f>
        <v xml:space="preserve">        East West Bancorp Inc</v>
      </c>
      <c r="B206" t="str">
        <f>"EWBC US Equity"</f>
        <v>EWBC US Equity</v>
      </c>
      <c r="C206" t="str">
        <f t="shared" si="27"/>
        <v>F0115</v>
      </c>
      <c r="D206" t="str">
        <f t="shared" si="28"/>
        <v>FED_C&amp;I_LNS_CONS_%_TOT_LNS_LEAS</v>
      </c>
      <c r="E206" t="str">
        <f t="shared" si="29"/>
        <v>Dynamic</v>
      </c>
      <c r="F206" t="str">
        <f ca="1">IF(AND(ISNUMBER($F$614),$B$427=1),$F$614,HLOOKUP(INDIRECT(ADDRESS(2,COLUMN())),OFFSET($AM$2,0,0,ROW()-1,33),ROW()-1,FALSE))</f>
        <v/>
      </c>
      <c r="G206">
        <f ca="1">IF(AND(ISNUMBER($G$614),$B$427=1),$G$614,HLOOKUP(INDIRECT(ADDRESS(2,COLUMN())),OFFSET($AM$2,0,0,ROW()-1,33),ROW()-1,FALSE))</f>
        <v>19.606335829999999</v>
      </c>
      <c r="H206">
        <f ca="1">IF(AND(ISNUMBER($H$614),$B$427=1),$H$614,HLOOKUP(INDIRECT(ADDRESS(2,COLUMN())),OFFSET($AM$2,0,0,ROW()-1,33),ROW()-1,FALSE))</f>
        <v>20.50481031</v>
      </c>
      <c r="I206">
        <f ca="1">IF(AND(ISNUMBER($I$614),$B$427=1),$I$614,HLOOKUP(INDIRECT(ADDRESS(2,COLUMN())),OFFSET($AM$2,0,0,ROW()-1,33),ROW()-1,FALSE))</f>
        <v>22.841428839999999</v>
      </c>
      <c r="J206">
        <f ca="1">IF(AND(ISNUMBER($J$614),$B$427=1),$J$614,HLOOKUP(INDIRECT(ADDRESS(2,COLUMN())),OFFSET($AM$2,0,0,ROW()-1,33),ROW()-1,FALSE))</f>
        <v>26.859912720000001</v>
      </c>
      <c r="K206">
        <f ca="1">IF(AND(ISNUMBER($K$614),$B$427=1),$K$614,HLOOKUP(INDIRECT(ADDRESS(2,COLUMN())),OFFSET($AM$2,0,0,ROW()-1,33),ROW()-1,FALSE))</f>
        <v>28.024973599999999</v>
      </c>
      <c r="L206">
        <f ca="1">IF(AND(ISNUMBER($L$614),$B$427=1),$L$614,HLOOKUP(INDIRECT(ADDRESS(2,COLUMN())),OFFSET($AM$2,0,0,ROW()-1,33),ROW()-1,FALSE))</f>
        <v>29.259818930000002</v>
      </c>
      <c r="M206">
        <f ca="1">IF(AND(ISNUMBER($M$614),$B$427=1),$M$614,HLOOKUP(INDIRECT(ADDRESS(2,COLUMN())),OFFSET($AM$2,0,0,ROW()-1,33),ROW()-1,FALSE))</f>
        <v>29.908717500000002</v>
      </c>
      <c r="N206">
        <f ca="1">IF(AND(ISNUMBER($N$614),$B$427=1),$N$614,HLOOKUP(INDIRECT(ADDRESS(2,COLUMN())),OFFSET($AM$2,0,0,ROW()-1,33),ROW()-1,FALSE))</f>
        <v>30.69738954</v>
      </c>
      <c r="O206">
        <f ca="1">IF(AND(ISNUMBER($O$614),$B$427=1),$O$614,HLOOKUP(INDIRECT(ADDRESS(2,COLUMN())),OFFSET($AM$2,0,0,ROW()-1,33),ROW()-1,FALSE))</f>
        <v>31.558575810000001</v>
      </c>
      <c r="P206">
        <f ca="1">IF(AND(ISNUMBER($P$614),$B$427=1),$P$614,HLOOKUP(INDIRECT(ADDRESS(2,COLUMN())),OFFSET($AM$2,0,0,ROW()-1,33),ROW()-1,FALSE))</f>
        <v>32.345980390000001</v>
      </c>
      <c r="Q206">
        <f ca="1">IF(AND(ISNUMBER($Q$614),$B$427=1),$Q$614,HLOOKUP(INDIRECT(ADDRESS(2,COLUMN())),OFFSET($AM$2,0,0,ROW()-1,33),ROW()-1,FALSE))</f>
        <v>30.555985639999999</v>
      </c>
      <c r="R206">
        <f ca="1">IF(AND(ISNUMBER($R$614),$B$427=1),$R$614,HLOOKUP(INDIRECT(ADDRESS(2,COLUMN())),OFFSET($AM$2,0,0,ROW()-1,33),ROW()-1,FALSE))</f>
        <v>31.47172982</v>
      </c>
      <c r="S206">
        <f ca="1">IF(AND(ISNUMBER($S$614),$B$427=1),$S$614,HLOOKUP(INDIRECT(ADDRESS(2,COLUMN())),OFFSET($AM$2,0,0,ROW()-1,33),ROW()-1,FALSE))</f>
        <v>25.865579520000001</v>
      </c>
      <c r="T206">
        <f ca="1">IF(AND(ISNUMBER($T$614),$B$427=1),$T$614,HLOOKUP(INDIRECT(ADDRESS(2,COLUMN())),OFFSET($AM$2,0,0,ROW()-1,33),ROW()-1,FALSE))</f>
        <v>21.030095599999999</v>
      </c>
      <c r="U206">
        <f ca="1">IF(AND(ISNUMBER($U$614),$B$427=1),$U$614,HLOOKUP(INDIRECT(ADDRESS(2,COLUMN())),OFFSET($AM$2,0,0,ROW()-1,33),ROW()-1,FALSE))</f>
        <v>18.31555195</v>
      </c>
      <c r="V206">
        <f ca="1">IF(AND(ISNUMBER($V$614),$B$427=1),$V$614,HLOOKUP(INDIRECT(ADDRESS(2,COLUMN())),OFFSET($AM$2,0,0,ROW()-1,33),ROW()-1,FALSE))</f>
        <v>18.84709934</v>
      </c>
      <c r="W206">
        <f ca="1">IF(AND(ISNUMBER($W$614),$B$427=1),$W$614,HLOOKUP(INDIRECT(ADDRESS(2,COLUMN())),OFFSET($AM$2,0,0,ROW()-1,33),ROW()-1,FALSE))</f>
        <v>20.418442020000001</v>
      </c>
      <c r="X206">
        <f ca="1">IF(AND(ISNUMBER($X$614),$B$427=1),$X$614,HLOOKUP(INDIRECT(ADDRESS(2,COLUMN())),OFFSET($AM$2,0,0,ROW()-1,33),ROW()-1,FALSE))</f>
        <v>14.90782641</v>
      </c>
      <c r="Y206">
        <f ca="1">IF(AND(ISNUMBER($Y$614),$B$427=1),$Y$614,HLOOKUP(INDIRECT(ADDRESS(2,COLUMN())),OFFSET($AM$2,0,0,ROW()-1,33),ROW()-1,FALSE))</f>
        <v>12.78472019</v>
      </c>
      <c r="Z206">
        <f ca="1">IF(AND(ISNUMBER($Z$614),$B$427=1),$Z$614,HLOOKUP(INDIRECT(ADDRESS(2,COLUMN())),OFFSET($AM$2,0,0,ROW()-1,33),ROW()-1,FALSE))</f>
        <v>11.45537098</v>
      </c>
      <c r="AA206">
        <f ca="1">IF(AND(ISNUMBER($AA$614),$B$427=1),$AA$614,HLOOKUP(INDIRECT(ADDRESS(2,COLUMN())),OFFSET($AM$2,0,0,ROW()-1,33),ROW()-1,FALSE))</f>
        <v>12.954371220000001</v>
      </c>
      <c r="AB206">
        <f ca="1">IF(AND(ISNUMBER($AB$614),$B$427=1),$AB$614,HLOOKUP(INDIRECT(ADDRESS(2,COLUMN())),OFFSET($AM$2,0,0,ROW()-1,33),ROW()-1,FALSE))</f>
        <v>14.061802330000001</v>
      </c>
      <c r="AC206">
        <f ca="1">IF(AND(ISNUMBER($AC$614),$B$427=1),$AC$614,HLOOKUP(INDIRECT(ADDRESS(2,COLUMN())),OFFSET($AM$2,0,0,ROW()-1,33),ROW()-1,FALSE))</f>
        <v>16.443613559999999</v>
      </c>
      <c r="AD206" t="str">
        <f ca="1">IF(AND(ISNUMBER($AD$614),$B$427=1),$AD$614,HLOOKUP(INDIRECT(ADDRESS(2,COLUMN())),OFFSET($AM$2,0,0,ROW()-1,33),ROW()-1,FALSE))</f>
        <v/>
      </c>
      <c r="AE206" t="str">
        <f ca="1">IF(AND(ISNUMBER($AE$614),$B$427=1),$AE$614,HLOOKUP(INDIRECT(ADDRESS(2,COLUMN())),OFFSET($AM$2,0,0,ROW()-1,33),ROW()-1,FALSE))</f>
        <v/>
      </c>
      <c r="AF206" t="str">
        <f ca="1">IF(AND(ISNUMBER($AF$614),$B$427=1),$AF$614,HLOOKUP(INDIRECT(ADDRESS(2,COLUMN())),OFFSET($AM$2,0,0,ROW()-1,33),ROW()-1,FALSE))</f>
        <v/>
      </c>
      <c r="AG206" t="str">
        <f ca="1">IF(AND(ISNUMBER($AG$614),$B$427=1),$AG$614,HLOOKUP(INDIRECT(ADDRESS(2,COLUMN())),OFFSET($AM$2,0,0,ROW()-1,33),ROW()-1,FALSE))</f>
        <v/>
      </c>
      <c r="AH206" t="str">
        <f ca="1">IF(AND(ISNUMBER($AH$614),$B$427=1),$AH$614,HLOOKUP(INDIRECT(ADDRESS(2,COLUMN())),OFFSET($AM$2,0,0,ROW()-1,33),ROW()-1,FALSE))</f>
        <v/>
      </c>
      <c r="AI206" t="str">
        <f ca="1">IF(AND(ISNUMBER($AI$614),$B$427=1),$AI$614,HLOOKUP(INDIRECT(ADDRESS(2,COLUMN())),OFFSET($AM$2,0,0,ROW()-1,33),ROW()-1,FALSE))</f>
        <v/>
      </c>
      <c r="AJ206" t="str">
        <f ca="1">IF(AND(ISNUMBER($AJ$614),$B$427=1),$AJ$614,HLOOKUP(INDIRECT(ADDRESS(2,COLUMN())),OFFSET($AM$2,0,0,ROW()-1,33),ROW()-1,FALSE))</f>
        <v/>
      </c>
      <c r="AK206" t="str">
        <f ca="1">IF(AND(ISNUMBER($AK$614),$B$427=1),$AK$614,HLOOKUP(INDIRECT(ADDRESS(2,COLUMN())),OFFSET($AM$2,0,0,ROW()-1,33),ROW()-1,FALSE))</f>
        <v/>
      </c>
      <c r="AL206" t="str">
        <f ca="1">IF(AND(ISNUMBER($AL$614),$B$427=1),$AL$614,HLOOKUP(INDIRECT(ADDRESS(2,COLUMN())),OFFSET($AM$2,0,0,ROW()-1,33),ROW()-1,FALSE))</f>
        <v/>
      </c>
      <c r="AM206" t="str">
        <f>""</f>
        <v/>
      </c>
      <c r="AN206">
        <f>19.60633583</f>
        <v>19.606335829999999</v>
      </c>
      <c r="AO206">
        <f>20.50481031</f>
        <v>20.50481031</v>
      </c>
      <c r="AP206">
        <f>22.84142884</f>
        <v>22.841428839999999</v>
      </c>
      <c r="AQ206">
        <f>26.85991272</f>
        <v>26.859912720000001</v>
      </c>
      <c r="AR206">
        <f>28.0249736</f>
        <v>28.024973599999999</v>
      </c>
      <c r="AS206">
        <f>29.25981893</f>
        <v>29.259818930000002</v>
      </c>
      <c r="AT206">
        <f>29.9087175</f>
        <v>29.908717500000002</v>
      </c>
      <c r="AU206">
        <f>30.69738954</f>
        <v>30.69738954</v>
      </c>
      <c r="AV206">
        <f>31.55857581</f>
        <v>31.558575810000001</v>
      </c>
      <c r="AW206">
        <f>32.34598039</f>
        <v>32.345980390000001</v>
      </c>
      <c r="AX206">
        <f>30.55598564</f>
        <v>30.555985639999999</v>
      </c>
      <c r="AY206">
        <f>31.47172982</f>
        <v>31.47172982</v>
      </c>
      <c r="AZ206">
        <f>25.86557952</f>
        <v>25.865579520000001</v>
      </c>
      <c r="BA206">
        <f>21.0300956</f>
        <v>21.030095599999999</v>
      </c>
      <c r="BB206">
        <f>18.31555195</f>
        <v>18.31555195</v>
      </c>
      <c r="BC206">
        <f>18.84709934</f>
        <v>18.84709934</v>
      </c>
      <c r="BD206">
        <f>20.41844202</f>
        <v>20.418442020000001</v>
      </c>
      <c r="BE206">
        <f>14.90782641</f>
        <v>14.90782641</v>
      </c>
      <c r="BF206">
        <f>12.78472019</f>
        <v>12.78472019</v>
      </c>
      <c r="BG206">
        <f>11.45537098</f>
        <v>11.45537098</v>
      </c>
      <c r="BH206">
        <f>12.95437122</f>
        <v>12.954371220000001</v>
      </c>
      <c r="BI206">
        <f>14.06180233</f>
        <v>14.061802330000001</v>
      </c>
      <c r="BJ206">
        <f>16.44361356</f>
        <v>16.443613559999999</v>
      </c>
      <c r="BK206" t="str">
        <f>""</f>
        <v/>
      </c>
      <c r="BL206" t="str">
        <f>""</f>
        <v/>
      </c>
      <c r="BM206" t="str">
        <f>""</f>
        <v/>
      </c>
      <c r="BN206" t="str">
        <f>""</f>
        <v/>
      </c>
      <c r="BO206" t="str">
        <f>""</f>
        <v/>
      </c>
      <c r="BP206" t="str">
        <f>""</f>
        <v/>
      </c>
      <c r="BQ206" t="str">
        <f>""</f>
        <v/>
      </c>
      <c r="BR206" t="str">
        <f>""</f>
        <v/>
      </c>
      <c r="BS206" t="str">
        <f>""</f>
        <v/>
      </c>
    </row>
    <row r="207" spans="1:71" x14ac:dyDescent="0.25">
      <c r="A207" t="str">
        <f>"        Fifth Third Bancorp"</f>
        <v xml:space="preserve">        Fifth Third Bancorp</v>
      </c>
      <c r="B207" t="str">
        <f>"FITB US Equity"</f>
        <v>FITB US Equity</v>
      </c>
      <c r="C207" t="str">
        <f t="shared" si="27"/>
        <v>F0115</v>
      </c>
      <c r="D207" t="str">
        <f t="shared" si="28"/>
        <v>FED_C&amp;I_LNS_CONS_%_TOT_LNS_LEAS</v>
      </c>
      <c r="E207" t="str">
        <f t="shared" si="29"/>
        <v>Dynamic</v>
      </c>
      <c r="F207">
        <f ca="1">IF(AND(ISNUMBER($F$615),$B$427=1),$F$615,HLOOKUP(INDIRECT(ADDRESS(2,COLUMN())),OFFSET($AM$2,0,0,ROW()-1,33),ROW()-1,FALSE))</f>
        <v>36.262258060000001</v>
      </c>
      <c r="G207">
        <f ca="1">IF(AND(ISNUMBER($G$615),$B$427=1),$G$615,HLOOKUP(INDIRECT(ADDRESS(2,COLUMN())),OFFSET($AM$2,0,0,ROW()-1,33),ROW()-1,FALSE))</f>
        <v>38.144066930000001</v>
      </c>
      <c r="H207">
        <f ca="1">IF(AND(ISNUMBER($H$615),$B$427=1),$H$615,HLOOKUP(INDIRECT(ADDRESS(2,COLUMN())),OFFSET($AM$2,0,0,ROW()-1,33),ROW()-1,FALSE))</f>
        <v>39.999705929999998</v>
      </c>
      <c r="I207">
        <f ca="1">IF(AND(ISNUMBER($I$615),$B$427=1),$I$615,HLOOKUP(INDIRECT(ADDRESS(2,COLUMN())),OFFSET($AM$2,0,0,ROW()-1,33),ROW()-1,FALSE))</f>
        <v>37.353206249999999</v>
      </c>
      <c r="J207">
        <f ca="1">IF(AND(ISNUMBER($J$615),$B$427=1),$J$615,HLOOKUP(INDIRECT(ADDRESS(2,COLUMN())),OFFSET($AM$2,0,0,ROW()-1,33),ROW()-1,FALSE))</f>
        <v>39.685934930000002</v>
      </c>
      <c r="K207">
        <f ca="1">IF(AND(ISNUMBER($K$615),$B$427=1),$K$615,HLOOKUP(INDIRECT(ADDRESS(2,COLUMN())),OFFSET($AM$2,0,0,ROW()-1,33),ROW()-1,FALSE))</f>
        <v>41.202391179999999</v>
      </c>
      <c r="L207">
        <f ca="1">IF(AND(ISNUMBER($L$615),$B$427=1),$L$615,HLOOKUP(INDIRECT(ADDRESS(2,COLUMN())),OFFSET($AM$2,0,0,ROW()-1,33),ROW()-1,FALSE))</f>
        <v>39.880838769999997</v>
      </c>
      <c r="M207">
        <f ca="1">IF(AND(ISNUMBER($M$615),$B$427=1),$M$615,HLOOKUP(INDIRECT(ADDRESS(2,COLUMN())),OFFSET($AM$2,0,0,ROW()-1,33),ROW()-1,FALSE))</f>
        <v>39.031717139999998</v>
      </c>
      <c r="N207">
        <f ca="1">IF(AND(ISNUMBER($N$615),$B$427=1),$N$615,HLOOKUP(INDIRECT(ADDRESS(2,COLUMN())),OFFSET($AM$2,0,0,ROW()-1,33),ROW()-1,FALSE))</f>
        <v>38.672699260000002</v>
      </c>
      <c r="O207">
        <f ca="1">IF(AND(ISNUMBER($O$615),$B$427=1),$O$615,HLOOKUP(INDIRECT(ADDRESS(2,COLUMN())),OFFSET($AM$2,0,0,ROW()-1,33),ROW()-1,FALSE))</f>
        <v>38.570835459999998</v>
      </c>
      <c r="P207">
        <f ca="1">IF(AND(ISNUMBER($P$615),$B$427=1),$P$615,HLOOKUP(INDIRECT(ADDRESS(2,COLUMN())),OFFSET($AM$2,0,0,ROW()-1,33),ROW()-1,FALSE))</f>
        <v>37.738411429999999</v>
      </c>
      <c r="Q207">
        <f ca="1">IF(AND(ISNUMBER($Q$615),$B$427=1),$Q$615,HLOOKUP(INDIRECT(ADDRESS(2,COLUMN())),OFFSET($AM$2,0,0,ROW()-1,33),ROW()-1,FALSE))</f>
        <v>37.230960500000002</v>
      </c>
      <c r="R207">
        <f ca="1">IF(AND(ISNUMBER($R$615),$B$427=1),$R$615,HLOOKUP(INDIRECT(ADDRESS(2,COLUMN())),OFFSET($AM$2,0,0,ROW()-1,33),ROW()-1,FALSE))</f>
        <v>34.871430140000001</v>
      </c>
      <c r="S207">
        <f ca="1">IF(AND(ISNUMBER($S$615),$B$427=1),$S$615,HLOOKUP(INDIRECT(ADDRESS(2,COLUMN())),OFFSET($AM$2,0,0,ROW()-1,33),ROW()-1,FALSE))</f>
        <v>30.477877070000002</v>
      </c>
      <c r="T207">
        <f ca="1">IF(AND(ISNUMBER($T$615),$B$427=1),$T$615,HLOOKUP(INDIRECT(ADDRESS(2,COLUMN())),OFFSET($AM$2,0,0,ROW()-1,33),ROW()-1,FALSE))</f>
        <v>28.070435639999999</v>
      </c>
      <c r="U207">
        <f ca="1">IF(AND(ISNUMBER($U$615),$B$427=1),$U$615,HLOOKUP(INDIRECT(ADDRESS(2,COLUMN())),OFFSET($AM$2,0,0,ROW()-1,33),ROW()-1,FALSE))</f>
        <v>27.96754615</v>
      </c>
      <c r="V207">
        <f ca="1">IF(AND(ISNUMBER($V$615),$B$427=1),$V$615,HLOOKUP(INDIRECT(ADDRESS(2,COLUMN())),OFFSET($AM$2,0,0,ROW()-1,33),ROW()-1,FALSE))</f>
        <v>29.336338649999998</v>
      </c>
      <c r="W207">
        <f ca="1">IF(AND(ISNUMBER($W$615),$B$427=1),$W$615,HLOOKUP(INDIRECT(ADDRESS(2,COLUMN())),OFFSET($AM$2,0,0,ROW()-1,33),ROW()-1,FALSE))</f>
        <v>25.718138459999999</v>
      </c>
      <c r="X207">
        <f ca="1">IF(AND(ISNUMBER($X$615),$B$427=1),$X$615,HLOOKUP(INDIRECT(ADDRESS(2,COLUMN())),OFFSET($AM$2,0,0,ROW()-1,33),ROW()-1,FALSE))</f>
        <v>21.441846389999998</v>
      </c>
      <c r="Y207">
        <f ca="1">IF(AND(ISNUMBER($Y$615),$B$427=1),$Y$615,HLOOKUP(INDIRECT(ADDRESS(2,COLUMN())),OFFSET($AM$2,0,0,ROW()-1,33),ROW()-1,FALSE))</f>
        <v>29.248332619999999</v>
      </c>
      <c r="Z207">
        <f ca="1">IF(AND(ISNUMBER($Z$615),$B$427=1),$Z$615,HLOOKUP(INDIRECT(ADDRESS(2,COLUMN())),OFFSET($AM$2,0,0,ROW()-1,33),ROW()-1,FALSE))</f>
        <v>27.585945110000001</v>
      </c>
      <c r="AA207">
        <f ca="1">IF(AND(ISNUMBER($AA$615),$B$427=1),$AA$615,HLOOKUP(INDIRECT(ADDRESS(2,COLUMN())),OFFSET($AM$2,0,0,ROW()-1,33),ROW()-1,FALSE))</f>
        <v>24.614002760000002</v>
      </c>
      <c r="AB207">
        <f ca="1">IF(AND(ISNUMBER($AB$615),$B$427=1),$AB$615,HLOOKUP(INDIRECT(ADDRESS(2,COLUMN())),OFFSET($AM$2,0,0,ROW()-1,33),ROW()-1,FALSE))</f>
        <v>22.880257919999998</v>
      </c>
      <c r="AC207">
        <f ca="1">IF(AND(ISNUMBER($AC$615),$B$427=1),$AC$615,HLOOKUP(INDIRECT(ADDRESS(2,COLUMN())),OFFSET($AM$2,0,0,ROW()-1,33),ROW()-1,FALSE))</f>
        <v>21.238986310000001</v>
      </c>
      <c r="AD207" t="str">
        <f ca="1">IF(AND(ISNUMBER($AD$615),$B$427=1),$AD$615,HLOOKUP(INDIRECT(ADDRESS(2,COLUMN())),OFFSET($AM$2,0,0,ROW()-1,33),ROW()-1,FALSE))</f>
        <v/>
      </c>
      <c r="AE207" t="str">
        <f ca="1">IF(AND(ISNUMBER($AE$615),$B$427=1),$AE$615,HLOOKUP(INDIRECT(ADDRESS(2,COLUMN())),OFFSET($AM$2,0,0,ROW()-1,33),ROW()-1,FALSE))</f>
        <v/>
      </c>
      <c r="AF207" t="str">
        <f ca="1">IF(AND(ISNUMBER($AF$615),$B$427=1),$AF$615,HLOOKUP(INDIRECT(ADDRESS(2,COLUMN())),OFFSET($AM$2,0,0,ROW()-1,33),ROW()-1,FALSE))</f>
        <v/>
      </c>
      <c r="AG207" t="str">
        <f ca="1">IF(AND(ISNUMBER($AG$615),$B$427=1),$AG$615,HLOOKUP(INDIRECT(ADDRESS(2,COLUMN())),OFFSET($AM$2,0,0,ROW()-1,33),ROW()-1,FALSE))</f>
        <v/>
      </c>
      <c r="AH207" t="str">
        <f ca="1">IF(AND(ISNUMBER($AH$615),$B$427=1),$AH$615,HLOOKUP(INDIRECT(ADDRESS(2,COLUMN())),OFFSET($AM$2,0,0,ROW()-1,33),ROW()-1,FALSE))</f>
        <v/>
      </c>
      <c r="AI207" t="str">
        <f ca="1">IF(AND(ISNUMBER($AI$615),$B$427=1),$AI$615,HLOOKUP(INDIRECT(ADDRESS(2,COLUMN())),OFFSET($AM$2,0,0,ROW()-1,33),ROW()-1,FALSE))</f>
        <v/>
      </c>
      <c r="AJ207" t="str">
        <f ca="1">IF(AND(ISNUMBER($AJ$615),$B$427=1),$AJ$615,HLOOKUP(INDIRECT(ADDRESS(2,COLUMN())),OFFSET($AM$2,0,0,ROW()-1,33),ROW()-1,FALSE))</f>
        <v/>
      </c>
      <c r="AK207" t="str">
        <f ca="1">IF(AND(ISNUMBER($AK$615),$B$427=1),$AK$615,HLOOKUP(INDIRECT(ADDRESS(2,COLUMN())),OFFSET($AM$2,0,0,ROW()-1,33),ROW()-1,FALSE))</f>
        <v/>
      </c>
      <c r="AL207" t="str">
        <f ca="1">IF(AND(ISNUMBER($AL$615),$B$427=1),$AL$615,HLOOKUP(INDIRECT(ADDRESS(2,COLUMN())),OFFSET($AM$2,0,0,ROW()-1,33),ROW()-1,FALSE))</f>
        <v/>
      </c>
      <c r="AM207">
        <f>36.26225806</f>
        <v>36.262258060000001</v>
      </c>
      <c r="AN207">
        <f>38.14406693</f>
        <v>38.144066930000001</v>
      </c>
      <c r="AO207">
        <f>39.99970593</f>
        <v>39.999705929999998</v>
      </c>
      <c r="AP207">
        <f>37.35320625</f>
        <v>37.353206249999999</v>
      </c>
      <c r="AQ207">
        <f>39.68593493</f>
        <v>39.685934930000002</v>
      </c>
      <c r="AR207">
        <f>41.20239118</f>
        <v>41.202391179999999</v>
      </c>
      <c r="AS207">
        <f>39.88083877</f>
        <v>39.880838769999997</v>
      </c>
      <c r="AT207">
        <f>39.03171714</f>
        <v>39.031717139999998</v>
      </c>
      <c r="AU207">
        <f>38.67269926</f>
        <v>38.672699260000002</v>
      </c>
      <c r="AV207">
        <f>38.57083546</f>
        <v>38.570835459999998</v>
      </c>
      <c r="AW207">
        <f>37.73841143</f>
        <v>37.738411429999999</v>
      </c>
      <c r="AX207">
        <f>37.2309605</f>
        <v>37.230960500000002</v>
      </c>
      <c r="AY207">
        <f>34.87143014</f>
        <v>34.871430140000001</v>
      </c>
      <c r="AZ207">
        <f>30.47787707</f>
        <v>30.477877070000002</v>
      </c>
      <c r="BA207">
        <f>28.07043564</f>
        <v>28.070435639999999</v>
      </c>
      <c r="BB207">
        <f>27.96754615</f>
        <v>27.96754615</v>
      </c>
      <c r="BC207">
        <f>29.33633865</f>
        <v>29.336338649999998</v>
      </c>
      <c r="BD207">
        <f>25.71813846</f>
        <v>25.718138459999999</v>
      </c>
      <c r="BE207">
        <f>21.44184639</f>
        <v>21.441846389999998</v>
      </c>
      <c r="BF207">
        <f>29.24833262</f>
        <v>29.248332619999999</v>
      </c>
      <c r="BG207">
        <f>27.58594511</f>
        <v>27.585945110000001</v>
      </c>
      <c r="BH207">
        <f>24.61400276</f>
        <v>24.614002760000002</v>
      </c>
      <c r="BI207">
        <f>22.88025792</f>
        <v>22.880257919999998</v>
      </c>
      <c r="BJ207">
        <f>21.23898631</f>
        <v>21.238986310000001</v>
      </c>
      <c r="BK207" t="str">
        <f>""</f>
        <v/>
      </c>
      <c r="BL207" t="str">
        <f>""</f>
        <v/>
      </c>
      <c r="BM207" t="str">
        <f>""</f>
        <v/>
      </c>
      <c r="BN207" t="str">
        <f>""</f>
        <v/>
      </c>
      <c r="BO207" t="str">
        <f>""</f>
        <v/>
      </c>
      <c r="BP207" t="str">
        <f>""</f>
        <v/>
      </c>
      <c r="BQ207" t="str">
        <f>""</f>
        <v/>
      </c>
      <c r="BR207" t="str">
        <f>""</f>
        <v/>
      </c>
      <c r="BS207" t="str">
        <f>""</f>
        <v/>
      </c>
    </row>
    <row r="208" spans="1:71" x14ac:dyDescent="0.25">
      <c r="A208" t="str">
        <f>"        First Citizens BancShares Inc/"</f>
        <v xml:space="preserve">        First Citizens BancShares Inc/</v>
      </c>
      <c r="B208" t="str">
        <f>"FCNCA US Equity"</f>
        <v>FCNCA US Equity</v>
      </c>
      <c r="C208" t="str">
        <f t="shared" si="27"/>
        <v>F0115</v>
      </c>
      <c r="D208" t="str">
        <f t="shared" si="28"/>
        <v>FED_C&amp;I_LNS_CONS_%_TOT_LNS_LEAS</v>
      </c>
      <c r="E208" t="str">
        <f t="shared" si="29"/>
        <v>Dynamic</v>
      </c>
      <c r="F208">
        <f ca="1">IF(AND(ISNUMBER($F$616),$B$427=1),$F$616,HLOOKUP(INDIRECT(ADDRESS(2,COLUMN())),OFFSET($AM$2,0,0,ROW()-1,33),ROW()-1,FALSE))</f>
        <v>26.747111610000001</v>
      </c>
      <c r="G208">
        <f ca="1">IF(AND(ISNUMBER($G$616),$B$427=1),$G$616,HLOOKUP(INDIRECT(ADDRESS(2,COLUMN())),OFFSET($AM$2,0,0,ROW()-1,33),ROW()-1,FALSE))</f>
        <v>28.341821710000001</v>
      </c>
      <c r="H208">
        <f ca="1">IF(AND(ISNUMBER($H$616),$B$427=1),$H$616,HLOOKUP(INDIRECT(ADDRESS(2,COLUMN())),OFFSET($AM$2,0,0,ROW()-1,33),ROW()-1,FALSE))</f>
        <v>27.769446380000002</v>
      </c>
      <c r="I208">
        <f ca="1">IF(AND(ISNUMBER($I$616),$B$427=1),$I$616,HLOOKUP(INDIRECT(ADDRESS(2,COLUMN())),OFFSET($AM$2,0,0,ROW()-1,33),ROW()-1,FALSE))</f>
        <v>15.278487269999999</v>
      </c>
      <c r="J208">
        <f ca="1">IF(AND(ISNUMBER($J$616),$B$427=1),$J$616,HLOOKUP(INDIRECT(ADDRESS(2,COLUMN())),OFFSET($AM$2,0,0,ROW()-1,33),ROW()-1,FALSE))</f>
        <v>18.72870313</v>
      </c>
      <c r="K208">
        <f ca="1">IF(AND(ISNUMBER($K$616),$B$427=1),$K$616,HLOOKUP(INDIRECT(ADDRESS(2,COLUMN())),OFFSET($AM$2,0,0,ROW()-1,33),ROW()-1,FALSE))</f>
        <v>11.95846265</v>
      </c>
      <c r="L208">
        <f ca="1">IF(AND(ISNUMBER($L$616),$B$427=1),$L$616,HLOOKUP(INDIRECT(ADDRESS(2,COLUMN())),OFFSET($AM$2,0,0,ROW()-1,33),ROW()-1,FALSE))</f>
        <v>11.214773989999999</v>
      </c>
      <c r="M208">
        <f ca="1">IF(AND(ISNUMBER($M$616),$B$427=1),$M$616,HLOOKUP(INDIRECT(ADDRESS(2,COLUMN())),OFFSET($AM$2,0,0,ROW()-1,33),ROW()-1,FALSE))</f>
        <v>9.7388769049999997</v>
      </c>
      <c r="N208">
        <f ca="1">IF(AND(ISNUMBER($N$616),$B$427=1),$N$616,HLOOKUP(INDIRECT(ADDRESS(2,COLUMN())),OFFSET($AM$2,0,0,ROW()-1,33),ROW()-1,FALSE))</f>
        <v>9.9411574550000008</v>
      </c>
      <c r="O208">
        <f ca="1">IF(AND(ISNUMBER($O$616),$B$427=1),$O$616,HLOOKUP(INDIRECT(ADDRESS(2,COLUMN())),OFFSET($AM$2,0,0,ROW()-1,33),ROW()-1,FALSE))</f>
        <v>9.7202252090000005</v>
      </c>
      <c r="P208">
        <f ca="1">IF(AND(ISNUMBER($P$616),$B$427=1),$P$616,HLOOKUP(INDIRECT(ADDRESS(2,COLUMN())),OFFSET($AM$2,0,0,ROW()-1,33),ROW()-1,FALSE))</f>
        <v>8.7655598549999993</v>
      </c>
      <c r="Q208">
        <f ca="1">IF(AND(ISNUMBER($Q$616),$B$427=1),$Q$616,HLOOKUP(INDIRECT(ADDRESS(2,COLUMN())),OFFSET($AM$2,0,0,ROW()-1,33),ROW()-1,FALSE))</f>
        <v>7.332458033</v>
      </c>
      <c r="R208">
        <f ca="1">IF(AND(ISNUMBER($R$616),$B$427=1),$R$616,HLOOKUP(INDIRECT(ADDRESS(2,COLUMN())),OFFSET($AM$2,0,0,ROW()-1,33),ROW()-1,FALSE))</f>
        <v>12.63050801</v>
      </c>
      <c r="S208">
        <f ca="1">IF(AND(ISNUMBER($S$616),$B$427=1),$S$616,HLOOKUP(INDIRECT(ADDRESS(2,COLUMN())),OFFSET($AM$2,0,0,ROW()-1,33),ROW()-1,FALSE))</f>
        <v>12.525526620000001</v>
      </c>
      <c r="T208">
        <f ca="1">IF(AND(ISNUMBER($T$616),$B$427=1),$T$616,HLOOKUP(INDIRECT(ADDRESS(2,COLUMN())),OFFSET($AM$2,0,0,ROW()-1,33),ROW()-1,FALSE))</f>
        <v>13.259410559999999</v>
      </c>
      <c r="U208">
        <f ca="1">IF(AND(ISNUMBER($U$616),$B$427=1),$U$616,HLOOKUP(INDIRECT(ADDRESS(2,COLUMN())),OFFSET($AM$2,0,0,ROW()-1,33),ROW()-1,FALSE))</f>
        <v>13.427693359999999</v>
      </c>
      <c r="V208">
        <f ca="1">IF(AND(ISNUMBER($V$616),$B$427=1),$V$616,HLOOKUP(INDIRECT(ADDRESS(2,COLUMN())),OFFSET($AM$2,0,0,ROW()-1,33),ROW()-1,FALSE))</f>
        <v>14.47165079</v>
      </c>
      <c r="W208">
        <f ca="1">IF(AND(ISNUMBER($W$616),$B$427=1),$W$616,HLOOKUP(INDIRECT(ADDRESS(2,COLUMN())),OFFSET($AM$2,0,0,ROW()-1,33),ROW()-1,FALSE))</f>
        <v>13.594573609999999</v>
      </c>
      <c r="X208">
        <f ca="1">IF(AND(ISNUMBER($X$616),$B$427=1),$X$616,HLOOKUP(INDIRECT(ADDRESS(2,COLUMN())),OFFSET($AM$2,0,0,ROW()-1,33),ROW()-1,FALSE))</f>
        <v>12.459091219999999</v>
      </c>
      <c r="Y208">
        <f ca="1">IF(AND(ISNUMBER($Y$616),$B$427=1),$Y$616,HLOOKUP(INDIRECT(ADDRESS(2,COLUMN())),OFFSET($AM$2,0,0,ROW()-1,33),ROW()-1,FALSE))</f>
        <v>10.8606829</v>
      </c>
      <c r="Z208">
        <f ca="1">IF(AND(ISNUMBER($Z$616),$B$427=1),$Z$616,HLOOKUP(INDIRECT(ADDRESS(2,COLUMN())),OFFSET($AM$2,0,0,ROW()-1,33),ROW()-1,FALSE))</f>
        <v>9.6273865940000007</v>
      </c>
      <c r="AA208">
        <f ca="1">IF(AND(ISNUMBER($AA$616),$B$427=1),$AA$616,HLOOKUP(INDIRECT(ADDRESS(2,COLUMN())),OFFSET($AM$2,0,0,ROW()-1,33),ROW()-1,FALSE))</f>
        <v>10.356810790000001</v>
      </c>
      <c r="AB208">
        <f ca="1">IF(AND(ISNUMBER($AB$616),$B$427=1),$AB$616,HLOOKUP(INDIRECT(ADDRESS(2,COLUMN())),OFFSET($AM$2,0,0,ROW()-1,33),ROW()-1,FALSE))</f>
        <v>11.249808570000001</v>
      </c>
      <c r="AC208">
        <f ca="1">IF(AND(ISNUMBER($AC$616),$B$427=1),$AC$616,HLOOKUP(INDIRECT(ADDRESS(2,COLUMN())),OFFSET($AM$2,0,0,ROW()-1,33),ROW()-1,FALSE))</f>
        <v>11.871942560000001</v>
      </c>
      <c r="AD208" t="str">
        <f ca="1">IF(AND(ISNUMBER($AD$616),$B$427=1),$AD$616,HLOOKUP(INDIRECT(ADDRESS(2,COLUMN())),OFFSET($AM$2,0,0,ROW()-1,33),ROW()-1,FALSE))</f>
        <v/>
      </c>
      <c r="AE208" t="str">
        <f ca="1">IF(AND(ISNUMBER($AE$616),$B$427=1),$AE$616,HLOOKUP(INDIRECT(ADDRESS(2,COLUMN())),OFFSET($AM$2,0,0,ROW()-1,33),ROW()-1,FALSE))</f>
        <v/>
      </c>
      <c r="AF208" t="str">
        <f ca="1">IF(AND(ISNUMBER($AF$616),$B$427=1),$AF$616,HLOOKUP(INDIRECT(ADDRESS(2,COLUMN())),OFFSET($AM$2,0,0,ROW()-1,33),ROW()-1,FALSE))</f>
        <v/>
      </c>
      <c r="AG208" t="str">
        <f ca="1">IF(AND(ISNUMBER($AG$616),$B$427=1),$AG$616,HLOOKUP(INDIRECT(ADDRESS(2,COLUMN())),OFFSET($AM$2,0,0,ROW()-1,33),ROW()-1,FALSE))</f>
        <v/>
      </c>
      <c r="AH208" t="str">
        <f ca="1">IF(AND(ISNUMBER($AH$616),$B$427=1),$AH$616,HLOOKUP(INDIRECT(ADDRESS(2,COLUMN())),OFFSET($AM$2,0,0,ROW()-1,33),ROW()-1,FALSE))</f>
        <v/>
      </c>
      <c r="AI208" t="str">
        <f ca="1">IF(AND(ISNUMBER($AI$616),$B$427=1),$AI$616,HLOOKUP(INDIRECT(ADDRESS(2,COLUMN())),OFFSET($AM$2,0,0,ROW()-1,33),ROW()-1,FALSE))</f>
        <v/>
      </c>
      <c r="AJ208" t="str">
        <f ca="1">IF(AND(ISNUMBER($AJ$616),$B$427=1),$AJ$616,HLOOKUP(INDIRECT(ADDRESS(2,COLUMN())),OFFSET($AM$2,0,0,ROW()-1,33),ROW()-1,FALSE))</f>
        <v/>
      </c>
      <c r="AK208" t="str">
        <f ca="1">IF(AND(ISNUMBER($AK$616),$B$427=1),$AK$616,HLOOKUP(INDIRECT(ADDRESS(2,COLUMN())),OFFSET($AM$2,0,0,ROW()-1,33),ROW()-1,FALSE))</f>
        <v/>
      </c>
      <c r="AL208" t="str">
        <f ca="1">IF(AND(ISNUMBER($AL$616),$B$427=1),$AL$616,HLOOKUP(INDIRECT(ADDRESS(2,COLUMN())),OFFSET($AM$2,0,0,ROW()-1,33),ROW()-1,FALSE))</f>
        <v/>
      </c>
      <c r="AM208">
        <f>26.74711161</f>
        <v>26.747111610000001</v>
      </c>
      <c r="AN208">
        <f>28.34182171</f>
        <v>28.341821710000001</v>
      </c>
      <c r="AO208">
        <f>27.76944638</f>
        <v>27.769446380000002</v>
      </c>
      <c r="AP208">
        <f>15.27848727</f>
        <v>15.278487269999999</v>
      </c>
      <c r="AQ208">
        <f>18.72870313</f>
        <v>18.72870313</v>
      </c>
      <c r="AR208">
        <f>11.95846265</f>
        <v>11.95846265</v>
      </c>
      <c r="AS208">
        <f>11.21477399</f>
        <v>11.214773989999999</v>
      </c>
      <c r="AT208">
        <f>9.738876905</f>
        <v>9.7388769049999997</v>
      </c>
      <c r="AU208">
        <f>9.941157455</f>
        <v>9.9411574550000008</v>
      </c>
      <c r="AV208">
        <f>9.720225209</f>
        <v>9.7202252090000005</v>
      </c>
      <c r="AW208">
        <f>8.765559855</f>
        <v>8.7655598549999993</v>
      </c>
      <c r="AX208">
        <f>7.332458033</f>
        <v>7.332458033</v>
      </c>
      <c r="AY208">
        <f>12.63050801</f>
        <v>12.63050801</v>
      </c>
      <c r="AZ208">
        <f>12.52552662</f>
        <v>12.525526620000001</v>
      </c>
      <c r="BA208">
        <f>13.25941056</f>
        <v>13.259410559999999</v>
      </c>
      <c r="BB208">
        <f>13.42769336</f>
        <v>13.427693359999999</v>
      </c>
      <c r="BC208">
        <f>14.47165079</f>
        <v>14.47165079</v>
      </c>
      <c r="BD208">
        <f>13.59457361</f>
        <v>13.594573609999999</v>
      </c>
      <c r="BE208">
        <f>12.45909122</f>
        <v>12.459091219999999</v>
      </c>
      <c r="BF208">
        <f>10.8606829</f>
        <v>10.8606829</v>
      </c>
      <c r="BG208">
        <f>9.627386594</f>
        <v>9.6273865940000007</v>
      </c>
      <c r="BH208">
        <f>10.35681079</f>
        <v>10.356810790000001</v>
      </c>
      <c r="BI208">
        <f>11.24980857</f>
        <v>11.249808570000001</v>
      </c>
      <c r="BJ208">
        <f>11.87194256</f>
        <v>11.871942560000001</v>
      </c>
      <c r="BK208" t="str">
        <f>""</f>
        <v/>
      </c>
      <c r="BL208" t="str">
        <f>""</f>
        <v/>
      </c>
      <c r="BM208" t="str">
        <f>""</f>
        <v/>
      </c>
      <c r="BN208" t="str">
        <f>""</f>
        <v/>
      </c>
      <c r="BO208" t="str">
        <f>""</f>
        <v/>
      </c>
      <c r="BP208" t="str">
        <f>""</f>
        <v/>
      </c>
      <c r="BQ208" t="str">
        <f>""</f>
        <v/>
      </c>
      <c r="BR208" t="str">
        <f>""</f>
        <v/>
      </c>
      <c r="BS208" t="str">
        <f>""</f>
        <v/>
      </c>
    </row>
    <row r="209" spans="1:71" x14ac:dyDescent="0.25">
      <c r="A209" t="str">
        <f>"        Flagstar Financial Inc"</f>
        <v xml:space="preserve">        Flagstar Financial Inc</v>
      </c>
      <c r="B209" t="str">
        <f>"FLG US Equity"</f>
        <v>FLG US Equity</v>
      </c>
      <c r="C209" t="str">
        <f t="shared" si="27"/>
        <v>F0115</v>
      </c>
      <c r="D209" t="str">
        <f t="shared" si="28"/>
        <v>FED_C&amp;I_LNS_CONS_%_TOT_LNS_LEAS</v>
      </c>
      <c r="E209" t="str">
        <f t="shared" si="29"/>
        <v>Dynamic</v>
      </c>
      <c r="F209">
        <f ca="1">IF(AND(ISNUMBER($F$617),$B$427=1),$F$617,HLOOKUP(INDIRECT(ADDRESS(2,COLUMN())),OFFSET($AM$2,0,0,ROW()-1,33),ROW()-1,FALSE))</f>
        <v>13.542247570000001</v>
      </c>
      <c r="G209">
        <f ca="1">IF(AND(ISNUMBER($G$617),$B$427=1),$G$617,HLOOKUP(INDIRECT(ADDRESS(2,COLUMN())),OFFSET($AM$2,0,0,ROW()-1,33),ROW()-1,FALSE))</f>
        <v>14.14549053</v>
      </c>
      <c r="H209">
        <f ca="1">IF(AND(ISNUMBER($H$617),$B$427=1),$H$617,HLOOKUP(INDIRECT(ADDRESS(2,COLUMN())),OFFSET($AM$2,0,0,ROW()-1,33),ROW()-1,FALSE))</f>
        <v>7.2971042370000001</v>
      </c>
      <c r="I209">
        <f ca="1">IF(AND(ISNUMBER($I$617),$B$427=1),$I$617,HLOOKUP(INDIRECT(ADDRESS(2,COLUMN())),OFFSET($AM$2,0,0,ROW()-1,33),ROW()-1,FALSE))</f>
        <v>4.4663419690000001</v>
      </c>
      <c r="J209">
        <f ca="1">IF(AND(ISNUMBER($J$617),$B$427=1),$J$617,HLOOKUP(INDIRECT(ADDRESS(2,COLUMN())),OFFSET($AM$2,0,0,ROW()-1,33),ROW()-1,FALSE))</f>
        <v>4.1886982670000004</v>
      </c>
      <c r="K209">
        <f ca="1">IF(AND(ISNUMBER($K$617),$B$427=1),$K$617,HLOOKUP(INDIRECT(ADDRESS(2,COLUMN())),OFFSET($AM$2,0,0,ROW()-1,33),ROW()-1,FALSE))</f>
        <v>4.1646334669999998</v>
      </c>
      <c r="L209">
        <f ca="1">IF(AND(ISNUMBER($L$617),$B$427=1),$L$617,HLOOKUP(INDIRECT(ADDRESS(2,COLUMN())),OFFSET($AM$2,0,0,ROW()-1,33),ROW()-1,FALSE))</f>
        <v>4.2466685929999999</v>
      </c>
      <c r="M209">
        <f ca="1">IF(AND(ISNUMBER($M$617),$B$427=1),$M$617,HLOOKUP(INDIRECT(ADDRESS(2,COLUMN())),OFFSET($AM$2,0,0,ROW()-1,33),ROW()-1,FALSE))</f>
        <v>3.5824474820000001</v>
      </c>
      <c r="N209">
        <f ca="1">IF(AND(ISNUMBER($N$617),$B$427=1),$N$617,HLOOKUP(INDIRECT(ADDRESS(2,COLUMN())),OFFSET($AM$2,0,0,ROW()-1,33),ROW()-1,FALSE))</f>
        <v>3.393615504</v>
      </c>
      <c r="O209">
        <f ca="1">IF(AND(ISNUMBER($O$617),$B$427=1),$O$617,HLOOKUP(INDIRECT(ADDRESS(2,COLUMN())),OFFSET($AM$2,0,0,ROW()-1,33),ROW()-1,FALSE))</f>
        <v>2.838432676</v>
      </c>
      <c r="P209">
        <f ca="1">IF(AND(ISNUMBER($P$617),$B$427=1),$P$617,HLOOKUP(INDIRECT(ADDRESS(2,COLUMN())),OFFSET($AM$2,0,0,ROW()-1,33),ROW()-1,FALSE))</f>
        <v>2.97324287</v>
      </c>
      <c r="Q209">
        <f ca="1">IF(AND(ISNUMBER($Q$617),$B$427=1),$Q$617,HLOOKUP(INDIRECT(ADDRESS(2,COLUMN())),OFFSET($AM$2,0,0,ROW()-1,33),ROW()-1,FALSE))</f>
        <v>2.2108043940000002</v>
      </c>
      <c r="R209">
        <f ca="1">IF(AND(ISNUMBER($R$617),$B$427=1),$R$617,HLOOKUP(INDIRECT(ADDRESS(2,COLUMN())),OFFSET($AM$2,0,0,ROW()-1,33),ROW()-1,FALSE))</f>
        <v>1.9501160070000001</v>
      </c>
      <c r="S209">
        <f ca="1">IF(AND(ISNUMBER($S$617),$B$427=1),$S$617,HLOOKUP(INDIRECT(ADDRESS(2,COLUMN())),OFFSET($AM$2,0,0,ROW()-1,33),ROW()-1,FALSE))</f>
        <v>2.1664211760000001</v>
      </c>
      <c r="T209">
        <f ca="1">IF(AND(ISNUMBER($T$617),$B$427=1),$T$617,HLOOKUP(INDIRECT(ADDRESS(2,COLUMN())),OFFSET($AM$2,0,0,ROW()-1,33),ROW()-1,FALSE))</f>
        <v>2.4371545399999999</v>
      </c>
      <c r="U209">
        <f ca="1">IF(AND(ISNUMBER($U$617),$B$427=1),$U$617,HLOOKUP(INDIRECT(ADDRESS(2,COLUMN())),OFFSET($AM$2,0,0,ROW()-1,33),ROW()-1,FALSE))</f>
        <v>2.3013841450000001</v>
      </c>
      <c r="V209">
        <f ca="1">IF(AND(ISNUMBER($V$617),$B$427=1),$V$617,HLOOKUP(INDIRECT(ADDRESS(2,COLUMN())),OFFSET($AM$2,0,0,ROW()-1,33),ROW()-1,FALSE))</f>
        <v>3.213147041</v>
      </c>
      <c r="W209">
        <f ca="1">IF(AND(ISNUMBER($W$617),$B$427=1),$W$617,HLOOKUP(INDIRECT(ADDRESS(2,COLUMN())),OFFSET($AM$2,0,0,ROW()-1,33),ROW()-1,FALSE))</f>
        <v>3.4674535290000001</v>
      </c>
      <c r="X209">
        <f ca="1">IF(AND(ISNUMBER($X$617),$B$427=1),$X$617,HLOOKUP(INDIRECT(ADDRESS(2,COLUMN())),OFFSET($AM$2,0,0,ROW()-1,33),ROW()-1,FALSE))</f>
        <v>3.2673637580000001</v>
      </c>
      <c r="Y209">
        <f ca="1">IF(AND(ISNUMBER($Y$617),$B$427=1),$Y$617,HLOOKUP(INDIRECT(ADDRESS(2,COLUMN())),OFFSET($AM$2,0,0,ROW()-1,33),ROW()-1,FALSE))</f>
        <v>0.95986359499999996</v>
      </c>
      <c r="Z209">
        <f ca="1">IF(AND(ISNUMBER($Z$617),$B$427=1),$Z$617,HLOOKUP(INDIRECT(ADDRESS(2,COLUMN())),OFFSET($AM$2,0,0,ROW()-1,33),ROW()-1,FALSE))</f>
        <v>0.66548998999999998</v>
      </c>
      <c r="AA209">
        <f ca="1">IF(AND(ISNUMBER($AA$617),$B$427=1),$AA$617,HLOOKUP(INDIRECT(ADDRESS(2,COLUMN())),OFFSET($AM$2,0,0,ROW()-1,33),ROW()-1,FALSE))</f>
        <v>0.62356031599999995</v>
      </c>
      <c r="AB209">
        <f ca="1">IF(AND(ISNUMBER($AB$617),$B$427=1),$AB$617,HLOOKUP(INDIRECT(ADDRESS(2,COLUMN())),OFFSET($AM$2,0,0,ROW()-1,33),ROW()-1,FALSE))</f>
        <v>1.094564205</v>
      </c>
      <c r="AC209">
        <f ca="1">IF(AND(ISNUMBER($AC$617),$B$427=1),$AC$617,HLOOKUP(INDIRECT(ADDRESS(2,COLUMN())),OFFSET($AM$2,0,0,ROW()-1,33),ROW()-1,FALSE))</f>
        <v>2.0648538000000001E-2</v>
      </c>
      <c r="AD209" t="str">
        <f ca="1">IF(AND(ISNUMBER($AD$617),$B$427=1),$AD$617,HLOOKUP(INDIRECT(ADDRESS(2,COLUMN())),OFFSET($AM$2,0,0,ROW()-1,33),ROW()-1,FALSE))</f>
        <v/>
      </c>
      <c r="AE209" t="str">
        <f ca="1">IF(AND(ISNUMBER($AE$617),$B$427=1),$AE$617,HLOOKUP(INDIRECT(ADDRESS(2,COLUMN())),OFFSET($AM$2,0,0,ROW()-1,33),ROW()-1,FALSE))</f>
        <v/>
      </c>
      <c r="AF209" t="str">
        <f ca="1">IF(AND(ISNUMBER($AF$617),$B$427=1),$AF$617,HLOOKUP(INDIRECT(ADDRESS(2,COLUMN())),OFFSET($AM$2,0,0,ROW()-1,33),ROW()-1,FALSE))</f>
        <v/>
      </c>
      <c r="AG209" t="str">
        <f ca="1">IF(AND(ISNUMBER($AG$617),$B$427=1),$AG$617,HLOOKUP(INDIRECT(ADDRESS(2,COLUMN())),OFFSET($AM$2,0,0,ROW()-1,33),ROW()-1,FALSE))</f>
        <v/>
      </c>
      <c r="AH209" t="str">
        <f ca="1">IF(AND(ISNUMBER($AH$617),$B$427=1),$AH$617,HLOOKUP(INDIRECT(ADDRESS(2,COLUMN())),OFFSET($AM$2,0,0,ROW()-1,33),ROW()-1,FALSE))</f>
        <v/>
      </c>
      <c r="AI209" t="str">
        <f ca="1">IF(AND(ISNUMBER($AI$617),$B$427=1),$AI$617,HLOOKUP(INDIRECT(ADDRESS(2,COLUMN())),OFFSET($AM$2,0,0,ROW()-1,33),ROW()-1,FALSE))</f>
        <v/>
      </c>
      <c r="AJ209" t="str">
        <f ca="1">IF(AND(ISNUMBER($AJ$617),$B$427=1),$AJ$617,HLOOKUP(INDIRECT(ADDRESS(2,COLUMN())),OFFSET($AM$2,0,0,ROW()-1,33),ROW()-1,FALSE))</f>
        <v/>
      </c>
      <c r="AK209" t="str">
        <f ca="1">IF(AND(ISNUMBER($AK$617),$B$427=1),$AK$617,HLOOKUP(INDIRECT(ADDRESS(2,COLUMN())),OFFSET($AM$2,0,0,ROW()-1,33),ROW()-1,FALSE))</f>
        <v/>
      </c>
      <c r="AL209" t="str">
        <f ca="1">IF(AND(ISNUMBER($AL$617),$B$427=1),$AL$617,HLOOKUP(INDIRECT(ADDRESS(2,COLUMN())),OFFSET($AM$2,0,0,ROW()-1,33),ROW()-1,FALSE))</f>
        <v/>
      </c>
      <c r="AM209">
        <f>13.54224757</f>
        <v>13.542247570000001</v>
      </c>
      <c r="AN209">
        <f>14.14549053</f>
        <v>14.14549053</v>
      </c>
      <c r="AO209">
        <f>7.297104237</f>
        <v>7.2971042370000001</v>
      </c>
      <c r="AP209">
        <f>4.466341969</f>
        <v>4.4663419690000001</v>
      </c>
      <c r="AQ209">
        <f>4.188698267</f>
        <v>4.1886982670000004</v>
      </c>
      <c r="AR209">
        <f>4.164633467</f>
        <v>4.1646334669999998</v>
      </c>
      <c r="AS209">
        <f>4.246668593</f>
        <v>4.2466685929999999</v>
      </c>
      <c r="AT209">
        <f>3.582447482</f>
        <v>3.5824474820000001</v>
      </c>
      <c r="AU209">
        <f>3.393615504</f>
        <v>3.393615504</v>
      </c>
      <c r="AV209">
        <f>2.838432676</f>
        <v>2.838432676</v>
      </c>
      <c r="AW209">
        <f>2.97324287</f>
        <v>2.97324287</v>
      </c>
      <c r="AX209">
        <f>2.210804394</f>
        <v>2.2108043940000002</v>
      </c>
      <c r="AY209">
        <f>1.950116007</f>
        <v>1.9501160070000001</v>
      </c>
      <c r="AZ209">
        <f>2.166421176</f>
        <v>2.1664211760000001</v>
      </c>
      <c r="BA209">
        <f>2.43715454</f>
        <v>2.4371545399999999</v>
      </c>
      <c r="BB209">
        <f>2.301384145</f>
        <v>2.3013841450000001</v>
      </c>
      <c r="BC209">
        <f>3.213147041</f>
        <v>3.213147041</v>
      </c>
      <c r="BD209">
        <f>3.467453529</f>
        <v>3.4674535290000001</v>
      </c>
      <c r="BE209">
        <f>3.267363758</f>
        <v>3.2673637580000001</v>
      </c>
      <c r="BF209">
        <f>0.959863595</f>
        <v>0.95986359499999996</v>
      </c>
      <c r="BG209">
        <f>0.66548999</f>
        <v>0.66548998999999998</v>
      </c>
      <c r="BH209">
        <f>0.623560316</f>
        <v>0.62356031599999995</v>
      </c>
      <c r="BI209">
        <f>1.094564205</f>
        <v>1.094564205</v>
      </c>
      <c r="BJ209">
        <f>0.020648538</f>
        <v>2.0648538000000001E-2</v>
      </c>
      <c r="BK209" t="str">
        <f>""</f>
        <v/>
      </c>
      <c r="BL209" t="str">
        <f>""</f>
        <v/>
      </c>
      <c r="BM209" t="str">
        <f>""</f>
        <v/>
      </c>
      <c r="BN209" t="str">
        <f>""</f>
        <v/>
      </c>
      <c r="BO209" t="str">
        <f>""</f>
        <v/>
      </c>
      <c r="BP209" t="str">
        <f>""</f>
        <v/>
      </c>
      <c r="BQ209" t="str">
        <f>""</f>
        <v/>
      </c>
      <c r="BR209" t="str">
        <f>""</f>
        <v/>
      </c>
      <c r="BS209" t="str">
        <f>""</f>
        <v/>
      </c>
    </row>
    <row r="210" spans="1:71" x14ac:dyDescent="0.25">
      <c r="A210" t="str">
        <f>"        Huntington Bancshares Inc/OH"</f>
        <v xml:space="preserve">        Huntington Bancshares Inc/OH</v>
      </c>
      <c r="B210" t="str">
        <f>"HBAN US Equity"</f>
        <v>HBAN US Equity</v>
      </c>
      <c r="C210" t="str">
        <f t="shared" si="27"/>
        <v>F0115</v>
      </c>
      <c r="D210" t="str">
        <f t="shared" si="28"/>
        <v>FED_C&amp;I_LNS_CONS_%_TOT_LNS_LEAS</v>
      </c>
      <c r="E210" t="str">
        <f t="shared" si="29"/>
        <v>Dynamic</v>
      </c>
      <c r="F210">
        <f ca="1">IF(AND(ISNUMBER($F$618),$B$427=1),$F$618,HLOOKUP(INDIRECT(ADDRESS(2,COLUMN())),OFFSET($AM$2,0,0,ROW()-1,33),ROW()-1,FALSE))</f>
        <v>28.684768529999999</v>
      </c>
      <c r="G210">
        <f ca="1">IF(AND(ISNUMBER($G$618),$B$427=1),$G$618,HLOOKUP(INDIRECT(ADDRESS(2,COLUMN())),OFFSET($AM$2,0,0,ROW()-1,33),ROW()-1,FALSE))</f>
        <v>28.567279939999999</v>
      </c>
      <c r="H210">
        <f ca="1">IF(AND(ISNUMBER($H$618),$B$427=1),$H$618,HLOOKUP(INDIRECT(ADDRESS(2,COLUMN())),OFFSET($AM$2,0,0,ROW()-1,33),ROW()-1,FALSE))</f>
        <v>27.23828468</v>
      </c>
      <c r="I210">
        <f ca="1">IF(AND(ISNUMBER($I$618),$B$427=1),$I$618,HLOOKUP(INDIRECT(ADDRESS(2,COLUMN())),OFFSET($AM$2,0,0,ROW()-1,33),ROW()-1,FALSE))</f>
        <v>28.644144270000002</v>
      </c>
      <c r="J210">
        <f ca="1">IF(AND(ISNUMBER($J$618),$B$427=1),$J$618,HLOOKUP(INDIRECT(ADDRESS(2,COLUMN())),OFFSET($AM$2,0,0,ROW()-1,33),ROW()-1,FALSE))</f>
        <v>31.867077630000001</v>
      </c>
      <c r="K210">
        <f ca="1">IF(AND(ISNUMBER($K$618),$B$427=1),$K$618,HLOOKUP(INDIRECT(ADDRESS(2,COLUMN())),OFFSET($AM$2,0,0,ROW()-1,33),ROW()-1,FALSE))</f>
        <v>29.70128613</v>
      </c>
      <c r="L210">
        <f ca="1">IF(AND(ISNUMBER($L$618),$B$427=1),$L$618,HLOOKUP(INDIRECT(ADDRESS(2,COLUMN())),OFFSET($AM$2,0,0,ROW()-1,33),ROW()-1,FALSE))</f>
        <v>29.85719143</v>
      </c>
      <c r="M210">
        <f ca="1">IF(AND(ISNUMBER($M$618),$B$427=1),$M$618,HLOOKUP(INDIRECT(ADDRESS(2,COLUMN())),OFFSET($AM$2,0,0,ROW()-1,33),ROW()-1,FALSE))</f>
        <v>28.205532340000001</v>
      </c>
      <c r="N210">
        <f ca="1">IF(AND(ISNUMBER($N$618),$B$427=1),$N$618,HLOOKUP(INDIRECT(ADDRESS(2,COLUMN())),OFFSET($AM$2,0,0,ROW()-1,33),ROW()-1,FALSE))</f>
        <v>28.639167430000001</v>
      </c>
      <c r="O210">
        <f ca="1">IF(AND(ISNUMBER($O$618),$B$427=1),$O$618,HLOOKUP(INDIRECT(ADDRESS(2,COLUMN())),OFFSET($AM$2,0,0,ROW()-1,33),ROW()-1,FALSE))</f>
        <v>28.210847650000002</v>
      </c>
      <c r="P210">
        <f ca="1">IF(AND(ISNUMBER($P$618),$B$427=1),$P$618,HLOOKUP(INDIRECT(ADDRESS(2,COLUMN())),OFFSET($AM$2,0,0,ROW()-1,33),ROW()-1,FALSE))</f>
        <v>26.891740949999999</v>
      </c>
      <c r="Q210">
        <f ca="1">IF(AND(ISNUMBER($Q$618),$B$427=1),$Q$618,HLOOKUP(INDIRECT(ADDRESS(2,COLUMN())),OFFSET($AM$2,0,0,ROW()-1,33),ROW()-1,FALSE))</f>
        <v>27.47336043</v>
      </c>
      <c r="R210">
        <f ca="1">IF(AND(ISNUMBER($R$618),$B$427=1),$R$618,HLOOKUP(INDIRECT(ADDRESS(2,COLUMN())),OFFSET($AM$2,0,0,ROW()-1,33),ROW()-1,FALSE))</f>
        <v>27.82081809</v>
      </c>
      <c r="S210">
        <f ca="1">IF(AND(ISNUMBER($S$618),$B$427=1),$S$618,HLOOKUP(INDIRECT(ADDRESS(2,COLUMN())),OFFSET($AM$2,0,0,ROW()-1,33),ROW()-1,FALSE))</f>
        <v>24.437508080000001</v>
      </c>
      <c r="T210">
        <f ca="1">IF(AND(ISNUMBER($T$618),$B$427=1),$T$618,HLOOKUP(INDIRECT(ADDRESS(2,COLUMN())),OFFSET($AM$2,0,0,ROW()-1,33),ROW()-1,FALSE))</f>
        <v>21.489399479999999</v>
      </c>
      <c r="U210">
        <f ca="1">IF(AND(ISNUMBER($U$618),$B$427=1),$U$618,HLOOKUP(INDIRECT(ADDRESS(2,COLUMN())),OFFSET($AM$2,0,0,ROW()-1,33),ROW()-1,FALSE))</f>
        <v>19.55376725</v>
      </c>
      <c r="V210">
        <f ca="1">IF(AND(ISNUMBER($V$618),$B$427=1),$V$618,HLOOKUP(INDIRECT(ADDRESS(2,COLUMN())),OFFSET($AM$2,0,0,ROW()-1,33),ROW()-1,FALSE))</f>
        <v>17.997097409999999</v>
      </c>
      <c r="W210">
        <f ca="1">IF(AND(ISNUMBER($W$618),$B$427=1),$W$618,HLOOKUP(INDIRECT(ADDRESS(2,COLUMN())),OFFSET($AM$2,0,0,ROW()-1,33),ROW()-1,FALSE))</f>
        <v>16.25828714</v>
      </c>
      <c r="X210">
        <f ca="1">IF(AND(ISNUMBER($X$618),$B$427=1),$X$618,HLOOKUP(INDIRECT(ADDRESS(2,COLUMN())),OFFSET($AM$2,0,0,ROW()-1,33),ROW()-1,FALSE))</f>
        <v>16.234777640000001</v>
      </c>
      <c r="Y210">
        <f ca="1">IF(AND(ISNUMBER($Y$618),$B$427=1),$Y$618,HLOOKUP(INDIRECT(ADDRESS(2,COLUMN())),OFFSET($AM$2,0,0,ROW()-1,33),ROW()-1,FALSE))</f>
        <v>15.42050248</v>
      </c>
      <c r="Z210">
        <f ca="1">IF(AND(ISNUMBER($Z$618),$B$427=1),$Z$618,HLOOKUP(INDIRECT(ADDRESS(2,COLUMN())),OFFSET($AM$2,0,0,ROW()-1,33),ROW()-1,FALSE))</f>
        <v>15.930988320000001</v>
      </c>
      <c r="AA210">
        <f ca="1">IF(AND(ISNUMBER($AA$618),$B$427=1),$AA$618,HLOOKUP(INDIRECT(ADDRESS(2,COLUMN())),OFFSET($AM$2,0,0,ROW()-1,33),ROW()-1,FALSE))</f>
        <v>18.371588809999999</v>
      </c>
      <c r="AB210">
        <f ca="1">IF(AND(ISNUMBER($AB$618),$B$427=1),$AB$618,HLOOKUP(INDIRECT(ADDRESS(2,COLUMN())),OFFSET($AM$2,0,0,ROW()-1,33),ROW()-1,FALSE))</f>
        <v>21.30006989</v>
      </c>
      <c r="AC210">
        <f ca="1">IF(AND(ISNUMBER($AC$618),$B$427=1),$AC$618,HLOOKUP(INDIRECT(ADDRESS(2,COLUMN())),OFFSET($AM$2,0,0,ROW()-1,33),ROW()-1,FALSE))</f>
        <v>26.09543609</v>
      </c>
      <c r="AD210" t="str">
        <f ca="1">IF(AND(ISNUMBER($AD$618),$B$427=1),$AD$618,HLOOKUP(INDIRECT(ADDRESS(2,COLUMN())),OFFSET($AM$2,0,0,ROW()-1,33),ROW()-1,FALSE))</f>
        <v/>
      </c>
      <c r="AE210" t="str">
        <f ca="1">IF(AND(ISNUMBER($AE$618),$B$427=1),$AE$618,HLOOKUP(INDIRECT(ADDRESS(2,COLUMN())),OFFSET($AM$2,0,0,ROW()-1,33),ROW()-1,FALSE))</f>
        <v/>
      </c>
      <c r="AF210" t="str">
        <f ca="1">IF(AND(ISNUMBER($AF$618),$B$427=1),$AF$618,HLOOKUP(INDIRECT(ADDRESS(2,COLUMN())),OFFSET($AM$2,0,0,ROW()-1,33),ROW()-1,FALSE))</f>
        <v/>
      </c>
      <c r="AG210" t="str">
        <f ca="1">IF(AND(ISNUMBER($AG$618),$B$427=1),$AG$618,HLOOKUP(INDIRECT(ADDRESS(2,COLUMN())),OFFSET($AM$2,0,0,ROW()-1,33),ROW()-1,FALSE))</f>
        <v/>
      </c>
      <c r="AH210" t="str">
        <f ca="1">IF(AND(ISNUMBER($AH$618),$B$427=1),$AH$618,HLOOKUP(INDIRECT(ADDRESS(2,COLUMN())),OFFSET($AM$2,0,0,ROW()-1,33),ROW()-1,FALSE))</f>
        <v/>
      </c>
      <c r="AI210" t="str">
        <f ca="1">IF(AND(ISNUMBER($AI$618),$B$427=1),$AI$618,HLOOKUP(INDIRECT(ADDRESS(2,COLUMN())),OFFSET($AM$2,0,0,ROW()-1,33),ROW()-1,FALSE))</f>
        <v/>
      </c>
      <c r="AJ210" t="str">
        <f ca="1">IF(AND(ISNUMBER($AJ$618),$B$427=1),$AJ$618,HLOOKUP(INDIRECT(ADDRESS(2,COLUMN())),OFFSET($AM$2,0,0,ROW()-1,33),ROW()-1,FALSE))</f>
        <v/>
      </c>
      <c r="AK210" t="str">
        <f ca="1">IF(AND(ISNUMBER($AK$618),$B$427=1),$AK$618,HLOOKUP(INDIRECT(ADDRESS(2,COLUMN())),OFFSET($AM$2,0,0,ROW()-1,33),ROW()-1,FALSE))</f>
        <v/>
      </c>
      <c r="AL210" t="str">
        <f ca="1">IF(AND(ISNUMBER($AL$618),$B$427=1),$AL$618,HLOOKUP(INDIRECT(ADDRESS(2,COLUMN())),OFFSET($AM$2,0,0,ROW()-1,33),ROW()-1,FALSE))</f>
        <v/>
      </c>
      <c r="AM210">
        <f>28.68476853</f>
        <v>28.684768529999999</v>
      </c>
      <c r="AN210">
        <f>28.56727994</f>
        <v>28.567279939999999</v>
      </c>
      <c r="AO210">
        <f>27.23828468</f>
        <v>27.23828468</v>
      </c>
      <c r="AP210">
        <f>28.64414427</f>
        <v>28.644144270000002</v>
      </c>
      <c r="AQ210">
        <f>31.86707763</f>
        <v>31.867077630000001</v>
      </c>
      <c r="AR210">
        <f>29.70128613</f>
        <v>29.70128613</v>
      </c>
      <c r="AS210">
        <f>29.85719143</f>
        <v>29.85719143</v>
      </c>
      <c r="AT210">
        <f>28.20553234</f>
        <v>28.205532340000001</v>
      </c>
      <c r="AU210">
        <f>28.63916743</f>
        <v>28.639167430000001</v>
      </c>
      <c r="AV210">
        <f>28.21084765</f>
        <v>28.210847650000002</v>
      </c>
      <c r="AW210">
        <f>26.89174095</f>
        <v>26.891740949999999</v>
      </c>
      <c r="AX210">
        <f>27.47336043</f>
        <v>27.47336043</v>
      </c>
      <c r="AY210">
        <f>27.82081809</f>
        <v>27.82081809</v>
      </c>
      <c r="AZ210">
        <f>24.43750808</f>
        <v>24.437508080000001</v>
      </c>
      <c r="BA210">
        <f>21.48939948</f>
        <v>21.489399479999999</v>
      </c>
      <c r="BB210">
        <f>19.55376725</f>
        <v>19.55376725</v>
      </c>
      <c r="BC210">
        <f>17.99709741</f>
        <v>17.997097409999999</v>
      </c>
      <c r="BD210">
        <f>16.25828714</f>
        <v>16.25828714</v>
      </c>
      <c r="BE210">
        <f>16.23477764</f>
        <v>16.234777640000001</v>
      </c>
      <c r="BF210">
        <f>15.42050248</f>
        <v>15.42050248</v>
      </c>
      <c r="BG210">
        <f>15.93098832</f>
        <v>15.930988320000001</v>
      </c>
      <c r="BH210">
        <f>18.37158881</f>
        <v>18.371588809999999</v>
      </c>
      <c r="BI210">
        <f>21.30006989</f>
        <v>21.30006989</v>
      </c>
      <c r="BJ210">
        <f>26.09543609</f>
        <v>26.09543609</v>
      </c>
      <c r="BK210" t="str">
        <f>""</f>
        <v/>
      </c>
      <c r="BL210" t="str">
        <f>""</f>
        <v/>
      </c>
      <c r="BM210" t="str">
        <f>""</f>
        <v/>
      </c>
      <c r="BN210" t="str">
        <f>""</f>
        <v/>
      </c>
      <c r="BO210" t="str">
        <f>""</f>
        <v/>
      </c>
      <c r="BP210" t="str">
        <f>""</f>
        <v/>
      </c>
      <c r="BQ210" t="str">
        <f>""</f>
        <v/>
      </c>
      <c r="BR210" t="str">
        <f>""</f>
        <v/>
      </c>
      <c r="BS210" t="str">
        <f>""</f>
        <v/>
      </c>
    </row>
    <row r="211" spans="1:71" x14ac:dyDescent="0.25">
      <c r="A211" t="str">
        <f>"        JPMorgan Chase &amp; Co"</f>
        <v xml:space="preserve">        JPMorgan Chase &amp; Co</v>
      </c>
      <c r="B211" t="str">
        <f>"JPM US Equity"</f>
        <v>JPM US Equity</v>
      </c>
      <c r="C211" t="str">
        <f t="shared" si="27"/>
        <v>F0115</v>
      </c>
      <c r="D211" t="str">
        <f t="shared" si="28"/>
        <v>FED_C&amp;I_LNS_CONS_%_TOT_LNS_LEAS</v>
      </c>
      <c r="E211" t="str">
        <f t="shared" si="29"/>
        <v>Dynamic</v>
      </c>
      <c r="F211">
        <f ca="1">IF(AND(ISNUMBER($F$619),$B$427=1),$F$619,HLOOKUP(INDIRECT(ADDRESS(2,COLUMN())),OFFSET($AM$2,0,0,ROW()-1,33),ROW()-1,FALSE))</f>
        <v>14.951100670000001</v>
      </c>
      <c r="G211">
        <f ca="1">IF(AND(ISNUMBER($G$619),$B$427=1),$G$619,HLOOKUP(INDIRECT(ADDRESS(2,COLUMN())),OFFSET($AM$2,0,0,ROW()-1,33),ROW()-1,FALSE))</f>
        <v>14.834130099999999</v>
      </c>
      <c r="H211">
        <f ca="1">IF(AND(ISNUMBER($H$619),$B$427=1),$H$619,HLOOKUP(INDIRECT(ADDRESS(2,COLUMN())),OFFSET($AM$2,0,0,ROW()-1,33),ROW()-1,FALSE))</f>
        <v>17.14146345</v>
      </c>
      <c r="I211">
        <f ca="1">IF(AND(ISNUMBER($I$619),$B$427=1),$I$619,HLOOKUP(INDIRECT(ADDRESS(2,COLUMN())),OFFSET($AM$2,0,0,ROW()-1,33),ROW()-1,FALSE))</f>
        <v>16.18803363</v>
      </c>
      <c r="J211">
        <f ca="1">IF(AND(ISNUMBER($J$619),$B$427=1),$J$619,HLOOKUP(INDIRECT(ADDRESS(2,COLUMN())),OFFSET($AM$2,0,0,ROW()-1,33),ROW()-1,FALSE))</f>
        <v>18.320858999999999</v>
      </c>
      <c r="K211">
        <f ca="1">IF(AND(ISNUMBER($K$619),$B$427=1),$K$619,HLOOKUP(INDIRECT(ADDRESS(2,COLUMN())),OFFSET($AM$2,0,0,ROW()-1,33),ROW()-1,FALSE))</f>
        <v>17.124716150000001</v>
      </c>
      <c r="L211">
        <f ca="1">IF(AND(ISNUMBER($L$619),$B$427=1),$L$619,HLOOKUP(INDIRECT(ADDRESS(2,COLUMN())),OFFSET($AM$2,0,0,ROW()-1,33),ROW()-1,FALSE))</f>
        <v>18.497386089999999</v>
      </c>
      <c r="M211">
        <f ca="1">IF(AND(ISNUMBER($M$619),$B$427=1),$M$619,HLOOKUP(INDIRECT(ADDRESS(2,COLUMN())),OFFSET($AM$2,0,0,ROW()-1,33),ROW()-1,FALSE))</f>
        <v>17.13890361</v>
      </c>
      <c r="N211">
        <f ca="1">IF(AND(ISNUMBER($N$619),$B$427=1),$N$619,HLOOKUP(INDIRECT(ADDRESS(2,COLUMN())),OFFSET($AM$2,0,0,ROW()-1,33),ROW()-1,FALSE))</f>
        <v>17.44086875</v>
      </c>
      <c r="O211">
        <f ca="1">IF(AND(ISNUMBER($O$619),$B$427=1),$O$619,HLOOKUP(INDIRECT(ADDRESS(2,COLUMN())),OFFSET($AM$2,0,0,ROW()-1,33),ROW()-1,FALSE))</f>
        <v>16.75133885</v>
      </c>
      <c r="P211">
        <f ca="1">IF(AND(ISNUMBER($P$619),$B$427=1),$P$619,HLOOKUP(INDIRECT(ADDRESS(2,COLUMN())),OFFSET($AM$2,0,0,ROW()-1,33),ROW()-1,FALSE))</f>
        <v>16.821338770000001</v>
      </c>
      <c r="Q211">
        <f ca="1">IF(AND(ISNUMBER($Q$619),$B$427=1),$Q$619,HLOOKUP(INDIRECT(ADDRESS(2,COLUMN())),OFFSET($AM$2,0,0,ROW()-1,33),ROW()-1,FALSE))</f>
        <v>17.135971059999999</v>
      </c>
      <c r="R211">
        <f ca="1">IF(AND(ISNUMBER($R$619),$B$427=1),$R$619,HLOOKUP(INDIRECT(ADDRESS(2,COLUMN())),OFFSET($AM$2,0,0,ROW()-1,33),ROW()-1,FALSE))</f>
        <v>18.458736009999999</v>
      </c>
      <c r="S211">
        <f ca="1">IF(AND(ISNUMBER($S$619),$B$427=1),$S$619,HLOOKUP(INDIRECT(ADDRESS(2,COLUMN())),OFFSET($AM$2,0,0,ROW()-1,33),ROW()-1,FALSE))</f>
        <v>16.566604659999999</v>
      </c>
      <c r="T211">
        <f ca="1">IF(AND(ISNUMBER($T$619),$B$427=1),$T$619,HLOOKUP(INDIRECT(ADDRESS(2,COLUMN())),OFFSET($AM$2,0,0,ROW()-1,33),ROW()-1,FALSE))</f>
        <v>13.49979778</v>
      </c>
      <c r="U211">
        <f ca="1">IF(AND(ISNUMBER($U$619),$B$427=1),$U$619,HLOOKUP(INDIRECT(ADDRESS(2,COLUMN())),OFFSET($AM$2,0,0,ROW()-1,33),ROW()-1,FALSE))</f>
        <v>16.02421579</v>
      </c>
      <c r="V211">
        <f ca="1">IF(AND(ISNUMBER($V$619),$B$427=1),$V$619,HLOOKUP(INDIRECT(ADDRESS(2,COLUMN())),OFFSET($AM$2,0,0,ROW()-1,33),ROW()-1,FALSE))</f>
        <v>19.868599790000001</v>
      </c>
      <c r="W211">
        <f ca="1">IF(AND(ISNUMBER($W$619),$B$427=1),$W$619,HLOOKUP(INDIRECT(ADDRESS(2,COLUMN())),OFFSET($AM$2,0,0,ROW()-1,33),ROW()-1,FALSE))</f>
        <v>25.371541100000002</v>
      </c>
      <c r="X211">
        <f ca="1">IF(AND(ISNUMBER($X$619),$B$427=1),$X$619,HLOOKUP(INDIRECT(ADDRESS(2,COLUMN())),OFFSET($AM$2,0,0,ROW()-1,33),ROW()-1,FALSE))</f>
        <v>21.31054567</v>
      </c>
      <c r="Y211">
        <f ca="1">IF(AND(ISNUMBER($Y$619),$B$427=1),$Y$619,HLOOKUP(INDIRECT(ADDRESS(2,COLUMN())),OFFSET($AM$2,0,0,ROW()-1,33),ROW()-1,FALSE))</f>
        <v>21.343185829999999</v>
      </c>
      <c r="Z211">
        <f ca="1">IF(AND(ISNUMBER($Z$619),$B$427=1),$Z$619,HLOOKUP(INDIRECT(ADDRESS(2,COLUMN())),OFFSET($AM$2,0,0,ROW()-1,33),ROW()-1,FALSE))</f>
        <v>16.381996879999999</v>
      </c>
      <c r="AA211">
        <f ca="1">IF(AND(ISNUMBER($AA$619),$B$427=1),$AA$619,HLOOKUP(INDIRECT(ADDRESS(2,COLUMN())),OFFSET($AM$2,0,0,ROW()-1,33),ROW()-1,FALSE))</f>
        <v>20.730874010000001</v>
      </c>
      <c r="AB211">
        <f ca="1">IF(AND(ISNUMBER($AB$619),$B$427=1),$AB$619,HLOOKUP(INDIRECT(ADDRESS(2,COLUMN())),OFFSET($AM$2,0,0,ROW()-1,33),ROW()-1,FALSE))</f>
        <v>24.220242030000001</v>
      </c>
      <c r="AC211">
        <f ca="1">IF(AND(ISNUMBER($AC$619),$B$427=1),$AC$619,HLOOKUP(INDIRECT(ADDRESS(2,COLUMN())),OFFSET($AM$2,0,0,ROW()-1,33),ROW()-1,FALSE))</f>
        <v>28.615850259999998</v>
      </c>
      <c r="AD211" t="str">
        <f ca="1">IF(AND(ISNUMBER($AD$619),$B$427=1),$AD$619,HLOOKUP(INDIRECT(ADDRESS(2,COLUMN())),OFFSET($AM$2,0,0,ROW()-1,33),ROW()-1,FALSE))</f>
        <v/>
      </c>
      <c r="AE211" t="str">
        <f ca="1">IF(AND(ISNUMBER($AE$619),$B$427=1),$AE$619,HLOOKUP(INDIRECT(ADDRESS(2,COLUMN())),OFFSET($AM$2,0,0,ROW()-1,33),ROW()-1,FALSE))</f>
        <v/>
      </c>
      <c r="AF211" t="str">
        <f ca="1">IF(AND(ISNUMBER($AF$619),$B$427=1),$AF$619,HLOOKUP(INDIRECT(ADDRESS(2,COLUMN())),OFFSET($AM$2,0,0,ROW()-1,33),ROW()-1,FALSE))</f>
        <v/>
      </c>
      <c r="AG211" t="str">
        <f ca="1">IF(AND(ISNUMBER($AG$619),$B$427=1),$AG$619,HLOOKUP(INDIRECT(ADDRESS(2,COLUMN())),OFFSET($AM$2,0,0,ROW()-1,33),ROW()-1,FALSE))</f>
        <v/>
      </c>
      <c r="AH211" t="str">
        <f ca="1">IF(AND(ISNUMBER($AH$619),$B$427=1),$AH$619,HLOOKUP(INDIRECT(ADDRESS(2,COLUMN())),OFFSET($AM$2,0,0,ROW()-1,33),ROW()-1,FALSE))</f>
        <v/>
      </c>
      <c r="AI211" t="str">
        <f ca="1">IF(AND(ISNUMBER($AI$619),$B$427=1),$AI$619,HLOOKUP(INDIRECT(ADDRESS(2,COLUMN())),OFFSET($AM$2,0,0,ROW()-1,33),ROW()-1,FALSE))</f>
        <v/>
      </c>
      <c r="AJ211" t="str">
        <f ca="1">IF(AND(ISNUMBER($AJ$619),$B$427=1),$AJ$619,HLOOKUP(INDIRECT(ADDRESS(2,COLUMN())),OFFSET($AM$2,0,0,ROW()-1,33),ROW()-1,FALSE))</f>
        <v/>
      </c>
      <c r="AK211" t="str">
        <f ca="1">IF(AND(ISNUMBER($AK$619),$B$427=1),$AK$619,HLOOKUP(INDIRECT(ADDRESS(2,COLUMN())),OFFSET($AM$2,0,0,ROW()-1,33),ROW()-1,FALSE))</f>
        <v/>
      </c>
      <c r="AL211" t="str">
        <f ca="1">IF(AND(ISNUMBER($AL$619),$B$427=1),$AL$619,HLOOKUP(INDIRECT(ADDRESS(2,COLUMN())),OFFSET($AM$2,0,0,ROW()-1,33),ROW()-1,FALSE))</f>
        <v/>
      </c>
      <c r="AM211">
        <f>14.95110067</f>
        <v>14.951100670000001</v>
      </c>
      <c r="AN211">
        <f>14.8341301</f>
        <v>14.834130099999999</v>
      </c>
      <c r="AO211">
        <f>17.14146345</f>
        <v>17.14146345</v>
      </c>
      <c r="AP211">
        <f>16.18803363</f>
        <v>16.18803363</v>
      </c>
      <c r="AQ211">
        <f>18.320859</f>
        <v>18.320858999999999</v>
      </c>
      <c r="AR211">
        <f>17.12471615</f>
        <v>17.124716150000001</v>
      </c>
      <c r="AS211">
        <f>18.49738609</f>
        <v>18.497386089999999</v>
      </c>
      <c r="AT211">
        <f>17.13890361</f>
        <v>17.13890361</v>
      </c>
      <c r="AU211">
        <f>17.44086875</f>
        <v>17.44086875</v>
      </c>
      <c r="AV211">
        <f>16.75133885</f>
        <v>16.75133885</v>
      </c>
      <c r="AW211">
        <f>16.82133877</f>
        <v>16.821338770000001</v>
      </c>
      <c r="AX211">
        <f>17.13597106</f>
        <v>17.135971059999999</v>
      </c>
      <c r="AY211">
        <f>18.45873601</f>
        <v>18.458736009999999</v>
      </c>
      <c r="AZ211">
        <f>16.56660466</f>
        <v>16.566604659999999</v>
      </c>
      <c r="BA211">
        <f>13.49979778</f>
        <v>13.49979778</v>
      </c>
      <c r="BB211">
        <f>16.02421579</f>
        <v>16.02421579</v>
      </c>
      <c r="BC211">
        <f>19.86859979</f>
        <v>19.868599790000001</v>
      </c>
      <c r="BD211">
        <f>25.3715411</f>
        <v>25.371541100000002</v>
      </c>
      <c r="BE211">
        <f>21.31054567</f>
        <v>21.31054567</v>
      </c>
      <c r="BF211">
        <f>21.34318583</f>
        <v>21.343185829999999</v>
      </c>
      <c r="BG211">
        <f>16.38199688</f>
        <v>16.381996879999999</v>
      </c>
      <c r="BH211">
        <f>20.73087401</f>
        <v>20.730874010000001</v>
      </c>
      <c r="BI211">
        <f>24.22024203</f>
        <v>24.220242030000001</v>
      </c>
      <c r="BJ211">
        <f>28.61585026</f>
        <v>28.615850259999998</v>
      </c>
      <c r="BK211" t="str">
        <f>""</f>
        <v/>
      </c>
      <c r="BL211" t="str">
        <f>""</f>
        <v/>
      </c>
      <c r="BM211" t="str">
        <f>""</f>
        <v/>
      </c>
      <c r="BN211" t="str">
        <f>""</f>
        <v/>
      </c>
      <c r="BO211" t="str">
        <f>""</f>
        <v/>
      </c>
      <c r="BP211" t="str">
        <f>""</f>
        <v/>
      </c>
      <c r="BQ211" t="str">
        <f>""</f>
        <v/>
      </c>
      <c r="BR211" t="str">
        <f>""</f>
        <v/>
      </c>
      <c r="BS211" t="str">
        <f>""</f>
        <v/>
      </c>
    </row>
    <row r="212" spans="1:71" x14ac:dyDescent="0.25">
      <c r="A212" t="str">
        <f>"        KeyCorp"</f>
        <v xml:space="preserve">        KeyCorp</v>
      </c>
      <c r="B212" t="str">
        <f>"KEY US Equity"</f>
        <v>KEY US Equity</v>
      </c>
      <c r="C212" t="str">
        <f t="shared" si="27"/>
        <v>F0115</v>
      </c>
      <c r="D212" t="str">
        <f t="shared" si="28"/>
        <v>FED_C&amp;I_LNS_CONS_%_TOT_LNS_LEAS</v>
      </c>
      <c r="E212" t="str">
        <f t="shared" si="29"/>
        <v>Dynamic</v>
      </c>
      <c r="F212">
        <f ca="1">IF(AND(ISNUMBER($F$620),$B$427=1),$F$620,HLOOKUP(INDIRECT(ADDRESS(2,COLUMN())),OFFSET($AM$2,0,0,ROW()-1,33),ROW()-1,FALSE))</f>
        <v>28.374250079999999</v>
      </c>
      <c r="G212">
        <f ca="1">IF(AND(ISNUMBER($G$620),$B$427=1),$G$620,HLOOKUP(INDIRECT(ADDRESS(2,COLUMN())),OFFSET($AM$2,0,0,ROW()-1,33),ROW()-1,FALSE))</f>
        <v>38.449004530000003</v>
      </c>
      <c r="H212">
        <f ca="1">IF(AND(ISNUMBER($H$620),$B$427=1),$H$620,HLOOKUP(INDIRECT(ADDRESS(2,COLUMN())),OFFSET($AM$2,0,0,ROW()-1,33),ROW()-1,FALSE))</f>
        <v>39.584122399999998</v>
      </c>
      <c r="I212">
        <f ca="1">IF(AND(ISNUMBER($I$620),$B$427=1),$I$620,HLOOKUP(INDIRECT(ADDRESS(2,COLUMN())),OFFSET($AM$2,0,0,ROW()-1,33),ROW()-1,FALSE))</f>
        <v>38.945353220000001</v>
      </c>
      <c r="J212">
        <f ca="1">IF(AND(ISNUMBER($J$620),$B$427=1),$J$620,HLOOKUP(INDIRECT(ADDRESS(2,COLUMN())),OFFSET($AM$2,0,0,ROW()-1,33),ROW()-1,FALSE))</f>
        <v>41.030935749999998</v>
      </c>
      <c r="K212">
        <f ca="1">IF(AND(ISNUMBER($K$620),$B$427=1),$K$620,HLOOKUP(INDIRECT(ADDRESS(2,COLUMN())),OFFSET($AM$2,0,0,ROW()-1,33),ROW()-1,FALSE))</f>
        <v>39.111194279999999</v>
      </c>
      <c r="L212">
        <f ca="1">IF(AND(ISNUMBER($L$620),$B$427=1),$L$620,HLOOKUP(INDIRECT(ADDRESS(2,COLUMN())),OFFSET($AM$2,0,0,ROW()-1,33),ROW()-1,FALSE))</f>
        <v>38.956442060000001</v>
      </c>
      <c r="M212">
        <f ca="1">IF(AND(ISNUMBER($M$620),$B$427=1),$M$620,HLOOKUP(INDIRECT(ADDRESS(2,COLUMN())),OFFSET($AM$2,0,0,ROW()-1,33),ROW()-1,FALSE))</f>
        <v>36.200929799999997</v>
      </c>
      <c r="N212">
        <f ca="1">IF(AND(ISNUMBER($N$620),$B$427=1),$N$620,HLOOKUP(INDIRECT(ADDRESS(2,COLUMN())),OFFSET($AM$2,0,0,ROW()-1,33),ROW()-1,FALSE))</f>
        <v>35.293542950000003</v>
      </c>
      <c r="O212">
        <f ca="1">IF(AND(ISNUMBER($O$620),$B$427=1),$O$620,HLOOKUP(INDIRECT(ADDRESS(2,COLUMN())),OFFSET($AM$2,0,0,ROW()-1,33),ROW()-1,FALSE))</f>
        <v>38.214829969999997</v>
      </c>
      <c r="P212">
        <f ca="1">IF(AND(ISNUMBER($P$620),$B$427=1),$P$620,HLOOKUP(INDIRECT(ADDRESS(2,COLUMN())),OFFSET($AM$2,0,0,ROW()-1,33),ROW()-1,FALSE))</f>
        <v>36.248301470000001</v>
      </c>
      <c r="Q212">
        <f ca="1">IF(AND(ISNUMBER($Q$620),$B$427=1),$Q$620,HLOOKUP(INDIRECT(ADDRESS(2,COLUMN())),OFFSET($AM$2,0,0,ROW()-1,33),ROW()-1,FALSE))</f>
        <v>33.082595269999999</v>
      </c>
      <c r="R212">
        <f ca="1">IF(AND(ISNUMBER($R$620),$B$427=1),$R$620,HLOOKUP(INDIRECT(ADDRESS(2,COLUMN())),OFFSET($AM$2,0,0,ROW()-1,33),ROW()-1,FALSE))</f>
        <v>30.894705259999999</v>
      </c>
      <c r="S212">
        <f ca="1">IF(AND(ISNUMBER($S$620),$B$427=1),$S$620,HLOOKUP(INDIRECT(ADDRESS(2,COLUMN())),OFFSET($AM$2,0,0,ROW()-1,33),ROW()-1,FALSE))</f>
        <v>26.92284347</v>
      </c>
      <c r="T212">
        <f ca="1">IF(AND(ISNUMBER($T$620),$B$427=1),$T$620,HLOOKUP(INDIRECT(ADDRESS(2,COLUMN())),OFFSET($AM$2,0,0,ROW()-1,33),ROW()-1,FALSE))</f>
        <v>22.946968349999999</v>
      </c>
      <c r="U212">
        <f ca="1">IF(AND(ISNUMBER($U$620),$B$427=1),$U$620,HLOOKUP(INDIRECT(ADDRESS(2,COLUMN())),OFFSET($AM$2,0,0,ROW()-1,33),ROW()-1,FALSE))</f>
        <v>24.491381619999999</v>
      </c>
      <c r="V212">
        <f ca="1">IF(AND(ISNUMBER($V$620),$B$427=1),$V$620,HLOOKUP(INDIRECT(ADDRESS(2,COLUMN())),OFFSET($AM$2,0,0,ROW()-1,33),ROW()-1,FALSE))</f>
        <v>28.43401179</v>
      </c>
      <c r="W212">
        <f ca="1">IF(AND(ISNUMBER($W$620),$B$427=1),$W$620,HLOOKUP(INDIRECT(ADDRESS(2,COLUMN())),OFFSET($AM$2,0,0,ROW()-1,33),ROW()-1,FALSE))</f>
        <v>27.76961979</v>
      </c>
      <c r="X212">
        <f ca="1">IF(AND(ISNUMBER($X$620),$B$427=1),$X$620,HLOOKUP(INDIRECT(ADDRESS(2,COLUMN())),OFFSET($AM$2,0,0,ROW()-1,33),ROW()-1,FALSE))</f>
        <v>27.379683140000001</v>
      </c>
      <c r="Y212">
        <f ca="1">IF(AND(ISNUMBER($Y$620),$B$427=1),$Y$620,HLOOKUP(INDIRECT(ADDRESS(2,COLUMN())),OFFSET($AM$2,0,0,ROW()-1,33),ROW()-1,FALSE))</f>
        <v>28.66669392</v>
      </c>
      <c r="Z212">
        <f ca="1">IF(AND(ISNUMBER($Z$620),$B$427=1),$Z$620,HLOOKUP(INDIRECT(ADDRESS(2,COLUMN())),OFFSET($AM$2,0,0,ROW()-1,33),ROW()-1,FALSE))</f>
        <v>25.712295659999999</v>
      </c>
      <c r="AA212">
        <f ca="1">IF(AND(ISNUMBER($AA$620),$B$427=1),$AA$620,HLOOKUP(INDIRECT(ADDRESS(2,COLUMN())),OFFSET($AM$2,0,0,ROW()-1,33),ROW()-1,FALSE))</f>
        <v>25.229510659999999</v>
      </c>
      <c r="AB212">
        <f ca="1">IF(AND(ISNUMBER($AB$620),$B$427=1),$AB$620,HLOOKUP(INDIRECT(ADDRESS(2,COLUMN())),OFFSET($AM$2,0,0,ROW()-1,33),ROW()-1,FALSE))</f>
        <v>26.244626610000001</v>
      </c>
      <c r="AC212">
        <f ca="1">IF(AND(ISNUMBER($AC$620),$B$427=1),$AC$620,HLOOKUP(INDIRECT(ADDRESS(2,COLUMN())),OFFSET($AM$2,0,0,ROW()-1,33),ROW()-1,FALSE))</f>
        <v>26.828068259999998</v>
      </c>
      <c r="AD212" t="str">
        <f ca="1">IF(AND(ISNUMBER($AD$620),$B$427=1),$AD$620,HLOOKUP(INDIRECT(ADDRESS(2,COLUMN())),OFFSET($AM$2,0,0,ROW()-1,33),ROW()-1,FALSE))</f>
        <v/>
      </c>
      <c r="AE212" t="str">
        <f ca="1">IF(AND(ISNUMBER($AE$620),$B$427=1),$AE$620,HLOOKUP(INDIRECT(ADDRESS(2,COLUMN())),OFFSET($AM$2,0,0,ROW()-1,33),ROW()-1,FALSE))</f>
        <v/>
      </c>
      <c r="AF212" t="str">
        <f ca="1">IF(AND(ISNUMBER($AF$620),$B$427=1),$AF$620,HLOOKUP(INDIRECT(ADDRESS(2,COLUMN())),OFFSET($AM$2,0,0,ROW()-1,33),ROW()-1,FALSE))</f>
        <v/>
      </c>
      <c r="AG212" t="str">
        <f ca="1">IF(AND(ISNUMBER($AG$620),$B$427=1),$AG$620,HLOOKUP(INDIRECT(ADDRESS(2,COLUMN())),OFFSET($AM$2,0,0,ROW()-1,33),ROW()-1,FALSE))</f>
        <v/>
      </c>
      <c r="AH212" t="str">
        <f ca="1">IF(AND(ISNUMBER($AH$620),$B$427=1),$AH$620,HLOOKUP(INDIRECT(ADDRESS(2,COLUMN())),OFFSET($AM$2,0,0,ROW()-1,33),ROW()-1,FALSE))</f>
        <v/>
      </c>
      <c r="AI212" t="str">
        <f ca="1">IF(AND(ISNUMBER($AI$620),$B$427=1),$AI$620,HLOOKUP(INDIRECT(ADDRESS(2,COLUMN())),OFFSET($AM$2,0,0,ROW()-1,33),ROW()-1,FALSE))</f>
        <v/>
      </c>
      <c r="AJ212" t="str">
        <f ca="1">IF(AND(ISNUMBER($AJ$620),$B$427=1),$AJ$620,HLOOKUP(INDIRECT(ADDRESS(2,COLUMN())),OFFSET($AM$2,0,0,ROW()-1,33),ROW()-1,FALSE))</f>
        <v/>
      </c>
      <c r="AK212" t="str">
        <f ca="1">IF(AND(ISNUMBER($AK$620),$B$427=1),$AK$620,HLOOKUP(INDIRECT(ADDRESS(2,COLUMN())),OFFSET($AM$2,0,0,ROW()-1,33),ROW()-1,FALSE))</f>
        <v/>
      </c>
      <c r="AL212" t="str">
        <f ca="1">IF(AND(ISNUMBER($AL$620),$B$427=1),$AL$620,HLOOKUP(INDIRECT(ADDRESS(2,COLUMN())),OFFSET($AM$2,0,0,ROW()-1,33),ROW()-1,FALSE))</f>
        <v/>
      </c>
      <c r="AM212">
        <f>28.37425008</f>
        <v>28.374250079999999</v>
      </c>
      <c r="AN212">
        <f>38.44900453</f>
        <v>38.449004530000003</v>
      </c>
      <c r="AO212">
        <f>39.5841224</f>
        <v>39.584122399999998</v>
      </c>
      <c r="AP212">
        <f>38.94535322</f>
        <v>38.945353220000001</v>
      </c>
      <c r="AQ212">
        <f>41.03093575</f>
        <v>41.030935749999998</v>
      </c>
      <c r="AR212">
        <f>39.11119428</f>
        <v>39.111194279999999</v>
      </c>
      <c r="AS212">
        <f>38.95644206</f>
        <v>38.956442060000001</v>
      </c>
      <c r="AT212">
        <f>36.2009298</f>
        <v>36.200929799999997</v>
      </c>
      <c r="AU212">
        <f>35.29354295</f>
        <v>35.293542950000003</v>
      </c>
      <c r="AV212">
        <f>38.21482997</f>
        <v>38.214829969999997</v>
      </c>
      <c r="AW212">
        <f>36.24830147</f>
        <v>36.248301470000001</v>
      </c>
      <c r="AX212">
        <f>33.08259527</f>
        <v>33.082595269999999</v>
      </c>
      <c r="AY212">
        <f>30.89470526</f>
        <v>30.894705259999999</v>
      </c>
      <c r="AZ212">
        <f>26.92284347</f>
        <v>26.92284347</v>
      </c>
      <c r="BA212">
        <f>22.94696835</f>
        <v>22.946968349999999</v>
      </c>
      <c r="BB212">
        <f>24.49138162</f>
        <v>24.491381619999999</v>
      </c>
      <c r="BC212">
        <f>28.43401179</f>
        <v>28.43401179</v>
      </c>
      <c r="BD212">
        <f>27.76961979</f>
        <v>27.76961979</v>
      </c>
      <c r="BE212">
        <f>27.37968314</f>
        <v>27.379683140000001</v>
      </c>
      <c r="BF212">
        <f>28.66669392</f>
        <v>28.66669392</v>
      </c>
      <c r="BG212">
        <f>25.71229566</f>
        <v>25.712295659999999</v>
      </c>
      <c r="BH212">
        <f>25.22951066</f>
        <v>25.229510659999999</v>
      </c>
      <c r="BI212">
        <f>26.24462661</f>
        <v>26.244626610000001</v>
      </c>
      <c r="BJ212">
        <f>26.82806826</f>
        <v>26.828068259999998</v>
      </c>
      <c r="BK212" t="str">
        <f>""</f>
        <v/>
      </c>
      <c r="BL212" t="str">
        <f>""</f>
        <v/>
      </c>
      <c r="BM212" t="str">
        <f>""</f>
        <v/>
      </c>
      <c r="BN212" t="str">
        <f>""</f>
        <v/>
      </c>
      <c r="BO212" t="str">
        <f>""</f>
        <v/>
      </c>
      <c r="BP212" t="str">
        <f>""</f>
        <v/>
      </c>
      <c r="BQ212" t="str">
        <f>""</f>
        <v/>
      </c>
      <c r="BR212" t="str">
        <f>""</f>
        <v/>
      </c>
      <c r="BS212" t="str">
        <f>""</f>
        <v/>
      </c>
    </row>
    <row r="213" spans="1:71" x14ac:dyDescent="0.25">
      <c r="A213" t="str">
        <f>"        M&amp;T Bank Corp"</f>
        <v xml:space="preserve">        M&amp;T Bank Corp</v>
      </c>
      <c r="B213" t="str">
        <f>"MTB US Equity"</f>
        <v>MTB US Equity</v>
      </c>
      <c r="C213" t="str">
        <f t="shared" si="27"/>
        <v>F0115</v>
      </c>
      <c r="D213" t="str">
        <f t="shared" si="28"/>
        <v>FED_C&amp;I_LNS_CONS_%_TOT_LNS_LEAS</v>
      </c>
      <c r="E213" t="str">
        <f t="shared" si="29"/>
        <v>Dynamic</v>
      </c>
      <c r="F213">
        <f ca="1">IF(AND(ISNUMBER($F$621),$B$427=1),$F$621,HLOOKUP(INDIRECT(ADDRESS(2,COLUMN())),OFFSET($AM$2,0,0,ROW()-1,33),ROW()-1,FALSE))</f>
        <v>25.22446721</v>
      </c>
      <c r="G213">
        <f ca="1">IF(AND(ISNUMBER($G$621),$B$427=1),$G$621,HLOOKUP(INDIRECT(ADDRESS(2,COLUMN())),OFFSET($AM$2,0,0,ROW()-1,33),ROW()-1,FALSE))</f>
        <v>24.037196489999999</v>
      </c>
      <c r="H213">
        <f ca="1">IF(AND(ISNUMBER($H$621),$B$427=1),$H$621,HLOOKUP(INDIRECT(ADDRESS(2,COLUMN())),OFFSET($AM$2,0,0,ROW()-1,33),ROW()-1,FALSE))</f>
        <v>22.878244469999999</v>
      </c>
      <c r="I213">
        <f ca="1">IF(AND(ISNUMBER($I$621),$B$427=1),$I$621,HLOOKUP(INDIRECT(ADDRESS(2,COLUMN())),OFFSET($AM$2,0,0,ROW()-1,33),ROW()-1,FALSE))</f>
        <v>19.450870800000001</v>
      </c>
      <c r="J213">
        <f ca="1">IF(AND(ISNUMBER($J$621),$B$427=1),$J$621,HLOOKUP(INDIRECT(ADDRESS(2,COLUMN())),OFFSET($AM$2,0,0,ROW()-1,33),ROW()-1,FALSE))</f>
        <v>22.764685270000001</v>
      </c>
      <c r="K213">
        <f ca="1">IF(AND(ISNUMBER($K$621),$B$427=1),$K$621,HLOOKUP(INDIRECT(ADDRESS(2,COLUMN())),OFFSET($AM$2,0,0,ROW()-1,33),ROW()-1,FALSE))</f>
        <v>21.018283090000001</v>
      </c>
      <c r="L213">
        <f ca="1">IF(AND(ISNUMBER($L$621),$B$427=1),$L$621,HLOOKUP(INDIRECT(ADDRESS(2,COLUMN())),OFFSET($AM$2,0,0,ROW()-1,33),ROW()-1,FALSE))</f>
        <v>20.58260215</v>
      </c>
      <c r="M213">
        <f ca="1">IF(AND(ISNUMBER($M$621),$B$427=1),$M$621,HLOOKUP(INDIRECT(ADDRESS(2,COLUMN())),OFFSET($AM$2,0,0,ROW()-1,33),ROW()-1,FALSE))</f>
        <v>19.31583298</v>
      </c>
      <c r="N213">
        <f ca="1">IF(AND(ISNUMBER($N$621),$B$427=1),$N$621,HLOOKUP(INDIRECT(ADDRESS(2,COLUMN())),OFFSET($AM$2,0,0,ROW()-1,33),ROW()-1,FALSE))</f>
        <v>19.66481701</v>
      </c>
      <c r="O213">
        <f ca="1">IF(AND(ISNUMBER($O$621),$B$427=1),$O$621,HLOOKUP(INDIRECT(ADDRESS(2,COLUMN())),OFFSET($AM$2,0,0,ROW()-1,33),ROW()-1,FALSE))</f>
        <v>19.014078479999998</v>
      </c>
      <c r="P213">
        <f ca="1">IF(AND(ISNUMBER($P$621),$B$427=1),$P$621,HLOOKUP(INDIRECT(ADDRESS(2,COLUMN())),OFFSET($AM$2,0,0,ROW()-1,33),ROW()-1,FALSE))</f>
        <v>23.877832590000001</v>
      </c>
      <c r="Q213">
        <f ca="1">IF(AND(ISNUMBER($Q$621),$B$427=1),$Q$621,HLOOKUP(INDIRECT(ADDRESS(2,COLUMN())),OFFSET($AM$2,0,0,ROW()-1,33),ROW()-1,FALSE))</f>
        <v>23.82432713</v>
      </c>
      <c r="R213">
        <f ca="1">IF(AND(ISNUMBER($R$621),$B$427=1),$R$621,HLOOKUP(INDIRECT(ADDRESS(2,COLUMN())),OFFSET($AM$2,0,0,ROW()-1,33),ROW()-1,FALSE))</f>
        <v>21.45974558</v>
      </c>
      <c r="S213">
        <f ca="1">IF(AND(ISNUMBER($S$621),$B$427=1),$S$621,HLOOKUP(INDIRECT(ADDRESS(2,COLUMN())),OFFSET($AM$2,0,0,ROW()-1,33),ROW()-1,FALSE))</f>
        <v>21.258697649999998</v>
      </c>
      <c r="T213">
        <f ca="1">IF(AND(ISNUMBER($T$621),$B$427=1),$T$621,HLOOKUP(INDIRECT(ADDRESS(2,COLUMN())),OFFSET($AM$2,0,0,ROW()-1,33),ROW()-1,FALSE))</f>
        <v>20.476514290000001</v>
      </c>
      <c r="U213">
        <f ca="1">IF(AND(ISNUMBER($U$621),$B$427=1),$U$621,HLOOKUP(INDIRECT(ADDRESS(2,COLUMN())),OFFSET($AM$2,0,0,ROW()-1,33),ROW()-1,FALSE))</f>
        <v>20.042636139999999</v>
      </c>
      <c r="V213">
        <f ca="1">IF(AND(ISNUMBER($V$621),$B$427=1),$V$621,HLOOKUP(INDIRECT(ADDRESS(2,COLUMN())),OFFSET($AM$2,0,0,ROW()-1,33),ROW()-1,FALSE))</f>
        <v>22.78065617</v>
      </c>
      <c r="W213">
        <f ca="1">IF(AND(ISNUMBER($W$621),$B$427=1),$W$621,HLOOKUP(INDIRECT(ADDRESS(2,COLUMN())),OFFSET($AM$2,0,0,ROW()-1,33),ROW()-1,FALSE))</f>
        <v>22.142388870000001</v>
      </c>
      <c r="X213">
        <f ca="1">IF(AND(ISNUMBER($X$621),$B$427=1),$X$621,HLOOKUP(INDIRECT(ADDRESS(2,COLUMN())),OFFSET($AM$2,0,0,ROW()-1,33),ROW()-1,FALSE))</f>
        <v>22.8945817</v>
      </c>
      <c r="Y213">
        <f ca="1">IF(AND(ISNUMBER($Y$621),$B$427=1),$Y$621,HLOOKUP(INDIRECT(ADDRESS(2,COLUMN())),OFFSET($AM$2,0,0,ROW()-1,33),ROW()-1,FALSE))</f>
        <v>22.464555180000001</v>
      </c>
      <c r="Z213">
        <f ca="1">IF(AND(ISNUMBER($Z$621),$B$427=1),$Z$621,HLOOKUP(INDIRECT(ADDRESS(2,COLUMN())),OFFSET($AM$2,0,0,ROW()-1,33),ROW()-1,FALSE))</f>
        <v>21.110738319999999</v>
      </c>
      <c r="AA213">
        <f ca="1">IF(AND(ISNUMBER($AA$621),$B$427=1),$AA$621,HLOOKUP(INDIRECT(ADDRESS(2,COLUMN())),OFFSET($AM$2,0,0,ROW()-1,33),ROW()-1,FALSE))</f>
        <v>21.3271628</v>
      </c>
      <c r="AB213">
        <f ca="1">IF(AND(ISNUMBER($AB$621),$B$427=1),$AB$621,HLOOKUP(INDIRECT(ADDRESS(2,COLUMN())),OFFSET($AM$2,0,0,ROW()-1,33),ROW()-1,FALSE))</f>
        <v>18.872029550000001</v>
      </c>
      <c r="AC213">
        <f ca="1">IF(AND(ISNUMBER($AC$621),$B$427=1),$AC$621,HLOOKUP(INDIRECT(ADDRESS(2,COLUMN())),OFFSET($AM$2,0,0,ROW()-1,33),ROW()-1,FALSE))</f>
        <v>18.585086570000001</v>
      </c>
      <c r="AD213" t="str">
        <f ca="1">IF(AND(ISNUMBER($AD$621),$B$427=1),$AD$621,HLOOKUP(INDIRECT(ADDRESS(2,COLUMN())),OFFSET($AM$2,0,0,ROW()-1,33),ROW()-1,FALSE))</f>
        <v/>
      </c>
      <c r="AE213" t="str">
        <f ca="1">IF(AND(ISNUMBER($AE$621),$B$427=1),$AE$621,HLOOKUP(INDIRECT(ADDRESS(2,COLUMN())),OFFSET($AM$2,0,0,ROW()-1,33),ROW()-1,FALSE))</f>
        <v/>
      </c>
      <c r="AF213" t="str">
        <f ca="1">IF(AND(ISNUMBER($AF$621),$B$427=1),$AF$621,HLOOKUP(INDIRECT(ADDRESS(2,COLUMN())),OFFSET($AM$2,0,0,ROW()-1,33),ROW()-1,FALSE))</f>
        <v/>
      </c>
      <c r="AG213" t="str">
        <f ca="1">IF(AND(ISNUMBER($AG$621),$B$427=1),$AG$621,HLOOKUP(INDIRECT(ADDRESS(2,COLUMN())),OFFSET($AM$2,0,0,ROW()-1,33),ROW()-1,FALSE))</f>
        <v/>
      </c>
      <c r="AH213" t="str">
        <f ca="1">IF(AND(ISNUMBER($AH$621),$B$427=1),$AH$621,HLOOKUP(INDIRECT(ADDRESS(2,COLUMN())),OFFSET($AM$2,0,0,ROW()-1,33),ROW()-1,FALSE))</f>
        <v/>
      </c>
      <c r="AI213" t="str">
        <f ca="1">IF(AND(ISNUMBER($AI$621),$B$427=1),$AI$621,HLOOKUP(INDIRECT(ADDRESS(2,COLUMN())),OFFSET($AM$2,0,0,ROW()-1,33),ROW()-1,FALSE))</f>
        <v/>
      </c>
      <c r="AJ213" t="str">
        <f ca="1">IF(AND(ISNUMBER($AJ$621),$B$427=1),$AJ$621,HLOOKUP(INDIRECT(ADDRESS(2,COLUMN())),OFFSET($AM$2,0,0,ROW()-1,33),ROW()-1,FALSE))</f>
        <v/>
      </c>
      <c r="AK213" t="str">
        <f ca="1">IF(AND(ISNUMBER($AK$621),$B$427=1),$AK$621,HLOOKUP(INDIRECT(ADDRESS(2,COLUMN())),OFFSET($AM$2,0,0,ROW()-1,33),ROW()-1,FALSE))</f>
        <v/>
      </c>
      <c r="AL213" t="str">
        <f ca="1">IF(AND(ISNUMBER($AL$621),$B$427=1),$AL$621,HLOOKUP(INDIRECT(ADDRESS(2,COLUMN())),OFFSET($AM$2,0,0,ROW()-1,33),ROW()-1,FALSE))</f>
        <v/>
      </c>
      <c r="AM213">
        <f>25.22446721</f>
        <v>25.22446721</v>
      </c>
      <c r="AN213">
        <f>24.03719649</f>
        <v>24.037196489999999</v>
      </c>
      <c r="AO213">
        <f>22.87824447</f>
        <v>22.878244469999999</v>
      </c>
      <c r="AP213">
        <f>19.4508708</f>
        <v>19.450870800000001</v>
      </c>
      <c r="AQ213">
        <f>22.76468527</f>
        <v>22.764685270000001</v>
      </c>
      <c r="AR213">
        <f>21.01828309</f>
        <v>21.018283090000001</v>
      </c>
      <c r="AS213">
        <f>20.58260215</f>
        <v>20.58260215</v>
      </c>
      <c r="AT213">
        <f>19.31583298</f>
        <v>19.31583298</v>
      </c>
      <c r="AU213">
        <f>19.66481701</f>
        <v>19.66481701</v>
      </c>
      <c r="AV213">
        <f>19.01407848</f>
        <v>19.014078479999998</v>
      </c>
      <c r="AW213">
        <f>23.87783259</f>
        <v>23.877832590000001</v>
      </c>
      <c r="AX213">
        <f>23.82432713</f>
        <v>23.82432713</v>
      </c>
      <c r="AY213">
        <f>21.45974558</f>
        <v>21.45974558</v>
      </c>
      <c r="AZ213">
        <f>21.25869765</f>
        <v>21.258697649999998</v>
      </c>
      <c r="BA213">
        <f>20.47651429</f>
        <v>20.476514290000001</v>
      </c>
      <c r="BB213">
        <f>20.04263614</f>
        <v>20.042636139999999</v>
      </c>
      <c r="BC213">
        <f>22.78065617</f>
        <v>22.78065617</v>
      </c>
      <c r="BD213">
        <f>22.14238887</f>
        <v>22.142388870000001</v>
      </c>
      <c r="BE213">
        <f>22.8945817</f>
        <v>22.8945817</v>
      </c>
      <c r="BF213">
        <f>22.46455518</f>
        <v>22.464555180000001</v>
      </c>
      <c r="BG213">
        <f>21.11073832</f>
        <v>21.110738319999999</v>
      </c>
      <c r="BH213">
        <f>21.3271628</f>
        <v>21.3271628</v>
      </c>
      <c r="BI213">
        <f>18.87202955</f>
        <v>18.872029550000001</v>
      </c>
      <c r="BJ213">
        <f>18.58508657</f>
        <v>18.585086570000001</v>
      </c>
      <c r="BK213" t="str">
        <f>""</f>
        <v/>
      </c>
      <c r="BL213" t="str">
        <f>""</f>
        <v/>
      </c>
      <c r="BM213" t="str">
        <f>""</f>
        <v/>
      </c>
      <c r="BN213" t="str">
        <f>""</f>
        <v/>
      </c>
      <c r="BO213" t="str">
        <f>""</f>
        <v/>
      </c>
      <c r="BP213" t="str">
        <f>""</f>
        <v/>
      </c>
      <c r="BQ213" t="str">
        <f>""</f>
        <v/>
      </c>
      <c r="BR213" t="str">
        <f>""</f>
        <v/>
      </c>
      <c r="BS213" t="str">
        <f>""</f>
        <v/>
      </c>
    </row>
    <row r="214" spans="1:71" x14ac:dyDescent="0.25">
      <c r="A214" t="str">
        <f>"        PNC Financial Services Group I"</f>
        <v xml:space="preserve">        PNC Financial Services Group I</v>
      </c>
      <c r="B214" t="str">
        <f>"PNC US Equity"</f>
        <v>PNC US Equity</v>
      </c>
      <c r="C214" t="str">
        <f t="shared" si="27"/>
        <v>F0115</v>
      </c>
      <c r="D214" t="str">
        <f t="shared" si="28"/>
        <v>FED_C&amp;I_LNS_CONS_%_TOT_LNS_LEAS</v>
      </c>
      <c r="E214" t="str">
        <f t="shared" si="29"/>
        <v>Dynamic</v>
      </c>
      <c r="F214" t="str">
        <f ca="1">IF(AND(ISNUMBER($F$622),$B$427=1),$F$622,HLOOKUP(INDIRECT(ADDRESS(2,COLUMN())),OFFSET($AM$2,0,0,ROW()-1,33),ROW()-1,FALSE))</f>
        <v/>
      </c>
      <c r="G214">
        <f ca="1">IF(AND(ISNUMBER($G$622),$B$427=1),$G$622,HLOOKUP(INDIRECT(ADDRESS(2,COLUMN())),OFFSET($AM$2,0,0,ROW()-1,33),ROW()-1,FALSE))</f>
        <v>39.096923590000003</v>
      </c>
      <c r="H214">
        <f ca="1">IF(AND(ISNUMBER($H$622),$B$427=1),$H$622,HLOOKUP(INDIRECT(ADDRESS(2,COLUMN())),OFFSET($AM$2,0,0,ROW()-1,33),ROW()-1,FALSE))</f>
        <v>40.456539210000003</v>
      </c>
      <c r="I214">
        <f ca="1">IF(AND(ISNUMBER($I$622),$B$427=1),$I$622,HLOOKUP(INDIRECT(ADDRESS(2,COLUMN())),OFFSET($AM$2,0,0,ROW()-1,33),ROW()-1,FALSE))</f>
        <v>36.619792400000001</v>
      </c>
      <c r="J214">
        <f ca="1">IF(AND(ISNUMBER($J$622),$B$427=1),$J$622,HLOOKUP(INDIRECT(ADDRESS(2,COLUMN())),OFFSET($AM$2,0,0,ROW()-1,33),ROW()-1,FALSE))</f>
        <v>39.207784629999999</v>
      </c>
      <c r="K214">
        <f ca="1">IF(AND(ISNUMBER($K$622),$B$427=1),$K$622,HLOOKUP(INDIRECT(ADDRESS(2,COLUMN())),OFFSET($AM$2,0,0,ROW()-1,33),ROW()-1,FALSE))</f>
        <v>38.705421299999998</v>
      </c>
      <c r="L214">
        <f ca="1">IF(AND(ISNUMBER($L$622),$B$427=1),$L$622,HLOOKUP(INDIRECT(ADDRESS(2,COLUMN())),OFFSET($AM$2,0,0,ROW()-1,33),ROW()-1,FALSE))</f>
        <v>37.75245864</v>
      </c>
      <c r="M214">
        <f ca="1">IF(AND(ISNUMBER($M$622),$B$427=1),$M$622,HLOOKUP(INDIRECT(ADDRESS(2,COLUMN())),OFFSET($AM$2,0,0,ROW()-1,33),ROW()-1,FALSE))</f>
        <v>34.695946820000003</v>
      </c>
      <c r="N214">
        <f ca="1">IF(AND(ISNUMBER($N$622),$B$427=1),$N$622,HLOOKUP(INDIRECT(ADDRESS(2,COLUMN())),OFFSET($AM$2,0,0,ROW()-1,33),ROW()-1,FALSE))</f>
        <v>33.09820208</v>
      </c>
      <c r="O214">
        <f ca="1">IF(AND(ISNUMBER($O$622),$B$427=1),$O$622,HLOOKUP(INDIRECT(ADDRESS(2,COLUMN())),OFFSET($AM$2,0,0,ROW()-1,33),ROW()-1,FALSE))</f>
        <v>32.000436260000001</v>
      </c>
      <c r="P214">
        <f ca="1">IF(AND(ISNUMBER($P$622),$B$427=1),$P$622,HLOOKUP(INDIRECT(ADDRESS(2,COLUMN())),OFFSET($AM$2,0,0,ROW()-1,33),ROW()-1,FALSE))</f>
        <v>31.56858107</v>
      </c>
      <c r="Q214">
        <f ca="1">IF(AND(ISNUMBER($Q$622),$B$427=1),$Q$622,HLOOKUP(INDIRECT(ADDRESS(2,COLUMN())),OFFSET($AM$2,0,0,ROW()-1,33),ROW()-1,FALSE))</f>
        <v>29.641781030000001</v>
      </c>
      <c r="R214">
        <f ca="1">IF(AND(ISNUMBER($R$622),$B$427=1),$R$622,HLOOKUP(INDIRECT(ADDRESS(2,COLUMN())),OFFSET($AM$2,0,0,ROW()-1,33),ROW()-1,FALSE))</f>
        <v>29.189267170000001</v>
      </c>
      <c r="S214">
        <f ca="1">IF(AND(ISNUMBER($S$622),$B$427=1),$S$622,HLOOKUP(INDIRECT(ADDRESS(2,COLUMN())),OFFSET($AM$2,0,0,ROW()-1,33),ROW()-1,FALSE))</f>
        <v>28.874671429999999</v>
      </c>
      <c r="T214">
        <f ca="1">IF(AND(ISNUMBER($T$622),$B$427=1),$T$622,HLOOKUP(INDIRECT(ADDRESS(2,COLUMN())),OFFSET($AM$2,0,0,ROW()-1,33),ROW()-1,FALSE))</f>
        <v>26.685318030000001</v>
      </c>
      <c r="U214">
        <f ca="1">IF(AND(ISNUMBER($U$622),$B$427=1),$U$622,HLOOKUP(INDIRECT(ADDRESS(2,COLUMN())),OFFSET($AM$2,0,0,ROW()-1,33),ROW()-1,FALSE))</f>
        <v>25.918878930000002</v>
      </c>
      <c r="V214">
        <f ca="1">IF(AND(ISNUMBER($V$622),$B$427=1),$V$622,HLOOKUP(INDIRECT(ADDRESS(2,COLUMN())),OFFSET($AM$2,0,0,ROW()-1,33),ROW()-1,FALSE))</f>
        <v>29.542358960000001</v>
      </c>
      <c r="W214">
        <f ca="1">IF(AND(ISNUMBER($W$622),$B$427=1),$W$622,HLOOKUP(INDIRECT(ADDRESS(2,COLUMN())),OFFSET($AM$2,0,0,ROW()-1,33),ROW()-1,FALSE))</f>
        <v>29.547509989999998</v>
      </c>
      <c r="X214">
        <f ca="1">IF(AND(ISNUMBER($X$622),$B$427=1),$X$622,HLOOKUP(INDIRECT(ADDRESS(2,COLUMN())),OFFSET($AM$2,0,0,ROW()-1,33),ROW()-1,FALSE))</f>
        <v>31.977209940000002</v>
      </c>
      <c r="Y214">
        <f ca="1">IF(AND(ISNUMBER($Y$622),$B$427=1),$Y$622,HLOOKUP(INDIRECT(ADDRESS(2,COLUMN())),OFFSET($AM$2,0,0,ROW()-1,33),ROW()-1,FALSE))</f>
        <v>28.841547569999999</v>
      </c>
      <c r="Z214">
        <f ca="1">IF(AND(ISNUMBER($Z$622),$B$427=1),$Z$622,HLOOKUP(INDIRECT(ADDRESS(2,COLUMN())),OFFSET($AM$2,0,0,ROW()-1,33),ROW()-1,FALSE))</f>
        <v>32.072121699999997</v>
      </c>
      <c r="AA214">
        <f ca="1">IF(AND(ISNUMBER($AA$622),$B$427=1),$AA$622,HLOOKUP(INDIRECT(ADDRESS(2,COLUMN())),OFFSET($AM$2,0,0,ROW()-1,33),ROW()-1,FALSE))</f>
        <v>33.284073530000001</v>
      </c>
      <c r="AB214">
        <f ca="1">IF(AND(ISNUMBER($AB$622),$B$427=1),$AB$622,HLOOKUP(INDIRECT(ADDRESS(2,COLUMN())),OFFSET($AM$2,0,0,ROW()-1,33),ROW()-1,FALSE))</f>
        <v>34.315516840000001</v>
      </c>
      <c r="AC214">
        <f ca="1">IF(AND(ISNUMBER($AC$622),$B$427=1),$AC$622,HLOOKUP(INDIRECT(ADDRESS(2,COLUMN())),OFFSET($AM$2,0,0,ROW()-1,33),ROW()-1,FALSE))</f>
        <v>34.682904739999998</v>
      </c>
      <c r="AD214" t="str">
        <f ca="1">IF(AND(ISNUMBER($AD$622),$B$427=1),$AD$622,HLOOKUP(INDIRECT(ADDRESS(2,COLUMN())),OFFSET($AM$2,0,0,ROW()-1,33),ROW()-1,FALSE))</f>
        <v/>
      </c>
      <c r="AE214" t="str">
        <f ca="1">IF(AND(ISNUMBER($AE$622),$B$427=1),$AE$622,HLOOKUP(INDIRECT(ADDRESS(2,COLUMN())),OFFSET($AM$2,0,0,ROW()-1,33),ROW()-1,FALSE))</f>
        <v/>
      </c>
      <c r="AF214" t="str">
        <f ca="1">IF(AND(ISNUMBER($AF$622),$B$427=1),$AF$622,HLOOKUP(INDIRECT(ADDRESS(2,COLUMN())),OFFSET($AM$2,0,0,ROW()-1,33),ROW()-1,FALSE))</f>
        <v/>
      </c>
      <c r="AG214" t="str">
        <f ca="1">IF(AND(ISNUMBER($AG$622),$B$427=1),$AG$622,HLOOKUP(INDIRECT(ADDRESS(2,COLUMN())),OFFSET($AM$2,0,0,ROW()-1,33),ROW()-1,FALSE))</f>
        <v/>
      </c>
      <c r="AH214" t="str">
        <f ca="1">IF(AND(ISNUMBER($AH$622),$B$427=1),$AH$622,HLOOKUP(INDIRECT(ADDRESS(2,COLUMN())),OFFSET($AM$2,0,0,ROW()-1,33),ROW()-1,FALSE))</f>
        <v/>
      </c>
      <c r="AI214" t="str">
        <f ca="1">IF(AND(ISNUMBER($AI$622),$B$427=1),$AI$622,HLOOKUP(INDIRECT(ADDRESS(2,COLUMN())),OFFSET($AM$2,0,0,ROW()-1,33),ROW()-1,FALSE))</f>
        <v/>
      </c>
      <c r="AJ214" t="str">
        <f ca="1">IF(AND(ISNUMBER($AJ$622),$B$427=1),$AJ$622,HLOOKUP(INDIRECT(ADDRESS(2,COLUMN())),OFFSET($AM$2,0,0,ROW()-1,33),ROW()-1,FALSE))</f>
        <v/>
      </c>
      <c r="AK214" t="str">
        <f ca="1">IF(AND(ISNUMBER($AK$622),$B$427=1),$AK$622,HLOOKUP(INDIRECT(ADDRESS(2,COLUMN())),OFFSET($AM$2,0,0,ROW()-1,33),ROW()-1,FALSE))</f>
        <v/>
      </c>
      <c r="AL214" t="str">
        <f ca="1">IF(AND(ISNUMBER($AL$622),$B$427=1),$AL$622,HLOOKUP(INDIRECT(ADDRESS(2,COLUMN())),OFFSET($AM$2,0,0,ROW()-1,33),ROW()-1,FALSE))</f>
        <v/>
      </c>
      <c r="AM214" t="str">
        <f>""</f>
        <v/>
      </c>
      <c r="AN214">
        <f>39.09692359</f>
        <v>39.096923590000003</v>
      </c>
      <c r="AO214">
        <f>40.45653921</f>
        <v>40.456539210000003</v>
      </c>
      <c r="AP214">
        <f>36.6197924</f>
        <v>36.619792400000001</v>
      </c>
      <c r="AQ214">
        <f>39.20778463</f>
        <v>39.207784629999999</v>
      </c>
      <c r="AR214">
        <f>38.7054213</f>
        <v>38.705421299999998</v>
      </c>
      <c r="AS214">
        <f>37.75245864</f>
        <v>37.75245864</v>
      </c>
      <c r="AT214">
        <f>34.69594682</f>
        <v>34.695946820000003</v>
      </c>
      <c r="AU214">
        <f>33.09820208</f>
        <v>33.09820208</v>
      </c>
      <c r="AV214">
        <f>32.00043626</f>
        <v>32.000436260000001</v>
      </c>
      <c r="AW214">
        <f>31.56858107</f>
        <v>31.56858107</v>
      </c>
      <c r="AX214">
        <f>29.64178103</f>
        <v>29.641781030000001</v>
      </c>
      <c r="AY214">
        <f>29.18926717</f>
        <v>29.189267170000001</v>
      </c>
      <c r="AZ214">
        <f>28.87467143</f>
        <v>28.874671429999999</v>
      </c>
      <c r="BA214">
        <f>26.68531803</f>
        <v>26.685318030000001</v>
      </c>
      <c r="BB214">
        <f>25.91887893</f>
        <v>25.918878930000002</v>
      </c>
      <c r="BC214">
        <f>29.54235896</f>
        <v>29.542358960000001</v>
      </c>
      <c r="BD214">
        <f>29.54750999</f>
        <v>29.547509989999998</v>
      </c>
      <c r="BE214">
        <f>31.97720994</f>
        <v>31.977209940000002</v>
      </c>
      <c r="BF214">
        <f>28.84154757</f>
        <v>28.841547569999999</v>
      </c>
      <c r="BG214">
        <f>32.0721217</f>
        <v>32.072121699999997</v>
      </c>
      <c r="BH214">
        <f>33.28407353</f>
        <v>33.284073530000001</v>
      </c>
      <c r="BI214">
        <f>34.31551684</f>
        <v>34.315516840000001</v>
      </c>
      <c r="BJ214">
        <f>34.68290474</f>
        <v>34.682904739999998</v>
      </c>
      <c r="BK214" t="str">
        <f>""</f>
        <v/>
      </c>
      <c r="BL214" t="str">
        <f>""</f>
        <v/>
      </c>
      <c r="BM214" t="str">
        <f>""</f>
        <v/>
      </c>
      <c r="BN214" t="str">
        <f>""</f>
        <v/>
      </c>
      <c r="BO214" t="str">
        <f>""</f>
        <v/>
      </c>
      <c r="BP214" t="str">
        <f>""</f>
        <v/>
      </c>
      <c r="BQ214" t="str">
        <f>""</f>
        <v/>
      </c>
      <c r="BR214" t="str">
        <f>""</f>
        <v/>
      </c>
      <c r="BS214" t="str">
        <f>""</f>
        <v/>
      </c>
    </row>
    <row r="215" spans="1:71" x14ac:dyDescent="0.25">
      <c r="A215" t="str">
        <f>"        Regions Financial Corp"</f>
        <v xml:space="preserve">        Regions Financial Corp</v>
      </c>
      <c r="B215" t="str">
        <f>"RF US Equity"</f>
        <v>RF US Equity</v>
      </c>
      <c r="C215" t="str">
        <f t="shared" si="27"/>
        <v>F0115</v>
      </c>
      <c r="D215" t="str">
        <f t="shared" si="28"/>
        <v>FED_C&amp;I_LNS_CONS_%_TOT_LNS_LEAS</v>
      </c>
      <c r="E215" t="str">
        <f t="shared" si="29"/>
        <v>Dynamic</v>
      </c>
      <c r="F215" t="str">
        <f ca="1">IF(AND(ISNUMBER($F$623),$B$427=1),$F$623,HLOOKUP(INDIRECT(ADDRESS(2,COLUMN())),OFFSET($AM$2,0,0,ROW()-1,33),ROW()-1,FALSE))</f>
        <v/>
      </c>
      <c r="G215">
        <f ca="1">IF(AND(ISNUMBER($G$623),$B$427=1),$G$623,HLOOKUP(INDIRECT(ADDRESS(2,COLUMN())),OFFSET($AM$2,0,0,ROW()-1,33),ROW()-1,FALSE))</f>
        <v>32.284684390000002</v>
      </c>
      <c r="H215">
        <f ca="1">IF(AND(ISNUMBER($H$623),$B$427=1),$H$623,HLOOKUP(INDIRECT(ADDRESS(2,COLUMN())),OFFSET($AM$2,0,0,ROW()-1,33),ROW()-1,FALSE))</f>
        <v>33.662054300000001</v>
      </c>
      <c r="I215">
        <f ca="1">IF(AND(ISNUMBER($I$623),$B$427=1),$I$623,HLOOKUP(INDIRECT(ADDRESS(2,COLUMN())),OFFSET($AM$2,0,0,ROW()-1,33),ROW()-1,FALSE))</f>
        <v>31.835897899999999</v>
      </c>
      <c r="J215">
        <f ca="1">IF(AND(ISNUMBER($J$623),$B$427=1),$J$623,HLOOKUP(INDIRECT(ADDRESS(2,COLUMN())),OFFSET($AM$2,0,0,ROW()-1,33),ROW()-1,FALSE))</f>
        <v>31.58987655</v>
      </c>
      <c r="K215">
        <f ca="1">IF(AND(ISNUMBER($K$623),$B$427=1),$K$623,HLOOKUP(INDIRECT(ADDRESS(2,COLUMN())),OFFSET($AM$2,0,0,ROW()-1,33),ROW()-1,FALSE))</f>
        <v>29.53827751</v>
      </c>
      <c r="L215">
        <f ca="1">IF(AND(ISNUMBER($L$623),$B$427=1),$L$623,HLOOKUP(INDIRECT(ADDRESS(2,COLUMN())),OFFSET($AM$2,0,0,ROW()-1,33),ROW()-1,FALSE))</f>
        <v>29.166349329999999</v>
      </c>
      <c r="M215">
        <f ca="1">IF(AND(ISNUMBER($M$623),$B$427=1),$M$623,HLOOKUP(INDIRECT(ADDRESS(2,COLUMN())),OFFSET($AM$2,0,0,ROW()-1,33),ROW()-1,FALSE))</f>
        <v>27.841027889999999</v>
      </c>
      <c r="N215">
        <f ca="1">IF(AND(ISNUMBER($N$623),$B$427=1),$N$623,HLOOKUP(INDIRECT(ADDRESS(2,COLUMN())),OFFSET($AM$2,0,0,ROW()-1,33),ROW()-1,FALSE))</f>
        <v>27.550631589999998</v>
      </c>
      <c r="O215">
        <f ca="1">IF(AND(ISNUMBER($O$623),$B$427=1),$O$623,HLOOKUP(INDIRECT(ADDRESS(2,COLUMN())),OFFSET($AM$2,0,0,ROW()-1,33),ROW()-1,FALSE))</f>
        <v>29.566816209999999</v>
      </c>
      <c r="P215">
        <f ca="1">IF(AND(ISNUMBER($P$623),$B$427=1),$P$623,HLOOKUP(INDIRECT(ADDRESS(2,COLUMN())),OFFSET($AM$2,0,0,ROW()-1,33),ROW()-1,FALSE))</f>
        <v>29.577288029999998</v>
      </c>
      <c r="Q215">
        <f ca="1">IF(AND(ISNUMBER($Q$623),$B$427=1),$Q$623,HLOOKUP(INDIRECT(ADDRESS(2,COLUMN())),OFFSET($AM$2,0,0,ROW()-1,33),ROW()-1,FALSE))</f>
        <v>27.063802429999999</v>
      </c>
      <c r="R215">
        <f ca="1">IF(AND(ISNUMBER($R$623),$B$427=1),$R$623,HLOOKUP(INDIRECT(ADDRESS(2,COLUMN())),OFFSET($AM$2,0,0,ROW()-1,33),ROW()-1,FALSE))</f>
        <v>24.702218129999999</v>
      </c>
      <c r="S215">
        <f ca="1">IF(AND(ISNUMBER($S$623),$B$427=1),$S$623,HLOOKUP(INDIRECT(ADDRESS(2,COLUMN())),OFFSET($AM$2,0,0,ROW()-1,33),ROW()-1,FALSE))</f>
        <v>21.413001860000001</v>
      </c>
      <c r="T215">
        <f ca="1">IF(AND(ISNUMBER($T$623),$B$427=1),$T$623,HLOOKUP(INDIRECT(ADDRESS(2,COLUMN())),OFFSET($AM$2,0,0,ROW()-1,33),ROW()-1,FALSE))</f>
        <v>17.819317569999999</v>
      </c>
      <c r="U215">
        <f ca="1">IF(AND(ISNUMBER($U$623),$B$427=1),$U$623,HLOOKUP(INDIRECT(ADDRESS(2,COLUMN())),OFFSET($AM$2,0,0,ROW()-1,33),ROW()-1,FALSE))</f>
        <v>14.744519670000001</v>
      </c>
      <c r="V215">
        <f ca="1">IF(AND(ISNUMBER($V$623),$B$427=1),$V$623,HLOOKUP(INDIRECT(ADDRESS(2,COLUMN())),OFFSET($AM$2,0,0,ROW()-1,33),ROW()-1,FALSE))</f>
        <v>16.72964078</v>
      </c>
      <c r="W215">
        <f ca="1">IF(AND(ISNUMBER($W$623),$B$427=1),$W$623,HLOOKUP(INDIRECT(ADDRESS(2,COLUMN())),OFFSET($AM$2,0,0,ROW()-1,33),ROW()-1,FALSE))</f>
        <v>16.35809441</v>
      </c>
      <c r="X215">
        <f ca="1">IF(AND(ISNUMBER($X$623),$B$427=1),$X$623,HLOOKUP(INDIRECT(ADDRESS(2,COLUMN())),OFFSET($AM$2,0,0,ROW()-1,33),ROW()-1,FALSE))</f>
        <v>15.54208208</v>
      </c>
      <c r="Y215">
        <f ca="1">IF(AND(ISNUMBER($Y$623),$B$427=1),$Y$623,HLOOKUP(INDIRECT(ADDRESS(2,COLUMN())),OFFSET($AM$2,0,0,ROW()-1,33),ROW()-1,FALSE))</f>
        <v>16.16941907</v>
      </c>
      <c r="Z215">
        <f ca="1">IF(AND(ISNUMBER($Z$623),$B$427=1),$Z$623,HLOOKUP(INDIRECT(ADDRESS(2,COLUMN())),OFFSET($AM$2,0,0,ROW()-1,33),ROW()-1,FALSE))</f>
        <v>16.99150539</v>
      </c>
      <c r="AA215" t="str">
        <f ca="1">IF(AND(ISNUMBER($AA$623),$B$427=1),$AA$623,HLOOKUP(INDIRECT(ADDRESS(2,COLUMN())),OFFSET($AM$2,0,0,ROW()-1,33),ROW()-1,FALSE))</f>
        <v/>
      </c>
      <c r="AB215" t="str">
        <f ca="1">IF(AND(ISNUMBER($AB$623),$B$427=1),$AB$623,HLOOKUP(INDIRECT(ADDRESS(2,COLUMN())),OFFSET($AM$2,0,0,ROW()-1,33),ROW()-1,FALSE))</f>
        <v/>
      </c>
      <c r="AC215" t="str">
        <f ca="1">IF(AND(ISNUMBER($AC$623),$B$427=1),$AC$623,HLOOKUP(INDIRECT(ADDRESS(2,COLUMN())),OFFSET($AM$2,0,0,ROW()-1,33),ROW()-1,FALSE))</f>
        <v/>
      </c>
      <c r="AD215" t="str">
        <f ca="1">IF(AND(ISNUMBER($AD$623),$B$427=1),$AD$623,HLOOKUP(INDIRECT(ADDRESS(2,COLUMN())),OFFSET($AM$2,0,0,ROW()-1,33),ROW()-1,FALSE))</f>
        <v/>
      </c>
      <c r="AE215" t="str">
        <f ca="1">IF(AND(ISNUMBER($AE$623),$B$427=1),$AE$623,HLOOKUP(INDIRECT(ADDRESS(2,COLUMN())),OFFSET($AM$2,0,0,ROW()-1,33),ROW()-1,FALSE))</f>
        <v/>
      </c>
      <c r="AF215" t="str">
        <f ca="1">IF(AND(ISNUMBER($AF$623),$B$427=1),$AF$623,HLOOKUP(INDIRECT(ADDRESS(2,COLUMN())),OFFSET($AM$2,0,0,ROW()-1,33),ROW()-1,FALSE))</f>
        <v/>
      </c>
      <c r="AG215" t="str">
        <f ca="1">IF(AND(ISNUMBER($AG$623),$B$427=1),$AG$623,HLOOKUP(INDIRECT(ADDRESS(2,COLUMN())),OFFSET($AM$2,0,0,ROW()-1,33),ROW()-1,FALSE))</f>
        <v/>
      </c>
      <c r="AH215" t="str">
        <f ca="1">IF(AND(ISNUMBER($AH$623),$B$427=1),$AH$623,HLOOKUP(INDIRECT(ADDRESS(2,COLUMN())),OFFSET($AM$2,0,0,ROW()-1,33),ROW()-1,FALSE))</f>
        <v/>
      </c>
      <c r="AI215" t="str">
        <f ca="1">IF(AND(ISNUMBER($AI$623),$B$427=1),$AI$623,HLOOKUP(INDIRECT(ADDRESS(2,COLUMN())),OFFSET($AM$2,0,0,ROW()-1,33),ROW()-1,FALSE))</f>
        <v/>
      </c>
      <c r="AJ215" t="str">
        <f ca="1">IF(AND(ISNUMBER($AJ$623),$B$427=1),$AJ$623,HLOOKUP(INDIRECT(ADDRESS(2,COLUMN())),OFFSET($AM$2,0,0,ROW()-1,33),ROW()-1,FALSE))</f>
        <v/>
      </c>
      <c r="AK215" t="str">
        <f ca="1">IF(AND(ISNUMBER($AK$623),$B$427=1),$AK$623,HLOOKUP(INDIRECT(ADDRESS(2,COLUMN())),OFFSET($AM$2,0,0,ROW()-1,33),ROW()-1,FALSE))</f>
        <v/>
      </c>
      <c r="AL215" t="str">
        <f ca="1">IF(AND(ISNUMBER($AL$623),$B$427=1),$AL$623,HLOOKUP(INDIRECT(ADDRESS(2,COLUMN())),OFFSET($AM$2,0,0,ROW()-1,33),ROW()-1,FALSE))</f>
        <v/>
      </c>
      <c r="AM215" t="str">
        <f>""</f>
        <v/>
      </c>
      <c r="AN215">
        <f>32.28468439</f>
        <v>32.284684390000002</v>
      </c>
      <c r="AO215">
        <f>33.6620543</f>
        <v>33.662054300000001</v>
      </c>
      <c r="AP215">
        <f>31.8358979</f>
        <v>31.835897899999999</v>
      </c>
      <c r="AQ215">
        <f>31.58987655</f>
        <v>31.58987655</v>
      </c>
      <c r="AR215">
        <f>29.53827751</f>
        <v>29.53827751</v>
      </c>
      <c r="AS215">
        <f>29.16634933</f>
        <v>29.166349329999999</v>
      </c>
      <c r="AT215">
        <f>27.84102789</f>
        <v>27.841027889999999</v>
      </c>
      <c r="AU215">
        <f>27.55063159</f>
        <v>27.550631589999998</v>
      </c>
      <c r="AV215">
        <f>29.56681621</f>
        <v>29.566816209999999</v>
      </c>
      <c r="AW215">
        <f>29.57728803</f>
        <v>29.577288029999998</v>
      </c>
      <c r="AX215">
        <f>27.06380243</f>
        <v>27.063802429999999</v>
      </c>
      <c r="AY215">
        <f>24.70221813</f>
        <v>24.702218129999999</v>
      </c>
      <c r="AZ215">
        <f>21.41300186</f>
        <v>21.413001860000001</v>
      </c>
      <c r="BA215">
        <f>17.81931757</f>
        <v>17.819317569999999</v>
      </c>
      <c r="BB215">
        <f>14.74451967</f>
        <v>14.744519670000001</v>
      </c>
      <c r="BC215">
        <f>16.72964078</f>
        <v>16.72964078</v>
      </c>
      <c r="BD215">
        <f>16.35809441</f>
        <v>16.35809441</v>
      </c>
      <c r="BE215">
        <f>15.54208208</f>
        <v>15.54208208</v>
      </c>
      <c r="BF215">
        <f>16.16941907</f>
        <v>16.16941907</v>
      </c>
      <c r="BG215">
        <f>16.99150539</f>
        <v>16.99150539</v>
      </c>
      <c r="BH215" t="str">
        <f>""</f>
        <v/>
      </c>
      <c r="BI215" t="str">
        <f>""</f>
        <v/>
      </c>
      <c r="BJ215" t="str">
        <f>""</f>
        <v/>
      </c>
      <c r="BK215" t="str">
        <f>""</f>
        <v/>
      </c>
      <c r="BL215" t="str">
        <f>""</f>
        <v/>
      </c>
      <c r="BM215" t="str">
        <f>""</f>
        <v/>
      </c>
      <c r="BN215" t="str">
        <f>""</f>
        <v/>
      </c>
      <c r="BO215" t="str">
        <f>""</f>
        <v/>
      </c>
      <c r="BP215" t="str">
        <f>""</f>
        <v/>
      </c>
      <c r="BQ215" t="str">
        <f>""</f>
        <v/>
      </c>
      <c r="BR215" t="str">
        <f>""</f>
        <v/>
      </c>
      <c r="BS215" t="str">
        <f>""</f>
        <v/>
      </c>
    </row>
    <row r="216" spans="1:71" x14ac:dyDescent="0.25">
      <c r="A216" t="str">
        <f>"        Truist Financial Corp"</f>
        <v xml:space="preserve">        Truist Financial Corp</v>
      </c>
      <c r="B216" t="str">
        <f>"TFC US Equity"</f>
        <v>TFC US Equity</v>
      </c>
      <c r="C216" t="str">
        <f t="shared" si="27"/>
        <v>F0115</v>
      </c>
      <c r="D216" t="str">
        <f t="shared" si="28"/>
        <v>FED_C&amp;I_LNS_CONS_%_TOT_LNS_LEAS</v>
      </c>
      <c r="E216" t="str">
        <f t="shared" si="29"/>
        <v>Dynamic</v>
      </c>
      <c r="F216">
        <f ca="1">IF(AND(ISNUMBER($F$624),$B$427=1),$F$624,HLOOKUP(INDIRECT(ADDRESS(2,COLUMN())),OFFSET($AM$2,0,0,ROW()-1,33),ROW()-1,FALSE))</f>
        <v>23.73323023</v>
      </c>
      <c r="G216">
        <f ca="1">IF(AND(ISNUMBER($G$624),$B$427=1),$G$624,HLOOKUP(INDIRECT(ADDRESS(2,COLUMN())),OFFSET($AM$2,0,0,ROW()-1,33),ROW()-1,FALSE))</f>
        <v>27.0848692</v>
      </c>
      <c r="H216">
        <f ca="1">IF(AND(ISNUMBER($H$624),$B$427=1),$H$624,HLOOKUP(INDIRECT(ADDRESS(2,COLUMN())),OFFSET($AM$2,0,0,ROW()-1,33),ROW()-1,FALSE))</f>
        <v>26.257119729999999</v>
      </c>
      <c r="I216">
        <f ca="1">IF(AND(ISNUMBER($I$624),$B$427=1),$I$624,HLOOKUP(INDIRECT(ADDRESS(2,COLUMN())),OFFSET($AM$2,0,0,ROW()-1,33),ROW()-1,FALSE))</f>
        <v>22.988872839999999</v>
      </c>
      <c r="J216">
        <f ca="1">IF(AND(ISNUMBER($J$624),$B$427=1),$J$624,HLOOKUP(INDIRECT(ADDRESS(2,COLUMN())),OFFSET($AM$2,0,0,ROW()-1,33),ROW()-1,FALSE))</f>
        <v>24.3030416</v>
      </c>
      <c r="K216">
        <f ca="1">IF(AND(ISNUMBER($K$624),$B$427=1),$K$624,HLOOKUP(INDIRECT(ADDRESS(2,COLUMN())),OFFSET($AM$2,0,0,ROW()-1,33),ROW()-1,FALSE))</f>
        <v>23.6581607</v>
      </c>
      <c r="L216">
        <f ca="1">IF(AND(ISNUMBER($L$624),$B$427=1),$L$624,HLOOKUP(INDIRECT(ADDRESS(2,COLUMN())),OFFSET($AM$2,0,0,ROW()-1,33),ROW()-1,FALSE))</f>
        <v>20.389864070000002</v>
      </c>
      <c r="M216">
        <f ca="1">IF(AND(ISNUMBER($M$624),$B$427=1),$M$624,HLOOKUP(INDIRECT(ADDRESS(2,COLUMN())),OFFSET($AM$2,0,0,ROW()-1,33),ROW()-1,FALSE))</f>
        <v>18.85013812</v>
      </c>
      <c r="N216">
        <f ca="1">IF(AND(ISNUMBER($N$624),$B$427=1),$N$624,HLOOKUP(INDIRECT(ADDRESS(2,COLUMN())),OFFSET($AM$2,0,0,ROW()-1,33),ROW()-1,FALSE))</f>
        <v>18.165919120000002</v>
      </c>
      <c r="O216">
        <f ca="1">IF(AND(ISNUMBER($O$624),$B$427=1),$O$624,HLOOKUP(INDIRECT(ADDRESS(2,COLUMN())),OFFSET($AM$2,0,0,ROW()-1,33),ROW()-1,FALSE))</f>
        <v>17.304537870000001</v>
      </c>
      <c r="P216">
        <f ca="1">IF(AND(ISNUMBER($P$624),$B$427=1),$P$624,HLOOKUP(INDIRECT(ADDRESS(2,COLUMN())),OFFSET($AM$2,0,0,ROW()-1,33),ROW()-1,FALSE))</f>
        <v>15.86062207</v>
      </c>
      <c r="Q216">
        <f ca="1">IF(AND(ISNUMBER($Q$624),$B$427=1),$Q$624,HLOOKUP(INDIRECT(ADDRESS(2,COLUMN())),OFFSET($AM$2,0,0,ROW()-1,33),ROW()-1,FALSE))</f>
        <v>14.69712734</v>
      </c>
      <c r="R216">
        <f ca="1">IF(AND(ISNUMBER($R$624),$B$427=1),$R$624,HLOOKUP(INDIRECT(ADDRESS(2,COLUMN())),OFFSET($AM$2,0,0,ROW()-1,33),ROW()-1,FALSE))</f>
        <v>13.83642964</v>
      </c>
      <c r="S216">
        <f ca="1">IF(AND(ISNUMBER($S$624),$B$427=1),$S$624,HLOOKUP(INDIRECT(ADDRESS(2,COLUMN())),OFFSET($AM$2,0,0,ROW()-1,33),ROW()-1,FALSE))</f>
        <v>13.588777090000001</v>
      </c>
      <c r="T216">
        <f ca="1">IF(AND(ISNUMBER($T$624),$B$427=1),$T$624,HLOOKUP(INDIRECT(ADDRESS(2,COLUMN())),OFFSET($AM$2,0,0,ROW()-1,33),ROW()-1,FALSE))</f>
        <v>12.732188259999999</v>
      </c>
      <c r="U216">
        <f ca="1">IF(AND(ISNUMBER($U$624),$B$427=1),$U$624,HLOOKUP(INDIRECT(ADDRESS(2,COLUMN())),OFFSET($AM$2,0,0,ROW()-1,33),ROW()-1,FALSE))</f>
        <v>13.512423699999999</v>
      </c>
      <c r="V216">
        <f ca="1">IF(AND(ISNUMBER($V$624),$B$427=1),$V$624,HLOOKUP(INDIRECT(ADDRESS(2,COLUMN())),OFFSET($AM$2,0,0,ROW()-1,33),ROW()-1,FALSE))</f>
        <v>14.76390121</v>
      </c>
      <c r="W216">
        <f ca="1">IF(AND(ISNUMBER($W$624),$B$427=1),$W$624,HLOOKUP(INDIRECT(ADDRESS(2,COLUMN())),OFFSET($AM$2,0,0,ROW()-1,33),ROW()-1,FALSE))</f>
        <v>13.472454389999999</v>
      </c>
      <c r="X216">
        <f ca="1">IF(AND(ISNUMBER($X$624),$B$427=1),$X$624,HLOOKUP(INDIRECT(ADDRESS(2,COLUMN())),OFFSET($AM$2,0,0,ROW()-1,33),ROW()-1,FALSE))</f>
        <v>10.96103724</v>
      </c>
      <c r="Y216">
        <f ca="1">IF(AND(ISNUMBER($Y$624),$B$427=1),$Y$624,HLOOKUP(INDIRECT(ADDRESS(2,COLUMN())),OFFSET($AM$2,0,0,ROW()-1,33),ROW()-1,FALSE))</f>
        <v>10.85100448</v>
      </c>
      <c r="Z216">
        <f ca="1">IF(AND(ISNUMBER($Z$624),$B$427=1),$Z$624,HLOOKUP(INDIRECT(ADDRESS(2,COLUMN())),OFFSET($AM$2,0,0,ROW()-1,33),ROW()-1,FALSE))</f>
        <v>11.117834930000001</v>
      </c>
      <c r="AA216">
        <f ca="1">IF(AND(ISNUMBER($AA$624),$B$427=1),$AA$624,HLOOKUP(INDIRECT(ADDRESS(2,COLUMN())),OFFSET($AM$2,0,0,ROW()-1,33),ROW()-1,FALSE))</f>
        <v>11.49333163</v>
      </c>
      <c r="AB216">
        <f ca="1">IF(AND(ISNUMBER($AB$624),$B$427=1),$AB$624,HLOOKUP(INDIRECT(ADDRESS(2,COLUMN())),OFFSET($AM$2,0,0,ROW()-1,33),ROW()-1,FALSE))</f>
        <v>12.86787902</v>
      </c>
      <c r="AC216">
        <f ca="1">IF(AND(ISNUMBER($AC$624),$B$427=1),$AC$624,HLOOKUP(INDIRECT(ADDRESS(2,COLUMN())),OFFSET($AM$2,0,0,ROW()-1,33),ROW()-1,FALSE))</f>
        <v>13.54604146</v>
      </c>
      <c r="AD216" t="str">
        <f ca="1">IF(AND(ISNUMBER($AD$624),$B$427=1),$AD$624,HLOOKUP(INDIRECT(ADDRESS(2,COLUMN())),OFFSET($AM$2,0,0,ROW()-1,33),ROW()-1,FALSE))</f>
        <v/>
      </c>
      <c r="AE216" t="str">
        <f ca="1">IF(AND(ISNUMBER($AE$624),$B$427=1),$AE$624,HLOOKUP(INDIRECT(ADDRESS(2,COLUMN())),OFFSET($AM$2,0,0,ROW()-1,33),ROW()-1,FALSE))</f>
        <v/>
      </c>
      <c r="AF216" t="str">
        <f ca="1">IF(AND(ISNUMBER($AF$624),$B$427=1),$AF$624,HLOOKUP(INDIRECT(ADDRESS(2,COLUMN())),OFFSET($AM$2,0,0,ROW()-1,33),ROW()-1,FALSE))</f>
        <v/>
      </c>
      <c r="AG216" t="str">
        <f ca="1">IF(AND(ISNUMBER($AG$624),$B$427=1),$AG$624,HLOOKUP(INDIRECT(ADDRESS(2,COLUMN())),OFFSET($AM$2,0,0,ROW()-1,33),ROW()-1,FALSE))</f>
        <v/>
      </c>
      <c r="AH216" t="str">
        <f ca="1">IF(AND(ISNUMBER($AH$624),$B$427=1),$AH$624,HLOOKUP(INDIRECT(ADDRESS(2,COLUMN())),OFFSET($AM$2,0,0,ROW()-1,33),ROW()-1,FALSE))</f>
        <v/>
      </c>
      <c r="AI216" t="str">
        <f ca="1">IF(AND(ISNUMBER($AI$624),$B$427=1),$AI$624,HLOOKUP(INDIRECT(ADDRESS(2,COLUMN())),OFFSET($AM$2,0,0,ROW()-1,33),ROW()-1,FALSE))</f>
        <v/>
      </c>
      <c r="AJ216" t="str">
        <f ca="1">IF(AND(ISNUMBER($AJ$624),$B$427=1),$AJ$624,HLOOKUP(INDIRECT(ADDRESS(2,COLUMN())),OFFSET($AM$2,0,0,ROW()-1,33),ROW()-1,FALSE))</f>
        <v/>
      </c>
      <c r="AK216" t="str">
        <f ca="1">IF(AND(ISNUMBER($AK$624),$B$427=1),$AK$624,HLOOKUP(INDIRECT(ADDRESS(2,COLUMN())),OFFSET($AM$2,0,0,ROW()-1,33),ROW()-1,FALSE))</f>
        <v/>
      </c>
      <c r="AL216" t="str">
        <f ca="1">IF(AND(ISNUMBER($AL$624),$B$427=1),$AL$624,HLOOKUP(INDIRECT(ADDRESS(2,COLUMN())),OFFSET($AM$2,0,0,ROW()-1,33),ROW()-1,FALSE))</f>
        <v/>
      </c>
      <c r="AM216">
        <f>23.73323023</f>
        <v>23.73323023</v>
      </c>
      <c r="AN216">
        <f>27.0848692</f>
        <v>27.0848692</v>
      </c>
      <c r="AO216">
        <f>26.25711973</f>
        <v>26.257119729999999</v>
      </c>
      <c r="AP216">
        <f>22.98887284</f>
        <v>22.988872839999999</v>
      </c>
      <c r="AQ216">
        <f>24.3030416</f>
        <v>24.3030416</v>
      </c>
      <c r="AR216">
        <f>23.6581607</f>
        <v>23.6581607</v>
      </c>
      <c r="AS216">
        <f>20.38986407</f>
        <v>20.389864070000002</v>
      </c>
      <c r="AT216">
        <f>18.85013812</f>
        <v>18.85013812</v>
      </c>
      <c r="AU216">
        <f>18.16591912</f>
        <v>18.165919120000002</v>
      </c>
      <c r="AV216">
        <f>17.30453787</f>
        <v>17.304537870000001</v>
      </c>
      <c r="AW216">
        <f>15.86062207</f>
        <v>15.86062207</v>
      </c>
      <c r="AX216">
        <f>14.69712734</f>
        <v>14.69712734</v>
      </c>
      <c r="AY216">
        <f>13.83642964</f>
        <v>13.83642964</v>
      </c>
      <c r="AZ216">
        <f>13.58877709</f>
        <v>13.588777090000001</v>
      </c>
      <c r="BA216">
        <f>12.73218826</f>
        <v>12.732188259999999</v>
      </c>
      <c r="BB216">
        <f>13.5124237</f>
        <v>13.512423699999999</v>
      </c>
      <c r="BC216">
        <f>14.76390121</f>
        <v>14.76390121</v>
      </c>
      <c r="BD216">
        <f>13.47245439</f>
        <v>13.472454389999999</v>
      </c>
      <c r="BE216">
        <f>10.96103724</f>
        <v>10.96103724</v>
      </c>
      <c r="BF216">
        <f>10.85100448</f>
        <v>10.85100448</v>
      </c>
      <c r="BG216">
        <f>11.11783493</f>
        <v>11.117834930000001</v>
      </c>
      <c r="BH216">
        <f>11.49333163</f>
        <v>11.49333163</v>
      </c>
      <c r="BI216">
        <f>12.86787902</f>
        <v>12.86787902</v>
      </c>
      <c r="BJ216">
        <f>13.54604146</f>
        <v>13.54604146</v>
      </c>
      <c r="BK216" t="str">
        <f>""</f>
        <v/>
      </c>
      <c r="BL216" t="str">
        <f>""</f>
        <v/>
      </c>
      <c r="BM216" t="str">
        <f>""</f>
        <v/>
      </c>
      <c r="BN216" t="str">
        <f>""</f>
        <v/>
      </c>
      <c r="BO216" t="str">
        <f>""</f>
        <v/>
      </c>
      <c r="BP216" t="str">
        <f>""</f>
        <v/>
      </c>
      <c r="BQ216" t="str">
        <f>""</f>
        <v/>
      </c>
      <c r="BR216" t="str">
        <f>""</f>
        <v/>
      </c>
      <c r="BS216" t="str">
        <f>""</f>
        <v/>
      </c>
    </row>
    <row r="217" spans="1:71" x14ac:dyDescent="0.25">
      <c r="A217" t="str">
        <f>"        US Bancorp"</f>
        <v xml:space="preserve">        US Bancorp</v>
      </c>
      <c r="B217" t="str">
        <f>"USB US Equity"</f>
        <v>USB US Equity</v>
      </c>
      <c r="C217" t="str">
        <f t="shared" si="27"/>
        <v>F0115</v>
      </c>
      <c r="D217" t="str">
        <f t="shared" si="28"/>
        <v>FED_C&amp;I_LNS_CONS_%_TOT_LNS_LEAS</v>
      </c>
      <c r="E217" t="str">
        <f t="shared" si="29"/>
        <v>Dynamic</v>
      </c>
      <c r="F217">
        <f ca="1">IF(AND(ISNUMBER($F$625),$B$427=1),$F$625,HLOOKUP(INDIRECT(ADDRESS(2,COLUMN())),OFFSET($AM$2,0,0,ROW()-1,33),ROW()-1,FALSE))</f>
        <v>25.02007034</v>
      </c>
      <c r="G217">
        <f ca="1">IF(AND(ISNUMBER($G$625),$B$427=1),$G$625,HLOOKUP(INDIRECT(ADDRESS(2,COLUMN())),OFFSET($AM$2,0,0,ROW()-1,33),ROW()-1,FALSE))</f>
        <v>25.998042739999999</v>
      </c>
      <c r="H217">
        <f ca="1">IF(AND(ISNUMBER($H$625),$B$427=1),$H$625,HLOOKUP(INDIRECT(ADDRESS(2,COLUMN())),OFFSET($AM$2,0,0,ROW()-1,33),ROW()-1,FALSE))</f>
        <v>26.326223769999999</v>
      </c>
      <c r="I217">
        <f ca="1">IF(AND(ISNUMBER($I$625),$B$427=1),$I$625,HLOOKUP(INDIRECT(ADDRESS(2,COLUMN())),OFFSET($AM$2,0,0,ROW()-1,33),ROW()-1,FALSE))</f>
        <v>25.456296529999999</v>
      </c>
      <c r="J217">
        <f ca="1">IF(AND(ISNUMBER($J$625),$B$427=1),$J$625,HLOOKUP(INDIRECT(ADDRESS(2,COLUMN())),OFFSET($AM$2,0,0,ROW()-1,33),ROW()-1,FALSE))</f>
        <v>24.955623429999999</v>
      </c>
      <c r="K217">
        <f ca="1">IF(AND(ISNUMBER($K$625),$B$427=1),$K$625,HLOOKUP(INDIRECT(ADDRESS(2,COLUMN())),OFFSET($AM$2,0,0,ROW()-1,33),ROW()-1,FALSE))</f>
        <v>26.10249271</v>
      </c>
      <c r="L217">
        <f ca="1">IF(AND(ISNUMBER($L$625),$B$427=1),$L$625,HLOOKUP(INDIRECT(ADDRESS(2,COLUMN())),OFFSET($AM$2,0,0,ROW()-1,33),ROW()-1,FALSE))</f>
        <v>27.14752713</v>
      </c>
      <c r="M217">
        <f ca="1">IF(AND(ISNUMBER($M$625),$B$427=1),$M$625,HLOOKUP(INDIRECT(ADDRESS(2,COLUMN())),OFFSET($AM$2,0,0,ROW()-1,33),ROW()-1,FALSE))</f>
        <v>25.519003059999999</v>
      </c>
      <c r="N217">
        <f ca="1">IF(AND(ISNUMBER($N$625),$B$427=1),$N$625,HLOOKUP(INDIRECT(ADDRESS(2,COLUMN())),OFFSET($AM$2,0,0,ROW()-1,33),ROW()-1,FALSE))</f>
        <v>24.91694592</v>
      </c>
      <c r="O217">
        <f ca="1">IF(AND(ISNUMBER($O$625),$B$427=1),$O$625,HLOOKUP(INDIRECT(ADDRESS(2,COLUMN())),OFFSET($AM$2,0,0,ROW()-1,33),ROW()-1,FALSE))</f>
        <v>25.271006570000001</v>
      </c>
      <c r="P217">
        <f ca="1">IF(AND(ISNUMBER($P$625),$B$427=1),$P$625,HLOOKUP(INDIRECT(ADDRESS(2,COLUMN())),OFFSET($AM$2,0,0,ROW()-1,33),ROW()-1,FALSE))</f>
        <v>24.075031419999998</v>
      </c>
      <c r="Q217">
        <f ca="1">IF(AND(ISNUMBER($Q$625),$B$427=1),$Q$625,HLOOKUP(INDIRECT(ADDRESS(2,COLUMN())),OFFSET($AM$2,0,0,ROW()-1,33),ROW()-1,FALSE))</f>
        <v>22.042777000000001</v>
      </c>
      <c r="R217">
        <f ca="1">IF(AND(ISNUMBER($R$625),$B$427=1),$R$625,HLOOKUP(INDIRECT(ADDRESS(2,COLUMN())),OFFSET($AM$2,0,0,ROW()-1,33),ROW()-1,FALSE))</f>
        <v>21.010324959999998</v>
      </c>
      <c r="S217">
        <f ca="1">IF(AND(ISNUMBER($S$625),$B$427=1),$S$625,HLOOKUP(INDIRECT(ADDRESS(2,COLUMN())),OFFSET($AM$2,0,0,ROW()-1,33),ROW()-1,FALSE))</f>
        <v>19.419485699999999</v>
      </c>
      <c r="T217">
        <f ca="1">IF(AND(ISNUMBER($T$625),$B$427=1),$T$625,HLOOKUP(INDIRECT(ADDRESS(2,COLUMN())),OFFSET($AM$2,0,0,ROW()-1,33),ROW()-1,FALSE))</f>
        <v>17.610914749999999</v>
      </c>
      <c r="U217">
        <f ca="1">IF(AND(ISNUMBER($U$625),$B$427=1),$U$625,HLOOKUP(INDIRECT(ADDRESS(2,COLUMN())),OFFSET($AM$2,0,0,ROW()-1,33),ROW()-1,FALSE))</f>
        <v>18.035153139999998</v>
      </c>
      <c r="V217">
        <f ca="1">IF(AND(ISNUMBER($V$625),$B$427=1),$V$625,HLOOKUP(INDIRECT(ADDRESS(2,COLUMN())),OFFSET($AM$2,0,0,ROW()-1,33),ROW()-1,FALSE))</f>
        <v>22.311800810000001</v>
      </c>
      <c r="W217">
        <f ca="1">IF(AND(ISNUMBER($W$625),$B$427=1),$W$625,HLOOKUP(INDIRECT(ADDRESS(2,COLUMN())),OFFSET($AM$2,0,0,ROW()-1,33),ROW()-1,FALSE))</f>
        <v>23.53478814</v>
      </c>
      <c r="X217">
        <f ca="1">IF(AND(ISNUMBER($X$625),$B$427=1),$X$625,HLOOKUP(INDIRECT(ADDRESS(2,COLUMN())),OFFSET($AM$2,0,0,ROW()-1,33),ROW()-1,FALSE))</f>
        <v>22.813289480000002</v>
      </c>
      <c r="Y217">
        <f ca="1">IF(AND(ISNUMBER($Y$625),$B$427=1),$Y$625,HLOOKUP(INDIRECT(ADDRESS(2,COLUMN())),OFFSET($AM$2,0,0,ROW()-1,33),ROW()-1,FALSE))</f>
        <v>22.4321108</v>
      </c>
      <c r="Z217">
        <f ca="1">IF(AND(ISNUMBER($Z$625),$B$427=1),$Z$625,HLOOKUP(INDIRECT(ADDRESS(2,COLUMN())),OFFSET($AM$2,0,0,ROW()-1,33),ROW()-1,FALSE))</f>
        <v>22.85877546</v>
      </c>
      <c r="AA217">
        <f ca="1">IF(AND(ISNUMBER($AA$625),$B$427=1),$AA$625,HLOOKUP(INDIRECT(ADDRESS(2,COLUMN())),OFFSET($AM$2,0,0,ROW()-1,33),ROW()-1,FALSE))</f>
        <v>23.067988100000001</v>
      </c>
      <c r="AB217">
        <f ca="1">IF(AND(ISNUMBER($AB$625),$B$427=1),$AB$625,HLOOKUP(INDIRECT(ADDRESS(2,COLUMN())),OFFSET($AM$2,0,0,ROW()-1,33),ROW()-1,FALSE))</f>
        <v>24.364255459999999</v>
      </c>
      <c r="AC217">
        <f ca="1">IF(AND(ISNUMBER($AC$625),$B$427=1),$AC$625,HLOOKUP(INDIRECT(ADDRESS(2,COLUMN())),OFFSET($AM$2,0,0,ROW()-1,33),ROW()-1,FALSE))</f>
        <v>29.249733419999998</v>
      </c>
      <c r="AD217" t="str">
        <f ca="1">IF(AND(ISNUMBER($AD$625),$B$427=1),$AD$625,HLOOKUP(INDIRECT(ADDRESS(2,COLUMN())),OFFSET($AM$2,0,0,ROW()-1,33),ROW()-1,FALSE))</f>
        <v/>
      </c>
      <c r="AE217" t="str">
        <f ca="1">IF(AND(ISNUMBER($AE$625),$B$427=1),$AE$625,HLOOKUP(INDIRECT(ADDRESS(2,COLUMN())),OFFSET($AM$2,0,0,ROW()-1,33),ROW()-1,FALSE))</f>
        <v/>
      </c>
      <c r="AF217" t="str">
        <f ca="1">IF(AND(ISNUMBER($AF$625),$B$427=1),$AF$625,HLOOKUP(INDIRECT(ADDRESS(2,COLUMN())),OFFSET($AM$2,0,0,ROW()-1,33),ROW()-1,FALSE))</f>
        <v/>
      </c>
      <c r="AG217" t="str">
        <f ca="1">IF(AND(ISNUMBER($AG$625),$B$427=1),$AG$625,HLOOKUP(INDIRECT(ADDRESS(2,COLUMN())),OFFSET($AM$2,0,0,ROW()-1,33),ROW()-1,FALSE))</f>
        <v/>
      </c>
      <c r="AH217" t="str">
        <f ca="1">IF(AND(ISNUMBER($AH$625),$B$427=1),$AH$625,HLOOKUP(INDIRECT(ADDRESS(2,COLUMN())),OFFSET($AM$2,0,0,ROW()-1,33),ROW()-1,FALSE))</f>
        <v/>
      </c>
      <c r="AI217" t="str">
        <f ca="1">IF(AND(ISNUMBER($AI$625),$B$427=1),$AI$625,HLOOKUP(INDIRECT(ADDRESS(2,COLUMN())),OFFSET($AM$2,0,0,ROW()-1,33),ROW()-1,FALSE))</f>
        <v/>
      </c>
      <c r="AJ217" t="str">
        <f ca="1">IF(AND(ISNUMBER($AJ$625),$B$427=1),$AJ$625,HLOOKUP(INDIRECT(ADDRESS(2,COLUMN())),OFFSET($AM$2,0,0,ROW()-1,33),ROW()-1,FALSE))</f>
        <v/>
      </c>
      <c r="AK217" t="str">
        <f ca="1">IF(AND(ISNUMBER($AK$625),$B$427=1),$AK$625,HLOOKUP(INDIRECT(ADDRESS(2,COLUMN())),OFFSET($AM$2,0,0,ROW()-1,33),ROW()-1,FALSE))</f>
        <v/>
      </c>
      <c r="AL217" t="str">
        <f ca="1">IF(AND(ISNUMBER($AL$625),$B$427=1),$AL$625,HLOOKUP(INDIRECT(ADDRESS(2,COLUMN())),OFFSET($AM$2,0,0,ROW()-1,33),ROW()-1,FALSE))</f>
        <v/>
      </c>
      <c r="AM217">
        <f>25.02007034</f>
        <v>25.02007034</v>
      </c>
      <c r="AN217">
        <f>25.99804274</f>
        <v>25.998042739999999</v>
      </c>
      <c r="AO217">
        <f>26.32622377</f>
        <v>26.326223769999999</v>
      </c>
      <c r="AP217">
        <f>25.45629653</f>
        <v>25.456296529999999</v>
      </c>
      <c r="AQ217">
        <f>24.95562343</f>
        <v>24.955623429999999</v>
      </c>
      <c r="AR217">
        <f>26.10249271</f>
        <v>26.10249271</v>
      </c>
      <c r="AS217">
        <f>27.14752713</f>
        <v>27.14752713</v>
      </c>
      <c r="AT217">
        <f>25.51900306</f>
        <v>25.519003059999999</v>
      </c>
      <c r="AU217">
        <f>24.91694592</f>
        <v>24.91694592</v>
      </c>
      <c r="AV217">
        <f>25.27100657</f>
        <v>25.271006570000001</v>
      </c>
      <c r="AW217">
        <f>24.07503142</f>
        <v>24.075031419999998</v>
      </c>
      <c r="AX217">
        <f>22.042777</f>
        <v>22.042777000000001</v>
      </c>
      <c r="AY217">
        <f>21.01032496</f>
        <v>21.010324959999998</v>
      </c>
      <c r="AZ217">
        <f>19.4194857</f>
        <v>19.419485699999999</v>
      </c>
      <c r="BA217">
        <f>17.61091475</f>
        <v>17.610914749999999</v>
      </c>
      <c r="BB217">
        <f>18.03515314</f>
        <v>18.035153139999998</v>
      </c>
      <c r="BC217">
        <f>22.31180081</f>
        <v>22.311800810000001</v>
      </c>
      <c r="BD217">
        <f>23.53478814</f>
        <v>23.53478814</v>
      </c>
      <c r="BE217">
        <f>22.81328948</f>
        <v>22.813289480000002</v>
      </c>
      <c r="BF217">
        <f>22.4321108</f>
        <v>22.4321108</v>
      </c>
      <c r="BG217">
        <f>22.85877546</f>
        <v>22.85877546</v>
      </c>
      <c r="BH217">
        <f>23.0679881</f>
        <v>23.067988100000001</v>
      </c>
      <c r="BI217">
        <f>24.36425546</f>
        <v>24.364255459999999</v>
      </c>
      <c r="BJ217">
        <f>29.24973342</f>
        <v>29.249733419999998</v>
      </c>
      <c r="BK217" t="str">
        <f>""</f>
        <v/>
      </c>
      <c r="BL217" t="str">
        <f>""</f>
        <v/>
      </c>
      <c r="BM217" t="str">
        <f>""</f>
        <v/>
      </c>
      <c r="BN217" t="str">
        <f>""</f>
        <v/>
      </c>
      <c r="BO217" t="str">
        <f>""</f>
        <v/>
      </c>
      <c r="BP217" t="str">
        <f>""</f>
        <v/>
      </c>
      <c r="BQ217" t="str">
        <f>""</f>
        <v/>
      </c>
      <c r="BR217" t="str">
        <f>""</f>
        <v/>
      </c>
      <c r="BS217" t="str">
        <f>""</f>
        <v/>
      </c>
    </row>
    <row r="218" spans="1:71" x14ac:dyDescent="0.25">
      <c r="A218" t="str">
        <f>"        Wells Fargo &amp; Co"</f>
        <v xml:space="preserve">        Wells Fargo &amp; Co</v>
      </c>
      <c r="B218" t="str">
        <f>"WFC US Equity"</f>
        <v>WFC US Equity</v>
      </c>
      <c r="C218" t="str">
        <f t="shared" si="27"/>
        <v>F0115</v>
      </c>
      <c r="D218" t="str">
        <f t="shared" si="28"/>
        <v>FED_C&amp;I_LNS_CONS_%_TOT_LNS_LEAS</v>
      </c>
      <c r="E218" t="str">
        <f t="shared" si="29"/>
        <v>Dynamic</v>
      </c>
      <c r="F218">
        <f ca="1">IF(AND(ISNUMBER($F$626),$B$427=1),$F$626,HLOOKUP(INDIRECT(ADDRESS(2,COLUMN())),OFFSET($AM$2,0,0,ROW()-1,33),ROW()-1,FALSE))</f>
        <v>20.410566540000001</v>
      </c>
      <c r="G218">
        <f ca="1">IF(AND(ISNUMBER($G$626),$B$427=1),$G$626,HLOOKUP(INDIRECT(ADDRESS(2,COLUMN())),OFFSET($AM$2,0,0,ROW()-1,33),ROW()-1,FALSE))</f>
        <v>20.42241907</v>
      </c>
      <c r="H218">
        <f ca="1">IF(AND(ISNUMBER($H$626),$B$427=1),$H$626,HLOOKUP(INDIRECT(ADDRESS(2,COLUMN())),OFFSET($AM$2,0,0,ROW()-1,33),ROW()-1,FALSE))</f>
        <v>20.282077439999998</v>
      </c>
      <c r="I218">
        <f ca="1">IF(AND(ISNUMBER($I$626),$B$427=1),$I$626,HLOOKUP(INDIRECT(ADDRESS(2,COLUMN())),OFFSET($AM$2,0,0,ROW()-1,33),ROW()-1,FALSE))</f>
        <v>18.346109569999999</v>
      </c>
      <c r="J218">
        <f ca="1">IF(AND(ISNUMBER($J$626),$B$427=1),$J$626,HLOOKUP(INDIRECT(ADDRESS(2,COLUMN())),OFFSET($AM$2,0,0,ROW()-1,33),ROW()-1,FALSE))</f>
        <v>17.592792710000001</v>
      </c>
      <c r="K218">
        <f ca="1">IF(AND(ISNUMBER($K$626),$B$427=1),$K$626,HLOOKUP(INDIRECT(ADDRESS(2,COLUMN())),OFFSET($AM$2,0,0,ROW()-1,33),ROW()-1,FALSE))</f>
        <v>19.136163</v>
      </c>
      <c r="L218">
        <f ca="1">IF(AND(ISNUMBER($L$626),$B$427=1),$L$626,HLOOKUP(INDIRECT(ADDRESS(2,COLUMN())),OFFSET($AM$2,0,0,ROW()-1,33),ROW()-1,FALSE))</f>
        <v>20.071120310000001</v>
      </c>
      <c r="M218">
        <f ca="1">IF(AND(ISNUMBER($M$626),$B$427=1),$M$626,HLOOKUP(INDIRECT(ADDRESS(2,COLUMN())),OFFSET($AM$2,0,0,ROW()-1,33),ROW()-1,FALSE))</f>
        <v>19.08354731</v>
      </c>
      <c r="N218">
        <f ca="1">IF(AND(ISNUMBER($N$626),$B$427=1),$N$626,HLOOKUP(INDIRECT(ADDRESS(2,COLUMN())),OFFSET($AM$2,0,0,ROW()-1,33),ROW()-1,FALSE))</f>
        <v>18.765865609999999</v>
      </c>
      <c r="O218">
        <f ca="1">IF(AND(ISNUMBER($O$626),$B$427=1),$O$626,HLOOKUP(INDIRECT(ADDRESS(2,COLUMN())),OFFSET($AM$2,0,0,ROW()-1,33),ROW()-1,FALSE))</f>
        <v>17.732783359999999</v>
      </c>
      <c r="P218">
        <f ca="1">IF(AND(ISNUMBER($P$626),$B$427=1),$P$626,HLOOKUP(INDIRECT(ADDRESS(2,COLUMN())),OFFSET($AM$2,0,0,ROW()-1,33),ROW()-1,FALSE))</f>
        <v>18.280151620000002</v>
      </c>
      <c r="Q218">
        <f ca="1">IF(AND(ISNUMBER($Q$626),$B$427=1),$Q$626,HLOOKUP(INDIRECT(ADDRESS(2,COLUMN())),OFFSET($AM$2,0,0,ROW()-1,33),ROW()-1,FALSE))</f>
        <v>18.184545490000001</v>
      </c>
      <c r="R218">
        <f ca="1">IF(AND(ISNUMBER($R$626),$B$427=1),$R$626,HLOOKUP(INDIRECT(ADDRESS(2,COLUMN())),OFFSET($AM$2,0,0,ROW()-1,33),ROW()-1,FALSE))</f>
        <v>18.52810449</v>
      </c>
      <c r="S218">
        <f ca="1">IF(AND(ISNUMBER($S$626),$B$427=1),$S$626,HLOOKUP(INDIRECT(ADDRESS(2,COLUMN())),OFFSET($AM$2,0,0,ROW()-1,33),ROW()-1,FALSE))</f>
        <v>18.05215506</v>
      </c>
      <c r="T218">
        <f ca="1">IF(AND(ISNUMBER($T$626),$B$427=1),$T$626,HLOOKUP(INDIRECT(ADDRESS(2,COLUMN())),OFFSET($AM$2,0,0,ROW()-1,33),ROW()-1,FALSE))</f>
        <v>15.69121925</v>
      </c>
      <c r="U218">
        <f ca="1">IF(AND(ISNUMBER($U$626),$B$427=1),$U$626,HLOOKUP(INDIRECT(ADDRESS(2,COLUMN())),OFFSET($AM$2,0,0,ROW()-1,33),ROW()-1,FALSE))</f>
        <v>17.249337539999999</v>
      </c>
      <c r="V218">
        <f ca="1">IF(AND(ISNUMBER($V$626),$B$427=1),$V$626,HLOOKUP(INDIRECT(ADDRESS(2,COLUMN())),OFFSET($AM$2,0,0,ROW()-1,33),ROW()-1,FALSE))</f>
        <v>20.75472757</v>
      </c>
      <c r="W218">
        <f ca="1">IF(AND(ISNUMBER($W$626),$B$427=1),$W$626,HLOOKUP(INDIRECT(ADDRESS(2,COLUMN())),OFFSET($AM$2,0,0,ROW()-1,33),ROW()-1,FALSE))</f>
        <v>19.382961179999999</v>
      </c>
      <c r="X218">
        <f ca="1">IF(AND(ISNUMBER($X$626),$B$427=1),$X$626,HLOOKUP(INDIRECT(ADDRESS(2,COLUMN())),OFFSET($AM$2,0,0,ROW()-1,33),ROW()-1,FALSE))</f>
        <v>17.14206021</v>
      </c>
      <c r="Y218">
        <f ca="1">IF(AND(ISNUMBER($Y$626),$B$427=1),$Y$626,HLOOKUP(INDIRECT(ADDRESS(2,COLUMN())),OFFSET($AM$2,0,0,ROW()-1,33),ROW()-1,FALSE))</f>
        <v>14.866342980000001</v>
      </c>
      <c r="Z218">
        <f ca="1">IF(AND(ISNUMBER($Z$626),$B$427=1),$Z$626,HLOOKUP(INDIRECT(ADDRESS(2,COLUMN())),OFFSET($AM$2,0,0,ROW()-1,33),ROW()-1,FALSE))</f>
        <v>14.29452105</v>
      </c>
      <c r="AA218">
        <f ca="1">IF(AND(ISNUMBER($AA$626),$B$427=1),$AA$626,HLOOKUP(INDIRECT(ADDRESS(2,COLUMN())),OFFSET($AM$2,0,0,ROW()-1,33),ROW()-1,FALSE))</f>
        <v>14.619281279999999</v>
      </c>
      <c r="AB218">
        <f ca="1">IF(AND(ISNUMBER($AB$626),$B$427=1),$AB$626,HLOOKUP(INDIRECT(ADDRESS(2,COLUMN())),OFFSET($AM$2,0,0,ROW()-1,33),ROW()-1,FALSE))</f>
        <v>15.918460380000001</v>
      </c>
      <c r="AC218">
        <f ca="1">IF(AND(ISNUMBER($AC$626),$B$427=1),$AC$626,HLOOKUP(INDIRECT(ADDRESS(2,COLUMN())),OFFSET($AM$2,0,0,ROW()-1,33),ROW()-1,FALSE))</f>
        <v>19.905706259999999</v>
      </c>
      <c r="AD218" t="str">
        <f ca="1">IF(AND(ISNUMBER($AD$626),$B$427=1),$AD$626,HLOOKUP(INDIRECT(ADDRESS(2,COLUMN())),OFFSET($AM$2,0,0,ROW()-1,33),ROW()-1,FALSE))</f>
        <v/>
      </c>
      <c r="AE218" t="str">
        <f ca="1">IF(AND(ISNUMBER($AE$626),$B$427=1),$AE$626,HLOOKUP(INDIRECT(ADDRESS(2,COLUMN())),OFFSET($AM$2,0,0,ROW()-1,33),ROW()-1,FALSE))</f>
        <v/>
      </c>
      <c r="AF218" t="str">
        <f ca="1">IF(AND(ISNUMBER($AF$626),$B$427=1),$AF$626,HLOOKUP(INDIRECT(ADDRESS(2,COLUMN())),OFFSET($AM$2,0,0,ROW()-1,33),ROW()-1,FALSE))</f>
        <v/>
      </c>
      <c r="AG218" t="str">
        <f ca="1">IF(AND(ISNUMBER($AG$626),$B$427=1),$AG$626,HLOOKUP(INDIRECT(ADDRESS(2,COLUMN())),OFFSET($AM$2,0,0,ROW()-1,33),ROW()-1,FALSE))</f>
        <v/>
      </c>
      <c r="AH218" t="str">
        <f ca="1">IF(AND(ISNUMBER($AH$626),$B$427=1),$AH$626,HLOOKUP(INDIRECT(ADDRESS(2,COLUMN())),OFFSET($AM$2,0,0,ROW()-1,33),ROW()-1,FALSE))</f>
        <v/>
      </c>
      <c r="AI218" t="str">
        <f ca="1">IF(AND(ISNUMBER($AI$626),$B$427=1),$AI$626,HLOOKUP(INDIRECT(ADDRESS(2,COLUMN())),OFFSET($AM$2,0,0,ROW()-1,33),ROW()-1,FALSE))</f>
        <v/>
      </c>
      <c r="AJ218" t="str">
        <f ca="1">IF(AND(ISNUMBER($AJ$626),$B$427=1),$AJ$626,HLOOKUP(INDIRECT(ADDRESS(2,COLUMN())),OFFSET($AM$2,0,0,ROW()-1,33),ROW()-1,FALSE))</f>
        <v/>
      </c>
      <c r="AK218" t="str">
        <f ca="1">IF(AND(ISNUMBER($AK$626),$B$427=1),$AK$626,HLOOKUP(INDIRECT(ADDRESS(2,COLUMN())),OFFSET($AM$2,0,0,ROW()-1,33),ROW()-1,FALSE))</f>
        <v/>
      </c>
      <c r="AL218" t="str">
        <f ca="1">IF(AND(ISNUMBER($AL$626),$B$427=1),$AL$626,HLOOKUP(INDIRECT(ADDRESS(2,COLUMN())),OFFSET($AM$2,0,0,ROW()-1,33),ROW()-1,FALSE))</f>
        <v/>
      </c>
      <c r="AM218">
        <f>20.41056654</f>
        <v>20.410566540000001</v>
      </c>
      <c r="AN218">
        <f>20.42241907</f>
        <v>20.42241907</v>
      </c>
      <c r="AO218">
        <f>20.28207744</f>
        <v>20.282077439999998</v>
      </c>
      <c r="AP218">
        <f>18.34610957</f>
        <v>18.346109569999999</v>
      </c>
      <c r="AQ218">
        <f>17.59279271</f>
        <v>17.592792710000001</v>
      </c>
      <c r="AR218">
        <f>19.136163</f>
        <v>19.136163</v>
      </c>
      <c r="AS218">
        <f>20.07112031</f>
        <v>20.071120310000001</v>
      </c>
      <c r="AT218">
        <f>19.08354731</f>
        <v>19.08354731</v>
      </c>
      <c r="AU218">
        <f>18.76586561</f>
        <v>18.765865609999999</v>
      </c>
      <c r="AV218">
        <f>17.73278336</f>
        <v>17.732783359999999</v>
      </c>
      <c r="AW218">
        <f>18.28015162</f>
        <v>18.280151620000002</v>
      </c>
      <c r="AX218">
        <f>18.18454549</f>
        <v>18.184545490000001</v>
      </c>
      <c r="AY218">
        <f>18.52810449</f>
        <v>18.52810449</v>
      </c>
      <c r="AZ218">
        <f>18.05215506</f>
        <v>18.05215506</v>
      </c>
      <c r="BA218">
        <f>15.69121925</f>
        <v>15.69121925</v>
      </c>
      <c r="BB218">
        <f>17.24933754</f>
        <v>17.249337539999999</v>
      </c>
      <c r="BC218">
        <f>20.75472757</f>
        <v>20.75472757</v>
      </c>
      <c r="BD218">
        <f>19.38296118</f>
        <v>19.382961179999999</v>
      </c>
      <c r="BE218">
        <f>17.14206021</f>
        <v>17.14206021</v>
      </c>
      <c r="BF218">
        <f>14.86634298</f>
        <v>14.866342980000001</v>
      </c>
      <c r="BG218">
        <f>14.29452105</f>
        <v>14.29452105</v>
      </c>
      <c r="BH218">
        <f>14.61928128</f>
        <v>14.619281279999999</v>
      </c>
      <c r="BI218">
        <f>15.91846038</f>
        <v>15.918460380000001</v>
      </c>
      <c r="BJ218">
        <f>19.90570626</f>
        <v>19.905706259999999</v>
      </c>
      <c r="BK218" t="str">
        <f>""</f>
        <v/>
      </c>
      <c r="BL218" t="str">
        <f>""</f>
        <v/>
      </c>
      <c r="BM218" t="str">
        <f>""</f>
        <v/>
      </c>
      <c r="BN218" t="str">
        <f>""</f>
        <v/>
      </c>
      <c r="BO218" t="str">
        <f>""</f>
        <v/>
      </c>
      <c r="BP218" t="str">
        <f>""</f>
        <v/>
      </c>
      <c r="BQ218" t="str">
        <f>""</f>
        <v/>
      </c>
      <c r="BR218" t="str">
        <f>""</f>
        <v/>
      </c>
      <c r="BS218" t="str">
        <f>""</f>
        <v/>
      </c>
    </row>
    <row r="219" spans="1:71" x14ac:dyDescent="0.25">
      <c r="A219" t="str">
        <f>"        Western Alliance Bancorp"</f>
        <v xml:space="preserve">        Western Alliance Bancorp</v>
      </c>
      <c r="B219" t="str">
        <f>"WAL US Equity"</f>
        <v>WAL US Equity</v>
      </c>
      <c r="C219" t="str">
        <f t="shared" si="27"/>
        <v>F0115</v>
      </c>
      <c r="D219" t="str">
        <f t="shared" si="28"/>
        <v>FED_C&amp;I_LNS_CONS_%_TOT_LNS_LEAS</v>
      </c>
      <c r="E219" t="str">
        <f t="shared" si="29"/>
        <v>Dynamic</v>
      </c>
      <c r="F219">
        <f ca="1">IF(AND(ISNUMBER($F$627),$B$427=1),$F$627,HLOOKUP(INDIRECT(ADDRESS(2,COLUMN())),OFFSET($AM$2,0,0,ROW()-1,33),ROW()-1,FALSE))</f>
        <v>17.807088570000001</v>
      </c>
      <c r="G219">
        <f ca="1">IF(AND(ISNUMBER($G$627),$B$427=1),$G$627,HLOOKUP(INDIRECT(ADDRESS(2,COLUMN())),OFFSET($AM$2,0,0,ROW()-1,33),ROW()-1,FALSE))</f>
        <v>17.058382739999999</v>
      </c>
      <c r="H219">
        <f ca="1">IF(AND(ISNUMBER($H$627),$B$427=1),$H$627,HLOOKUP(INDIRECT(ADDRESS(2,COLUMN())),OFFSET($AM$2,0,0,ROW()-1,33),ROW()-1,FALSE))</f>
        <v>22.355667749999999</v>
      </c>
      <c r="I219">
        <f ca="1">IF(AND(ISNUMBER($I$627),$B$427=1),$I$627,HLOOKUP(INDIRECT(ADDRESS(2,COLUMN())),OFFSET($AM$2,0,0,ROW()-1,33),ROW()-1,FALSE))</f>
        <v>24.295380890000001</v>
      </c>
      <c r="J219">
        <f ca="1">IF(AND(ISNUMBER($J$627),$B$427=1),$J$627,HLOOKUP(INDIRECT(ADDRESS(2,COLUMN())),OFFSET($AM$2,0,0,ROW()-1,33),ROW()-1,FALSE))</f>
        <v>28.225220570000001</v>
      </c>
      <c r="K219">
        <f ca="1">IF(AND(ISNUMBER($K$627),$B$427=1),$K$627,HLOOKUP(INDIRECT(ADDRESS(2,COLUMN())),OFFSET($AM$2,0,0,ROW()-1,33),ROW()-1,FALSE))</f>
        <v>24.720725399999999</v>
      </c>
      <c r="L219">
        <f ca="1">IF(AND(ISNUMBER($L$627),$B$427=1),$L$627,HLOOKUP(INDIRECT(ADDRESS(2,COLUMN())),OFFSET($AM$2,0,0,ROW()-1,33),ROW()-1,FALSE))</f>
        <v>24.609639779999998</v>
      </c>
      <c r="M219">
        <f ca="1">IF(AND(ISNUMBER($M$627),$B$427=1),$M$627,HLOOKUP(INDIRECT(ADDRESS(2,COLUMN())),OFFSET($AM$2,0,0,ROW()-1,33),ROW()-1,FALSE))</f>
        <v>26.586195050000001</v>
      </c>
      <c r="N219">
        <f ca="1">IF(AND(ISNUMBER($N$627),$B$427=1),$N$627,HLOOKUP(INDIRECT(ADDRESS(2,COLUMN())),OFFSET($AM$2,0,0,ROW()-1,33),ROW()-1,FALSE))</f>
        <v>25.5776687</v>
      </c>
      <c r="O219">
        <f ca="1">IF(AND(ISNUMBER($O$627),$B$427=1),$O$627,HLOOKUP(INDIRECT(ADDRESS(2,COLUMN())),OFFSET($AM$2,0,0,ROW()-1,33),ROW()-1,FALSE))</f>
        <v>28.656600279999999</v>
      </c>
      <c r="P219">
        <f ca="1">IF(AND(ISNUMBER($P$627),$B$427=1),$P$627,HLOOKUP(INDIRECT(ADDRESS(2,COLUMN())),OFFSET($AM$2,0,0,ROW()-1,33),ROW()-1,FALSE))</f>
        <v>22.888477559999998</v>
      </c>
      <c r="Q219">
        <f ca="1">IF(AND(ISNUMBER($Q$627),$B$427=1),$Q$627,HLOOKUP(INDIRECT(ADDRESS(2,COLUMN())),OFFSET($AM$2,0,0,ROW()-1,33),ROW()-1,FALSE))</f>
        <v>19.174194669999999</v>
      </c>
      <c r="R219">
        <f ca="1">IF(AND(ISNUMBER($R$627),$B$427=1),$R$627,HLOOKUP(INDIRECT(ADDRESS(2,COLUMN())),OFFSET($AM$2,0,0,ROW()-1,33),ROW()-1,FALSE))</f>
        <v>18.250316170000001</v>
      </c>
      <c r="S219">
        <f ca="1">IF(AND(ISNUMBER($S$627),$B$427=1),$S$627,HLOOKUP(INDIRECT(ADDRESS(2,COLUMN())),OFFSET($AM$2,0,0,ROW()-1,33),ROW()-1,FALSE))</f>
        <v>17.07145985</v>
      </c>
      <c r="T219">
        <f ca="1">IF(AND(ISNUMBER($T$627),$B$427=1),$T$627,HLOOKUP(INDIRECT(ADDRESS(2,COLUMN())),OFFSET($AM$2,0,0,ROW()-1,33),ROW()-1,FALSE))</f>
        <v>16.422599730000002</v>
      </c>
      <c r="U219">
        <f ca="1">IF(AND(ISNUMBER($U$627),$B$427=1),$U$627,HLOOKUP(INDIRECT(ADDRESS(2,COLUMN())),OFFSET($AM$2,0,0,ROW()-1,33),ROW()-1,FALSE))</f>
        <v>16.26883097</v>
      </c>
      <c r="V219">
        <f ca="1">IF(AND(ISNUMBER($V$627),$B$427=1),$V$627,HLOOKUP(INDIRECT(ADDRESS(2,COLUMN())),OFFSET($AM$2,0,0,ROW()-1,33),ROW()-1,FALSE))</f>
        <v>19.445472299999999</v>
      </c>
      <c r="W219">
        <f ca="1">IF(AND(ISNUMBER($W$627),$B$427=1),$W$627,HLOOKUP(INDIRECT(ADDRESS(2,COLUMN())),OFFSET($AM$2,0,0,ROW()-1,33),ROW()-1,FALSE))</f>
        <v>19.979723679999999</v>
      </c>
      <c r="X219">
        <f ca="1">IF(AND(ISNUMBER($X$627),$B$427=1),$X$627,HLOOKUP(INDIRECT(ADDRESS(2,COLUMN())),OFFSET($AM$2,0,0,ROW()-1,33),ROW()-1,FALSE))</f>
        <v>20.705320199999999</v>
      </c>
      <c r="Y219">
        <f ca="1">IF(AND(ISNUMBER($Y$627),$B$427=1),$Y$627,HLOOKUP(INDIRECT(ADDRESS(2,COLUMN())),OFFSET($AM$2,0,0,ROW()-1,33),ROW()-1,FALSE))</f>
        <v>18.850215859999999</v>
      </c>
      <c r="Z219">
        <f ca="1">IF(AND(ISNUMBER($Z$627),$B$427=1),$Z$627,HLOOKUP(INDIRECT(ADDRESS(2,COLUMN())),OFFSET($AM$2,0,0,ROW()-1,33),ROW()-1,FALSE))</f>
        <v>20.124674599999999</v>
      </c>
      <c r="AA219">
        <f ca="1">IF(AND(ISNUMBER($AA$627),$B$427=1),$AA$627,HLOOKUP(INDIRECT(ADDRESS(2,COLUMN())),OFFSET($AM$2,0,0,ROW()-1,33),ROW()-1,FALSE))</f>
        <v>21.61321555</v>
      </c>
      <c r="AB219">
        <f ca="1">IF(AND(ISNUMBER($AB$627),$B$427=1),$AB$627,HLOOKUP(INDIRECT(ADDRESS(2,COLUMN())),OFFSET($AM$2,0,0,ROW()-1,33),ROW()-1,FALSE))</f>
        <v>20.206807600000001</v>
      </c>
      <c r="AC219">
        <f ca="1">IF(AND(ISNUMBER($AC$627),$B$427=1),$AC$627,HLOOKUP(INDIRECT(ADDRESS(2,COLUMN())),OFFSET($AM$2,0,0,ROW()-1,33),ROW()-1,FALSE))</f>
        <v>20.86901473</v>
      </c>
      <c r="AD219" t="str">
        <f ca="1">IF(AND(ISNUMBER($AD$627),$B$427=1),$AD$627,HLOOKUP(INDIRECT(ADDRESS(2,COLUMN())),OFFSET($AM$2,0,0,ROW()-1,33),ROW()-1,FALSE))</f>
        <v/>
      </c>
      <c r="AE219" t="str">
        <f ca="1">IF(AND(ISNUMBER($AE$627),$B$427=1),$AE$627,HLOOKUP(INDIRECT(ADDRESS(2,COLUMN())),OFFSET($AM$2,0,0,ROW()-1,33),ROW()-1,FALSE))</f>
        <v/>
      </c>
      <c r="AF219" t="str">
        <f ca="1">IF(AND(ISNUMBER($AF$627),$B$427=1),$AF$627,HLOOKUP(INDIRECT(ADDRESS(2,COLUMN())),OFFSET($AM$2,0,0,ROW()-1,33),ROW()-1,FALSE))</f>
        <v/>
      </c>
      <c r="AG219" t="str">
        <f ca="1">IF(AND(ISNUMBER($AG$627),$B$427=1),$AG$627,HLOOKUP(INDIRECT(ADDRESS(2,COLUMN())),OFFSET($AM$2,0,0,ROW()-1,33),ROW()-1,FALSE))</f>
        <v/>
      </c>
      <c r="AH219" t="str">
        <f ca="1">IF(AND(ISNUMBER($AH$627),$B$427=1),$AH$627,HLOOKUP(INDIRECT(ADDRESS(2,COLUMN())),OFFSET($AM$2,0,0,ROW()-1,33),ROW()-1,FALSE))</f>
        <v/>
      </c>
      <c r="AI219" t="str">
        <f ca="1">IF(AND(ISNUMBER($AI$627),$B$427=1),$AI$627,HLOOKUP(INDIRECT(ADDRESS(2,COLUMN())),OFFSET($AM$2,0,0,ROW()-1,33),ROW()-1,FALSE))</f>
        <v/>
      </c>
      <c r="AJ219" t="str">
        <f ca="1">IF(AND(ISNUMBER($AJ$627),$B$427=1),$AJ$627,HLOOKUP(INDIRECT(ADDRESS(2,COLUMN())),OFFSET($AM$2,0,0,ROW()-1,33),ROW()-1,FALSE))</f>
        <v/>
      </c>
      <c r="AK219" t="str">
        <f ca="1">IF(AND(ISNUMBER($AK$627),$B$427=1),$AK$627,HLOOKUP(INDIRECT(ADDRESS(2,COLUMN())),OFFSET($AM$2,0,0,ROW()-1,33),ROW()-1,FALSE))</f>
        <v/>
      </c>
      <c r="AL219" t="str">
        <f ca="1">IF(AND(ISNUMBER($AL$627),$B$427=1),$AL$627,HLOOKUP(INDIRECT(ADDRESS(2,COLUMN())),OFFSET($AM$2,0,0,ROW()-1,33),ROW()-1,FALSE))</f>
        <v/>
      </c>
      <c r="AM219">
        <f>17.80708857</f>
        <v>17.807088570000001</v>
      </c>
      <c r="AN219">
        <f>17.05838274</f>
        <v>17.058382739999999</v>
      </c>
      <c r="AO219">
        <f>22.35566775</f>
        <v>22.355667749999999</v>
      </c>
      <c r="AP219">
        <f>24.29538089</f>
        <v>24.295380890000001</v>
      </c>
      <c r="AQ219">
        <f>28.22522057</f>
        <v>28.225220570000001</v>
      </c>
      <c r="AR219">
        <f>24.7207254</f>
        <v>24.720725399999999</v>
      </c>
      <c r="AS219">
        <f>24.60963978</f>
        <v>24.609639779999998</v>
      </c>
      <c r="AT219">
        <f>26.58619505</f>
        <v>26.586195050000001</v>
      </c>
      <c r="AU219">
        <f>25.5776687</f>
        <v>25.5776687</v>
      </c>
      <c r="AV219">
        <f>28.65660028</f>
        <v>28.656600279999999</v>
      </c>
      <c r="AW219">
        <f>22.88847756</f>
        <v>22.888477559999998</v>
      </c>
      <c r="AX219">
        <f>19.17419467</f>
        <v>19.174194669999999</v>
      </c>
      <c r="AY219">
        <f>18.25031617</f>
        <v>18.250316170000001</v>
      </c>
      <c r="AZ219">
        <f>17.07145985</f>
        <v>17.07145985</v>
      </c>
      <c r="BA219">
        <f>16.42259973</f>
        <v>16.422599730000002</v>
      </c>
      <c r="BB219">
        <f>16.26883097</f>
        <v>16.26883097</v>
      </c>
      <c r="BC219">
        <f>19.4454723</f>
        <v>19.445472299999999</v>
      </c>
      <c r="BD219">
        <f>19.97972368</f>
        <v>19.979723679999999</v>
      </c>
      <c r="BE219">
        <f>20.7053202</f>
        <v>20.705320199999999</v>
      </c>
      <c r="BF219">
        <f>18.85021586</f>
        <v>18.850215859999999</v>
      </c>
      <c r="BG219">
        <f>20.1246746</f>
        <v>20.124674599999999</v>
      </c>
      <c r="BH219">
        <f>21.61321555</f>
        <v>21.61321555</v>
      </c>
      <c r="BI219">
        <f>20.2068076</f>
        <v>20.206807600000001</v>
      </c>
      <c r="BJ219">
        <f>20.86901473</f>
        <v>20.86901473</v>
      </c>
      <c r="BK219" t="str">
        <f>""</f>
        <v/>
      </c>
      <c r="BL219" t="str">
        <f>""</f>
        <v/>
      </c>
      <c r="BM219" t="str">
        <f>""</f>
        <v/>
      </c>
      <c r="BN219" t="str">
        <f>""</f>
        <v/>
      </c>
      <c r="BO219" t="str">
        <f>""</f>
        <v/>
      </c>
      <c r="BP219" t="str">
        <f>""</f>
        <v/>
      </c>
      <c r="BQ219" t="str">
        <f>""</f>
        <v/>
      </c>
      <c r="BR219" t="str">
        <f>""</f>
        <v/>
      </c>
      <c r="BS219" t="str">
        <f>""</f>
        <v/>
      </c>
    </row>
    <row r="220" spans="1:71" x14ac:dyDescent="0.25">
      <c r="A220" t="str">
        <f>"        Zions Bancorp NA"</f>
        <v xml:space="preserve">        Zions Bancorp NA</v>
      </c>
      <c r="B220" t="str">
        <f>"ZION US Equity"</f>
        <v>ZION US Equity</v>
      </c>
      <c r="C220" t="str">
        <f t="shared" si="27"/>
        <v>F0115</v>
      </c>
      <c r="D220" t="str">
        <f t="shared" si="28"/>
        <v>FED_C&amp;I_LNS_CONS_%_TOT_LNS_LEAS</v>
      </c>
      <c r="E220" t="str">
        <f t="shared" si="29"/>
        <v>Dynamic</v>
      </c>
      <c r="F220" t="str">
        <f ca="1">IF(AND(ISNUMBER($F$628),$B$427=1),$F$628,HLOOKUP(INDIRECT(ADDRESS(2,COLUMN())),OFFSET($AM$2,0,0,ROW()-1,33),ROW()-1,FALSE))</f>
        <v/>
      </c>
      <c r="G220" t="str">
        <f ca="1">IF(AND(ISNUMBER($G$628),$B$427=1),$G$628,HLOOKUP(INDIRECT(ADDRESS(2,COLUMN())),OFFSET($AM$2,0,0,ROW()-1,33),ROW()-1,FALSE))</f>
        <v/>
      </c>
      <c r="H220" t="str">
        <f ca="1">IF(AND(ISNUMBER($H$628),$B$427=1),$H$628,HLOOKUP(INDIRECT(ADDRESS(2,COLUMN())),OFFSET($AM$2,0,0,ROW()-1,33),ROW()-1,FALSE))</f>
        <v/>
      </c>
      <c r="I220" t="str">
        <f ca="1">IF(AND(ISNUMBER($I$628),$B$427=1),$I$628,HLOOKUP(INDIRECT(ADDRESS(2,COLUMN())),OFFSET($AM$2,0,0,ROW()-1,33),ROW()-1,FALSE))</f>
        <v/>
      </c>
      <c r="J220" t="str">
        <f ca="1">IF(AND(ISNUMBER($J$628),$B$427=1),$J$628,HLOOKUP(INDIRECT(ADDRESS(2,COLUMN())),OFFSET($AM$2,0,0,ROW()-1,33),ROW()-1,FALSE))</f>
        <v/>
      </c>
      <c r="K220" t="str">
        <f ca="1">IF(AND(ISNUMBER($K$628),$B$427=1),$K$628,HLOOKUP(INDIRECT(ADDRESS(2,COLUMN())),OFFSET($AM$2,0,0,ROW()-1,33),ROW()-1,FALSE))</f>
        <v/>
      </c>
      <c r="L220" t="str">
        <f ca="1">IF(AND(ISNUMBER($L$628),$B$427=1),$L$628,HLOOKUP(INDIRECT(ADDRESS(2,COLUMN())),OFFSET($AM$2,0,0,ROW()-1,33),ROW()-1,FALSE))</f>
        <v/>
      </c>
      <c r="M220" t="str">
        <f ca="1">IF(AND(ISNUMBER($M$628),$B$427=1),$M$628,HLOOKUP(INDIRECT(ADDRESS(2,COLUMN())),OFFSET($AM$2,0,0,ROW()-1,33),ROW()-1,FALSE))</f>
        <v/>
      </c>
      <c r="N220" t="str">
        <f ca="1">IF(AND(ISNUMBER($N$628),$B$427=1),$N$628,HLOOKUP(INDIRECT(ADDRESS(2,COLUMN())),OFFSET($AM$2,0,0,ROW()-1,33),ROW()-1,FALSE))</f>
        <v/>
      </c>
      <c r="O220" t="str">
        <f ca="1">IF(AND(ISNUMBER($O$628),$B$427=1),$O$628,HLOOKUP(INDIRECT(ADDRESS(2,COLUMN())),OFFSET($AM$2,0,0,ROW()-1,33),ROW()-1,FALSE))</f>
        <v/>
      </c>
      <c r="P220" t="str">
        <f ca="1">IF(AND(ISNUMBER($P$628),$B$427=1),$P$628,HLOOKUP(INDIRECT(ADDRESS(2,COLUMN())),OFFSET($AM$2,0,0,ROW()-1,33),ROW()-1,FALSE))</f>
        <v/>
      </c>
      <c r="Q220" t="str">
        <f ca="1">IF(AND(ISNUMBER($Q$628),$B$427=1),$Q$628,HLOOKUP(INDIRECT(ADDRESS(2,COLUMN())),OFFSET($AM$2,0,0,ROW()-1,33),ROW()-1,FALSE))</f>
        <v/>
      </c>
      <c r="R220" t="str">
        <f ca="1">IF(AND(ISNUMBER($R$628),$B$427=1),$R$628,HLOOKUP(INDIRECT(ADDRESS(2,COLUMN())),OFFSET($AM$2,0,0,ROW()-1,33),ROW()-1,FALSE))</f>
        <v/>
      </c>
      <c r="S220" t="str">
        <f ca="1">IF(AND(ISNUMBER($S$628),$B$427=1),$S$628,HLOOKUP(INDIRECT(ADDRESS(2,COLUMN())),OFFSET($AM$2,0,0,ROW()-1,33),ROW()-1,FALSE))</f>
        <v/>
      </c>
      <c r="T220" t="str">
        <f ca="1">IF(AND(ISNUMBER($T$628),$B$427=1),$T$628,HLOOKUP(INDIRECT(ADDRESS(2,COLUMN())),OFFSET($AM$2,0,0,ROW()-1,33),ROW()-1,FALSE))</f>
        <v/>
      </c>
      <c r="U220" t="str">
        <f ca="1">IF(AND(ISNUMBER($U$628),$B$427=1),$U$628,HLOOKUP(INDIRECT(ADDRESS(2,COLUMN())),OFFSET($AM$2,0,0,ROW()-1,33),ROW()-1,FALSE))</f>
        <v/>
      </c>
      <c r="V220" t="str">
        <f ca="1">IF(AND(ISNUMBER($V$628),$B$427=1),$V$628,HLOOKUP(INDIRECT(ADDRESS(2,COLUMN())),OFFSET($AM$2,0,0,ROW()-1,33),ROW()-1,FALSE))</f>
        <v/>
      </c>
      <c r="W220" t="str">
        <f ca="1">IF(AND(ISNUMBER($W$628),$B$427=1),$W$628,HLOOKUP(INDIRECT(ADDRESS(2,COLUMN())),OFFSET($AM$2,0,0,ROW()-1,33),ROW()-1,FALSE))</f>
        <v/>
      </c>
      <c r="X220" t="str">
        <f ca="1">IF(AND(ISNUMBER($X$628),$B$427=1),$X$628,HLOOKUP(INDIRECT(ADDRESS(2,COLUMN())),OFFSET($AM$2,0,0,ROW()-1,33),ROW()-1,FALSE))</f>
        <v/>
      </c>
      <c r="Y220" t="str">
        <f ca="1">IF(AND(ISNUMBER($Y$628),$B$427=1),$Y$628,HLOOKUP(INDIRECT(ADDRESS(2,COLUMN())),OFFSET($AM$2,0,0,ROW()-1,33),ROW()-1,FALSE))</f>
        <v/>
      </c>
      <c r="Z220" t="str">
        <f ca="1">IF(AND(ISNUMBER($Z$628),$B$427=1),$Z$628,HLOOKUP(INDIRECT(ADDRESS(2,COLUMN())),OFFSET($AM$2,0,0,ROW()-1,33),ROW()-1,FALSE))</f>
        <v/>
      </c>
      <c r="AA220" t="str">
        <f ca="1">IF(AND(ISNUMBER($AA$628),$B$427=1),$AA$628,HLOOKUP(INDIRECT(ADDRESS(2,COLUMN())),OFFSET($AM$2,0,0,ROW()-1,33),ROW()-1,FALSE))</f>
        <v/>
      </c>
      <c r="AB220" t="str">
        <f ca="1">IF(AND(ISNUMBER($AB$628),$B$427=1),$AB$628,HLOOKUP(INDIRECT(ADDRESS(2,COLUMN())),OFFSET($AM$2,0,0,ROW()-1,33),ROW()-1,FALSE))</f>
        <v/>
      </c>
      <c r="AC220" t="str">
        <f ca="1">IF(AND(ISNUMBER($AC$628),$B$427=1),$AC$628,HLOOKUP(INDIRECT(ADDRESS(2,COLUMN())),OFFSET($AM$2,0,0,ROW()-1,33),ROW()-1,FALSE))</f>
        <v/>
      </c>
      <c r="AD220" t="str">
        <f ca="1">IF(AND(ISNUMBER($AD$628),$B$427=1),$AD$628,HLOOKUP(INDIRECT(ADDRESS(2,COLUMN())),OFFSET($AM$2,0,0,ROW()-1,33),ROW()-1,FALSE))</f>
        <v/>
      </c>
      <c r="AE220" t="str">
        <f ca="1">IF(AND(ISNUMBER($AE$628),$B$427=1),$AE$628,HLOOKUP(INDIRECT(ADDRESS(2,COLUMN())),OFFSET($AM$2,0,0,ROW()-1,33),ROW()-1,FALSE))</f>
        <v/>
      </c>
      <c r="AF220" t="str">
        <f ca="1">IF(AND(ISNUMBER($AF$628),$B$427=1),$AF$628,HLOOKUP(INDIRECT(ADDRESS(2,COLUMN())),OFFSET($AM$2,0,0,ROW()-1,33),ROW()-1,FALSE))</f>
        <v/>
      </c>
      <c r="AG220" t="str">
        <f ca="1">IF(AND(ISNUMBER($AG$628),$B$427=1),$AG$628,HLOOKUP(INDIRECT(ADDRESS(2,COLUMN())),OFFSET($AM$2,0,0,ROW()-1,33),ROW()-1,FALSE))</f>
        <v/>
      </c>
      <c r="AH220" t="str">
        <f ca="1">IF(AND(ISNUMBER($AH$628),$B$427=1),$AH$628,HLOOKUP(INDIRECT(ADDRESS(2,COLUMN())),OFFSET($AM$2,0,0,ROW()-1,33),ROW()-1,FALSE))</f>
        <v/>
      </c>
      <c r="AI220" t="str">
        <f ca="1">IF(AND(ISNUMBER($AI$628),$B$427=1),$AI$628,HLOOKUP(INDIRECT(ADDRESS(2,COLUMN())),OFFSET($AM$2,0,0,ROW()-1,33),ROW()-1,FALSE))</f>
        <v/>
      </c>
      <c r="AJ220" t="str">
        <f ca="1">IF(AND(ISNUMBER($AJ$628),$B$427=1),$AJ$628,HLOOKUP(INDIRECT(ADDRESS(2,COLUMN())),OFFSET($AM$2,0,0,ROW()-1,33),ROW()-1,FALSE))</f>
        <v/>
      </c>
      <c r="AK220" t="str">
        <f ca="1">IF(AND(ISNUMBER($AK$628),$B$427=1),$AK$628,HLOOKUP(INDIRECT(ADDRESS(2,COLUMN())),OFFSET($AM$2,0,0,ROW()-1,33),ROW()-1,FALSE))</f>
        <v/>
      </c>
      <c r="AL220" t="str">
        <f ca="1">IF(AND(ISNUMBER($AL$628),$B$427=1),$AL$628,HLOOKUP(INDIRECT(ADDRESS(2,COLUMN())),OFFSET($AM$2,0,0,ROW()-1,33),ROW()-1,FALSE))</f>
        <v/>
      </c>
      <c r="AM220" t="str">
        <f>""</f>
        <v/>
      </c>
      <c r="AN220" t="str">
        <f>""</f>
        <v/>
      </c>
      <c r="AO220" t="str">
        <f>""</f>
        <v/>
      </c>
      <c r="AP220" t="str">
        <f>""</f>
        <v/>
      </c>
      <c r="AQ220" t="str">
        <f>""</f>
        <v/>
      </c>
      <c r="AR220" t="str">
        <f>""</f>
        <v/>
      </c>
      <c r="AS220" t="str">
        <f>""</f>
        <v/>
      </c>
      <c r="AT220" t="str">
        <f>""</f>
        <v/>
      </c>
      <c r="AU220" t="str">
        <f>""</f>
        <v/>
      </c>
      <c r="AV220" t="str">
        <f>""</f>
        <v/>
      </c>
      <c r="AW220" t="str">
        <f>""</f>
        <v/>
      </c>
      <c r="AX220" t="str">
        <f>""</f>
        <v/>
      </c>
      <c r="AY220" t="str">
        <f>""</f>
        <v/>
      </c>
      <c r="AZ220" t="str">
        <f>""</f>
        <v/>
      </c>
      <c r="BA220" t="str">
        <f>""</f>
        <v/>
      </c>
      <c r="BB220" t="str">
        <f>""</f>
        <v/>
      </c>
      <c r="BC220" t="str">
        <f>""</f>
        <v/>
      </c>
      <c r="BD220" t="str">
        <f>""</f>
        <v/>
      </c>
      <c r="BE220" t="str">
        <f>""</f>
        <v/>
      </c>
      <c r="BF220" t="str">
        <f>""</f>
        <v/>
      </c>
      <c r="BG220" t="str">
        <f>""</f>
        <v/>
      </c>
      <c r="BH220" t="str">
        <f>""</f>
        <v/>
      </c>
      <c r="BI220" t="str">
        <f>""</f>
        <v/>
      </c>
      <c r="BJ220" t="str">
        <f>""</f>
        <v/>
      </c>
      <c r="BK220" t="str">
        <f>""</f>
        <v/>
      </c>
      <c r="BL220" t="str">
        <f>""</f>
        <v/>
      </c>
      <c r="BM220" t="str">
        <f>""</f>
        <v/>
      </c>
      <c r="BN220" t="str">
        <f>""</f>
        <v/>
      </c>
      <c r="BO220" t="str">
        <f>""</f>
        <v/>
      </c>
      <c r="BP220" t="str">
        <f>""</f>
        <v/>
      </c>
      <c r="BQ220" t="str">
        <f>""</f>
        <v/>
      </c>
      <c r="BR220" t="str">
        <f>""</f>
        <v/>
      </c>
      <c r="BS220" t="str">
        <f>""</f>
        <v/>
      </c>
    </row>
    <row r="221" spans="1:71" x14ac:dyDescent="0.25">
      <c r="A221" t="str">
        <f>"Commercial leases"</f>
        <v>Commercial leases</v>
      </c>
      <c r="B221" t="str">
        <f>""</f>
        <v/>
      </c>
      <c r="E221" t="str">
        <f>"Median"</f>
        <v>Median</v>
      </c>
      <c r="F221">
        <f ca="1">IF(ISERROR(IF(MEDIAN($F$222:$F$241) = 0, "", MEDIAN($F$222:$F$241))), "", (IF(MEDIAN($F$222:$F$241) = 0, "", MEDIAN($F$222:$F$241))))</f>
        <v>1.3659579209999999</v>
      </c>
      <c r="G221">
        <f ca="1">IF(ISERROR(IF(MEDIAN($G$222:$G$241) = 0, "", MEDIAN($G$222:$G$241))), "", (IF(MEDIAN($G$222:$G$241) = 0, "", MEDIAN($G$222:$G$241))))</f>
        <v>1.5283217120000001</v>
      </c>
      <c r="H221">
        <f ca="1">IF(ISERROR(IF(MEDIAN($H$222:$H$241) = 0, "", MEDIAN($H$222:$H$241))), "", (IF(MEDIAN($H$222:$H$241) = 0, "", MEDIAN($H$222:$H$241))))</f>
        <v>1.4343763460000001</v>
      </c>
      <c r="I221">
        <f ca="1">IF(ISERROR(IF(MEDIAN($I$222:$I$241) = 0, "", MEDIAN($I$222:$I$241))), "", (IF(MEDIAN($I$222:$I$241) = 0, "", MEDIAN($I$222:$I$241))))</f>
        <v>1.434639344</v>
      </c>
      <c r="J221">
        <f ca="1">IF(ISERROR(IF(MEDIAN($J$222:$J$241) = 0, "", MEDIAN($J$222:$J$241))), "", (IF(MEDIAN($J$222:$J$241) = 0, "", MEDIAN($J$222:$J$241))))</f>
        <v>1.7268237749999999</v>
      </c>
      <c r="K221">
        <f ca="1">IF(ISERROR(IF(MEDIAN($K$222:$K$241) = 0, "", MEDIAN($K$222:$K$241))), "", (IF(MEDIAN($K$222:$K$241) = 0, "", MEDIAN($K$222:$K$241))))</f>
        <v>1.887761867</v>
      </c>
      <c r="L221">
        <f ca="1">IF(ISERROR(IF(MEDIAN($L$222:$L$241) = 0, "", MEDIAN($L$222:$L$241))), "", (IF(MEDIAN($L$222:$L$241) = 0, "", MEDIAN($L$222:$L$241))))</f>
        <v>1.723030885</v>
      </c>
      <c r="M221">
        <f ca="1">IF(ISERROR(IF(MEDIAN($M$222:$M$241) = 0, "", MEDIAN($M$222:$M$241))), "", (IF(MEDIAN($M$222:$M$241) = 0, "", MEDIAN($M$222:$M$241))))</f>
        <v>1.7515576319999999</v>
      </c>
      <c r="N221">
        <f ca="1">IF(ISERROR(IF(MEDIAN($N$222:$N$241) = 0, "", MEDIAN($N$222:$N$241))), "", (IF(MEDIAN($N$222:$N$241) = 0, "", MEDIAN($N$222:$N$241))))</f>
        <v>1.439976954</v>
      </c>
      <c r="O221">
        <f ca="1">IF(ISERROR(IF(MEDIAN($O$222:$O$241) = 0, "", MEDIAN($O$222:$O$241))), "", (IF(MEDIAN($O$222:$O$241) = 0, "", MEDIAN($O$222:$O$241))))</f>
        <v>1.381924704</v>
      </c>
      <c r="P221">
        <f ca="1">IF(ISERROR(IF(MEDIAN($P$222:$P$241) = 0, "", MEDIAN($P$222:$P$241))), "", (IF(MEDIAN($P$222:$P$241) = 0, "", MEDIAN($P$222:$P$241))))</f>
        <v>2.1398348899999999</v>
      </c>
      <c r="Q221">
        <f ca="1">IF(ISERROR(IF(MEDIAN($Q$222:$Q$241) = 0, "", MEDIAN($Q$222:$Q$241))), "", (IF(MEDIAN($Q$222:$Q$241) = 0, "", MEDIAN($Q$222:$Q$241))))</f>
        <v>1.931602904</v>
      </c>
      <c r="R221">
        <f ca="1">IF(ISERROR(IF(MEDIAN($R$222:$R$241) = 0, "", MEDIAN($R$222:$R$241))), "", (IF(MEDIAN($R$222:$R$241) = 0, "", MEDIAN($R$222:$R$241))))</f>
        <v>1.9349759390000001</v>
      </c>
      <c r="S221">
        <f ca="1">IF(ISERROR(IF(MEDIAN($S$222:$S$241) = 0, "", MEDIAN($S$222:$S$241))), "", (IF(MEDIAN($S$222:$S$241) = 0, "", MEDIAN($S$222:$S$241))))</f>
        <v>2.119084929</v>
      </c>
      <c r="T221">
        <f ca="1">IF(ISERROR(IF(MEDIAN($T$222:$T$241) = 0, "", MEDIAN($T$222:$T$241))), "", (IF(MEDIAN($T$222:$T$241) = 0, "", MEDIAN($T$222:$T$241))))</f>
        <v>2.1729631810000001</v>
      </c>
      <c r="U221">
        <f ca="1">IF(ISERROR(IF(MEDIAN($U$222:$U$241) = 0, "", MEDIAN($U$222:$U$241))), "", (IF(MEDIAN($U$222:$U$241) = 0, "", MEDIAN($U$222:$U$241))))</f>
        <v>2.3726718519999999</v>
      </c>
      <c r="V221">
        <f ca="1">IF(ISERROR(IF(MEDIAN($V$222:$V$241) = 0, "", MEDIAN($V$222:$V$241))), "", (IF(MEDIAN($V$222:$V$241) = 0, "", MEDIAN($V$222:$V$241))))</f>
        <v>2.0595381979999998</v>
      </c>
      <c r="W221">
        <f ca="1">IF(ISERROR(IF(MEDIAN($W$222:$W$241) = 0, "", MEDIAN($W$222:$W$241))), "", (IF(MEDIAN($W$222:$W$241) = 0, "", MEDIAN($W$222:$W$241))))</f>
        <v>2.2777477199999998</v>
      </c>
      <c r="X221" t="str">
        <f ca="1">IF(ISERROR(IF(MEDIAN($X$222:$X$241) = 0, "", MEDIAN($X$222:$X$241))), "", (IF(MEDIAN($X$222:$X$241) = 0, "", MEDIAN($X$222:$X$241))))</f>
        <v/>
      </c>
      <c r="Y221" t="str">
        <f ca="1">IF(ISERROR(IF(MEDIAN($Y$222:$Y$241) = 0, "", MEDIAN($Y$222:$Y$241))), "", (IF(MEDIAN($Y$222:$Y$241) = 0, "", MEDIAN($Y$222:$Y$241))))</f>
        <v/>
      </c>
      <c r="Z221" t="str">
        <f ca="1">IF(ISERROR(IF(MEDIAN($Z$222:$Z$241) = 0, "", MEDIAN($Z$222:$Z$241))), "", (IF(MEDIAN($Z$222:$Z$241) = 0, "", MEDIAN($Z$222:$Z$241))))</f>
        <v/>
      </c>
      <c r="AA221" t="str">
        <f ca="1">IF(ISERROR(IF(MEDIAN($AA$222:$AA$241) = 0, "", MEDIAN($AA$222:$AA$241))), "", (IF(MEDIAN($AA$222:$AA$241) = 0, "", MEDIAN($AA$222:$AA$241))))</f>
        <v/>
      </c>
      <c r="AB221" t="str">
        <f ca="1">IF(ISERROR(IF(MEDIAN($AB$222:$AB$241) = 0, "", MEDIAN($AB$222:$AB$241))), "", (IF(MEDIAN($AB$222:$AB$241) = 0, "", MEDIAN($AB$222:$AB$241))))</f>
        <v/>
      </c>
      <c r="AC221" t="str">
        <f ca="1">IF(ISERROR(IF(MEDIAN($AC$222:$AC$241) = 0, "", MEDIAN($AC$222:$AC$241))), "", (IF(MEDIAN($AC$222:$AC$241) = 0, "", MEDIAN($AC$222:$AC$241))))</f>
        <v/>
      </c>
      <c r="AD221" t="str">
        <f ca="1">IF(ISERROR(IF(MEDIAN($AD$222:$AD$241) = 0, "", MEDIAN($AD$222:$AD$241))), "", (IF(MEDIAN($AD$222:$AD$241) = 0, "", MEDIAN($AD$222:$AD$241))))</f>
        <v/>
      </c>
      <c r="AE221" t="str">
        <f ca="1">IF(ISERROR(IF(MEDIAN($AE$222:$AE$241) = 0, "", MEDIAN($AE$222:$AE$241))), "", (IF(MEDIAN($AE$222:$AE$241) = 0, "", MEDIAN($AE$222:$AE$241))))</f>
        <v/>
      </c>
      <c r="AF221" t="str">
        <f ca="1">IF(ISERROR(IF(MEDIAN($AF$222:$AF$241) = 0, "", MEDIAN($AF$222:$AF$241))), "", (IF(MEDIAN($AF$222:$AF$241) = 0, "", MEDIAN($AF$222:$AF$241))))</f>
        <v/>
      </c>
      <c r="AG221" t="str">
        <f ca="1">IF(ISERROR(IF(MEDIAN($AG$222:$AG$241) = 0, "", MEDIAN($AG$222:$AG$241))), "", (IF(MEDIAN($AG$222:$AG$241) = 0, "", MEDIAN($AG$222:$AG$241))))</f>
        <v/>
      </c>
      <c r="AH221" t="str">
        <f ca="1">IF(ISERROR(IF(MEDIAN($AH$222:$AH$241) = 0, "", MEDIAN($AH$222:$AH$241))), "", (IF(MEDIAN($AH$222:$AH$241) = 0, "", MEDIAN($AH$222:$AH$241))))</f>
        <v/>
      </c>
      <c r="AI221" t="str">
        <f ca="1">IF(ISERROR(IF(MEDIAN($AI$222:$AI$241) = 0, "", MEDIAN($AI$222:$AI$241))), "", (IF(MEDIAN($AI$222:$AI$241) = 0, "", MEDIAN($AI$222:$AI$241))))</f>
        <v/>
      </c>
      <c r="AJ221" t="str">
        <f ca="1">IF(ISERROR(IF(MEDIAN($AJ$222:$AJ$241) = 0, "", MEDIAN($AJ$222:$AJ$241))), "", (IF(MEDIAN($AJ$222:$AJ$241) = 0, "", MEDIAN($AJ$222:$AJ$241))))</f>
        <v/>
      </c>
      <c r="AK221" t="str">
        <f ca="1">IF(ISERROR(IF(MEDIAN($AK$222:$AK$241) = 0, "", MEDIAN($AK$222:$AK$241))), "", (IF(MEDIAN($AK$222:$AK$241) = 0, "", MEDIAN($AK$222:$AK$241))))</f>
        <v/>
      </c>
      <c r="AL221" t="str">
        <f ca="1">IF(ISERROR(IF(MEDIAN($AL$222:$AL$241) = 0, "", MEDIAN($AL$222:$AL$241))), "", (IF(MEDIAN($AL$222:$AL$241) = 0, "", MEDIAN($AL$222:$AL$241))))</f>
        <v/>
      </c>
      <c r="AM221">
        <f>1.365957921</f>
        <v>1.3659579209999999</v>
      </c>
      <c r="AN221">
        <f>1.528321712</f>
        <v>1.5283217120000001</v>
      </c>
      <c r="AO221">
        <f>1.434376346</f>
        <v>1.4343763460000001</v>
      </c>
      <c r="AP221">
        <f>1.434639344</f>
        <v>1.434639344</v>
      </c>
      <c r="AQ221">
        <f>1.726823775</f>
        <v>1.7268237749999999</v>
      </c>
      <c r="AR221">
        <f>1.887761867</f>
        <v>1.887761867</v>
      </c>
      <c r="AS221">
        <f>1.723030885</f>
        <v>1.723030885</v>
      </c>
      <c r="AT221">
        <f>1.751557632</f>
        <v>1.7515576319999999</v>
      </c>
      <c r="AU221">
        <f>1.439976954</f>
        <v>1.439976954</v>
      </c>
      <c r="AV221">
        <f>1.381924704</f>
        <v>1.381924704</v>
      </c>
      <c r="AW221">
        <f>2.13983489</f>
        <v>2.1398348899999999</v>
      </c>
      <c r="AX221">
        <f>1.931602904</f>
        <v>1.931602904</v>
      </c>
      <c r="AY221">
        <f>1.934975939</f>
        <v>1.9349759390000001</v>
      </c>
      <c r="AZ221">
        <f>2.119084929</f>
        <v>2.119084929</v>
      </c>
      <c r="BA221">
        <f>2.172963181</f>
        <v>2.1729631810000001</v>
      </c>
      <c r="BB221">
        <f>2.372671852</f>
        <v>2.3726718519999999</v>
      </c>
      <c r="BC221">
        <f>2.059538198</f>
        <v>2.0595381979999998</v>
      </c>
      <c r="BD221">
        <f>2.27774772</f>
        <v>2.2777477199999998</v>
      </c>
      <c r="BE221" t="str">
        <f>""</f>
        <v/>
      </c>
      <c r="BF221" t="str">
        <f>""</f>
        <v/>
      </c>
      <c r="BG221" t="str">
        <f>""</f>
        <v/>
      </c>
      <c r="BH221" t="str">
        <f>""</f>
        <v/>
      </c>
      <c r="BI221" t="str">
        <f>""</f>
        <v/>
      </c>
      <c r="BJ221" t="str">
        <f>""</f>
        <v/>
      </c>
      <c r="BK221" t="str">
        <f>""</f>
        <v/>
      </c>
      <c r="BL221" t="str">
        <f>""</f>
        <v/>
      </c>
      <c r="BM221" t="str">
        <f>""</f>
        <v/>
      </c>
      <c r="BN221" t="str">
        <f>""</f>
        <v/>
      </c>
      <c r="BO221" t="str">
        <f>""</f>
        <v/>
      </c>
      <c r="BP221" t="str">
        <f>""</f>
        <v/>
      </c>
      <c r="BQ221" t="str">
        <f>""</f>
        <v/>
      </c>
      <c r="BR221" t="str">
        <f>""</f>
        <v/>
      </c>
      <c r="BS221" t="str">
        <f>""</f>
        <v/>
      </c>
    </row>
    <row r="222" spans="1:71" x14ac:dyDescent="0.25">
      <c r="A222" t="str">
        <f>"    Bank of America Corp"</f>
        <v xml:space="preserve">    Bank of America Corp</v>
      </c>
      <c r="B222" t="str">
        <f>"BAC US Equity"</f>
        <v>BAC US Equity</v>
      </c>
      <c r="C222" t="str">
        <f t="shared" ref="C222:C241" si="30">"F0116"</f>
        <v>F0116</v>
      </c>
      <c r="D222" t="str">
        <f t="shared" ref="D222:D241" si="31">"FED_OTHER_LEASES_%_TOT_LNS_LEAS"</f>
        <v>FED_OTHER_LEASES_%_TOT_LNS_LEAS</v>
      </c>
      <c r="E222" t="str">
        <f t="shared" ref="E222:E241" si="32">"Dynamic"</f>
        <v>Dynamic</v>
      </c>
      <c r="F222">
        <f ca="1">IF(AND(ISNUMBER($F$629),$B$427=1),$F$629,HLOOKUP(INDIRECT(ADDRESS(2,COLUMN())),OFFSET($AM$2,0,0,ROW()-1,33),ROW()-1,FALSE))</f>
        <v>1.3659579209999999</v>
      </c>
      <c r="G222">
        <f ca="1">IF(AND(ISNUMBER($G$629),$B$427=1),$G$629,HLOOKUP(INDIRECT(ADDRESS(2,COLUMN())),OFFSET($AM$2,0,0,ROW()-1,33),ROW()-1,FALSE))</f>
        <v>1.359663351</v>
      </c>
      <c r="H222">
        <f ca="1">IF(AND(ISNUMBER($H$629),$B$427=1),$H$629,HLOOKUP(INDIRECT(ADDRESS(2,COLUMN())),OFFSET($AM$2,0,0,ROW()-1,33),ROW()-1,FALSE))</f>
        <v>1.276034543</v>
      </c>
      <c r="I222">
        <f ca="1">IF(AND(ISNUMBER($I$629),$B$427=1),$I$629,HLOOKUP(INDIRECT(ADDRESS(2,COLUMN())),OFFSET($AM$2,0,0,ROW()-1,33),ROW()-1,FALSE))</f>
        <v>1.434639344</v>
      </c>
      <c r="J222">
        <f ca="1">IF(AND(ISNUMBER($J$629),$B$427=1),$J$629,HLOOKUP(INDIRECT(ADDRESS(2,COLUMN())),OFFSET($AM$2,0,0,ROW()-1,33),ROW()-1,FALSE))</f>
        <v>1.7268237749999999</v>
      </c>
      <c r="K222">
        <f ca="1">IF(AND(ISNUMBER($K$629),$B$427=1),$K$629,HLOOKUP(INDIRECT(ADDRESS(2,COLUMN())),OFFSET($AM$2,0,0,ROW()-1,33),ROW()-1,FALSE))</f>
        <v>1.9433342440000001</v>
      </c>
      <c r="L222">
        <f ca="1">IF(AND(ISNUMBER($L$629),$B$427=1),$L$629,HLOOKUP(INDIRECT(ADDRESS(2,COLUMN())),OFFSET($AM$2,0,0,ROW()-1,33),ROW()-1,FALSE))</f>
        <v>2.3158367160000002</v>
      </c>
      <c r="M222">
        <f ca="1">IF(AND(ISNUMBER($M$629),$B$427=1),$M$629,HLOOKUP(INDIRECT(ADDRESS(2,COLUMN())),OFFSET($AM$2,0,0,ROW()-1,33),ROW()-1,FALSE))</f>
        <v>2.2450280880000002</v>
      </c>
      <c r="N222">
        <f ca="1">IF(AND(ISNUMBER($N$629),$B$427=1),$N$629,HLOOKUP(INDIRECT(ADDRESS(2,COLUMN())),OFFSET($AM$2,0,0,ROW()-1,33),ROW()-1,FALSE))</f>
        <v>2.3694920769999999</v>
      </c>
      <c r="O222">
        <f ca="1">IF(AND(ISNUMBER($O$629),$B$427=1),$O$629,HLOOKUP(INDIRECT(ADDRESS(2,COLUMN())),OFFSET($AM$2,0,0,ROW()-1,33),ROW()-1,FALSE))</f>
        <v>2.3163575970000001</v>
      </c>
      <c r="P222">
        <f ca="1">IF(AND(ISNUMBER($P$629),$B$427=1),$P$629,HLOOKUP(INDIRECT(ADDRESS(2,COLUMN())),OFFSET($AM$2,0,0,ROW()-1,33),ROW()-1,FALSE))</f>
        <v>2.1492365499999999</v>
      </c>
      <c r="Q222">
        <f ca="1">IF(AND(ISNUMBER($Q$629),$B$427=1),$Q$629,HLOOKUP(INDIRECT(ADDRESS(2,COLUMN())),OFFSET($AM$2,0,0,ROW()-1,33),ROW()-1,FALSE))</f>
        <v>1.924217619</v>
      </c>
      <c r="R222">
        <f ca="1">IF(AND(ISNUMBER($R$629),$B$427=1),$R$629,HLOOKUP(INDIRECT(ADDRESS(2,COLUMN())),OFFSET($AM$2,0,0,ROW()-1,33),ROW()-1,FALSE))</f>
        <v>1.8849931900000001</v>
      </c>
      <c r="S222">
        <f ca="1">IF(AND(ISNUMBER($S$629),$B$427=1),$S$629,HLOOKUP(INDIRECT(ADDRESS(2,COLUMN())),OFFSET($AM$2,0,0,ROW()-1,33),ROW()-1,FALSE))</f>
        <v>1.829297787</v>
      </c>
      <c r="T222">
        <f ca="1">IF(AND(ISNUMBER($T$629),$B$427=1),$T$629,HLOOKUP(INDIRECT(ADDRESS(2,COLUMN())),OFFSET($AM$2,0,0,ROW()-1,33),ROW()-1,FALSE))</f>
        <v>1.8155536839999999</v>
      </c>
      <c r="U222">
        <f ca="1">IF(AND(ISNUMBER($U$629),$B$427=1),$U$629,HLOOKUP(INDIRECT(ADDRESS(2,COLUMN())),OFFSET($AM$2,0,0,ROW()-1,33),ROW()-1,FALSE))</f>
        <v>1.933755187</v>
      </c>
      <c r="V222">
        <f ca="1">IF(AND(ISNUMBER($V$629),$B$427=1),$V$629,HLOOKUP(INDIRECT(ADDRESS(2,COLUMN())),OFFSET($AM$2,0,0,ROW()-1,33),ROW()-1,FALSE))</f>
        <v>1.919389572</v>
      </c>
      <c r="W222">
        <f ca="1">IF(AND(ISNUMBER($W$629),$B$427=1),$W$629,HLOOKUP(INDIRECT(ADDRESS(2,COLUMN())),OFFSET($AM$2,0,0,ROW()-1,33),ROW()-1,FALSE))</f>
        <v>2.2777477199999998</v>
      </c>
      <c r="X222" t="str">
        <f ca="1">IF(AND(ISNUMBER($X$629),$B$427=1),$X$629,HLOOKUP(INDIRECT(ADDRESS(2,COLUMN())),OFFSET($AM$2,0,0,ROW()-1,33),ROW()-1,FALSE))</f>
        <v/>
      </c>
      <c r="Y222" t="str">
        <f ca="1">IF(AND(ISNUMBER($Y$629),$B$427=1),$Y$629,HLOOKUP(INDIRECT(ADDRESS(2,COLUMN())),OFFSET($AM$2,0,0,ROW()-1,33),ROW()-1,FALSE))</f>
        <v/>
      </c>
      <c r="Z222" t="str">
        <f ca="1">IF(AND(ISNUMBER($Z$629),$B$427=1),$Z$629,HLOOKUP(INDIRECT(ADDRESS(2,COLUMN())),OFFSET($AM$2,0,0,ROW()-1,33),ROW()-1,FALSE))</f>
        <v/>
      </c>
      <c r="AA222" t="str">
        <f ca="1">IF(AND(ISNUMBER($AA$629),$B$427=1),$AA$629,HLOOKUP(INDIRECT(ADDRESS(2,COLUMN())),OFFSET($AM$2,0,0,ROW()-1,33),ROW()-1,FALSE))</f>
        <v/>
      </c>
      <c r="AB222" t="str">
        <f ca="1">IF(AND(ISNUMBER($AB$629),$B$427=1),$AB$629,HLOOKUP(INDIRECT(ADDRESS(2,COLUMN())),OFFSET($AM$2,0,0,ROW()-1,33),ROW()-1,FALSE))</f>
        <v/>
      </c>
      <c r="AC222" t="str">
        <f ca="1">IF(AND(ISNUMBER($AC$629),$B$427=1),$AC$629,HLOOKUP(INDIRECT(ADDRESS(2,COLUMN())),OFFSET($AM$2,0,0,ROW()-1,33),ROW()-1,FALSE))</f>
        <v/>
      </c>
      <c r="AD222" t="str">
        <f ca="1">IF(AND(ISNUMBER($AD$629),$B$427=1),$AD$629,HLOOKUP(INDIRECT(ADDRESS(2,COLUMN())),OFFSET($AM$2,0,0,ROW()-1,33),ROW()-1,FALSE))</f>
        <v/>
      </c>
      <c r="AE222" t="str">
        <f ca="1">IF(AND(ISNUMBER($AE$629),$B$427=1),$AE$629,HLOOKUP(INDIRECT(ADDRESS(2,COLUMN())),OFFSET($AM$2,0,0,ROW()-1,33),ROW()-1,FALSE))</f>
        <v/>
      </c>
      <c r="AF222" t="str">
        <f ca="1">IF(AND(ISNUMBER($AF$629),$B$427=1),$AF$629,HLOOKUP(INDIRECT(ADDRESS(2,COLUMN())),OFFSET($AM$2,0,0,ROW()-1,33),ROW()-1,FALSE))</f>
        <v/>
      </c>
      <c r="AG222" t="str">
        <f ca="1">IF(AND(ISNUMBER($AG$629),$B$427=1),$AG$629,HLOOKUP(INDIRECT(ADDRESS(2,COLUMN())),OFFSET($AM$2,0,0,ROW()-1,33),ROW()-1,FALSE))</f>
        <v/>
      </c>
      <c r="AH222" t="str">
        <f ca="1">IF(AND(ISNUMBER($AH$629),$B$427=1),$AH$629,HLOOKUP(INDIRECT(ADDRESS(2,COLUMN())),OFFSET($AM$2,0,0,ROW()-1,33),ROW()-1,FALSE))</f>
        <v/>
      </c>
      <c r="AI222" t="str">
        <f ca="1">IF(AND(ISNUMBER($AI$629),$B$427=1),$AI$629,HLOOKUP(INDIRECT(ADDRESS(2,COLUMN())),OFFSET($AM$2,0,0,ROW()-1,33),ROW()-1,FALSE))</f>
        <v/>
      </c>
      <c r="AJ222" t="str">
        <f ca="1">IF(AND(ISNUMBER($AJ$629),$B$427=1),$AJ$629,HLOOKUP(INDIRECT(ADDRESS(2,COLUMN())),OFFSET($AM$2,0,0,ROW()-1,33),ROW()-1,FALSE))</f>
        <v/>
      </c>
      <c r="AK222" t="str">
        <f ca="1">IF(AND(ISNUMBER($AK$629),$B$427=1),$AK$629,HLOOKUP(INDIRECT(ADDRESS(2,COLUMN())),OFFSET($AM$2,0,0,ROW()-1,33),ROW()-1,FALSE))</f>
        <v/>
      </c>
      <c r="AL222" t="str">
        <f ca="1">IF(AND(ISNUMBER($AL$629),$B$427=1),$AL$629,HLOOKUP(INDIRECT(ADDRESS(2,COLUMN())),OFFSET($AM$2,0,0,ROW()-1,33),ROW()-1,FALSE))</f>
        <v/>
      </c>
      <c r="AM222">
        <f>1.365957921</f>
        <v>1.3659579209999999</v>
      </c>
      <c r="AN222">
        <f>1.359663351</f>
        <v>1.359663351</v>
      </c>
      <c r="AO222">
        <f>1.276034543</f>
        <v>1.276034543</v>
      </c>
      <c r="AP222">
        <f>1.434639344</f>
        <v>1.434639344</v>
      </c>
      <c r="AQ222">
        <f>1.726823775</f>
        <v>1.7268237749999999</v>
      </c>
      <c r="AR222">
        <f>1.943334244</f>
        <v>1.9433342440000001</v>
      </c>
      <c r="AS222">
        <f>2.315836716</f>
        <v>2.3158367160000002</v>
      </c>
      <c r="AT222">
        <f>2.245028088</f>
        <v>2.2450280880000002</v>
      </c>
      <c r="AU222">
        <f>2.369492077</f>
        <v>2.3694920769999999</v>
      </c>
      <c r="AV222">
        <f>2.316357597</f>
        <v>2.3163575970000001</v>
      </c>
      <c r="AW222">
        <f>2.14923655</f>
        <v>2.1492365499999999</v>
      </c>
      <c r="AX222">
        <f>1.924217619</f>
        <v>1.924217619</v>
      </c>
      <c r="AY222">
        <f>1.88499319</f>
        <v>1.8849931900000001</v>
      </c>
      <c r="AZ222">
        <f>1.829297787</f>
        <v>1.829297787</v>
      </c>
      <c r="BA222">
        <f>1.815553684</f>
        <v>1.8155536839999999</v>
      </c>
      <c r="BB222">
        <f>1.933755187</f>
        <v>1.933755187</v>
      </c>
      <c r="BC222">
        <f>1.919389572</f>
        <v>1.919389572</v>
      </c>
      <c r="BD222">
        <f>2.27774772</f>
        <v>2.2777477199999998</v>
      </c>
      <c r="BE222" t="str">
        <f>""</f>
        <v/>
      </c>
      <c r="BF222" t="str">
        <f>""</f>
        <v/>
      </c>
      <c r="BG222" t="str">
        <f>""</f>
        <v/>
      </c>
      <c r="BH222" t="str">
        <f>""</f>
        <v/>
      </c>
      <c r="BI222" t="str">
        <f>""</f>
        <v/>
      </c>
      <c r="BJ222" t="str">
        <f>""</f>
        <v/>
      </c>
      <c r="BK222" t="str">
        <f>""</f>
        <v/>
      </c>
      <c r="BL222" t="str">
        <f>""</f>
        <v/>
      </c>
      <c r="BM222" t="str">
        <f>""</f>
        <v/>
      </c>
      <c r="BN222" t="str">
        <f>""</f>
        <v/>
      </c>
      <c r="BO222" t="str">
        <f>""</f>
        <v/>
      </c>
      <c r="BP222" t="str">
        <f>""</f>
        <v/>
      </c>
      <c r="BQ222" t="str">
        <f>""</f>
        <v/>
      </c>
      <c r="BR222" t="str">
        <f>""</f>
        <v/>
      </c>
      <c r="BS222" t="str">
        <f>""</f>
        <v/>
      </c>
    </row>
    <row r="223" spans="1:71" x14ac:dyDescent="0.25">
      <c r="A223" t="str">
        <f>"    Citigroup Inc"</f>
        <v xml:space="preserve">    Citigroup Inc</v>
      </c>
      <c r="B223" t="str">
        <f>"C US Equity"</f>
        <v>C US Equity</v>
      </c>
      <c r="C223" t="str">
        <f t="shared" si="30"/>
        <v>F0116</v>
      </c>
      <c r="D223" t="str">
        <f t="shared" si="31"/>
        <v>FED_OTHER_LEASES_%_TOT_LNS_LEAS</v>
      </c>
      <c r="E223" t="str">
        <f t="shared" si="32"/>
        <v>Dynamic</v>
      </c>
      <c r="F223">
        <f ca="1">IF(AND(ISNUMBER($F$630),$B$427=1),$F$630,HLOOKUP(INDIRECT(ADDRESS(2,COLUMN())),OFFSET($AM$2,0,0,ROW()-1,33),ROW()-1,FALSE))</f>
        <v>3.8769218000000001E-2</v>
      </c>
      <c r="G223">
        <f ca="1">IF(AND(ISNUMBER($G$630),$B$427=1),$G$630,HLOOKUP(INDIRECT(ADDRESS(2,COLUMN())),OFFSET($AM$2,0,0,ROW()-1,33),ROW()-1,FALSE))</f>
        <v>3.9367831999999998E-2</v>
      </c>
      <c r="H223">
        <f ca="1">IF(AND(ISNUMBER($H$630),$B$427=1),$H$630,HLOOKUP(INDIRECT(ADDRESS(2,COLUMN())),OFFSET($AM$2,0,0,ROW()-1,33),ROW()-1,FALSE))</f>
        <v>5.1965285999999999E-2</v>
      </c>
      <c r="I223">
        <f ca="1">IF(AND(ISNUMBER($I$630),$B$427=1),$I$630,HLOOKUP(INDIRECT(ADDRESS(2,COLUMN())),OFFSET($AM$2,0,0,ROW()-1,33),ROW()-1,FALSE))</f>
        <v>6.4667091999999995E-2</v>
      </c>
      <c r="J223">
        <f ca="1">IF(AND(ISNUMBER($J$630),$B$427=1),$J$630,HLOOKUP(INDIRECT(ADDRESS(2,COLUMN())),OFFSET($AM$2,0,0,ROW()-1,33),ROW()-1,FALSE))</f>
        <v>0.106055831</v>
      </c>
      <c r="K223">
        <f ca="1">IF(AND(ISNUMBER($K$630),$B$427=1),$K$630,HLOOKUP(INDIRECT(ADDRESS(2,COLUMN())),OFFSET($AM$2,0,0,ROW()-1,33),ROW()-1,FALSE))</f>
        <v>0.19270637700000001</v>
      </c>
      <c r="L223">
        <f ca="1">IF(AND(ISNUMBER($L$630),$B$427=1),$L$630,HLOOKUP(INDIRECT(ADDRESS(2,COLUMN())),OFFSET($AM$2,0,0,ROW()-1,33),ROW()-1,FALSE))</f>
        <v>0.225535397</v>
      </c>
      <c r="M223">
        <f ca="1">IF(AND(ISNUMBER($M$630),$B$427=1),$M$630,HLOOKUP(INDIRECT(ADDRESS(2,COLUMN())),OFFSET($AM$2,0,0,ROW()-1,33),ROW()-1,FALSE))</f>
        <v>0.25190928400000001</v>
      </c>
      <c r="N223">
        <f ca="1">IF(AND(ISNUMBER($N$630),$B$427=1),$N$630,HLOOKUP(INDIRECT(ADDRESS(2,COLUMN())),OFFSET($AM$2,0,0,ROW()-1,33),ROW()-1,FALSE))</f>
        <v>0.28820148000000001</v>
      </c>
      <c r="O223">
        <f ca="1">IF(AND(ISNUMBER($O$630),$B$427=1),$O$630,HLOOKUP(INDIRECT(ADDRESS(2,COLUMN())),OFFSET($AM$2,0,0,ROW()-1,33),ROW()-1,FALSE))</f>
        <v>0.38169667600000001</v>
      </c>
      <c r="P223">
        <f ca="1">IF(AND(ISNUMBER($P$630),$B$427=1),$P$630,HLOOKUP(INDIRECT(ADDRESS(2,COLUMN())),OFFSET($AM$2,0,0,ROW()-1,33),ROW()-1,FALSE))</f>
        <v>0.41195641500000002</v>
      </c>
      <c r="Q223">
        <f ca="1">IF(AND(ISNUMBER($Q$630),$B$427=1),$Q$630,HLOOKUP(INDIRECT(ADDRESS(2,COLUMN())),OFFSET($AM$2,0,0,ROW()-1,33),ROW()-1,FALSE))</f>
        <v>0.43316622100000002</v>
      </c>
      <c r="R223">
        <f ca="1">IF(AND(ISNUMBER($R$630),$B$427=1),$R$630,HLOOKUP(INDIRECT(ADDRESS(2,COLUMN())),OFFSET($AM$2,0,0,ROW()-1,33),ROW()-1,FALSE))</f>
        <v>0.41381272200000002</v>
      </c>
      <c r="S223">
        <f ca="1">IF(AND(ISNUMBER($S$630),$B$427=1),$S$630,HLOOKUP(INDIRECT(ADDRESS(2,COLUMN())),OFFSET($AM$2,0,0,ROW()-1,33),ROW()-1,FALSE))</f>
        <v>0.37451636700000002</v>
      </c>
      <c r="T223">
        <f ca="1">IF(AND(ISNUMBER($T$630),$B$427=1),$T$630,HLOOKUP(INDIRECT(ADDRESS(2,COLUMN())),OFFSET($AM$2,0,0,ROW()-1,33),ROW()-1,FALSE))</f>
        <v>0.37592218399999999</v>
      </c>
      <c r="U223">
        <f ca="1">IF(AND(ISNUMBER($U$630),$B$427=1),$U$630,HLOOKUP(INDIRECT(ADDRESS(2,COLUMN())),OFFSET($AM$2,0,0,ROW()-1,33),ROW()-1,FALSE))</f>
        <v>0.45089025599999999</v>
      </c>
      <c r="V223">
        <f ca="1">IF(AND(ISNUMBER($V$630),$B$427=1),$V$630,HLOOKUP(INDIRECT(ADDRESS(2,COLUMN())),OFFSET($AM$2,0,0,ROW()-1,33),ROW()-1,FALSE))</f>
        <v>0.47533078600000001</v>
      </c>
      <c r="W223">
        <f ca="1">IF(AND(ISNUMBER($W$630),$B$427=1),$W$630,HLOOKUP(INDIRECT(ADDRESS(2,COLUMN())),OFFSET($AM$2,0,0,ROW()-1,33),ROW()-1,FALSE))</f>
        <v>0.912045616</v>
      </c>
      <c r="X223" t="str">
        <f ca="1">IF(AND(ISNUMBER($X$630),$B$427=1),$X$630,HLOOKUP(INDIRECT(ADDRESS(2,COLUMN())),OFFSET($AM$2,0,0,ROW()-1,33),ROW()-1,FALSE))</f>
        <v/>
      </c>
      <c r="Y223" t="str">
        <f ca="1">IF(AND(ISNUMBER($Y$630),$B$427=1),$Y$630,HLOOKUP(INDIRECT(ADDRESS(2,COLUMN())),OFFSET($AM$2,0,0,ROW()-1,33),ROW()-1,FALSE))</f>
        <v/>
      </c>
      <c r="Z223" t="str">
        <f ca="1">IF(AND(ISNUMBER($Z$630),$B$427=1),$Z$630,HLOOKUP(INDIRECT(ADDRESS(2,COLUMN())),OFFSET($AM$2,0,0,ROW()-1,33),ROW()-1,FALSE))</f>
        <v/>
      </c>
      <c r="AA223" t="str">
        <f ca="1">IF(AND(ISNUMBER($AA$630),$B$427=1),$AA$630,HLOOKUP(INDIRECT(ADDRESS(2,COLUMN())),OFFSET($AM$2,0,0,ROW()-1,33),ROW()-1,FALSE))</f>
        <v/>
      </c>
      <c r="AB223" t="str">
        <f ca="1">IF(AND(ISNUMBER($AB$630),$B$427=1),$AB$630,HLOOKUP(INDIRECT(ADDRESS(2,COLUMN())),OFFSET($AM$2,0,0,ROW()-1,33),ROW()-1,FALSE))</f>
        <v/>
      </c>
      <c r="AC223" t="str">
        <f ca="1">IF(AND(ISNUMBER($AC$630),$B$427=1),$AC$630,HLOOKUP(INDIRECT(ADDRESS(2,COLUMN())),OFFSET($AM$2,0,0,ROW()-1,33),ROW()-1,FALSE))</f>
        <v/>
      </c>
      <c r="AD223" t="str">
        <f ca="1">IF(AND(ISNUMBER($AD$630),$B$427=1),$AD$630,HLOOKUP(INDIRECT(ADDRESS(2,COLUMN())),OFFSET($AM$2,0,0,ROW()-1,33),ROW()-1,FALSE))</f>
        <v/>
      </c>
      <c r="AE223" t="str">
        <f ca="1">IF(AND(ISNUMBER($AE$630),$B$427=1),$AE$630,HLOOKUP(INDIRECT(ADDRESS(2,COLUMN())),OFFSET($AM$2,0,0,ROW()-1,33),ROW()-1,FALSE))</f>
        <v/>
      </c>
      <c r="AF223" t="str">
        <f ca="1">IF(AND(ISNUMBER($AF$630),$B$427=1),$AF$630,HLOOKUP(INDIRECT(ADDRESS(2,COLUMN())),OFFSET($AM$2,0,0,ROW()-1,33),ROW()-1,FALSE))</f>
        <v/>
      </c>
      <c r="AG223" t="str">
        <f ca="1">IF(AND(ISNUMBER($AG$630),$B$427=1),$AG$630,HLOOKUP(INDIRECT(ADDRESS(2,COLUMN())),OFFSET($AM$2,0,0,ROW()-1,33),ROW()-1,FALSE))</f>
        <v/>
      </c>
      <c r="AH223" t="str">
        <f ca="1">IF(AND(ISNUMBER($AH$630),$B$427=1),$AH$630,HLOOKUP(INDIRECT(ADDRESS(2,COLUMN())),OFFSET($AM$2,0,0,ROW()-1,33),ROW()-1,FALSE))</f>
        <v/>
      </c>
      <c r="AI223" t="str">
        <f ca="1">IF(AND(ISNUMBER($AI$630),$B$427=1),$AI$630,HLOOKUP(INDIRECT(ADDRESS(2,COLUMN())),OFFSET($AM$2,0,0,ROW()-1,33),ROW()-1,FALSE))</f>
        <v/>
      </c>
      <c r="AJ223" t="str">
        <f ca="1">IF(AND(ISNUMBER($AJ$630),$B$427=1),$AJ$630,HLOOKUP(INDIRECT(ADDRESS(2,COLUMN())),OFFSET($AM$2,0,0,ROW()-1,33),ROW()-1,FALSE))</f>
        <v/>
      </c>
      <c r="AK223" t="str">
        <f ca="1">IF(AND(ISNUMBER($AK$630),$B$427=1),$AK$630,HLOOKUP(INDIRECT(ADDRESS(2,COLUMN())),OFFSET($AM$2,0,0,ROW()-1,33),ROW()-1,FALSE))</f>
        <v/>
      </c>
      <c r="AL223" t="str">
        <f ca="1">IF(AND(ISNUMBER($AL$630),$B$427=1),$AL$630,HLOOKUP(INDIRECT(ADDRESS(2,COLUMN())),OFFSET($AM$2,0,0,ROW()-1,33),ROW()-1,FALSE))</f>
        <v/>
      </c>
      <c r="AM223">
        <f>0.038769218</f>
        <v>3.8769218000000001E-2</v>
      </c>
      <c r="AN223">
        <f>0.039367832</f>
        <v>3.9367831999999998E-2</v>
      </c>
      <c r="AO223">
        <f>0.051965286</f>
        <v>5.1965285999999999E-2</v>
      </c>
      <c r="AP223">
        <f>0.064667092</f>
        <v>6.4667091999999995E-2</v>
      </c>
      <c r="AQ223">
        <f>0.106055831</f>
        <v>0.106055831</v>
      </c>
      <c r="AR223">
        <f>0.192706377</f>
        <v>0.19270637700000001</v>
      </c>
      <c r="AS223">
        <f>0.225535397</f>
        <v>0.225535397</v>
      </c>
      <c r="AT223">
        <f>0.251909284</f>
        <v>0.25190928400000001</v>
      </c>
      <c r="AU223">
        <f>0.28820148</f>
        <v>0.28820148000000001</v>
      </c>
      <c r="AV223">
        <f>0.381696676</f>
        <v>0.38169667600000001</v>
      </c>
      <c r="AW223">
        <f>0.411956415</f>
        <v>0.41195641500000002</v>
      </c>
      <c r="AX223">
        <f>0.433166221</f>
        <v>0.43316622100000002</v>
      </c>
      <c r="AY223">
        <f>0.413812722</f>
        <v>0.41381272200000002</v>
      </c>
      <c r="AZ223">
        <f>0.374516367</f>
        <v>0.37451636700000002</v>
      </c>
      <c r="BA223">
        <f>0.375922184</f>
        <v>0.37592218399999999</v>
      </c>
      <c r="BB223">
        <f>0.450890256</f>
        <v>0.45089025599999999</v>
      </c>
      <c r="BC223">
        <f>0.475330786</f>
        <v>0.47533078600000001</v>
      </c>
      <c r="BD223">
        <f>0.912045616</f>
        <v>0.912045616</v>
      </c>
      <c r="BE223" t="str">
        <f>""</f>
        <v/>
      </c>
      <c r="BF223" t="str">
        <f>""</f>
        <v/>
      </c>
      <c r="BG223" t="str">
        <f>""</f>
        <v/>
      </c>
      <c r="BH223" t="str">
        <f>""</f>
        <v/>
      </c>
      <c r="BI223" t="str">
        <f>""</f>
        <v/>
      </c>
      <c r="BJ223" t="str">
        <f>""</f>
        <v/>
      </c>
      <c r="BK223" t="str">
        <f>""</f>
        <v/>
      </c>
      <c r="BL223" t="str">
        <f>""</f>
        <v/>
      </c>
      <c r="BM223" t="str">
        <f>""</f>
        <v/>
      </c>
      <c r="BN223" t="str">
        <f>""</f>
        <v/>
      </c>
      <c r="BO223" t="str">
        <f>""</f>
        <v/>
      </c>
      <c r="BP223" t="str">
        <f>""</f>
        <v/>
      </c>
      <c r="BQ223" t="str">
        <f>""</f>
        <v/>
      </c>
      <c r="BR223" t="str">
        <f>""</f>
        <v/>
      </c>
      <c r="BS223" t="str">
        <f>""</f>
        <v/>
      </c>
    </row>
    <row r="224" spans="1:71" x14ac:dyDescent="0.25">
      <c r="A224" t="str">
        <f>"    Citizens Financial Group Inc"</f>
        <v xml:space="preserve">    Citizens Financial Group Inc</v>
      </c>
      <c r="B224" t="str">
        <f>"CFG US Equity"</f>
        <v>CFG US Equity</v>
      </c>
      <c r="C224" t="str">
        <f t="shared" si="30"/>
        <v>F0116</v>
      </c>
      <c r="D224" t="str">
        <f t="shared" si="31"/>
        <v>FED_OTHER_LEASES_%_TOT_LNS_LEAS</v>
      </c>
      <c r="E224" t="str">
        <f t="shared" si="32"/>
        <v>Dynamic</v>
      </c>
      <c r="F224">
        <f ca="1">IF(AND(ISNUMBER($F$631),$B$427=1),$F$631,HLOOKUP(INDIRECT(ADDRESS(2,COLUMN())),OFFSET($AM$2,0,0,ROW()-1,33),ROW()-1,FALSE))</f>
        <v>0.73220814599999995</v>
      </c>
      <c r="G224">
        <f ca="1">IF(AND(ISNUMBER($G$631),$B$427=1),$G$631,HLOOKUP(INDIRECT(ADDRESS(2,COLUMN())),OFFSET($AM$2,0,0,ROW()-1,33),ROW()-1,FALSE))</f>
        <v>0.78109524699999999</v>
      </c>
      <c r="H224">
        <f ca="1">IF(AND(ISNUMBER($H$631),$B$427=1),$H$631,HLOOKUP(INDIRECT(ADDRESS(2,COLUMN())),OFFSET($AM$2,0,0,ROW()-1,33),ROW()-1,FALSE))</f>
        <v>0.93579827100000001</v>
      </c>
      <c r="I224">
        <f ca="1">IF(AND(ISNUMBER($I$631),$B$427=1),$I$631,HLOOKUP(INDIRECT(ADDRESS(2,COLUMN())),OFFSET($AM$2,0,0,ROW()-1,33),ROW()-1,FALSE))</f>
        <v>1.204932289</v>
      </c>
      <c r="J224">
        <f ca="1">IF(AND(ISNUMBER($J$631),$B$427=1),$J$631,HLOOKUP(INDIRECT(ADDRESS(2,COLUMN())),OFFSET($AM$2,0,0,ROW()-1,33),ROW()-1,FALSE))</f>
        <v>1.535111092</v>
      </c>
      <c r="K224">
        <f ca="1">IF(AND(ISNUMBER($K$631),$B$427=1),$K$631,HLOOKUP(INDIRECT(ADDRESS(2,COLUMN())),OFFSET($AM$2,0,0,ROW()-1,33),ROW()-1,FALSE))</f>
        <v>2.0741124210000002</v>
      </c>
      <c r="L224">
        <f ca="1">IF(AND(ISNUMBER($L$631),$B$427=1),$L$631,HLOOKUP(INDIRECT(ADDRESS(2,COLUMN())),OFFSET($AM$2,0,0,ROW()-1,33),ROW()-1,FALSE))</f>
        <v>2.464101077</v>
      </c>
      <c r="M224">
        <f ca="1">IF(AND(ISNUMBER($M$631),$B$427=1),$M$631,HLOOKUP(INDIRECT(ADDRESS(2,COLUMN())),OFFSET($AM$2,0,0,ROW()-1,33),ROW()-1,FALSE))</f>
        <v>2.8452456179999999</v>
      </c>
      <c r="N224">
        <f ca="1">IF(AND(ISNUMBER($N$631),$B$427=1),$N$631,HLOOKUP(INDIRECT(ADDRESS(2,COLUMN())),OFFSET($AM$2,0,0,ROW()-1,33),ROW()-1,FALSE))</f>
        <v>3.5331221749999999</v>
      </c>
      <c r="O224">
        <f ca="1">IF(AND(ISNUMBER($O$631),$B$427=1),$O$631,HLOOKUP(INDIRECT(ADDRESS(2,COLUMN())),OFFSET($AM$2,0,0,ROW()-1,33),ROW()-1,FALSE))</f>
        <v>4.0832809650000002</v>
      </c>
      <c r="P224">
        <f ca="1">IF(AND(ISNUMBER($P$631),$B$427=1),$P$631,HLOOKUP(INDIRECT(ADDRESS(2,COLUMN())),OFFSET($AM$2,0,0,ROW()-1,33),ROW()-1,FALSE))</f>
        <v>4.349951731</v>
      </c>
      <c r="Q224">
        <f ca="1">IF(AND(ISNUMBER($Q$631),$B$427=1),$Q$631,HLOOKUP(INDIRECT(ADDRESS(2,COLUMN())),OFFSET($AM$2,0,0,ROW()-1,33),ROW()-1,FALSE))</f>
        <v>4.417573601</v>
      </c>
      <c r="R224">
        <f ca="1">IF(AND(ISNUMBER($R$631),$B$427=1),$R$631,HLOOKUP(INDIRECT(ADDRESS(2,COLUMN())),OFFSET($AM$2,0,0,ROW()-1,33),ROW()-1,FALSE))</f>
        <v>3.929410721</v>
      </c>
      <c r="S224">
        <f ca="1">IF(AND(ISNUMBER($S$631),$B$427=1),$S$631,HLOOKUP(INDIRECT(ADDRESS(2,COLUMN())),OFFSET($AM$2,0,0,ROW()-1,33),ROW()-1,FALSE))</f>
        <v>3.6296410109999999</v>
      </c>
      <c r="T224">
        <f ca="1">IF(AND(ISNUMBER($T$631),$B$427=1),$T$631,HLOOKUP(INDIRECT(ADDRESS(2,COLUMN())),OFFSET($AM$2,0,0,ROW()-1,33),ROW()-1,FALSE))</f>
        <v>3.076286906</v>
      </c>
      <c r="U224">
        <f ca="1">IF(AND(ISNUMBER($U$631),$B$427=1),$U$631,HLOOKUP(INDIRECT(ADDRESS(2,COLUMN())),OFFSET($AM$2,0,0,ROW()-1,33),ROW()-1,FALSE))</f>
        <v>3.0418589169999999</v>
      </c>
      <c r="V224">
        <f ca="1">IF(AND(ISNUMBER($V$631),$B$427=1),$V$631,HLOOKUP(INDIRECT(ADDRESS(2,COLUMN())),OFFSET($AM$2,0,0,ROW()-1,33),ROW()-1,FALSE))</f>
        <v>2.7142851760000002</v>
      </c>
      <c r="W224">
        <f ca="1">IF(AND(ISNUMBER($W$631),$B$427=1),$W$631,HLOOKUP(INDIRECT(ADDRESS(2,COLUMN())),OFFSET($AM$2,0,0,ROW()-1,33),ROW()-1,FALSE))</f>
        <v>2.4038558839999999</v>
      </c>
      <c r="X224" t="str">
        <f ca="1">IF(AND(ISNUMBER($X$631),$B$427=1),$X$631,HLOOKUP(INDIRECT(ADDRESS(2,COLUMN())),OFFSET($AM$2,0,0,ROW()-1,33),ROW()-1,FALSE))</f>
        <v/>
      </c>
      <c r="Y224" t="str">
        <f ca="1">IF(AND(ISNUMBER($Y$631),$B$427=1),$Y$631,HLOOKUP(INDIRECT(ADDRESS(2,COLUMN())),OFFSET($AM$2,0,0,ROW()-1,33),ROW()-1,FALSE))</f>
        <v/>
      </c>
      <c r="Z224" t="str">
        <f ca="1">IF(AND(ISNUMBER($Z$631),$B$427=1),$Z$631,HLOOKUP(INDIRECT(ADDRESS(2,COLUMN())),OFFSET($AM$2,0,0,ROW()-1,33),ROW()-1,FALSE))</f>
        <v/>
      </c>
      <c r="AA224" t="str">
        <f ca="1">IF(AND(ISNUMBER($AA$631),$B$427=1),$AA$631,HLOOKUP(INDIRECT(ADDRESS(2,COLUMN())),OFFSET($AM$2,0,0,ROW()-1,33),ROW()-1,FALSE))</f>
        <v/>
      </c>
      <c r="AB224" t="str">
        <f ca="1">IF(AND(ISNUMBER($AB$631),$B$427=1),$AB$631,HLOOKUP(INDIRECT(ADDRESS(2,COLUMN())),OFFSET($AM$2,0,0,ROW()-1,33),ROW()-1,FALSE))</f>
        <v/>
      </c>
      <c r="AC224" t="str">
        <f ca="1">IF(AND(ISNUMBER($AC$631),$B$427=1),$AC$631,HLOOKUP(INDIRECT(ADDRESS(2,COLUMN())),OFFSET($AM$2,0,0,ROW()-1,33),ROW()-1,FALSE))</f>
        <v/>
      </c>
      <c r="AD224" t="str">
        <f ca="1">IF(AND(ISNUMBER($AD$631),$B$427=1),$AD$631,HLOOKUP(INDIRECT(ADDRESS(2,COLUMN())),OFFSET($AM$2,0,0,ROW()-1,33),ROW()-1,FALSE))</f>
        <v/>
      </c>
      <c r="AE224" t="str">
        <f ca="1">IF(AND(ISNUMBER($AE$631),$B$427=1),$AE$631,HLOOKUP(INDIRECT(ADDRESS(2,COLUMN())),OFFSET($AM$2,0,0,ROW()-1,33),ROW()-1,FALSE))</f>
        <v/>
      </c>
      <c r="AF224" t="str">
        <f ca="1">IF(AND(ISNUMBER($AF$631),$B$427=1),$AF$631,HLOOKUP(INDIRECT(ADDRESS(2,COLUMN())),OFFSET($AM$2,0,0,ROW()-1,33),ROW()-1,FALSE))</f>
        <v/>
      </c>
      <c r="AG224" t="str">
        <f ca="1">IF(AND(ISNUMBER($AG$631),$B$427=1),$AG$631,HLOOKUP(INDIRECT(ADDRESS(2,COLUMN())),OFFSET($AM$2,0,0,ROW()-1,33),ROW()-1,FALSE))</f>
        <v/>
      </c>
      <c r="AH224" t="str">
        <f ca="1">IF(AND(ISNUMBER($AH$631),$B$427=1),$AH$631,HLOOKUP(INDIRECT(ADDRESS(2,COLUMN())),OFFSET($AM$2,0,0,ROW()-1,33),ROW()-1,FALSE))</f>
        <v/>
      </c>
      <c r="AI224" t="str">
        <f ca="1">IF(AND(ISNUMBER($AI$631),$B$427=1),$AI$631,HLOOKUP(INDIRECT(ADDRESS(2,COLUMN())),OFFSET($AM$2,0,0,ROW()-1,33),ROW()-1,FALSE))</f>
        <v/>
      </c>
      <c r="AJ224" t="str">
        <f ca="1">IF(AND(ISNUMBER($AJ$631),$B$427=1),$AJ$631,HLOOKUP(INDIRECT(ADDRESS(2,COLUMN())),OFFSET($AM$2,0,0,ROW()-1,33),ROW()-1,FALSE))</f>
        <v/>
      </c>
      <c r="AK224" t="str">
        <f ca="1">IF(AND(ISNUMBER($AK$631),$B$427=1),$AK$631,HLOOKUP(INDIRECT(ADDRESS(2,COLUMN())),OFFSET($AM$2,0,0,ROW()-1,33),ROW()-1,FALSE))</f>
        <v/>
      </c>
      <c r="AL224" t="str">
        <f ca="1">IF(AND(ISNUMBER($AL$631),$B$427=1),$AL$631,HLOOKUP(INDIRECT(ADDRESS(2,COLUMN())),OFFSET($AM$2,0,0,ROW()-1,33),ROW()-1,FALSE))</f>
        <v/>
      </c>
      <c r="AM224">
        <f>0.732208146</f>
        <v>0.73220814599999995</v>
      </c>
      <c r="AN224">
        <f>0.781095247</f>
        <v>0.78109524699999999</v>
      </c>
      <c r="AO224">
        <f>0.935798271</f>
        <v>0.93579827100000001</v>
      </c>
      <c r="AP224">
        <f>1.204932289</f>
        <v>1.204932289</v>
      </c>
      <c r="AQ224">
        <f>1.535111092</f>
        <v>1.535111092</v>
      </c>
      <c r="AR224">
        <f>2.074112421</f>
        <v>2.0741124210000002</v>
      </c>
      <c r="AS224">
        <f>2.464101077</f>
        <v>2.464101077</v>
      </c>
      <c r="AT224">
        <f>2.845245618</f>
        <v>2.8452456179999999</v>
      </c>
      <c r="AU224">
        <f>3.533122175</f>
        <v>3.5331221749999999</v>
      </c>
      <c r="AV224">
        <f>4.083280965</f>
        <v>4.0832809650000002</v>
      </c>
      <c r="AW224">
        <f>4.349951731</f>
        <v>4.349951731</v>
      </c>
      <c r="AX224">
        <f>4.417573601</f>
        <v>4.417573601</v>
      </c>
      <c r="AY224">
        <f>3.929410721</f>
        <v>3.929410721</v>
      </c>
      <c r="AZ224">
        <f>3.629641011</f>
        <v>3.6296410109999999</v>
      </c>
      <c r="BA224">
        <f>3.076286906</f>
        <v>3.076286906</v>
      </c>
      <c r="BB224">
        <f>3.041858917</f>
        <v>3.0418589169999999</v>
      </c>
      <c r="BC224">
        <f>2.714285176</f>
        <v>2.7142851760000002</v>
      </c>
      <c r="BD224">
        <f>2.403855884</f>
        <v>2.4038558839999999</v>
      </c>
      <c r="BE224" t="str">
        <f>""</f>
        <v/>
      </c>
      <c r="BF224" t="str">
        <f>""</f>
        <v/>
      </c>
      <c r="BG224" t="str">
        <f>""</f>
        <v/>
      </c>
      <c r="BH224" t="str">
        <f>""</f>
        <v/>
      </c>
      <c r="BI224" t="str">
        <f>""</f>
        <v/>
      </c>
      <c r="BJ224" t="str">
        <f>""</f>
        <v/>
      </c>
      <c r="BK224" t="str">
        <f>""</f>
        <v/>
      </c>
      <c r="BL224" t="str">
        <f>""</f>
        <v/>
      </c>
      <c r="BM224" t="str">
        <f>""</f>
        <v/>
      </c>
      <c r="BN224" t="str">
        <f>""</f>
        <v/>
      </c>
      <c r="BO224" t="str">
        <f>""</f>
        <v/>
      </c>
      <c r="BP224" t="str">
        <f>""</f>
        <v/>
      </c>
      <c r="BQ224" t="str">
        <f>""</f>
        <v/>
      </c>
      <c r="BR224" t="str">
        <f>""</f>
        <v/>
      </c>
      <c r="BS224" t="str">
        <f>""</f>
        <v/>
      </c>
    </row>
    <row r="225" spans="1:71" x14ac:dyDescent="0.25">
      <c r="A225" t="str">
        <f>"    Capital One Financial Corp"</f>
        <v xml:space="preserve">    Capital One Financial Corp</v>
      </c>
      <c r="B225" t="str">
        <f>"COF US Equity"</f>
        <v>COF US Equity</v>
      </c>
      <c r="C225" t="str">
        <f t="shared" si="30"/>
        <v>F0116</v>
      </c>
      <c r="D225" t="str">
        <f t="shared" si="31"/>
        <v>FED_OTHER_LEASES_%_TOT_LNS_LEAS</v>
      </c>
      <c r="E225" t="str">
        <f t="shared" si="32"/>
        <v>Dynamic</v>
      </c>
      <c r="F225">
        <f ca="1">IF(AND(ISNUMBER($F$632),$B$427=1),$F$632,HLOOKUP(INDIRECT(ADDRESS(2,COLUMN())),OFFSET($AM$2,0,0,ROW()-1,33),ROW()-1,FALSE))</f>
        <v>0</v>
      </c>
      <c r="G225">
        <f ca="1">IF(AND(ISNUMBER($G$632),$B$427=1),$G$632,HLOOKUP(INDIRECT(ADDRESS(2,COLUMN())),OFFSET($AM$2,0,0,ROW()-1,33),ROW()-1,FALSE))</f>
        <v>0</v>
      </c>
      <c r="H225">
        <f ca="1">IF(AND(ISNUMBER($H$632),$B$427=1),$H$632,HLOOKUP(INDIRECT(ADDRESS(2,COLUMN())),OFFSET($AM$2,0,0,ROW()-1,33),ROW()-1,FALSE))</f>
        <v>0</v>
      </c>
      <c r="I225">
        <f ca="1">IF(AND(ISNUMBER($I$632),$B$427=1),$I$632,HLOOKUP(INDIRECT(ADDRESS(2,COLUMN())),OFFSET($AM$2,0,0,ROW()-1,33),ROW()-1,FALSE))</f>
        <v>0</v>
      </c>
      <c r="J225">
        <f ca="1">IF(AND(ISNUMBER($J$632),$B$427=1),$J$632,HLOOKUP(INDIRECT(ADDRESS(2,COLUMN())),OFFSET($AM$2,0,0,ROW()-1,33),ROW()-1,FALSE))</f>
        <v>1.3553447E-2</v>
      </c>
      <c r="K225">
        <f ca="1">IF(AND(ISNUMBER($K$632),$B$427=1),$K$632,HLOOKUP(INDIRECT(ADDRESS(2,COLUMN())),OFFSET($AM$2,0,0,ROW()-1,33),ROW()-1,FALSE))</f>
        <v>1.5205718999999999E-2</v>
      </c>
      <c r="L225">
        <f ca="1">IF(AND(ISNUMBER($L$632),$B$427=1),$L$632,HLOOKUP(INDIRECT(ADDRESS(2,COLUMN())),OFFSET($AM$2,0,0,ROW()-1,33),ROW()-1,FALSE))</f>
        <v>3.9551056000000001E-2</v>
      </c>
      <c r="M225">
        <f ca="1">IF(AND(ISNUMBER($M$632),$B$427=1),$M$632,HLOOKUP(INDIRECT(ADDRESS(2,COLUMN())),OFFSET($AM$2,0,0,ROW()-1,33),ROW()-1,FALSE))</f>
        <v>4.5997702000000001E-2</v>
      </c>
      <c r="N225">
        <f ca="1">IF(AND(ISNUMBER($N$632),$B$427=1),$N$632,HLOOKUP(INDIRECT(ADDRESS(2,COLUMN())),OFFSET($AM$2,0,0,ROW()-1,33),ROW()-1,FALSE))</f>
        <v>9.4619043E-2</v>
      </c>
      <c r="O225">
        <f ca="1">IF(AND(ISNUMBER($O$632),$B$427=1),$O$632,HLOOKUP(INDIRECT(ADDRESS(2,COLUMN())),OFFSET($AM$2,0,0,ROW()-1,33),ROW()-1,FALSE))</f>
        <v>0.25434354300000001</v>
      </c>
      <c r="P225">
        <f ca="1">IF(AND(ISNUMBER($P$632),$B$427=1),$P$632,HLOOKUP(INDIRECT(ADDRESS(2,COLUMN())),OFFSET($AM$2,0,0,ROW()-1,33),ROW()-1,FALSE))</f>
        <v>0.26344645799999999</v>
      </c>
      <c r="Q225">
        <f ca="1">IF(AND(ISNUMBER($Q$632),$B$427=1),$Q$632,HLOOKUP(INDIRECT(ADDRESS(2,COLUMN())),OFFSET($AM$2,0,0,ROW()-1,33),ROW()-1,FALSE))</f>
        <v>0.26408265399999997</v>
      </c>
      <c r="R225">
        <f ca="1">IF(AND(ISNUMBER($R$632),$B$427=1),$R$632,HLOOKUP(INDIRECT(ADDRESS(2,COLUMN())),OFFSET($AM$2,0,0,ROW()-1,33),ROW()-1,FALSE))</f>
        <v>0.95197298699999999</v>
      </c>
      <c r="S225">
        <f ca="1">IF(AND(ISNUMBER($S$632),$B$427=1),$S$632,HLOOKUP(INDIRECT(ADDRESS(2,COLUMN())),OFFSET($AM$2,0,0,ROW()-1,33),ROW()-1,FALSE))</f>
        <v>1.1465351020000001</v>
      </c>
      <c r="T225">
        <f ca="1">IF(AND(ISNUMBER($T$632),$B$427=1),$T$632,HLOOKUP(INDIRECT(ADDRESS(2,COLUMN())),OFFSET($AM$2,0,0,ROW()-1,33),ROW()-1,FALSE))</f>
        <v>1.082499933</v>
      </c>
      <c r="U225">
        <f ca="1">IF(AND(ISNUMBER($U$632),$B$427=1),$U$632,HLOOKUP(INDIRECT(ADDRESS(2,COLUMN())),OFFSET($AM$2,0,0,ROW()-1,33),ROW()-1,FALSE))</f>
        <v>1.077466418</v>
      </c>
      <c r="V225">
        <f ca="1">IF(AND(ISNUMBER($V$632),$B$427=1),$V$632,HLOOKUP(INDIRECT(ADDRESS(2,COLUMN())),OFFSET($AM$2,0,0,ROW()-1,33),ROW()-1,FALSE))</f>
        <v>0.16501363099999999</v>
      </c>
      <c r="W225">
        <f ca="1">IF(AND(ISNUMBER($W$632),$B$427=1),$W$632,HLOOKUP(INDIRECT(ADDRESS(2,COLUMN())),OFFSET($AM$2,0,0,ROW()-1,33),ROW()-1,FALSE))</f>
        <v>0.16849349999999999</v>
      </c>
      <c r="X225" t="str">
        <f ca="1">IF(AND(ISNUMBER($X$632),$B$427=1),$X$632,HLOOKUP(INDIRECT(ADDRESS(2,COLUMN())),OFFSET($AM$2,0,0,ROW()-1,33),ROW()-1,FALSE))</f>
        <v/>
      </c>
      <c r="Y225" t="str">
        <f ca="1">IF(AND(ISNUMBER($Y$632),$B$427=1),$Y$632,HLOOKUP(INDIRECT(ADDRESS(2,COLUMN())),OFFSET($AM$2,0,0,ROW()-1,33),ROW()-1,FALSE))</f>
        <v/>
      </c>
      <c r="Z225" t="str">
        <f ca="1">IF(AND(ISNUMBER($Z$632),$B$427=1),$Z$632,HLOOKUP(INDIRECT(ADDRESS(2,COLUMN())),OFFSET($AM$2,0,0,ROW()-1,33),ROW()-1,FALSE))</f>
        <v/>
      </c>
      <c r="AA225" t="str">
        <f ca="1">IF(AND(ISNUMBER($AA$632),$B$427=1),$AA$632,HLOOKUP(INDIRECT(ADDRESS(2,COLUMN())),OFFSET($AM$2,0,0,ROW()-1,33),ROW()-1,FALSE))</f>
        <v/>
      </c>
      <c r="AB225" t="str">
        <f ca="1">IF(AND(ISNUMBER($AB$632),$B$427=1),$AB$632,HLOOKUP(INDIRECT(ADDRESS(2,COLUMN())),OFFSET($AM$2,0,0,ROW()-1,33),ROW()-1,FALSE))</f>
        <v/>
      </c>
      <c r="AC225" t="str">
        <f ca="1">IF(AND(ISNUMBER($AC$632),$B$427=1),$AC$632,HLOOKUP(INDIRECT(ADDRESS(2,COLUMN())),OFFSET($AM$2,0,0,ROW()-1,33),ROW()-1,FALSE))</f>
        <v/>
      </c>
      <c r="AD225" t="str">
        <f ca="1">IF(AND(ISNUMBER($AD$632),$B$427=1),$AD$632,HLOOKUP(INDIRECT(ADDRESS(2,COLUMN())),OFFSET($AM$2,0,0,ROW()-1,33),ROW()-1,FALSE))</f>
        <v/>
      </c>
      <c r="AE225" t="str">
        <f ca="1">IF(AND(ISNUMBER($AE$632),$B$427=1),$AE$632,HLOOKUP(INDIRECT(ADDRESS(2,COLUMN())),OFFSET($AM$2,0,0,ROW()-1,33),ROW()-1,FALSE))</f>
        <v/>
      </c>
      <c r="AF225" t="str">
        <f ca="1">IF(AND(ISNUMBER($AF$632),$B$427=1),$AF$632,HLOOKUP(INDIRECT(ADDRESS(2,COLUMN())),OFFSET($AM$2,0,0,ROW()-1,33),ROW()-1,FALSE))</f>
        <v/>
      </c>
      <c r="AG225" t="str">
        <f ca="1">IF(AND(ISNUMBER($AG$632),$B$427=1),$AG$632,HLOOKUP(INDIRECT(ADDRESS(2,COLUMN())),OFFSET($AM$2,0,0,ROW()-1,33),ROW()-1,FALSE))</f>
        <v/>
      </c>
      <c r="AH225" t="str">
        <f ca="1">IF(AND(ISNUMBER($AH$632),$B$427=1),$AH$632,HLOOKUP(INDIRECT(ADDRESS(2,COLUMN())),OFFSET($AM$2,0,0,ROW()-1,33),ROW()-1,FALSE))</f>
        <v/>
      </c>
      <c r="AI225" t="str">
        <f ca="1">IF(AND(ISNUMBER($AI$632),$B$427=1),$AI$632,HLOOKUP(INDIRECT(ADDRESS(2,COLUMN())),OFFSET($AM$2,0,0,ROW()-1,33),ROW()-1,FALSE))</f>
        <v/>
      </c>
      <c r="AJ225" t="str">
        <f ca="1">IF(AND(ISNUMBER($AJ$632),$B$427=1),$AJ$632,HLOOKUP(INDIRECT(ADDRESS(2,COLUMN())),OFFSET($AM$2,0,0,ROW()-1,33),ROW()-1,FALSE))</f>
        <v/>
      </c>
      <c r="AK225" t="str">
        <f ca="1">IF(AND(ISNUMBER($AK$632),$B$427=1),$AK$632,HLOOKUP(INDIRECT(ADDRESS(2,COLUMN())),OFFSET($AM$2,0,0,ROW()-1,33),ROW()-1,FALSE))</f>
        <v/>
      </c>
      <c r="AL225" t="str">
        <f ca="1">IF(AND(ISNUMBER($AL$632),$B$427=1),$AL$632,HLOOKUP(INDIRECT(ADDRESS(2,COLUMN())),OFFSET($AM$2,0,0,ROW()-1,33),ROW()-1,FALSE))</f>
        <v/>
      </c>
      <c r="AM225">
        <f>0</f>
        <v>0</v>
      </c>
      <c r="AN225">
        <f>0</f>
        <v>0</v>
      </c>
      <c r="AO225">
        <f>0</f>
        <v>0</v>
      </c>
      <c r="AP225">
        <f>0</f>
        <v>0</v>
      </c>
      <c r="AQ225">
        <f>0.013553447</f>
        <v>1.3553447E-2</v>
      </c>
      <c r="AR225">
        <f>0.015205719</f>
        <v>1.5205718999999999E-2</v>
      </c>
      <c r="AS225">
        <f>0.039551056</f>
        <v>3.9551056000000001E-2</v>
      </c>
      <c r="AT225">
        <f>0.045997702</f>
        <v>4.5997702000000001E-2</v>
      </c>
      <c r="AU225">
        <f>0.094619043</f>
        <v>9.4619043E-2</v>
      </c>
      <c r="AV225">
        <f>0.254343543</f>
        <v>0.25434354300000001</v>
      </c>
      <c r="AW225">
        <f>0.263446458</f>
        <v>0.26344645799999999</v>
      </c>
      <c r="AX225">
        <f>0.264082654</f>
        <v>0.26408265399999997</v>
      </c>
      <c r="AY225">
        <f>0.951972987</f>
        <v>0.95197298699999999</v>
      </c>
      <c r="AZ225">
        <f>1.146535102</f>
        <v>1.1465351020000001</v>
      </c>
      <c r="BA225">
        <f>1.082499933</f>
        <v>1.082499933</v>
      </c>
      <c r="BB225">
        <f>1.077466418</f>
        <v>1.077466418</v>
      </c>
      <c r="BC225">
        <f>0.165013631</f>
        <v>0.16501363099999999</v>
      </c>
      <c r="BD225">
        <f>0.1684935</f>
        <v>0.16849349999999999</v>
      </c>
      <c r="BE225" t="str">
        <f>""</f>
        <v/>
      </c>
      <c r="BF225" t="str">
        <f>""</f>
        <v/>
      </c>
      <c r="BG225" t="str">
        <f>""</f>
        <v/>
      </c>
      <c r="BH225" t="str">
        <f>""</f>
        <v/>
      </c>
      <c r="BI225" t="str">
        <f>""</f>
        <v/>
      </c>
      <c r="BJ225" t="str">
        <f>""</f>
        <v/>
      </c>
      <c r="BK225" t="str">
        <f>""</f>
        <v/>
      </c>
      <c r="BL225" t="str">
        <f>""</f>
        <v/>
      </c>
      <c r="BM225" t="str">
        <f>""</f>
        <v/>
      </c>
      <c r="BN225" t="str">
        <f>""</f>
        <v/>
      </c>
      <c r="BO225" t="str">
        <f>""</f>
        <v/>
      </c>
      <c r="BP225" t="str">
        <f>""</f>
        <v/>
      </c>
      <c r="BQ225" t="str">
        <f>""</f>
        <v/>
      </c>
      <c r="BR225" t="str">
        <f>""</f>
        <v/>
      </c>
      <c r="BS225" t="str">
        <f>""</f>
        <v/>
      </c>
    </row>
    <row r="226" spans="1:71" x14ac:dyDescent="0.25">
      <c r="A226" t="str">
        <f>"    Comerica Inc"</f>
        <v xml:space="preserve">    Comerica Inc</v>
      </c>
      <c r="B226" t="str">
        <f>"CMA US Equity"</f>
        <v>CMA US Equity</v>
      </c>
      <c r="C226" t="str">
        <f t="shared" si="30"/>
        <v>F0116</v>
      </c>
      <c r="D226" t="str">
        <f t="shared" si="31"/>
        <v>FED_OTHER_LEASES_%_TOT_LNS_LEAS</v>
      </c>
      <c r="E226" t="str">
        <f t="shared" si="32"/>
        <v>Dynamic</v>
      </c>
      <c r="F226" t="str">
        <f ca="1">IF(AND(ISNUMBER($F$633),$B$427=1),$F$633,HLOOKUP(INDIRECT(ADDRESS(2,COLUMN())),OFFSET($AM$2,0,0,ROW()-1,33),ROW()-1,FALSE))</f>
        <v/>
      </c>
      <c r="G226">
        <f ca="1">IF(AND(ISNUMBER($G$633),$B$427=1),$G$633,HLOOKUP(INDIRECT(ADDRESS(2,COLUMN())),OFFSET($AM$2,0,0,ROW()-1,33),ROW()-1,FALSE))</f>
        <v>1.5283217120000001</v>
      </c>
      <c r="H226">
        <f ca="1">IF(AND(ISNUMBER($H$633),$B$427=1),$H$633,HLOOKUP(INDIRECT(ADDRESS(2,COLUMN())),OFFSET($AM$2,0,0,ROW()-1,33),ROW()-1,FALSE))</f>
        <v>1.4343763460000001</v>
      </c>
      <c r="I226">
        <f ca="1">IF(AND(ISNUMBER($I$633),$B$427=1),$I$633,HLOOKUP(INDIRECT(ADDRESS(2,COLUMN())),OFFSET($AM$2,0,0,ROW()-1,33),ROW()-1,FALSE))</f>
        <v>1.286238867</v>
      </c>
      <c r="J226">
        <f ca="1">IF(AND(ISNUMBER($J$633),$B$427=1),$J$633,HLOOKUP(INDIRECT(ADDRESS(2,COLUMN())),OFFSET($AM$2,0,0,ROW()-1,33),ROW()-1,FALSE))</f>
        <v>1.135842129</v>
      </c>
      <c r="K226">
        <f ca="1">IF(AND(ISNUMBER($K$633),$B$427=1),$K$633,HLOOKUP(INDIRECT(ADDRESS(2,COLUMN())),OFFSET($AM$2,0,0,ROW()-1,33),ROW()-1,FALSE))</f>
        <v>1.1672224870000001</v>
      </c>
      <c r="L226">
        <f ca="1">IF(AND(ISNUMBER($L$633),$B$427=1),$L$633,HLOOKUP(INDIRECT(ADDRESS(2,COLUMN())),OFFSET($AM$2,0,0,ROW()-1,33),ROW()-1,FALSE))</f>
        <v>1.0106053989999999</v>
      </c>
      <c r="M226">
        <f ca="1">IF(AND(ISNUMBER($M$633),$B$427=1),$M$633,HLOOKUP(INDIRECT(ADDRESS(2,COLUMN())),OFFSET($AM$2,0,0,ROW()-1,33),ROW()-1,FALSE))</f>
        <v>0.95259683500000003</v>
      </c>
      <c r="N226">
        <f ca="1">IF(AND(ISNUMBER($N$633),$B$427=1),$N$633,HLOOKUP(INDIRECT(ADDRESS(2,COLUMN())),OFFSET($AM$2,0,0,ROW()-1,33),ROW()-1,FALSE))</f>
        <v>1.164469304</v>
      </c>
      <c r="O226">
        <f ca="1">IF(AND(ISNUMBER($O$633),$B$427=1),$O$633,HLOOKUP(INDIRECT(ADDRESS(2,COLUMN())),OFFSET($AM$2,0,0,ROW()-1,33),ROW()-1,FALSE))</f>
        <v>1.4733358430000001</v>
      </c>
      <c r="P226">
        <f ca="1">IF(AND(ISNUMBER($P$633),$B$427=1),$P$633,HLOOKUP(INDIRECT(ADDRESS(2,COLUMN())),OFFSET($AM$2,0,0,ROW()-1,33),ROW()-1,FALSE))</f>
        <v>1.6566801550000001</v>
      </c>
      <c r="Q226">
        <f ca="1">IF(AND(ISNUMBER($Q$633),$B$427=1),$Q$633,HLOOKUP(INDIRECT(ADDRESS(2,COLUMN())),OFFSET($AM$2,0,0,ROW()-1,33),ROW()-1,FALSE))</f>
        <v>1.858701782</v>
      </c>
      <c r="R226">
        <f ca="1">IF(AND(ISNUMBER($R$633),$B$427=1),$R$633,HLOOKUP(INDIRECT(ADDRESS(2,COLUMN())),OFFSET($AM$2,0,0,ROW()-1,33),ROW()-1,FALSE))</f>
        <v>1.8657259180000001</v>
      </c>
      <c r="S226">
        <f ca="1">IF(AND(ISNUMBER($S$633),$B$427=1),$S$633,HLOOKUP(INDIRECT(ADDRESS(2,COLUMN())),OFFSET($AM$2,0,0,ROW()-1,33),ROW()-1,FALSE))</f>
        <v>2.119084929</v>
      </c>
      <c r="T226">
        <f ca="1">IF(AND(ISNUMBER($T$633),$B$427=1),$T$633,HLOOKUP(INDIRECT(ADDRESS(2,COLUMN())),OFFSET($AM$2,0,0,ROW()-1,33),ROW()-1,FALSE))</f>
        <v>2.5065281609999999</v>
      </c>
      <c r="U226">
        <f ca="1">IF(AND(ISNUMBER($U$633),$B$427=1),$U$633,HLOOKUP(INDIRECT(ADDRESS(2,COLUMN())),OFFSET($AM$2,0,0,ROW()-1,33),ROW()-1,FALSE))</f>
        <v>2.6989463759999999</v>
      </c>
      <c r="V226">
        <f ca="1">IF(AND(ISNUMBER($V$633),$B$427=1),$V$633,HLOOKUP(INDIRECT(ADDRESS(2,COLUMN())),OFFSET($AM$2,0,0,ROW()-1,33),ROW()-1,FALSE))</f>
        <v>2.6582451520000001</v>
      </c>
      <c r="W226">
        <f ca="1">IF(AND(ISNUMBER($W$633),$B$427=1),$W$633,HLOOKUP(INDIRECT(ADDRESS(2,COLUMN())),OFFSET($AM$2,0,0,ROW()-1,33),ROW()-1,FALSE))</f>
        <v>2.6504775610000002</v>
      </c>
      <c r="X226" t="str">
        <f ca="1">IF(AND(ISNUMBER($X$633),$B$427=1),$X$633,HLOOKUP(INDIRECT(ADDRESS(2,COLUMN())),OFFSET($AM$2,0,0,ROW()-1,33),ROW()-1,FALSE))</f>
        <v/>
      </c>
      <c r="Y226" t="str">
        <f ca="1">IF(AND(ISNUMBER($Y$633),$B$427=1),$Y$633,HLOOKUP(INDIRECT(ADDRESS(2,COLUMN())),OFFSET($AM$2,0,0,ROW()-1,33),ROW()-1,FALSE))</f>
        <v/>
      </c>
      <c r="Z226" t="str">
        <f ca="1">IF(AND(ISNUMBER($Z$633),$B$427=1),$Z$633,HLOOKUP(INDIRECT(ADDRESS(2,COLUMN())),OFFSET($AM$2,0,0,ROW()-1,33),ROW()-1,FALSE))</f>
        <v/>
      </c>
      <c r="AA226" t="str">
        <f ca="1">IF(AND(ISNUMBER($AA$633),$B$427=1),$AA$633,HLOOKUP(INDIRECT(ADDRESS(2,COLUMN())),OFFSET($AM$2,0,0,ROW()-1,33),ROW()-1,FALSE))</f>
        <v/>
      </c>
      <c r="AB226" t="str">
        <f ca="1">IF(AND(ISNUMBER($AB$633),$B$427=1),$AB$633,HLOOKUP(INDIRECT(ADDRESS(2,COLUMN())),OFFSET($AM$2,0,0,ROW()-1,33),ROW()-1,FALSE))</f>
        <v/>
      </c>
      <c r="AC226" t="str">
        <f ca="1">IF(AND(ISNUMBER($AC$633),$B$427=1),$AC$633,HLOOKUP(INDIRECT(ADDRESS(2,COLUMN())),OFFSET($AM$2,0,0,ROW()-1,33),ROW()-1,FALSE))</f>
        <v/>
      </c>
      <c r="AD226" t="str">
        <f ca="1">IF(AND(ISNUMBER($AD$633),$B$427=1),$AD$633,HLOOKUP(INDIRECT(ADDRESS(2,COLUMN())),OFFSET($AM$2,0,0,ROW()-1,33),ROW()-1,FALSE))</f>
        <v/>
      </c>
      <c r="AE226" t="str">
        <f ca="1">IF(AND(ISNUMBER($AE$633),$B$427=1),$AE$633,HLOOKUP(INDIRECT(ADDRESS(2,COLUMN())),OFFSET($AM$2,0,0,ROW()-1,33),ROW()-1,FALSE))</f>
        <v/>
      </c>
      <c r="AF226" t="str">
        <f ca="1">IF(AND(ISNUMBER($AF$633),$B$427=1),$AF$633,HLOOKUP(INDIRECT(ADDRESS(2,COLUMN())),OFFSET($AM$2,0,0,ROW()-1,33),ROW()-1,FALSE))</f>
        <v/>
      </c>
      <c r="AG226" t="str">
        <f ca="1">IF(AND(ISNUMBER($AG$633),$B$427=1),$AG$633,HLOOKUP(INDIRECT(ADDRESS(2,COLUMN())),OFFSET($AM$2,0,0,ROW()-1,33),ROW()-1,FALSE))</f>
        <v/>
      </c>
      <c r="AH226" t="str">
        <f ca="1">IF(AND(ISNUMBER($AH$633),$B$427=1),$AH$633,HLOOKUP(INDIRECT(ADDRESS(2,COLUMN())),OFFSET($AM$2,0,0,ROW()-1,33),ROW()-1,FALSE))</f>
        <v/>
      </c>
      <c r="AI226" t="str">
        <f ca="1">IF(AND(ISNUMBER($AI$633),$B$427=1),$AI$633,HLOOKUP(INDIRECT(ADDRESS(2,COLUMN())),OFFSET($AM$2,0,0,ROW()-1,33),ROW()-1,FALSE))</f>
        <v/>
      </c>
      <c r="AJ226" t="str">
        <f ca="1">IF(AND(ISNUMBER($AJ$633),$B$427=1),$AJ$633,HLOOKUP(INDIRECT(ADDRESS(2,COLUMN())),OFFSET($AM$2,0,0,ROW()-1,33),ROW()-1,FALSE))</f>
        <v/>
      </c>
      <c r="AK226" t="str">
        <f ca="1">IF(AND(ISNUMBER($AK$633),$B$427=1),$AK$633,HLOOKUP(INDIRECT(ADDRESS(2,COLUMN())),OFFSET($AM$2,0,0,ROW()-1,33),ROW()-1,FALSE))</f>
        <v/>
      </c>
      <c r="AL226" t="str">
        <f ca="1">IF(AND(ISNUMBER($AL$633),$B$427=1),$AL$633,HLOOKUP(INDIRECT(ADDRESS(2,COLUMN())),OFFSET($AM$2,0,0,ROW()-1,33),ROW()-1,FALSE))</f>
        <v/>
      </c>
      <c r="AM226" t="str">
        <f>""</f>
        <v/>
      </c>
      <c r="AN226">
        <f>1.528321712</f>
        <v>1.5283217120000001</v>
      </c>
      <c r="AO226">
        <f>1.434376346</f>
        <v>1.4343763460000001</v>
      </c>
      <c r="AP226">
        <f>1.286238867</f>
        <v>1.286238867</v>
      </c>
      <c r="AQ226">
        <f>1.135842129</f>
        <v>1.135842129</v>
      </c>
      <c r="AR226">
        <f>1.167222487</f>
        <v>1.1672224870000001</v>
      </c>
      <c r="AS226">
        <f>1.010605399</f>
        <v>1.0106053989999999</v>
      </c>
      <c r="AT226">
        <f>0.952596835</f>
        <v>0.95259683500000003</v>
      </c>
      <c r="AU226">
        <f>1.164469304</f>
        <v>1.164469304</v>
      </c>
      <c r="AV226">
        <f>1.473335843</f>
        <v>1.4733358430000001</v>
      </c>
      <c r="AW226">
        <f>1.656680155</f>
        <v>1.6566801550000001</v>
      </c>
      <c r="AX226">
        <f>1.858701782</f>
        <v>1.858701782</v>
      </c>
      <c r="AY226">
        <f>1.865725918</f>
        <v>1.8657259180000001</v>
      </c>
      <c r="AZ226">
        <f>2.119084929</f>
        <v>2.119084929</v>
      </c>
      <c r="BA226">
        <f>2.506528161</f>
        <v>2.5065281609999999</v>
      </c>
      <c r="BB226">
        <f>2.698946376</f>
        <v>2.6989463759999999</v>
      </c>
      <c r="BC226">
        <f>2.658245152</f>
        <v>2.6582451520000001</v>
      </c>
      <c r="BD226">
        <f>2.650477561</f>
        <v>2.6504775610000002</v>
      </c>
      <c r="BE226" t="str">
        <f>""</f>
        <v/>
      </c>
      <c r="BF226" t="str">
        <f>""</f>
        <v/>
      </c>
      <c r="BG226" t="str">
        <f>""</f>
        <v/>
      </c>
      <c r="BH226" t="str">
        <f>""</f>
        <v/>
      </c>
      <c r="BI226" t="str">
        <f>""</f>
        <v/>
      </c>
      <c r="BJ226" t="str">
        <f>""</f>
        <v/>
      </c>
      <c r="BK226" t="str">
        <f>""</f>
        <v/>
      </c>
      <c r="BL226" t="str">
        <f>""</f>
        <v/>
      </c>
      <c r="BM226" t="str">
        <f>""</f>
        <v/>
      </c>
      <c r="BN226" t="str">
        <f>""</f>
        <v/>
      </c>
      <c r="BO226" t="str">
        <f>""</f>
        <v/>
      </c>
      <c r="BP226" t="str">
        <f>""</f>
        <v/>
      </c>
      <c r="BQ226" t="str">
        <f>""</f>
        <v/>
      </c>
      <c r="BR226" t="str">
        <f>""</f>
        <v/>
      </c>
      <c r="BS226" t="str">
        <f>""</f>
        <v/>
      </c>
    </row>
    <row r="227" spans="1:71" x14ac:dyDescent="0.25">
      <c r="A227" t="str">
        <f>"    East West Bancorp Inc"</f>
        <v xml:space="preserve">    East West Bancorp Inc</v>
      </c>
      <c r="B227" t="str">
        <f>"EWBC US Equity"</f>
        <v>EWBC US Equity</v>
      </c>
      <c r="C227" t="str">
        <f t="shared" si="30"/>
        <v>F0116</v>
      </c>
      <c r="D227" t="str">
        <f t="shared" si="31"/>
        <v>FED_OTHER_LEASES_%_TOT_LNS_LEAS</v>
      </c>
      <c r="E227" t="str">
        <f t="shared" si="32"/>
        <v>Dynamic</v>
      </c>
      <c r="F227" t="str">
        <f ca="1">IF(AND(ISNUMBER($F$634),$B$427=1),$F$634,HLOOKUP(INDIRECT(ADDRESS(2,COLUMN())),OFFSET($AM$2,0,0,ROW()-1,33),ROW()-1,FALSE))</f>
        <v/>
      </c>
      <c r="G227">
        <f ca="1">IF(AND(ISNUMBER($G$634),$B$427=1),$G$634,HLOOKUP(INDIRECT(ADDRESS(2,COLUMN())),OFFSET($AM$2,0,0,ROW()-1,33),ROW()-1,FALSE))</f>
        <v>0.111714225</v>
      </c>
      <c r="H227">
        <f ca="1">IF(AND(ISNUMBER($H$634),$B$427=1),$H$634,HLOOKUP(INDIRECT(ADDRESS(2,COLUMN())),OFFSET($AM$2,0,0,ROW()-1,33),ROW()-1,FALSE))</f>
        <v>0.15112225000000001</v>
      </c>
      <c r="I227">
        <f ca="1">IF(AND(ISNUMBER($I$634),$B$427=1),$I$634,HLOOKUP(INDIRECT(ADDRESS(2,COLUMN())),OFFSET($AM$2,0,0,ROW()-1,33),ROW()-1,FALSE))</f>
        <v>0.29414051499999999</v>
      </c>
      <c r="J227">
        <f ca="1">IF(AND(ISNUMBER($J$634),$B$427=1),$J$634,HLOOKUP(INDIRECT(ADDRESS(2,COLUMN())),OFFSET($AM$2,0,0,ROW()-1,33),ROW()-1,FALSE))</f>
        <v>0.38082593399999998</v>
      </c>
      <c r="K227">
        <f ca="1">IF(AND(ISNUMBER($K$634),$B$427=1),$K$634,HLOOKUP(INDIRECT(ADDRESS(2,COLUMN())),OFFSET($AM$2,0,0,ROW()-1,33),ROW()-1,FALSE))</f>
        <v>0.40634897399999997</v>
      </c>
      <c r="L227">
        <f ca="1">IF(AND(ISNUMBER($L$634),$B$427=1),$L$634,HLOOKUP(INDIRECT(ADDRESS(2,COLUMN())),OFFSET($AM$2,0,0,ROW()-1,33),ROW()-1,FALSE))</f>
        <v>0.49324822499999998</v>
      </c>
      <c r="M227">
        <f ca="1">IF(AND(ISNUMBER($M$634),$B$427=1),$M$634,HLOOKUP(INDIRECT(ADDRESS(2,COLUMN())),OFFSET($AM$2,0,0,ROW()-1,33),ROW()-1,FALSE))</f>
        <v>0.50703107700000005</v>
      </c>
      <c r="N227">
        <f ca="1">IF(AND(ISNUMBER($N$634),$B$427=1),$N$634,HLOOKUP(INDIRECT(ADDRESS(2,COLUMN())),OFFSET($AM$2,0,0,ROW()-1,33),ROW()-1,FALSE))</f>
        <v>0.25297035800000001</v>
      </c>
      <c r="O227">
        <f ca="1">IF(AND(ISNUMBER($O$634),$B$427=1),$O$634,HLOOKUP(INDIRECT(ADDRESS(2,COLUMN())),OFFSET($AM$2,0,0,ROW()-1,33),ROW()-1,FALSE))</f>
        <v>8.0259556999999995E-2</v>
      </c>
      <c r="P227">
        <f ca="1">IF(AND(ISNUMBER($P$634),$B$427=1),$P$634,HLOOKUP(INDIRECT(ADDRESS(2,COLUMN())),OFFSET($AM$2,0,0,ROW()-1,33),ROW()-1,FALSE))</f>
        <v>0</v>
      </c>
      <c r="Q227">
        <f ca="1">IF(AND(ISNUMBER($Q$634),$B$427=1),$Q$634,HLOOKUP(INDIRECT(ADDRESS(2,COLUMN())),OFFSET($AM$2,0,0,ROW()-1,33),ROW()-1,FALSE))</f>
        <v>0</v>
      </c>
      <c r="R227">
        <f ca="1">IF(AND(ISNUMBER($R$634),$B$427=1),$R$634,HLOOKUP(INDIRECT(ADDRESS(2,COLUMN())),OFFSET($AM$2,0,0,ROW()-1,33),ROW()-1,FALSE))</f>
        <v>3.7737439999999999E-3</v>
      </c>
      <c r="S227">
        <f ca="1">IF(AND(ISNUMBER($S$634),$B$427=1),$S$634,HLOOKUP(INDIRECT(ADDRESS(2,COLUMN())),OFFSET($AM$2,0,0,ROW()-1,33),ROW()-1,FALSE))</f>
        <v>8.4412389999999997E-3</v>
      </c>
      <c r="T227">
        <f ca="1">IF(AND(ISNUMBER($T$634),$B$427=1),$T$634,HLOOKUP(INDIRECT(ADDRESS(2,COLUMN())),OFFSET($AM$2,0,0,ROW()-1,33),ROW()-1,FALSE))</f>
        <v>0.206333399</v>
      </c>
      <c r="U227">
        <f ca="1">IF(AND(ISNUMBER($U$634),$B$427=1),$U$634,HLOOKUP(INDIRECT(ADDRESS(2,COLUMN())),OFFSET($AM$2,0,0,ROW()-1,33),ROW()-1,FALSE))</f>
        <v>0</v>
      </c>
      <c r="V227">
        <f ca="1">IF(AND(ISNUMBER($V$634),$B$427=1),$V$634,HLOOKUP(INDIRECT(ADDRESS(2,COLUMN())),OFFSET($AM$2,0,0,ROW()-1,33),ROW()-1,FALSE))</f>
        <v>0</v>
      </c>
      <c r="W227">
        <f ca="1">IF(AND(ISNUMBER($W$634),$B$427=1),$W$634,HLOOKUP(INDIRECT(ADDRESS(2,COLUMN())),OFFSET($AM$2,0,0,ROW()-1,33),ROW()-1,FALSE))</f>
        <v>0</v>
      </c>
      <c r="X227" t="str">
        <f ca="1">IF(AND(ISNUMBER($X$634),$B$427=1),$X$634,HLOOKUP(INDIRECT(ADDRESS(2,COLUMN())),OFFSET($AM$2,0,0,ROW()-1,33),ROW()-1,FALSE))</f>
        <v/>
      </c>
      <c r="Y227" t="str">
        <f ca="1">IF(AND(ISNUMBER($Y$634),$B$427=1),$Y$634,HLOOKUP(INDIRECT(ADDRESS(2,COLUMN())),OFFSET($AM$2,0,0,ROW()-1,33),ROW()-1,FALSE))</f>
        <v/>
      </c>
      <c r="Z227" t="str">
        <f ca="1">IF(AND(ISNUMBER($Z$634),$B$427=1),$Z$634,HLOOKUP(INDIRECT(ADDRESS(2,COLUMN())),OFFSET($AM$2,0,0,ROW()-1,33),ROW()-1,FALSE))</f>
        <v/>
      </c>
      <c r="AA227" t="str">
        <f ca="1">IF(AND(ISNUMBER($AA$634),$B$427=1),$AA$634,HLOOKUP(INDIRECT(ADDRESS(2,COLUMN())),OFFSET($AM$2,0,0,ROW()-1,33),ROW()-1,FALSE))</f>
        <v/>
      </c>
      <c r="AB227" t="str">
        <f ca="1">IF(AND(ISNUMBER($AB$634),$B$427=1),$AB$634,HLOOKUP(INDIRECT(ADDRESS(2,COLUMN())),OFFSET($AM$2,0,0,ROW()-1,33),ROW()-1,FALSE))</f>
        <v/>
      </c>
      <c r="AC227" t="str">
        <f ca="1">IF(AND(ISNUMBER($AC$634),$B$427=1),$AC$634,HLOOKUP(INDIRECT(ADDRESS(2,COLUMN())),OFFSET($AM$2,0,0,ROW()-1,33),ROW()-1,FALSE))</f>
        <v/>
      </c>
      <c r="AD227" t="str">
        <f ca="1">IF(AND(ISNUMBER($AD$634),$B$427=1),$AD$634,HLOOKUP(INDIRECT(ADDRESS(2,COLUMN())),OFFSET($AM$2,0,0,ROW()-1,33),ROW()-1,FALSE))</f>
        <v/>
      </c>
      <c r="AE227" t="str">
        <f ca="1">IF(AND(ISNUMBER($AE$634),$B$427=1),$AE$634,HLOOKUP(INDIRECT(ADDRESS(2,COLUMN())),OFFSET($AM$2,0,0,ROW()-1,33),ROW()-1,FALSE))</f>
        <v/>
      </c>
      <c r="AF227" t="str">
        <f ca="1">IF(AND(ISNUMBER($AF$634),$B$427=1),$AF$634,HLOOKUP(INDIRECT(ADDRESS(2,COLUMN())),OFFSET($AM$2,0,0,ROW()-1,33),ROW()-1,FALSE))</f>
        <v/>
      </c>
      <c r="AG227" t="str">
        <f ca="1">IF(AND(ISNUMBER($AG$634),$B$427=1),$AG$634,HLOOKUP(INDIRECT(ADDRESS(2,COLUMN())),OFFSET($AM$2,0,0,ROW()-1,33),ROW()-1,FALSE))</f>
        <v/>
      </c>
      <c r="AH227" t="str">
        <f ca="1">IF(AND(ISNUMBER($AH$634),$B$427=1),$AH$634,HLOOKUP(INDIRECT(ADDRESS(2,COLUMN())),OFFSET($AM$2,0,0,ROW()-1,33),ROW()-1,FALSE))</f>
        <v/>
      </c>
      <c r="AI227" t="str">
        <f ca="1">IF(AND(ISNUMBER($AI$634),$B$427=1),$AI$634,HLOOKUP(INDIRECT(ADDRESS(2,COLUMN())),OFFSET($AM$2,0,0,ROW()-1,33),ROW()-1,FALSE))</f>
        <v/>
      </c>
      <c r="AJ227" t="str">
        <f ca="1">IF(AND(ISNUMBER($AJ$634),$B$427=1),$AJ$634,HLOOKUP(INDIRECT(ADDRESS(2,COLUMN())),OFFSET($AM$2,0,0,ROW()-1,33),ROW()-1,FALSE))</f>
        <v/>
      </c>
      <c r="AK227" t="str">
        <f ca="1">IF(AND(ISNUMBER($AK$634),$B$427=1),$AK$634,HLOOKUP(INDIRECT(ADDRESS(2,COLUMN())),OFFSET($AM$2,0,0,ROW()-1,33),ROW()-1,FALSE))</f>
        <v/>
      </c>
      <c r="AL227" t="str">
        <f ca="1">IF(AND(ISNUMBER($AL$634),$B$427=1),$AL$634,HLOOKUP(INDIRECT(ADDRESS(2,COLUMN())),OFFSET($AM$2,0,0,ROW()-1,33),ROW()-1,FALSE))</f>
        <v/>
      </c>
      <c r="AM227" t="str">
        <f>""</f>
        <v/>
      </c>
      <c r="AN227">
        <f>0.111714225</f>
        <v>0.111714225</v>
      </c>
      <c r="AO227">
        <f>0.15112225</f>
        <v>0.15112225000000001</v>
      </c>
      <c r="AP227">
        <f>0.294140515</f>
        <v>0.29414051499999999</v>
      </c>
      <c r="AQ227">
        <f>0.380825934</f>
        <v>0.38082593399999998</v>
      </c>
      <c r="AR227">
        <f>0.406348974</f>
        <v>0.40634897399999997</v>
      </c>
      <c r="AS227">
        <f>0.493248225</f>
        <v>0.49324822499999998</v>
      </c>
      <c r="AT227">
        <f>0.507031077</f>
        <v>0.50703107700000005</v>
      </c>
      <c r="AU227">
        <f>0.252970358</f>
        <v>0.25297035800000001</v>
      </c>
      <c r="AV227">
        <f>0.080259557</f>
        <v>8.0259556999999995E-2</v>
      </c>
      <c r="AW227">
        <f>0</f>
        <v>0</v>
      </c>
      <c r="AX227">
        <f>0</f>
        <v>0</v>
      </c>
      <c r="AY227">
        <f>0.003773744</f>
        <v>3.7737439999999999E-3</v>
      </c>
      <c r="AZ227">
        <f>0.008441239</f>
        <v>8.4412389999999997E-3</v>
      </c>
      <c r="BA227">
        <f>0.206333399</f>
        <v>0.206333399</v>
      </c>
      <c r="BB227">
        <f>0</f>
        <v>0</v>
      </c>
      <c r="BC227">
        <f>0</f>
        <v>0</v>
      </c>
      <c r="BD227">
        <f>0</f>
        <v>0</v>
      </c>
      <c r="BE227" t="str">
        <f>""</f>
        <v/>
      </c>
      <c r="BF227" t="str">
        <f>""</f>
        <v/>
      </c>
      <c r="BG227" t="str">
        <f>""</f>
        <v/>
      </c>
      <c r="BH227" t="str">
        <f>""</f>
        <v/>
      </c>
      <c r="BI227" t="str">
        <f>""</f>
        <v/>
      </c>
      <c r="BJ227" t="str">
        <f>""</f>
        <v/>
      </c>
      <c r="BK227" t="str">
        <f>""</f>
        <v/>
      </c>
      <c r="BL227" t="str">
        <f>""</f>
        <v/>
      </c>
      <c r="BM227" t="str">
        <f>""</f>
        <v/>
      </c>
      <c r="BN227" t="str">
        <f>""</f>
        <v/>
      </c>
      <c r="BO227" t="str">
        <f>""</f>
        <v/>
      </c>
      <c r="BP227" t="str">
        <f>""</f>
        <v/>
      </c>
      <c r="BQ227" t="str">
        <f>""</f>
        <v/>
      </c>
      <c r="BR227" t="str">
        <f>""</f>
        <v/>
      </c>
      <c r="BS227" t="str">
        <f>""</f>
        <v/>
      </c>
    </row>
    <row r="228" spans="1:71" x14ac:dyDescent="0.25">
      <c r="A228" t="str">
        <f>"    Fifth Third Bancorp"</f>
        <v xml:space="preserve">    Fifth Third Bancorp</v>
      </c>
      <c r="B228" t="str">
        <f>"FITB US Equity"</f>
        <v>FITB US Equity</v>
      </c>
      <c r="C228" t="str">
        <f t="shared" si="30"/>
        <v>F0116</v>
      </c>
      <c r="D228" t="str">
        <f t="shared" si="31"/>
        <v>FED_OTHER_LEASES_%_TOT_LNS_LEAS</v>
      </c>
      <c r="E228" t="str">
        <f t="shared" si="32"/>
        <v>Dynamic</v>
      </c>
      <c r="F228">
        <f ca="1">IF(AND(ISNUMBER($F$635),$B$427=1),$F$635,HLOOKUP(INDIRECT(ADDRESS(2,COLUMN())),OFFSET($AM$2,0,0,ROW()-1,33),ROW()-1,FALSE))</f>
        <v>2.6454982519999999</v>
      </c>
      <c r="G228">
        <f ca="1">IF(AND(ISNUMBER($G$635),$B$427=1),$G$635,HLOOKUP(INDIRECT(ADDRESS(2,COLUMN())),OFFSET($AM$2,0,0,ROW()-1,33),ROW()-1,FALSE))</f>
        <v>2.1953542160000001</v>
      </c>
      <c r="H228">
        <f ca="1">IF(AND(ISNUMBER($H$635),$B$427=1),$H$635,HLOOKUP(INDIRECT(ADDRESS(2,COLUMN())),OFFSET($AM$2,0,0,ROW()-1,33),ROW()-1,FALSE))</f>
        <v>2.2078479409999998</v>
      </c>
      <c r="I228">
        <f ca="1">IF(AND(ISNUMBER($I$635),$B$427=1),$I$635,HLOOKUP(INDIRECT(ADDRESS(2,COLUMN())),OFFSET($AM$2,0,0,ROW()-1,33),ROW()-1,FALSE))</f>
        <v>2.6362882550000002</v>
      </c>
      <c r="J228">
        <f ca="1">IF(AND(ISNUMBER($J$635),$B$427=1),$J$635,HLOOKUP(INDIRECT(ADDRESS(2,COLUMN())),OFFSET($AM$2,0,0,ROW()-1,33),ROW()-1,FALSE))</f>
        <v>2.5615753840000002</v>
      </c>
      <c r="K228">
        <f ca="1">IF(AND(ISNUMBER($K$635),$B$427=1),$K$635,HLOOKUP(INDIRECT(ADDRESS(2,COLUMN())),OFFSET($AM$2,0,0,ROW()-1,33),ROW()-1,FALSE))</f>
        <v>3.031001496</v>
      </c>
      <c r="L228">
        <f ca="1">IF(AND(ISNUMBER($L$635),$B$427=1),$L$635,HLOOKUP(INDIRECT(ADDRESS(2,COLUMN())),OFFSET($AM$2,0,0,ROW()-1,33),ROW()-1,FALSE))</f>
        <v>3.7556197509999998</v>
      </c>
      <c r="M228">
        <f ca="1">IF(AND(ISNUMBER($M$635),$B$427=1),$M$635,HLOOKUP(INDIRECT(ADDRESS(2,COLUMN())),OFFSET($AM$2,0,0,ROW()-1,33),ROW()-1,FALSE))</f>
        <v>4.399730108</v>
      </c>
      <c r="N228">
        <f ca="1">IF(AND(ISNUMBER($N$635),$B$427=1),$N$635,HLOOKUP(INDIRECT(ADDRESS(2,COLUMN())),OFFSET($AM$2,0,0,ROW()-1,33),ROW()-1,FALSE))</f>
        <v>4.2803251390000003</v>
      </c>
      <c r="O228">
        <f ca="1">IF(AND(ISNUMBER($O$635),$B$427=1),$O$635,HLOOKUP(INDIRECT(ADDRESS(2,COLUMN())),OFFSET($AM$2,0,0,ROW()-1,33),ROW()-1,FALSE))</f>
        <v>4.1235838920000001</v>
      </c>
      <c r="P228">
        <f ca="1">IF(AND(ISNUMBER($P$635),$B$427=1),$P$635,HLOOKUP(INDIRECT(ADDRESS(2,COLUMN())),OFFSET($AM$2,0,0,ROW()-1,33),ROW()-1,FALSE))</f>
        <v>4.072911446</v>
      </c>
      <c r="Q228">
        <f ca="1">IF(AND(ISNUMBER($Q$635),$B$427=1),$Q$635,HLOOKUP(INDIRECT(ADDRESS(2,COLUMN())),OFFSET($AM$2,0,0,ROW()-1,33),ROW()-1,FALSE))</f>
        <v>4.048127569</v>
      </c>
      <c r="R228">
        <f ca="1">IF(AND(ISNUMBER($R$635),$B$427=1),$R$635,HLOOKUP(INDIRECT(ADDRESS(2,COLUMN())),OFFSET($AM$2,0,0,ROW()-1,33),ROW()-1,FALSE))</f>
        <v>4.0001895840000001</v>
      </c>
      <c r="S228">
        <f ca="1">IF(AND(ISNUMBER($S$635),$B$427=1),$S$635,HLOOKUP(INDIRECT(ADDRESS(2,COLUMN())),OFFSET($AM$2,0,0,ROW()-1,33),ROW()-1,FALSE))</f>
        <v>4.2055260570000002</v>
      </c>
      <c r="T228">
        <f ca="1">IF(AND(ISNUMBER($T$635),$B$427=1),$T$635,HLOOKUP(INDIRECT(ADDRESS(2,COLUMN())),OFFSET($AM$2,0,0,ROW()-1,33),ROW()-1,FALSE))</f>
        <v>4.2383813899999998</v>
      </c>
      <c r="U228">
        <f ca="1">IF(AND(ISNUMBER($U$635),$B$427=1),$U$635,HLOOKUP(INDIRECT(ADDRESS(2,COLUMN())),OFFSET($AM$2,0,0,ROW()-1,33),ROW()-1,FALSE))</f>
        <v>4.4832018380000003</v>
      </c>
      <c r="V228">
        <f ca="1">IF(AND(ISNUMBER($V$635),$B$427=1),$V$635,HLOOKUP(INDIRECT(ADDRESS(2,COLUMN())),OFFSET($AM$2,0,0,ROW()-1,33),ROW()-1,FALSE))</f>
        <v>4.2825533839999999</v>
      </c>
      <c r="W228">
        <f ca="1">IF(AND(ISNUMBER($W$635),$B$427=1),$W$635,HLOOKUP(INDIRECT(ADDRESS(2,COLUMN())),OFFSET($AM$2,0,0,ROW()-1,33),ROW()-1,FALSE))</f>
        <v>4.4186084130000003</v>
      </c>
      <c r="X228" t="str">
        <f ca="1">IF(AND(ISNUMBER($X$635),$B$427=1),$X$635,HLOOKUP(INDIRECT(ADDRESS(2,COLUMN())),OFFSET($AM$2,0,0,ROW()-1,33),ROW()-1,FALSE))</f>
        <v/>
      </c>
      <c r="Y228" t="str">
        <f ca="1">IF(AND(ISNUMBER($Y$635),$B$427=1),$Y$635,HLOOKUP(INDIRECT(ADDRESS(2,COLUMN())),OFFSET($AM$2,0,0,ROW()-1,33),ROW()-1,FALSE))</f>
        <v/>
      </c>
      <c r="Z228" t="str">
        <f ca="1">IF(AND(ISNUMBER($Z$635),$B$427=1),$Z$635,HLOOKUP(INDIRECT(ADDRESS(2,COLUMN())),OFFSET($AM$2,0,0,ROW()-1,33),ROW()-1,FALSE))</f>
        <v/>
      </c>
      <c r="AA228" t="str">
        <f ca="1">IF(AND(ISNUMBER($AA$635),$B$427=1),$AA$635,HLOOKUP(INDIRECT(ADDRESS(2,COLUMN())),OFFSET($AM$2,0,0,ROW()-1,33),ROW()-1,FALSE))</f>
        <v/>
      </c>
      <c r="AB228" t="str">
        <f ca="1">IF(AND(ISNUMBER($AB$635),$B$427=1),$AB$635,HLOOKUP(INDIRECT(ADDRESS(2,COLUMN())),OFFSET($AM$2,0,0,ROW()-1,33),ROW()-1,FALSE))</f>
        <v/>
      </c>
      <c r="AC228" t="str">
        <f ca="1">IF(AND(ISNUMBER($AC$635),$B$427=1),$AC$635,HLOOKUP(INDIRECT(ADDRESS(2,COLUMN())),OFFSET($AM$2,0,0,ROW()-1,33),ROW()-1,FALSE))</f>
        <v/>
      </c>
      <c r="AD228" t="str">
        <f ca="1">IF(AND(ISNUMBER($AD$635),$B$427=1),$AD$635,HLOOKUP(INDIRECT(ADDRESS(2,COLUMN())),OFFSET($AM$2,0,0,ROW()-1,33),ROW()-1,FALSE))</f>
        <v/>
      </c>
      <c r="AE228" t="str">
        <f ca="1">IF(AND(ISNUMBER($AE$635),$B$427=1),$AE$635,HLOOKUP(INDIRECT(ADDRESS(2,COLUMN())),OFFSET($AM$2,0,0,ROW()-1,33),ROW()-1,FALSE))</f>
        <v/>
      </c>
      <c r="AF228" t="str">
        <f ca="1">IF(AND(ISNUMBER($AF$635),$B$427=1),$AF$635,HLOOKUP(INDIRECT(ADDRESS(2,COLUMN())),OFFSET($AM$2,0,0,ROW()-1,33),ROW()-1,FALSE))</f>
        <v/>
      </c>
      <c r="AG228" t="str">
        <f ca="1">IF(AND(ISNUMBER($AG$635),$B$427=1),$AG$635,HLOOKUP(INDIRECT(ADDRESS(2,COLUMN())),OFFSET($AM$2,0,0,ROW()-1,33),ROW()-1,FALSE))</f>
        <v/>
      </c>
      <c r="AH228" t="str">
        <f ca="1">IF(AND(ISNUMBER($AH$635),$B$427=1),$AH$635,HLOOKUP(INDIRECT(ADDRESS(2,COLUMN())),OFFSET($AM$2,0,0,ROW()-1,33),ROW()-1,FALSE))</f>
        <v/>
      </c>
      <c r="AI228" t="str">
        <f ca="1">IF(AND(ISNUMBER($AI$635),$B$427=1),$AI$635,HLOOKUP(INDIRECT(ADDRESS(2,COLUMN())),OFFSET($AM$2,0,0,ROW()-1,33),ROW()-1,FALSE))</f>
        <v/>
      </c>
      <c r="AJ228" t="str">
        <f ca="1">IF(AND(ISNUMBER($AJ$635),$B$427=1),$AJ$635,HLOOKUP(INDIRECT(ADDRESS(2,COLUMN())),OFFSET($AM$2,0,0,ROW()-1,33),ROW()-1,FALSE))</f>
        <v/>
      </c>
      <c r="AK228" t="str">
        <f ca="1">IF(AND(ISNUMBER($AK$635),$B$427=1),$AK$635,HLOOKUP(INDIRECT(ADDRESS(2,COLUMN())),OFFSET($AM$2,0,0,ROW()-1,33),ROW()-1,FALSE))</f>
        <v/>
      </c>
      <c r="AL228" t="str">
        <f ca="1">IF(AND(ISNUMBER($AL$635),$B$427=1),$AL$635,HLOOKUP(INDIRECT(ADDRESS(2,COLUMN())),OFFSET($AM$2,0,0,ROW()-1,33),ROW()-1,FALSE))</f>
        <v/>
      </c>
      <c r="AM228">
        <f>2.645498252</f>
        <v>2.6454982519999999</v>
      </c>
      <c r="AN228">
        <f>2.195354216</f>
        <v>2.1953542160000001</v>
      </c>
      <c r="AO228">
        <f>2.207847941</f>
        <v>2.2078479409999998</v>
      </c>
      <c r="AP228">
        <f>2.636288255</f>
        <v>2.6362882550000002</v>
      </c>
      <c r="AQ228">
        <f>2.561575384</f>
        <v>2.5615753840000002</v>
      </c>
      <c r="AR228">
        <f>3.031001496</f>
        <v>3.031001496</v>
      </c>
      <c r="AS228">
        <f>3.755619751</f>
        <v>3.7556197509999998</v>
      </c>
      <c r="AT228">
        <f>4.399730108</f>
        <v>4.399730108</v>
      </c>
      <c r="AU228">
        <f>4.280325139</f>
        <v>4.2803251390000003</v>
      </c>
      <c r="AV228">
        <f>4.123583892</f>
        <v>4.1235838920000001</v>
      </c>
      <c r="AW228">
        <f>4.072911446</f>
        <v>4.072911446</v>
      </c>
      <c r="AX228">
        <f>4.048127569</f>
        <v>4.048127569</v>
      </c>
      <c r="AY228">
        <f>4.000189584</f>
        <v>4.0001895840000001</v>
      </c>
      <c r="AZ228">
        <f>4.205526057</f>
        <v>4.2055260570000002</v>
      </c>
      <c r="BA228">
        <f>4.23838139</f>
        <v>4.2383813899999998</v>
      </c>
      <c r="BB228">
        <f>4.483201838</f>
        <v>4.4832018380000003</v>
      </c>
      <c r="BC228">
        <f>4.282553384</f>
        <v>4.2825533839999999</v>
      </c>
      <c r="BD228">
        <f>4.418608413</f>
        <v>4.4186084130000003</v>
      </c>
      <c r="BE228" t="str">
        <f>""</f>
        <v/>
      </c>
      <c r="BF228" t="str">
        <f>""</f>
        <v/>
      </c>
      <c r="BG228" t="str">
        <f>""</f>
        <v/>
      </c>
      <c r="BH228" t="str">
        <f>""</f>
        <v/>
      </c>
      <c r="BI228" t="str">
        <f>""</f>
        <v/>
      </c>
      <c r="BJ228" t="str">
        <f>""</f>
        <v/>
      </c>
      <c r="BK228" t="str">
        <f>""</f>
        <v/>
      </c>
      <c r="BL228" t="str">
        <f>""</f>
        <v/>
      </c>
      <c r="BM228" t="str">
        <f>""</f>
        <v/>
      </c>
      <c r="BN228" t="str">
        <f>""</f>
        <v/>
      </c>
      <c r="BO228" t="str">
        <f>""</f>
        <v/>
      </c>
      <c r="BP228" t="str">
        <f>""</f>
        <v/>
      </c>
      <c r="BQ228" t="str">
        <f>""</f>
        <v/>
      </c>
      <c r="BR228" t="str">
        <f>""</f>
        <v/>
      </c>
      <c r="BS228" t="str">
        <f>""</f>
        <v/>
      </c>
    </row>
    <row r="229" spans="1:71" x14ac:dyDescent="0.25">
      <c r="A229" t="str">
        <f>"    First Citizens BancShares Inc/"</f>
        <v xml:space="preserve">    First Citizens BancShares Inc/</v>
      </c>
      <c r="B229" t="str">
        <f>"FCNCA US Equity"</f>
        <v>FCNCA US Equity</v>
      </c>
      <c r="C229" t="str">
        <f t="shared" si="30"/>
        <v>F0116</v>
      </c>
      <c r="D229" t="str">
        <f t="shared" si="31"/>
        <v>FED_OTHER_LEASES_%_TOT_LNS_LEAS</v>
      </c>
      <c r="E229" t="str">
        <f t="shared" si="32"/>
        <v>Dynamic</v>
      </c>
      <c r="F229">
        <f ca="1">IF(AND(ISNUMBER($F$636),$B$427=1),$F$636,HLOOKUP(INDIRECT(ADDRESS(2,COLUMN())),OFFSET($AM$2,0,0,ROW()-1,33),ROW()-1,FALSE))</f>
        <v>1.435464673</v>
      </c>
      <c r="G229">
        <f ca="1">IF(AND(ISNUMBER($G$636),$B$427=1),$G$636,HLOOKUP(INDIRECT(ADDRESS(2,COLUMN())),OFFSET($AM$2,0,0,ROW()-1,33),ROW()-1,FALSE))</f>
        <v>1.540371114</v>
      </c>
      <c r="H229">
        <f ca="1">IF(AND(ISNUMBER($H$636),$B$427=1),$H$636,HLOOKUP(INDIRECT(ADDRESS(2,COLUMN())),OFFSET($AM$2,0,0,ROW()-1,33),ROW()-1,FALSE))</f>
        <v>3.0709625429999998</v>
      </c>
      <c r="I229">
        <f ca="1">IF(AND(ISNUMBER($I$636),$B$427=1),$I$636,HLOOKUP(INDIRECT(ADDRESS(2,COLUMN())),OFFSET($AM$2,0,0,ROW()-1,33),ROW()-1,FALSE))</f>
        <v>0.83379367800000004</v>
      </c>
      <c r="J229">
        <f ca="1">IF(AND(ISNUMBER($J$636),$B$427=1),$J$636,HLOOKUP(INDIRECT(ADDRESS(2,COLUMN())),OFFSET($AM$2,0,0,ROW()-1,33),ROW()-1,FALSE))</f>
        <v>1.016094754</v>
      </c>
      <c r="K229">
        <f ca="1">IF(AND(ISNUMBER($K$636),$B$427=1),$K$636,HLOOKUP(INDIRECT(ADDRESS(2,COLUMN())),OFFSET($AM$2,0,0,ROW()-1,33),ROW()-1,FALSE))</f>
        <v>1.509331897</v>
      </c>
      <c r="L229">
        <f ca="1">IF(AND(ISNUMBER($L$636),$B$427=1),$L$636,HLOOKUP(INDIRECT(ADDRESS(2,COLUMN())),OFFSET($AM$2,0,0,ROW()-1,33),ROW()-1,FALSE))</f>
        <v>2.3261061999999999</v>
      </c>
      <c r="M229">
        <f ca="1">IF(AND(ISNUMBER($M$636),$B$427=1),$M$636,HLOOKUP(INDIRECT(ADDRESS(2,COLUMN())),OFFSET($AM$2,0,0,ROW()-1,33),ROW()-1,FALSE))</f>
        <v>3.7838330880000002</v>
      </c>
      <c r="N229">
        <f ca="1">IF(AND(ISNUMBER($N$636),$B$427=1),$N$636,HLOOKUP(INDIRECT(ADDRESS(2,COLUMN())),OFFSET($AM$2,0,0,ROW()-1,33),ROW()-1,FALSE))</f>
        <v>3.7880956870000002</v>
      </c>
      <c r="O229">
        <f ca="1">IF(AND(ISNUMBER($O$636),$B$427=1),$O$636,HLOOKUP(INDIRECT(ADDRESS(2,COLUMN())),OFFSET($AM$2,0,0,ROW()-1,33),ROW()-1,FALSE))</f>
        <v>3.5999348960000002</v>
      </c>
      <c r="P229">
        <f ca="1">IF(AND(ISNUMBER($P$636),$B$427=1),$P$636,HLOOKUP(INDIRECT(ADDRESS(2,COLUMN())),OFFSET($AM$2,0,0,ROW()-1,33),ROW()-1,FALSE))</f>
        <v>3.0367499109999998</v>
      </c>
      <c r="Q229">
        <f ca="1">IF(AND(ISNUMBER($Q$636),$B$427=1),$Q$636,HLOOKUP(INDIRECT(ADDRESS(2,COLUMN())),OFFSET($AM$2,0,0,ROW()-1,33),ROW()-1,FALSE))</f>
        <v>2.8963137539999999</v>
      </c>
      <c r="R229">
        <f ca="1">IF(AND(ISNUMBER($R$636),$B$427=1),$R$636,HLOOKUP(INDIRECT(ADDRESS(2,COLUMN())),OFFSET($AM$2,0,0,ROW()-1,33),ROW()-1,FALSE))</f>
        <v>2.4546227819999999</v>
      </c>
      <c r="S229">
        <f ca="1">IF(AND(ISNUMBER($S$636),$B$427=1),$S$636,HLOOKUP(INDIRECT(ADDRESS(2,COLUMN())),OFFSET($AM$2,0,0,ROW()-1,33),ROW()-1,FALSE))</f>
        <v>2.229407862</v>
      </c>
      <c r="T229">
        <f ca="1">IF(AND(ISNUMBER($T$636),$B$427=1),$T$636,HLOOKUP(INDIRECT(ADDRESS(2,COLUMN())),OFFSET($AM$2,0,0,ROW()-1,33),ROW()-1,FALSE))</f>
        <v>2.2191195810000002</v>
      </c>
      <c r="U229">
        <f ca="1">IF(AND(ISNUMBER($U$636),$B$427=1),$U$636,HLOOKUP(INDIRECT(ADDRESS(2,COLUMN())),OFFSET($AM$2,0,0,ROW()-1,33),ROW()-1,FALSE))</f>
        <v>2.5665714679999998</v>
      </c>
      <c r="V229">
        <f ca="1">IF(AND(ISNUMBER($V$636),$B$427=1),$V$636,HLOOKUP(INDIRECT(ADDRESS(2,COLUMN())),OFFSET($AM$2,0,0,ROW()-1,33),ROW()-1,FALSE))</f>
        <v>3.0200903889999999</v>
      </c>
      <c r="W229">
        <f ca="1">IF(AND(ISNUMBER($W$636),$B$427=1),$W$636,HLOOKUP(INDIRECT(ADDRESS(2,COLUMN())),OFFSET($AM$2,0,0,ROW()-1,33),ROW()-1,FALSE))</f>
        <v>3.1065667850000001</v>
      </c>
      <c r="X229" t="str">
        <f ca="1">IF(AND(ISNUMBER($X$636),$B$427=1),$X$636,HLOOKUP(INDIRECT(ADDRESS(2,COLUMN())),OFFSET($AM$2,0,0,ROW()-1,33),ROW()-1,FALSE))</f>
        <v/>
      </c>
      <c r="Y229" t="str">
        <f ca="1">IF(AND(ISNUMBER($Y$636),$B$427=1),$Y$636,HLOOKUP(INDIRECT(ADDRESS(2,COLUMN())),OFFSET($AM$2,0,0,ROW()-1,33),ROW()-1,FALSE))</f>
        <v/>
      </c>
      <c r="Z229" t="str">
        <f ca="1">IF(AND(ISNUMBER($Z$636),$B$427=1),$Z$636,HLOOKUP(INDIRECT(ADDRESS(2,COLUMN())),OFFSET($AM$2,0,0,ROW()-1,33),ROW()-1,FALSE))</f>
        <v/>
      </c>
      <c r="AA229" t="str">
        <f ca="1">IF(AND(ISNUMBER($AA$636),$B$427=1),$AA$636,HLOOKUP(INDIRECT(ADDRESS(2,COLUMN())),OFFSET($AM$2,0,0,ROW()-1,33),ROW()-1,FALSE))</f>
        <v/>
      </c>
      <c r="AB229" t="str">
        <f ca="1">IF(AND(ISNUMBER($AB$636),$B$427=1),$AB$636,HLOOKUP(INDIRECT(ADDRESS(2,COLUMN())),OFFSET($AM$2,0,0,ROW()-1,33),ROW()-1,FALSE))</f>
        <v/>
      </c>
      <c r="AC229" t="str">
        <f ca="1">IF(AND(ISNUMBER($AC$636),$B$427=1),$AC$636,HLOOKUP(INDIRECT(ADDRESS(2,COLUMN())),OFFSET($AM$2,0,0,ROW()-1,33),ROW()-1,FALSE))</f>
        <v/>
      </c>
      <c r="AD229" t="str">
        <f ca="1">IF(AND(ISNUMBER($AD$636),$B$427=1),$AD$636,HLOOKUP(INDIRECT(ADDRESS(2,COLUMN())),OFFSET($AM$2,0,0,ROW()-1,33),ROW()-1,FALSE))</f>
        <v/>
      </c>
      <c r="AE229" t="str">
        <f ca="1">IF(AND(ISNUMBER($AE$636),$B$427=1),$AE$636,HLOOKUP(INDIRECT(ADDRESS(2,COLUMN())),OFFSET($AM$2,0,0,ROW()-1,33),ROW()-1,FALSE))</f>
        <v/>
      </c>
      <c r="AF229" t="str">
        <f ca="1">IF(AND(ISNUMBER($AF$636),$B$427=1),$AF$636,HLOOKUP(INDIRECT(ADDRESS(2,COLUMN())),OFFSET($AM$2,0,0,ROW()-1,33),ROW()-1,FALSE))</f>
        <v/>
      </c>
      <c r="AG229" t="str">
        <f ca="1">IF(AND(ISNUMBER($AG$636),$B$427=1),$AG$636,HLOOKUP(INDIRECT(ADDRESS(2,COLUMN())),OFFSET($AM$2,0,0,ROW()-1,33),ROW()-1,FALSE))</f>
        <v/>
      </c>
      <c r="AH229" t="str">
        <f ca="1">IF(AND(ISNUMBER($AH$636),$B$427=1),$AH$636,HLOOKUP(INDIRECT(ADDRESS(2,COLUMN())),OFFSET($AM$2,0,0,ROW()-1,33),ROW()-1,FALSE))</f>
        <v/>
      </c>
      <c r="AI229" t="str">
        <f ca="1">IF(AND(ISNUMBER($AI$636),$B$427=1),$AI$636,HLOOKUP(INDIRECT(ADDRESS(2,COLUMN())),OFFSET($AM$2,0,0,ROW()-1,33),ROW()-1,FALSE))</f>
        <v/>
      </c>
      <c r="AJ229" t="str">
        <f ca="1">IF(AND(ISNUMBER($AJ$636),$B$427=1),$AJ$636,HLOOKUP(INDIRECT(ADDRESS(2,COLUMN())),OFFSET($AM$2,0,0,ROW()-1,33),ROW()-1,FALSE))</f>
        <v/>
      </c>
      <c r="AK229" t="str">
        <f ca="1">IF(AND(ISNUMBER($AK$636),$B$427=1),$AK$636,HLOOKUP(INDIRECT(ADDRESS(2,COLUMN())),OFFSET($AM$2,0,0,ROW()-1,33),ROW()-1,FALSE))</f>
        <v/>
      </c>
      <c r="AL229" t="str">
        <f ca="1">IF(AND(ISNUMBER($AL$636),$B$427=1),$AL$636,HLOOKUP(INDIRECT(ADDRESS(2,COLUMN())),OFFSET($AM$2,0,0,ROW()-1,33),ROW()-1,FALSE))</f>
        <v/>
      </c>
      <c r="AM229">
        <f>1.435464673</f>
        <v>1.435464673</v>
      </c>
      <c r="AN229">
        <f>1.540371114</f>
        <v>1.540371114</v>
      </c>
      <c r="AO229">
        <f>3.070962543</f>
        <v>3.0709625429999998</v>
      </c>
      <c r="AP229">
        <f>0.833793678</f>
        <v>0.83379367800000004</v>
      </c>
      <c r="AQ229">
        <f>1.016094754</f>
        <v>1.016094754</v>
      </c>
      <c r="AR229">
        <f>1.509331897</f>
        <v>1.509331897</v>
      </c>
      <c r="AS229">
        <f>2.3261062</f>
        <v>2.3261061999999999</v>
      </c>
      <c r="AT229">
        <f>3.783833088</f>
        <v>3.7838330880000002</v>
      </c>
      <c r="AU229">
        <f>3.788095687</f>
        <v>3.7880956870000002</v>
      </c>
      <c r="AV229">
        <f>3.599934896</f>
        <v>3.5999348960000002</v>
      </c>
      <c r="AW229">
        <f>3.036749911</f>
        <v>3.0367499109999998</v>
      </c>
      <c r="AX229">
        <f>2.896313754</f>
        <v>2.8963137539999999</v>
      </c>
      <c r="AY229">
        <f>2.454622782</f>
        <v>2.4546227819999999</v>
      </c>
      <c r="AZ229">
        <f>2.229407862</f>
        <v>2.229407862</v>
      </c>
      <c r="BA229">
        <f>2.219119581</f>
        <v>2.2191195810000002</v>
      </c>
      <c r="BB229">
        <f>2.566571468</f>
        <v>2.5665714679999998</v>
      </c>
      <c r="BC229">
        <f>3.020090389</f>
        <v>3.0200903889999999</v>
      </c>
      <c r="BD229">
        <f>3.106566785</f>
        <v>3.1065667850000001</v>
      </c>
      <c r="BE229" t="str">
        <f>""</f>
        <v/>
      </c>
      <c r="BF229" t="str">
        <f>""</f>
        <v/>
      </c>
      <c r="BG229" t="str">
        <f>""</f>
        <v/>
      </c>
      <c r="BH229" t="str">
        <f>""</f>
        <v/>
      </c>
      <c r="BI229" t="str">
        <f>""</f>
        <v/>
      </c>
      <c r="BJ229" t="str">
        <f>""</f>
        <v/>
      </c>
      <c r="BK229" t="str">
        <f>""</f>
        <v/>
      </c>
      <c r="BL229" t="str">
        <f>""</f>
        <v/>
      </c>
      <c r="BM229" t="str">
        <f>""</f>
        <v/>
      </c>
      <c r="BN229" t="str">
        <f>""</f>
        <v/>
      </c>
      <c r="BO229" t="str">
        <f>""</f>
        <v/>
      </c>
      <c r="BP229" t="str">
        <f>""</f>
        <v/>
      </c>
      <c r="BQ229" t="str">
        <f>""</f>
        <v/>
      </c>
      <c r="BR229" t="str">
        <f>""</f>
        <v/>
      </c>
      <c r="BS229" t="str">
        <f>""</f>
        <v/>
      </c>
    </row>
    <row r="230" spans="1:71" x14ac:dyDescent="0.25">
      <c r="A230" t="str">
        <f>"    Flagstar Financial Inc"</f>
        <v xml:space="preserve">    Flagstar Financial Inc</v>
      </c>
      <c r="B230" t="str">
        <f>"FLG US Equity"</f>
        <v>FLG US Equity</v>
      </c>
      <c r="C230" t="str">
        <f t="shared" si="30"/>
        <v>F0116</v>
      </c>
      <c r="D230" t="str">
        <f t="shared" si="31"/>
        <v>FED_OTHER_LEASES_%_TOT_LNS_LEAS</v>
      </c>
      <c r="E230" t="str">
        <f t="shared" si="32"/>
        <v>Dynamic</v>
      </c>
      <c r="F230">
        <f ca="1">IF(AND(ISNUMBER($F$637),$B$427=1),$F$637,HLOOKUP(INDIRECT(ADDRESS(2,COLUMN())),OFFSET($AM$2,0,0,ROW()-1,33),ROW()-1,FALSE))</f>
        <v>3.0595877269999998</v>
      </c>
      <c r="G230">
        <f ca="1">IF(AND(ISNUMBER($G$637),$B$427=1),$G$637,HLOOKUP(INDIRECT(ADDRESS(2,COLUMN())),OFFSET($AM$2,0,0,ROW()-1,33),ROW()-1,FALSE))</f>
        <v>3.7181579629999999</v>
      </c>
      <c r="H230">
        <f ca="1">IF(AND(ISNUMBER($H$637),$B$427=1),$H$637,HLOOKUP(INDIRECT(ADDRESS(2,COLUMN())),OFFSET($AM$2,0,0,ROW()-1,33),ROW()-1,FALSE))</f>
        <v>2.3947912109999998</v>
      </c>
      <c r="I230">
        <f ca="1">IF(AND(ISNUMBER($I$637),$B$427=1),$I$637,HLOOKUP(INDIRECT(ADDRESS(2,COLUMN())),OFFSET($AM$2,0,0,ROW()-1,33),ROW()-1,FALSE))</f>
        <v>3.925661845</v>
      </c>
      <c r="J230">
        <f ca="1">IF(AND(ISNUMBER($J$637),$B$427=1),$J$637,HLOOKUP(INDIRECT(ADDRESS(2,COLUMN())),OFFSET($AM$2,0,0,ROW()-1,33),ROW()-1,FALSE))</f>
        <v>4.1088414909999997</v>
      </c>
      <c r="K230">
        <f ca="1">IF(AND(ISNUMBER($K$637),$B$427=1),$K$637,HLOOKUP(INDIRECT(ADDRESS(2,COLUMN())),OFFSET($AM$2,0,0,ROW()-1,33),ROW()-1,FALSE))</f>
        <v>3.0876837109999999</v>
      </c>
      <c r="L230">
        <f ca="1">IF(AND(ISNUMBER($L$637),$B$427=1),$L$637,HLOOKUP(INDIRECT(ADDRESS(2,COLUMN())),OFFSET($AM$2,0,0,ROW()-1,33),ROW()-1,FALSE))</f>
        <v>1.723030885</v>
      </c>
      <c r="M230">
        <f ca="1">IF(AND(ISNUMBER($M$637),$B$427=1),$M$637,HLOOKUP(INDIRECT(ADDRESS(2,COLUMN())),OFFSET($AM$2,0,0,ROW()-1,33),ROW()-1,FALSE))</f>
        <v>1.7515576319999999</v>
      </c>
      <c r="N230">
        <f ca="1">IF(AND(ISNUMBER($N$637),$B$427=1),$N$637,HLOOKUP(INDIRECT(ADDRESS(2,COLUMN())),OFFSET($AM$2,0,0,ROW()-1,33),ROW()-1,FALSE))</f>
        <v>1.439976954</v>
      </c>
      <c r="O230">
        <f ca="1">IF(AND(ISNUMBER($O$637),$B$427=1),$O$637,HLOOKUP(INDIRECT(ADDRESS(2,COLUMN())),OFFSET($AM$2,0,0,ROW()-1,33),ROW()-1,FALSE))</f>
        <v>0.96742350700000002</v>
      </c>
      <c r="P230">
        <f ca="1">IF(AND(ISNUMBER($P$637),$B$427=1),$P$637,HLOOKUP(INDIRECT(ADDRESS(2,COLUMN())),OFFSET($AM$2,0,0,ROW()-1,33),ROW()-1,FALSE))</f>
        <v>0.589873231</v>
      </c>
      <c r="Q230">
        <f ca="1">IF(AND(ISNUMBER($Q$637),$B$427=1),$Q$637,HLOOKUP(INDIRECT(ADDRESS(2,COLUMN())),OFFSET($AM$2,0,0,ROW()-1,33),ROW()-1,FALSE))</f>
        <v>0.310507582</v>
      </c>
      <c r="R230">
        <f ca="1">IF(AND(ISNUMBER($R$637),$B$427=1),$R$637,HLOOKUP(INDIRECT(ADDRESS(2,COLUMN())),OFFSET($AM$2,0,0,ROW()-1,33),ROW()-1,FALSE))</f>
        <v>1.8878000000000001E-5</v>
      </c>
      <c r="S230">
        <f ca="1">IF(AND(ISNUMBER($S$637),$B$427=1),$S$637,HLOOKUP(INDIRECT(ADDRESS(2,COLUMN())),OFFSET($AM$2,0,0,ROW()-1,33),ROW()-1,FALSE))</f>
        <v>2.5382600000000002E-4</v>
      </c>
      <c r="T230">
        <f ca="1">IF(AND(ISNUMBER($T$637),$B$427=1),$T$637,HLOOKUP(INDIRECT(ADDRESS(2,COLUMN())),OFFSET($AM$2,0,0,ROW()-1,33),ROW()-1,FALSE))</f>
        <v>8.1422700000000005E-4</v>
      </c>
      <c r="U230">
        <f ca="1">IF(AND(ISNUMBER($U$637),$B$427=1),$U$637,HLOOKUP(INDIRECT(ADDRESS(2,COLUMN())),OFFSET($AM$2,0,0,ROW()-1,33),ROW()-1,FALSE))</f>
        <v>2.3413420000000002E-3</v>
      </c>
      <c r="V230">
        <f ca="1">IF(AND(ISNUMBER($V$637),$B$427=1),$V$637,HLOOKUP(INDIRECT(ADDRESS(2,COLUMN())),OFFSET($AM$2,0,0,ROW()-1,33),ROW()-1,FALSE))</f>
        <v>6.4530339999999999E-3</v>
      </c>
      <c r="W230">
        <f ca="1">IF(AND(ISNUMBER($W$637),$B$427=1),$W$637,HLOOKUP(INDIRECT(ADDRESS(2,COLUMN())),OFFSET($AM$2,0,0,ROW()-1,33),ROW()-1,FALSE))</f>
        <v>2.1293645999999999E-2</v>
      </c>
      <c r="X230" t="str">
        <f ca="1">IF(AND(ISNUMBER($X$637),$B$427=1),$X$637,HLOOKUP(INDIRECT(ADDRESS(2,COLUMN())),OFFSET($AM$2,0,0,ROW()-1,33),ROW()-1,FALSE))</f>
        <v/>
      </c>
      <c r="Y230" t="str">
        <f ca="1">IF(AND(ISNUMBER($Y$637),$B$427=1),$Y$637,HLOOKUP(INDIRECT(ADDRESS(2,COLUMN())),OFFSET($AM$2,0,0,ROW()-1,33),ROW()-1,FALSE))</f>
        <v/>
      </c>
      <c r="Z230" t="str">
        <f ca="1">IF(AND(ISNUMBER($Z$637),$B$427=1),$Z$637,HLOOKUP(INDIRECT(ADDRESS(2,COLUMN())),OFFSET($AM$2,0,0,ROW()-1,33),ROW()-1,FALSE))</f>
        <v/>
      </c>
      <c r="AA230" t="str">
        <f ca="1">IF(AND(ISNUMBER($AA$637),$B$427=1),$AA$637,HLOOKUP(INDIRECT(ADDRESS(2,COLUMN())),OFFSET($AM$2,0,0,ROW()-1,33),ROW()-1,FALSE))</f>
        <v/>
      </c>
      <c r="AB230" t="str">
        <f ca="1">IF(AND(ISNUMBER($AB$637),$B$427=1),$AB$637,HLOOKUP(INDIRECT(ADDRESS(2,COLUMN())),OFFSET($AM$2,0,0,ROW()-1,33),ROW()-1,FALSE))</f>
        <v/>
      </c>
      <c r="AC230" t="str">
        <f ca="1">IF(AND(ISNUMBER($AC$637),$B$427=1),$AC$637,HLOOKUP(INDIRECT(ADDRESS(2,COLUMN())),OFFSET($AM$2,0,0,ROW()-1,33),ROW()-1,FALSE))</f>
        <v/>
      </c>
      <c r="AD230" t="str">
        <f ca="1">IF(AND(ISNUMBER($AD$637),$B$427=1),$AD$637,HLOOKUP(INDIRECT(ADDRESS(2,COLUMN())),OFFSET($AM$2,0,0,ROW()-1,33),ROW()-1,FALSE))</f>
        <v/>
      </c>
      <c r="AE230" t="str">
        <f ca="1">IF(AND(ISNUMBER($AE$637),$B$427=1),$AE$637,HLOOKUP(INDIRECT(ADDRESS(2,COLUMN())),OFFSET($AM$2,0,0,ROW()-1,33),ROW()-1,FALSE))</f>
        <v/>
      </c>
      <c r="AF230" t="str">
        <f ca="1">IF(AND(ISNUMBER($AF$637),$B$427=1),$AF$637,HLOOKUP(INDIRECT(ADDRESS(2,COLUMN())),OFFSET($AM$2,0,0,ROW()-1,33),ROW()-1,FALSE))</f>
        <v/>
      </c>
      <c r="AG230" t="str">
        <f ca="1">IF(AND(ISNUMBER($AG$637),$B$427=1),$AG$637,HLOOKUP(INDIRECT(ADDRESS(2,COLUMN())),OFFSET($AM$2,0,0,ROW()-1,33),ROW()-1,FALSE))</f>
        <v/>
      </c>
      <c r="AH230" t="str">
        <f ca="1">IF(AND(ISNUMBER($AH$637),$B$427=1),$AH$637,HLOOKUP(INDIRECT(ADDRESS(2,COLUMN())),OFFSET($AM$2,0,0,ROW()-1,33),ROW()-1,FALSE))</f>
        <v/>
      </c>
      <c r="AI230" t="str">
        <f ca="1">IF(AND(ISNUMBER($AI$637),$B$427=1),$AI$637,HLOOKUP(INDIRECT(ADDRESS(2,COLUMN())),OFFSET($AM$2,0,0,ROW()-1,33),ROW()-1,FALSE))</f>
        <v/>
      </c>
      <c r="AJ230" t="str">
        <f ca="1">IF(AND(ISNUMBER($AJ$637),$B$427=1),$AJ$637,HLOOKUP(INDIRECT(ADDRESS(2,COLUMN())),OFFSET($AM$2,0,0,ROW()-1,33),ROW()-1,FALSE))</f>
        <v/>
      </c>
      <c r="AK230" t="str">
        <f ca="1">IF(AND(ISNUMBER($AK$637),$B$427=1),$AK$637,HLOOKUP(INDIRECT(ADDRESS(2,COLUMN())),OFFSET($AM$2,0,0,ROW()-1,33),ROW()-1,FALSE))</f>
        <v/>
      </c>
      <c r="AL230" t="str">
        <f ca="1">IF(AND(ISNUMBER($AL$637),$B$427=1),$AL$637,HLOOKUP(INDIRECT(ADDRESS(2,COLUMN())),OFFSET($AM$2,0,0,ROW()-1,33),ROW()-1,FALSE))</f>
        <v/>
      </c>
      <c r="AM230">
        <f>3.059587727</f>
        <v>3.0595877269999998</v>
      </c>
      <c r="AN230">
        <f>3.718157963</f>
        <v>3.7181579629999999</v>
      </c>
      <c r="AO230">
        <f>2.394791211</f>
        <v>2.3947912109999998</v>
      </c>
      <c r="AP230">
        <f>3.925661845</f>
        <v>3.925661845</v>
      </c>
      <c r="AQ230">
        <f>4.108841491</f>
        <v>4.1088414909999997</v>
      </c>
      <c r="AR230">
        <f>3.087683711</f>
        <v>3.0876837109999999</v>
      </c>
      <c r="AS230">
        <f>1.723030885</f>
        <v>1.723030885</v>
      </c>
      <c r="AT230">
        <f>1.751557632</f>
        <v>1.7515576319999999</v>
      </c>
      <c r="AU230">
        <f>1.439976954</f>
        <v>1.439976954</v>
      </c>
      <c r="AV230">
        <f>0.967423507</f>
        <v>0.96742350700000002</v>
      </c>
      <c r="AW230">
        <f>0.589873231</f>
        <v>0.589873231</v>
      </c>
      <c r="AX230">
        <f>0.310507582</f>
        <v>0.310507582</v>
      </c>
      <c r="AY230">
        <f>0.000018878</f>
        <v>1.8878000000000001E-5</v>
      </c>
      <c r="AZ230">
        <f>0.000253826</f>
        <v>2.5382600000000002E-4</v>
      </c>
      <c r="BA230">
        <f>0.000814227</f>
        <v>8.1422700000000005E-4</v>
      </c>
      <c r="BB230">
        <f>0.002341342</f>
        <v>2.3413420000000002E-3</v>
      </c>
      <c r="BC230">
        <f>0.006453034</f>
        <v>6.4530339999999999E-3</v>
      </c>
      <c r="BD230">
        <f>0.021293646</f>
        <v>2.1293645999999999E-2</v>
      </c>
      <c r="BE230" t="str">
        <f>""</f>
        <v/>
      </c>
      <c r="BF230" t="str">
        <f>""</f>
        <v/>
      </c>
      <c r="BG230" t="str">
        <f>""</f>
        <v/>
      </c>
      <c r="BH230" t="str">
        <f>""</f>
        <v/>
      </c>
      <c r="BI230" t="str">
        <f>""</f>
        <v/>
      </c>
      <c r="BJ230" t="str">
        <f>""</f>
        <v/>
      </c>
      <c r="BK230" t="str">
        <f>""</f>
        <v/>
      </c>
      <c r="BL230" t="str">
        <f>""</f>
        <v/>
      </c>
      <c r="BM230" t="str">
        <f>""</f>
        <v/>
      </c>
      <c r="BN230" t="str">
        <f>""</f>
        <v/>
      </c>
      <c r="BO230" t="str">
        <f>""</f>
        <v/>
      </c>
      <c r="BP230" t="str">
        <f>""</f>
        <v/>
      </c>
      <c r="BQ230" t="str">
        <f>""</f>
        <v/>
      </c>
      <c r="BR230" t="str">
        <f>""</f>
        <v/>
      </c>
      <c r="BS230" t="str">
        <f>""</f>
        <v/>
      </c>
    </row>
    <row r="231" spans="1:71" x14ac:dyDescent="0.25">
      <c r="A231" t="str">
        <f>"    Huntington Bancshares Inc/OH"</f>
        <v xml:space="preserve">    Huntington Bancshares Inc/OH</v>
      </c>
      <c r="B231" t="str">
        <f>"HBAN US Equity"</f>
        <v>HBAN US Equity</v>
      </c>
      <c r="C231" t="str">
        <f t="shared" si="30"/>
        <v>F0116</v>
      </c>
      <c r="D231" t="str">
        <f t="shared" si="31"/>
        <v>FED_OTHER_LEASES_%_TOT_LNS_LEAS</v>
      </c>
      <c r="E231" t="str">
        <f t="shared" si="32"/>
        <v>Dynamic</v>
      </c>
      <c r="F231">
        <f ca="1">IF(AND(ISNUMBER($F$638),$B$427=1),$F$638,HLOOKUP(INDIRECT(ADDRESS(2,COLUMN())),OFFSET($AM$2,0,0,ROW()-1,33),ROW()-1,FALSE))</f>
        <v>4.1772918900000002</v>
      </c>
      <c r="G231">
        <f ca="1">IF(AND(ISNUMBER($G$638),$B$427=1),$G$638,HLOOKUP(INDIRECT(ADDRESS(2,COLUMN())),OFFSET($AM$2,0,0,ROW()-1,33),ROW()-1,FALSE))</f>
        <v>4.2623656829999996</v>
      </c>
      <c r="H231">
        <f ca="1">IF(AND(ISNUMBER($H$638),$B$427=1),$H$638,HLOOKUP(INDIRECT(ADDRESS(2,COLUMN())),OFFSET($AM$2,0,0,ROW()-1,33),ROW()-1,FALSE))</f>
        <v>4.2450529619999999</v>
      </c>
      <c r="I231">
        <f ca="1">IF(AND(ISNUMBER($I$638),$B$427=1),$I$638,HLOOKUP(INDIRECT(ADDRESS(2,COLUMN())),OFFSET($AM$2,0,0,ROW()-1,33),ROW()-1,FALSE))</f>
        <v>4.6035871820000001</v>
      </c>
      <c r="J231">
        <f ca="1">IF(AND(ISNUMBER($J$638),$B$427=1),$J$638,HLOOKUP(INDIRECT(ADDRESS(2,COLUMN())),OFFSET($AM$2,0,0,ROW()-1,33),ROW()-1,FALSE))</f>
        <v>2.8518418560000001</v>
      </c>
      <c r="K231">
        <f ca="1">IF(AND(ISNUMBER($K$638),$B$427=1),$K$638,HLOOKUP(INDIRECT(ADDRESS(2,COLUMN())),OFFSET($AM$2,0,0,ROW()-1,33),ROW()-1,FALSE))</f>
        <v>3.2710219120000001</v>
      </c>
      <c r="L231">
        <f ca="1">IF(AND(ISNUMBER($L$638),$B$427=1),$L$638,HLOOKUP(INDIRECT(ADDRESS(2,COLUMN())),OFFSET($AM$2,0,0,ROW()-1,33),ROW()-1,FALSE))</f>
        <v>3.0369169380000001</v>
      </c>
      <c r="M231">
        <f ca="1">IF(AND(ISNUMBER($M$638),$B$427=1),$M$638,HLOOKUP(INDIRECT(ADDRESS(2,COLUMN())),OFFSET($AM$2,0,0,ROW()-1,33),ROW()-1,FALSE))</f>
        <v>3.2220713270000001</v>
      </c>
      <c r="N231">
        <f ca="1">IF(AND(ISNUMBER($N$638),$B$427=1),$N$638,HLOOKUP(INDIRECT(ADDRESS(2,COLUMN())),OFFSET($AM$2,0,0,ROW()-1,33),ROW()-1,FALSE))</f>
        <v>3.5633506490000002</v>
      </c>
      <c r="O231">
        <f ca="1">IF(AND(ISNUMBER($O$638),$B$427=1),$O$638,HLOOKUP(INDIRECT(ADDRESS(2,COLUMN())),OFFSET($AM$2,0,0,ROW()-1,33),ROW()-1,FALSE))</f>
        <v>3.8372651059999998</v>
      </c>
      <c r="P231">
        <f ca="1">IF(AND(ISNUMBER($P$638),$B$427=1),$P$638,HLOOKUP(INDIRECT(ADDRESS(2,COLUMN())),OFFSET($AM$2,0,0,ROW()-1,33),ROW()-1,FALSE))</f>
        <v>2.9203095120000002</v>
      </c>
      <c r="Q231">
        <f ca="1">IF(AND(ISNUMBER($Q$638),$B$427=1),$Q$638,HLOOKUP(INDIRECT(ADDRESS(2,COLUMN())),OFFSET($AM$2,0,0,ROW()-1,33),ROW()-1,FALSE))</f>
        <v>3.8774939000000002</v>
      </c>
      <c r="R231">
        <f ca="1">IF(AND(ISNUMBER($R$638),$B$427=1),$R$638,HLOOKUP(INDIRECT(ADDRESS(2,COLUMN())),OFFSET($AM$2,0,0,ROW()-1,33),ROW()-1,FALSE))</f>
        <v>4.0243320340000004</v>
      </c>
      <c r="S231">
        <f ca="1">IF(AND(ISNUMBER($S$638),$B$427=1),$S$638,HLOOKUP(INDIRECT(ADDRESS(2,COLUMN())),OFFSET($AM$2,0,0,ROW()-1,33),ROW()-1,FALSE))</f>
        <v>2.7059892290000001</v>
      </c>
      <c r="T231">
        <f ca="1">IF(AND(ISNUMBER($T$638),$B$427=1),$T$638,HLOOKUP(INDIRECT(ADDRESS(2,COLUMN())),OFFSET($AM$2,0,0,ROW()-1,33),ROW()-1,FALSE))</f>
        <v>1.886512247</v>
      </c>
      <c r="U231">
        <f ca="1">IF(AND(ISNUMBER($U$638),$B$427=1),$U$638,HLOOKUP(INDIRECT(ADDRESS(2,COLUMN())),OFFSET($AM$2,0,0,ROW()-1,33),ROW()-1,FALSE))</f>
        <v>2.3726718519999999</v>
      </c>
      <c r="V231">
        <f ca="1">IF(AND(ISNUMBER($V$638),$B$427=1),$V$638,HLOOKUP(INDIRECT(ADDRESS(2,COLUMN())),OFFSET($AM$2,0,0,ROW()-1,33),ROW()-1,FALSE))</f>
        <v>2.5032007219999999</v>
      </c>
      <c r="W231">
        <f ca="1">IF(AND(ISNUMBER($W$638),$B$427=1),$W$638,HLOOKUP(INDIRECT(ADDRESS(2,COLUMN())),OFFSET($AM$2,0,0,ROW()-1,33),ROW()-1,FALSE))</f>
        <v>2.4068125</v>
      </c>
      <c r="X231" t="str">
        <f ca="1">IF(AND(ISNUMBER($X$638),$B$427=1),$X$638,HLOOKUP(INDIRECT(ADDRESS(2,COLUMN())),OFFSET($AM$2,0,0,ROW()-1,33),ROW()-1,FALSE))</f>
        <v/>
      </c>
      <c r="Y231" t="str">
        <f ca="1">IF(AND(ISNUMBER($Y$638),$B$427=1),$Y$638,HLOOKUP(INDIRECT(ADDRESS(2,COLUMN())),OFFSET($AM$2,0,0,ROW()-1,33),ROW()-1,FALSE))</f>
        <v/>
      </c>
      <c r="Z231" t="str">
        <f ca="1">IF(AND(ISNUMBER($Z$638),$B$427=1),$Z$638,HLOOKUP(INDIRECT(ADDRESS(2,COLUMN())),OFFSET($AM$2,0,0,ROW()-1,33),ROW()-1,FALSE))</f>
        <v/>
      </c>
      <c r="AA231" t="str">
        <f ca="1">IF(AND(ISNUMBER($AA$638),$B$427=1),$AA$638,HLOOKUP(INDIRECT(ADDRESS(2,COLUMN())),OFFSET($AM$2,0,0,ROW()-1,33),ROW()-1,FALSE))</f>
        <v/>
      </c>
      <c r="AB231" t="str">
        <f ca="1">IF(AND(ISNUMBER($AB$638),$B$427=1),$AB$638,HLOOKUP(INDIRECT(ADDRESS(2,COLUMN())),OFFSET($AM$2,0,0,ROW()-1,33),ROW()-1,FALSE))</f>
        <v/>
      </c>
      <c r="AC231" t="str">
        <f ca="1">IF(AND(ISNUMBER($AC$638),$B$427=1),$AC$638,HLOOKUP(INDIRECT(ADDRESS(2,COLUMN())),OFFSET($AM$2,0,0,ROW()-1,33),ROW()-1,FALSE))</f>
        <v/>
      </c>
      <c r="AD231" t="str">
        <f ca="1">IF(AND(ISNUMBER($AD$638),$B$427=1),$AD$638,HLOOKUP(INDIRECT(ADDRESS(2,COLUMN())),OFFSET($AM$2,0,0,ROW()-1,33),ROW()-1,FALSE))</f>
        <v/>
      </c>
      <c r="AE231" t="str">
        <f ca="1">IF(AND(ISNUMBER($AE$638),$B$427=1),$AE$638,HLOOKUP(INDIRECT(ADDRESS(2,COLUMN())),OFFSET($AM$2,0,0,ROW()-1,33),ROW()-1,FALSE))</f>
        <v/>
      </c>
      <c r="AF231" t="str">
        <f ca="1">IF(AND(ISNUMBER($AF$638),$B$427=1),$AF$638,HLOOKUP(INDIRECT(ADDRESS(2,COLUMN())),OFFSET($AM$2,0,0,ROW()-1,33),ROW()-1,FALSE))</f>
        <v/>
      </c>
      <c r="AG231" t="str">
        <f ca="1">IF(AND(ISNUMBER($AG$638),$B$427=1),$AG$638,HLOOKUP(INDIRECT(ADDRESS(2,COLUMN())),OFFSET($AM$2,0,0,ROW()-1,33),ROW()-1,FALSE))</f>
        <v/>
      </c>
      <c r="AH231" t="str">
        <f ca="1">IF(AND(ISNUMBER($AH$638),$B$427=1),$AH$638,HLOOKUP(INDIRECT(ADDRESS(2,COLUMN())),OFFSET($AM$2,0,0,ROW()-1,33),ROW()-1,FALSE))</f>
        <v/>
      </c>
      <c r="AI231" t="str">
        <f ca="1">IF(AND(ISNUMBER($AI$638),$B$427=1),$AI$638,HLOOKUP(INDIRECT(ADDRESS(2,COLUMN())),OFFSET($AM$2,0,0,ROW()-1,33),ROW()-1,FALSE))</f>
        <v/>
      </c>
      <c r="AJ231" t="str">
        <f ca="1">IF(AND(ISNUMBER($AJ$638),$B$427=1),$AJ$638,HLOOKUP(INDIRECT(ADDRESS(2,COLUMN())),OFFSET($AM$2,0,0,ROW()-1,33),ROW()-1,FALSE))</f>
        <v/>
      </c>
      <c r="AK231" t="str">
        <f ca="1">IF(AND(ISNUMBER($AK$638),$B$427=1),$AK$638,HLOOKUP(INDIRECT(ADDRESS(2,COLUMN())),OFFSET($AM$2,0,0,ROW()-1,33),ROW()-1,FALSE))</f>
        <v/>
      </c>
      <c r="AL231" t="str">
        <f ca="1">IF(AND(ISNUMBER($AL$638),$B$427=1),$AL$638,HLOOKUP(INDIRECT(ADDRESS(2,COLUMN())),OFFSET($AM$2,0,0,ROW()-1,33),ROW()-1,FALSE))</f>
        <v/>
      </c>
      <c r="AM231">
        <f>4.17729189</f>
        <v>4.1772918900000002</v>
      </c>
      <c r="AN231">
        <f>4.262365683</f>
        <v>4.2623656829999996</v>
      </c>
      <c r="AO231">
        <f>4.245052962</f>
        <v>4.2450529619999999</v>
      </c>
      <c r="AP231">
        <f>4.603587182</f>
        <v>4.6035871820000001</v>
      </c>
      <c r="AQ231">
        <f>2.851841856</f>
        <v>2.8518418560000001</v>
      </c>
      <c r="AR231">
        <f>3.271021912</f>
        <v>3.2710219120000001</v>
      </c>
      <c r="AS231">
        <f>3.036916938</f>
        <v>3.0369169380000001</v>
      </c>
      <c r="AT231">
        <f>3.222071327</f>
        <v>3.2220713270000001</v>
      </c>
      <c r="AU231">
        <f>3.563350649</f>
        <v>3.5633506490000002</v>
      </c>
      <c r="AV231">
        <f>3.837265106</f>
        <v>3.8372651059999998</v>
      </c>
      <c r="AW231">
        <f>2.920309512</f>
        <v>2.9203095120000002</v>
      </c>
      <c r="AX231">
        <f>3.8774939</f>
        <v>3.8774939000000002</v>
      </c>
      <c r="AY231">
        <f>4.024332034</f>
        <v>4.0243320340000004</v>
      </c>
      <c r="AZ231">
        <f>2.705989229</f>
        <v>2.7059892290000001</v>
      </c>
      <c r="BA231">
        <f>1.886512247</f>
        <v>1.886512247</v>
      </c>
      <c r="BB231">
        <f>2.372671852</f>
        <v>2.3726718519999999</v>
      </c>
      <c r="BC231">
        <f>2.503200722</f>
        <v>2.5032007219999999</v>
      </c>
      <c r="BD231">
        <f>2.4068125</f>
        <v>2.4068125</v>
      </c>
      <c r="BE231" t="str">
        <f>""</f>
        <v/>
      </c>
      <c r="BF231" t="str">
        <f>""</f>
        <v/>
      </c>
      <c r="BG231" t="str">
        <f>""</f>
        <v/>
      </c>
      <c r="BH231" t="str">
        <f>""</f>
        <v/>
      </c>
      <c r="BI231" t="str">
        <f>""</f>
        <v/>
      </c>
      <c r="BJ231" t="str">
        <f>""</f>
        <v/>
      </c>
      <c r="BK231" t="str">
        <f>""</f>
        <v/>
      </c>
      <c r="BL231" t="str">
        <f>""</f>
        <v/>
      </c>
      <c r="BM231" t="str">
        <f>""</f>
        <v/>
      </c>
      <c r="BN231" t="str">
        <f>""</f>
        <v/>
      </c>
      <c r="BO231" t="str">
        <f>""</f>
        <v/>
      </c>
      <c r="BP231" t="str">
        <f>""</f>
        <v/>
      </c>
      <c r="BQ231" t="str">
        <f>""</f>
        <v/>
      </c>
      <c r="BR231" t="str">
        <f>""</f>
        <v/>
      </c>
      <c r="BS231" t="str">
        <f>""</f>
        <v/>
      </c>
    </row>
    <row r="232" spans="1:71" x14ac:dyDescent="0.25">
      <c r="A232" t="str">
        <f>"    JPMorgan Chase &amp; Co"</f>
        <v xml:space="preserve">    JPMorgan Chase &amp; Co</v>
      </c>
      <c r="B232" t="str">
        <f>"JPM US Equity"</f>
        <v>JPM US Equity</v>
      </c>
      <c r="C232" t="str">
        <f t="shared" si="30"/>
        <v>F0116</v>
      </c>
      <c r="D232" t="str">
        <f t="shared" si="31"/>
        <v>FED_OTHER_LEASES_%_TOT_LNS_LEAS</v>
      </c>
      <c r="E232" t="str">
        <f t="shared" si="32"/>
        <v>Dynamic</v>
      </c>
      <c r="F232">
        <f ca="1">IF(AND(ISNUMBER($F$639),$B$427=1),$F$639,HLOOKUP(INDIRECT(ADDRESS(2,COLUMN())),OFFSET($AM$2,0,0,ROW()-1,33),ROW()-1,FALSE))</f>
        <v>1.2929338E-2</v>
      </c>
      <c r="G232">
        <f ca="1">IF(AND(ISNUMBER($G$639),$B$427=1),$G$639,HLOOKUP(INDIRECT(ADDRESS(2,COLUMN())),OFFSET($AM$2,0,0,ROW()-1,33),ROW()-1,FALSE))</f>
        <v>1.9393593000000001E-2</v>
      </c>
      <c r="H232">
        <f ca="1">IF(AND(ISNUMBER($H$639),$B$427=1),$H$639,HLOOKUP(INDIRECT(ADDRESS(2,COLUMN())),OFFSET($AM$2,0,0,ROW()-1,33),ROW()-1,FALSE))</f>
        <v>1.0886737E-2</v>
      </c>
      <c r="I232">
        <f ca="1">IF(AND(ISNUMBER($I$639),$B$427=1),$I$639,HLOOKUP(INDIRECT(ADDRESS(2,COLUMN())),OFFSET($AM$2,0,0,ROW()-1,33),ROW()-1,FALSE))</f>
        <v>2.0573761999999999E-2</v>
      </c>
      <c r="J232">
        <f ca="1">IF(AND(ISNUMBER($J$639),$B$427=1),$J$639,HLOOKUP(INDIRECT(ADDRESS(2,COLUMN())),OFFSET($AM$2,0,0,ROW()-1,33),ROW()-1,FALSE))</f>
        <v>3.5452366999999999E-2</v>
      </c>
      <c r="K232">
        <f ca="1">IF(AND(ISNUMBER($K$639),$B$427=1),$K$639,HLOOKUP(INDIRECT(ADDRESS(2,COLUMN())),OFFSET($AM$2,0,0,ROW()-1,33),ROW()-1,FALSE))</f>
        <v>6.6029986999999998E-2</v>
      </c>
      <c r="L232">
        <f ca="1">IF(AND(ISNUMBER($L$639),$B$427=1),$L$639,HLOOKUP(INDIRECT(ADDRESS(2,COLUMN())),OFFSET($AM$2,0,0,ROW()-1,33),ROW()-1,FALSE))</f>
        <v>3.7545638999999999E-2</v>
      </c>
      <c r="M232">
        <f ca="1">IF(AND(ISNUMBER($M$639),$B$427=1),$M$639,HLOOKUP(INDIRECT(ADDRESS(2,COLUMN())),OFFSET($AM$2,0,0,ROW()-1,33),ROW()-1,FALSE))</f>
        <v>4.5567180999999998E-2</v>
      </c>
      <c r="N232">
        <f ca="1">IF(AND(ISNUMBER($N$639),$B$427=1),$N$639,HLOOKUP(INDIRECT(ADDRESS(2,COLUMN())),OFFSET($AM$2,0,0,ROW()-1,33),ROW()-1,FALSE))</f>
        <v>6.4787855000000005E-2</v>
      </c>
      <c r="O232">
        <f ca="1">IF(AND(ISNUMBER($O$639),$B$427=1),$O$639,HLOOKUP(INDIRECT(ADDRESS(2,COLUMN())),OFFSET($AM$2,0,0,ROW()-1,33),ROW()-1,FALSE))</f>
        <v>8.7924282000000006E-2</v>
      </c>
      <c r="P232">
        <f ca="1">IF(AND(ISNUMBER($P$639),$B$427=1),$P$639,HLOOKUP(INDIRECT(ADDRESS(2,COLUMN())),OFFSET($AM$2,0,0,ROW()-1,33),ROW()-1,FALSE))</f>
        <v>0.115225102</v>
      </c>
      <c r="Q232">
        <f ca="1">IF(AND(ISNUMBER($Q$639),$B$427=1),$Q$639,HLOOKUP(INDIRECT(ADDRESS(2,COLUMN())),OFFSET($AM$2,0,0,ROW()-1,33),ROW()-1,FALSE))</f>
        <v>0.15618791700000001</v>
      </c>
      <c r="R232">
        <f ca="1">IF(AND(ISNUMBER($R$639),$B$427=1),$R$639,HLOOKUP(INDIRECT(ADDRESS(2,COLUMN())),OFFSET($AM$2,0,0,ROW()-1,33),ROW()-1,FALSE))</f>
        <v>0.216561483</v>
      </c>
      <c r="S232">
        <f ca="1">IF(AND(ISNUMBER($S$639),$B$427=1),$S$639,HLOOKUP(INDIRECT(ADDRESS(2,COLUMN())),OFFSET($AM$2,0,0,ROW()-1,33),ROW()-1,FALSE))</f>
        <v>0.25189493699999999</v>
      </c>
      <c r="T232">
        <f ca="1">IF(AND(ISNUMBER($T$639),$B$427=1),$T$639,HLOOKUP(INDIRECT(ADDRESS(2,COLUMN())),OFFSET($AM$2,0,0,ROW()-1,33),ROW()-1,FALSE))</f>
        <v>0.32451899899999997</v>
      </c>
      <c r="U232">
        <f ca="1">IF(AND(ISNUMBER($U$639),$B$427=1),$U$639,HLOOKUP(INDIRECT(ADDRESS(2,COLUMN())),OFFSET($AM$2,0,0,ROW()-1,33),ROW()-1,FALSE))</f>
        <v>0.378755868</v>
      </c>
      <c r="V232">
        <f ca="1">IF(AND(ISNUMBER($V$639),$B$427=1),$V$639,HLOOKUP(INDIRECT(ADDRESS(2,COLUMN())),OFFSET($AM$2,0,0,ROW()-1,33),ROW()-1,FALSE))</f>
        <v>0.381247159</v>
      </c>
      <c r="W232">
        <f ca="1">IF(AND(ISNUMBER($W$639),$B$427=1),$W$639,HLOOKUP(INDIRECT(ADDRESS(2,COLUMN())),OFFSET($AM$2,0,0,ROW()-1,33),ROW()-1,FALSE))</f>
        <v>0.65649728900000004</v>
      </c>
      <c r="X232" t="str">
        <f ca="1">IF(AND(ISNUMBER($X$639),$B$427=1),$X$639,HLOOKUP(INDIRECT(ADDRESS(2,COLUMN())),OFFSET($AM$2,0,0,ROW()-1,33),ROW()-1,FALSE))</f>
        <v/>
      </c>
      <c r="Y232" t="str">
        <f ca="1">IF(AND(ISNUMBER($Y$639),$B$427=1),$Y$639,HLOOKUP(INDIRECT(ADDRESS(2,COLUMN())),OFFSET($AM$2,0,0,ROW()-1,33),ROW()-1,FALSE))</f>
        <v/>
      </c>
      <c r="Z232" t="str">
        <f ca="1">IF(AND(ISNUMBER($Z$639),$B$427=1),$Z$639,HLOOKUP(INDIRECT(ADDRESS(2,COLUMN())),OFFSET($AM$2,0,0,ROW()-1,33),ROW()-1,FALSE))</f>
        <v/>
      </c>
      <c r="AA232" t="str">
        <f ca="1">IF(AND(ISNUMBER($AA$639),$B$427=1),$AA$639,HLOOKUP(INDIRECT(ADDRESS(2,COLUMN())),OFFSET($AM$2,0,0,ROW()-1,33),ROW()-1,FALSE))</f>
        <v/>
      </c>
      <c r="AB232" t="str">
        <f ca="1">IF(AND(ISNUMBER($AB$639),$B$427=1),$AB$639,HLOOKUP(INDIRECT(ADDRESS(2,COLUMN())),OFFSET($AM$2,0,0,ROW()-1,33),ROW()-1,FALSE))</f>
        <v/>
      </c>
      <c r="AC232" t="str">
        <f ca="1">IF(AND(ISNUMBER($AC$639),$B$427=1),$AC$639,HLOOKUP(INDIRECT(ADDRESS(2,COLUMN())),OFFSET($AM$2,0,0,ROW()-1,33),ROW()-1,FALSE))</f>
        <v/>
      </c>
      <c r="AD232" t="str">
        <f ca="1">IF(AND(ISNUMBER($AD$639),$B$427=1),$AD$639,HLOOKUP(INDIRECT(ADDRESS(2,COLUMN())),OFFSET($AM$2,0,0,ROW()-1,33),ROW()-1,FALSE))</f>
        <v/>
      </c>
      <c r="AE232" t="str">
        <f ca="1">IF(AND(ISNUMBER($AE$639),$B$427=1),$AE$639,HLOOKUP(INDIRECT(ADDRESS(2,COLUMN())),OFFSET($AM$2,0,0,ROW()-1,33),ROW()-1,FALSE))</f>
        <v/>
      </c>
      <c r="AF232" t="str">
        <f ca="1">IF(AND(ISNUMBER($AF$639),$B$427=1),$AF$639,HLOOKUP(INDIRECT(ADDRESS(2,COLUMN())),OFFSET($AM$2,0,0,ROW()-1,33),ROW()-1,FALSE))</f>
        <v/>
      </c>
      <c r="AG232" t="str">
        <f ca="1">IF(AND(ISNUMBER($AG$639),$B$427=1),$AG$639,HLOOKUP(INDIRECT(ADDRESS(2,COLUMN())),OFFSET($AM$2,0,0,ROW()-1,33),ROW()-1,FALSE))</f>
        <v/>
      </c>
      <c r="AH232" t="str">
        <f ca="1">IF(AND(ISNUMBER($AH$639),$B$427=1),$AH$639,HLOOKUP(INDIRECT(ADDRESS(2,COLUMN())),OFFSET($AM$2,0,0,ROW()-1,33),ROW()-1,FALSE))</f>
        <v/>
      </c>
      <c r="AI232" t="str">
        <f ca="1">IF(AND(ISNUMBER($AI$639),$B$427=1),$AI$639,HLOOKUP(INDIRECT(ADDRESS(2,COLUMN())),OFFSET($AM$2,0,0,ROW()-1,33),ROW()-1,FALSE))</f>
        <v/>
      </c>
      <c r="AJ232" t="str">
        <f ca="1">IF(AND(ISNUMBER($AJ$639),$B$427=1),$AJ$639,HLOOKUP(INDIRECT(ADDRESS(2,COLUMN())),OFFSET($AM$2,0,0,ROW()-1,33),ROW()-1,FALSE))</f>
        <v/>
      </c>
      <c r="AK232" t="str">
        <f ca="1">IF(AND(ISNUMBER($AK$639),$B$427=1),$AK$639,HLOOKUP(INDIRECT(ADDRESS(2,COLUMN())),OFFSET($AM$2,0,0,ROW()-1,33),ROW()-1,FALSE))</f>
        <v/>
      </c>
      <c r="AL232" t="str">
        <f ca="1">IF(AND(ISNUMBER($AL$639),$B$427=1),$AL$639,HLOOKUP(INDIRECT(ADDRESS(2,COLUMN())),OFFSET($AM$2,0,0,ROW()-1,33),ROW()-1,FALSE))</f>
        <v/>
      </c>
      <c r="AM232">
        <f>0.012929338</f>
        <v>1.2929338E-2</v>
      </c>
      <c r="AN232">
        <f>0.019393593</f>
        <v>1.9393593000000001E-2</v>
      </c>
      <c r="AO232">
        <f>0.010886737</f>
        <v>1.0886737E-2</v>
      </c>
      <c r="AP232">
        <f>0.020573762</f>
        <v>2.0573761999999999E-2</v>
      </c>
      <c r="AQ232">
        <f>0.035452367</f>
        <v>3.5452366999999999E-2</v>
      </c>
      <c r="AR232">
        <f>0.066029987</f>
        <v>6.6029986999999998E-2</v>
      </c>
      <c r="AS232">
        <f>0.037545639</f>
        <v>3.7545638999999999E-2</v>
      </c>
      <c r="AT232">
        <f>0.045567181</f>
        <v>4.5567180999999998E-2</v>
      </c>
      <c r="AU232">
        <f>0.064787855</f>
        <v>6.4787855000000005E-2</v>
      </c>
      <c r="AV232">
        <f>0.087924282</f>
        <v>8.7924282000000006E-2</v>
      </c>
      <c r="AW232">
        <f>0.115225102</f>
        <v>0.115225102</v>
      </c>
      <c r="AX232">
        <f>0.156187917</f>
        <v>0.15618791700000001</v>
      </c>
      <c r="AY232">
        <f>0.216561483</f>
        <v>0.216561483</v>
      </c>
      <c r="AZ232">
        <f>0.251894937</f>
        <v>0.25189493699999999</v>
      </c>
      <c r="BA232">
        <f>0.324518999</f>
        <v>0.32451899899999997</v>
      </c>
      <c r="BB232">
        <f>0.378755868</f>
        <v>0.378755868</v>
      </c>
      <c r="BC232">
        <f>0.381247159</f>
        <v>0.381247159</v>
      </c>
      <c r="BD232">
        <f>0.656497289</f>
        <v>0.65649728900000004</v>
      </c>
      <c r="BE232" t="str">
        <f>""</f>
        <v/>
      </c>
      <c r="BF232" t="str">
        <f>""</f>
        <v/>
      </c>
      <c r="BG232" t="str">
        <f>""</f>
        <v/>
      </c>
      <c r="BH232" t="str">
        <f>""</f>
        <v/>
      </c>
      <c r="BI232" t="str">
        <f>""</f>
        <v/>
      </c>
      <c r="BJ232" t="str">
        <f>""</f>
        <v/>
      </c>
      <c r="BK232" t="str">
        <f>""</f>
        <v/>
      </c>
      <c r="BL232" t="str">
        <f>""</f>
        <v/>
      </c>
      <c r="BM232" t="str">
        <f>""</f>
        <v/>
      </c>
      <c r="BN232" t="str">
        <f>""</f>
        <v/>
      </c>
      <c r="BO232" t="str">
        <f>""</f>
        <v/>
      </c>
      <c r="BP232" t="str">
        <f>""</f>
        <v/>
      </c>
      <c r="BQ232" t="str">
        <f>""</f>
        <v/>
      </c>
      <c r="BR232" t="str">
        <f>""</f>
        <v/>
      </c>
      <c r="BS232" t="str">
        <f>""</f>
        <v/>
      </c>
    </row>
    <row r="233" spans="1:71" x14ac:dyDescent="0.25">
      <c r="A233" t="str">
        <f>"    KeyCorp"</f>
        <v xml:space="preserve">    KeyCorp</v>
      </c>
      <c r="B233" t="str">
        <f>"KEY US Equity"</f>
        <v>KEY US Equity</v>
      </c>
      <c r="C233" t="str">
        <f t="shared" si="30"/>
        <v>F0116</v>
      </c>
      <c r="D233" t="str">
        <f t="shared" si="31"/>
        <v>FED_OTHER_LEASES_%_TOT_LNS_LEAS</v>
      </c>
      <c r="E233" t="str">
        <f t="shared" si="32"/>
        <v>Dynamic</v>
      </c>
      <c r="F233">
        <f ca="1">IF(AND(ISNUMBER($F$640),$B$427=1),$F$640,HLOOKUP(INDIRECT(ADDRESS(2,COLUMN())),OFFSET($AM$2,0,0,ROW()-1,33),ROW()-1,FALSE))</f>
        <v>2.5977193980000002</v>
      </c>
      <c r="G233">
        <f ca="1">IF(AND(ISNUMBER($G$640),$B$427=1),$G$640,HLOOKUP(INDIRECT(ADDRESS(2,COLUMN())),OFFSET($AM$2,0,0,ROW()-1,33),ROW()-1,FALSE))</f>
        <v>3.1057570550000002</v>
      </c>
      <c r="H233">
        <f ca="1">IF(AND(ISNUMBER($H$640),$B$427=1),$H$640,HLOOKUP(INDIRECT(ADDRESS(2,COLUMN())),OFFSET($AM$2,0,0,ROW()-1,33),ROW()-1,FALSE))</f>
        <v>3.2874731169999998</v>
      </c>
      <c r="I233">
        <f ca="1">IF(AND(ISNUMBER($I$640),$B$427=1),$I$640,HLOOKUP(INDIRECT(ADDRESS(2,COLUMN())),OFFSET($AM$2,0,0,ROW()-1,33),ROW()-1,FALSE))</f>
        <v>3.8713475339999999</v>
      </c>
      <c r="J233">
        <f ca="1">IF(AND(ISNUMBER($J$640),$B$427=1),$J$640,HLOOKUP(INDIRECT(ADDRESS(2,COLUMN())),OFFSET($AM$2,0,0,ROW()-1,33),ROW()-1,FALSE))</f>
        <v>4.2511594390000003</v>
      </c>
      <c r="K233">
        <f ca="1">IF(AND(ISNUMBER($K$640),$B$427=1),$K$640,HLOOKUP(INDIRECT(ADDRESS(2,COLUMN())),OFFSET($AM$2,0,0,ROW()-1,33),ROW()-1,FALSE))</f>
        <v>4.8430692249999998</v>
      </c>
      <c r="L233">
        <f ca="1">IF(AND(ISNUMBER($L$640),$B$427=1),$L$640,HLOOKUP(INDIRECT(ADDRESS(2,COLUMN())),OFFSET($AM$2,0,0,ROW()-1,33),ROW()-1,FALSE))</f>
        <v>5.0150744679999999</v>
      </c>
      <c r="M233">
        <f ca="1">IF(AND(ISNUMBER($M$640),$B$427=1),$M$640,HLOOKUP(INDIRECT(ADDRESS(2,COLUMN())),OFFSET($AM$2,0,0,ROW()-1,33),ROW()-1,FALSE))</f>
        <v>5.4286260840000002</v>
      </c>
      <c r="N233">
        <f ca="1">IF(AND(ISNUMBER($N$640),$B$427=1),$N$640,HLOOKUP(INDIRECT(ADDRESS(2,COLUMN())),OFFSET($AM$2,0,0,ROW()-1,33),ROW()-1,FALSE))</f>
        <v>5.2781554379999998</v>
      </c>
      <c r="O233">
        <f ca="1">IF(AND(ISNUMBER($O$640),$B$427=1),$O$640,HLOOKUP(INDIRECT(ADDRESS(2,COLUMN())),OFFSET($AM$2,0,0,ROW()-1,33),ROW()-1,FALSE))</f>
        <v>6.4677775119999996</v>
      </c>
      <c r="P233">
        <f ca="1">IF(AND(ISNUMBER($P$640),$B$427=1),$P$640,HLOOKUP(INDIRECT(ADDRESS(2,COLUMN())),OFFSET($AM$2,0,0,ROW()-1,33),ROW()-1,FALSE))</f>
        <v>7.0640537669999999</v>
      </c>
      <c r="Q233">
        <f ca="1">IF(AND(ISNUMBER($Q$640),$B$427=1),$Q$640,HLOOKUP(INDIRECT(ADDRESS(2,COLUMN())),OFFSET($AM$2,0,0,ROW()-1,33),ROW()-1,FALSE))</f>
        <v>7.6573973320000004</v>
      </c>
      <c r="R233">
        <f ca="1">IF(AND(ISNUMBER($R$640),$B$427=1),$R$640,HLOOKUP(INDIRECT(ADDRESS(2,COLUMN())),OFFSET($AM$2,0,0,ROW()-1,33),ROW()-1,FALSE))</f>
        <v>8.3992210580000002</v>
      </c>
      <c r="S233">
        <f ca="1">IF(AND(ISNUMBER($S$640),$B$427=1),$S$640,HLOOKUP(INDIRECT(ADDRESS(2,COLUMN())),OFFSET($AM$2,0,0,ROW()-1,33),ROW()-1,FALSE))</f>
        <v>10.81244938</v>
      </c>
      <c r="T233">
        <f ca="1">IF(AND(ISNUMBER($T$640),$B$427=1),$T$640,HLOOKUP(INDIRECT(ADDRESS(2,COLUMN())),OFFSET($AM$2,0,0,ROW()-1,33),ROW()-1,FALSE))</f>
        <v>11.358576619999999</v>
      </c>
      <c r="U233">
        <f ca="1">IF(AND(ISNUMBER($U$640),$B$427=1),$U$640,HLOOKUP(INDIRECT(ADDRESS(2,COLUMN())),OFFSET($AM$2,0,0,ROW()-1,33),ROW()-1,FALSE))</f>
        <v>11.85275219</v>
      </c>
      <c r="V233">
        <f ca="1">IF(AND(ISNUMBER($V$640),$B$427=1),$V$640,HLOOKUP(INDIRECT(ADDRESS(2,COLUMN())),OFFSET($AM$2,0,0,ROW()-1,33),ROW()-1,FALSE))</f>
        <v>11.66764908</v>
      </c>
      <c r="W233">
        <f ca="1">IF(AND(ISNUMBER($W$640),$B$427=1),$W$640,HLOOKUP(INDIRECT(ADDRESS(2,COLUMN())),OFFSET($AM$2,0,0,ROW()-1,33),ROW()-1,FALSE))</f>
        <v>13.469407889999999</v>
      </c>
      <c r="X233" t="str">
        <f ca="1">IF(AND(ISNUMBER($X$640),$B$427=1),$X$640,HLOOKUP(INDIRECT(ADDRESS(2,COLUMN())),OFFSET($AM$2,0,0,ROW()-1,33),ROW()-1,FALSE))</f>
        <v/>
      </c>
      <c r="Y233" t="str">
        <f ca="1">IF(AND(ISNUMBER($Y$640),$B$427=1),$Y$640,HLOOKUP(INDIRECT(ADDRESS(2,COLUMN())),OFFSET($AM$2,0,0,ROW()-1,33),ROW()-1,FALSE))</f>
        <v/>
      </c>
      <c r="Z233" t="str">
        <f ca="1">IF(AND(ISNUMBER($Z$640),$B$427=1),$Z$640,HLOOKUP(INDIRECT(ADDRESS(2,COLUMN())),OFFSET($AM$2,0,0,ROW()-1,33),ROW()-1,FALSE))</f>
        <v/>
      </c>
      <c r="AA233" t="str">
        <f ca="1">IF(AND(ISNUMBER($AA$640),$B$427=1),$AA$640,HLOOKUP(INDIRECT(ADDRESS(2,COLUMN())),OFFSET($AM$2,0,0,ROW()-1,33),ROW()-1,FALSE))</f>
        <v/>
      </c>
      <c r="AB233" t="str">
        <f ca="1">IF(AND(ISNUMBER($AB$640),$B$427=1),$AB$640,HLOOKUP(INDIRECT(ADDRESS(2,COLUMN())),OFFSET($AM$2,0,0,ROW()-1,33),ROW()-1,FALSE))</f>
        <v/>
      </c>
      <c r="AC233" t="str">
        <f ca="1">IF(AND(ISNUMBER($AC$640),$B$427=1),$AC$640,HLOOKUP(INDIRECT(ADDRESS(2,COLUMN())),OFFSET($AM$2,0,0,ROW()-1,33),ROW()-1,FALSE))</f>
        <v/>
      </c>
      <c r="AD233" t="str">
        <f ca="1">IF(AND(ISNUMBER($AD$640),$B$427=1),$AD$640,HLOOKUP(INDIRECT(ADDRESS(2,COLUMN())),OFFSET($AM$2,0,0,ROW()-1,33),ROW()-1,FALSE))</f>
        <v/>
      </c>
      <c r="AE233" t="str">
        <f ca="1">IF(AND(ISNUMBER($AE$640),$B$427=1),$AE$640,HLOOKUP(INDIRECT(ADDRESS(2,COLUMN())),OFFSET($AM$2,0,0,ROW()-1,33),ROW()-1,FALSE))</f>
        <v/>
      </c>
      <c r="AF233" t="str">
        <f ca="1">IF(AND(ISNUMBER($AF$640),$B$427=1),$AF$640,HLOOKUP(INDIRECT(ADDRESS(2,COLUMN())),OFFSET($AM$2,0,0,ROW()-1,33),ROW()-1,FALSE))</f>
        <v/>
      </c>
      <c r="AG233" t="str">
        <f ca="1">IF(AND(ISNUMBER($AG$640),$B$427=1),$AG$640,HLOOKUP(INDIRECT(ADDRESS(2,COLUMN())),OFFSET($AM$2,0,0,ROW()-1,33),ROW()-1,FALSE))</f>
        <v/>
      </c>
      <c r="AH233" t="str">
        <f ca="1">IF(AND(ISNUMBER($AH$640),$B$427=1),$AH$640,HLOOKUP(INDIRECT(ADDRESS(2,COLUMN())),OFFSET($AM$2,0,0,ROW()-1,33),ROW()-1,FALSE))</f>
        <v/>
      </c>
      <c r="AI233" t="str">
        <f ca="1">IF(AND(ISNUMBER($AI$640),$B$427=1),$AI$640,HLOOKUP(INDIRECT(ADDRESS(2,COLUMN())),OFFSET($AM$2,0,0,ROW()-1,33),ROW()-1,FALSE))</f>
        <v/>
      </c>
      <c r="AJ233" t="str">
        <f ca="1">IF(AND(ISNUMBER($AJ$640),$B$427=1),$AJ$640,HLOOKUP(INDIRECT(ADDRESS(2,COLUMN())),OFFSET($AM$2,0,0,ROW()-1,33),ROW()-1,FALSE))</f>
        <v/>
      </c>
      <c r="AK233" t="str">
        <f ca="1">IF(AND(ISNUMBER($AK$640),$B$427=1),$AK$640,HLOOKUP(INDIRECT(ADDRESS(2,COLUMN())),OFFSET($AM$2,0,0,ROW()-1,33),ROW()-1,FALSE))</f>
        <v/>
      </c>
      <c r="AL233" t="str">
        <f ca="1">IF(AND(ISNUMBER($AL$640),$B$427=1),$AL$640,HLOOKUP(INDIRECT(ADDRESS(2,COLUMN())),OFFSET($AM$2,0,0,ROW()-1,33),ROW()-1,FALSE))</f>
        <v/>
      </c>
      <c r="AM233">
        <f>2.597719398</f>
        <v>2.5977193980000002</v>
      </c>
      <c r="AN233">
        <f>3.105757055</f>
        <v>3.1057570550000002</v>
      </c>
      <c r="AO233">
        <f>3.287473117</f>
        <v>3.2874731169999998</v>
      </c>
      <c r="AP233">
        <f>3.871347534</f>
        <v>3.8713475339999999</v>
      </c>
      <c r="AQ233">
        <f>4.251159439</f>
        <v>4.2511594390000003</v>
      </c>
      <c r="AR233">
        <f>4.843069225</f>
        <v>4.8430692249999998</v>
      </c>
      <c r="AS233">
        <f>5.015074468</f>
        <v>5.0150744679999999</v>
      </c>
      <c r="AT233">
        <f>5.428626084</f>
        <v>5.4286260840000002</v>
      </c>
      <c r="AU233">
        <f>5.278155438</f>
        <v>5.2781554379999998</v>
      </c>
      <c r="AV233">
        <f>6.467777512</f>
        <v>6.4677775119999996</v>
      </c>
      <c r="AW233">
        <f>7.064053767</f>
        <v>7.0640537669999999</v>
      </c>
      <c r="AX233">
        <f>7.657397332</f>
        <v>7.6573973320000004</v>
      </c>
      <c r="AY233">
        <f>8.399221058</f>
        <v>8.3992210580000002</v>
      </c>
      <c r="AZ233">
        <f>10.81244938</f>
        <v>10.81244938</v>
      </c>
      <c r="BA233">
        <f>11.35857662</f>
        <v>11.358576619999999</v>
      </c>
      <c r="BB233">
        <f>11.85275219</f>
        <v>11.85275219</v>
      </c>
      <c r="BC233">
        <f>11.66764908</f>
        <v>11.66764908</v>
      </c>
      <c r="BD233">
        <f>13.46940789</f>
        <v>13.469407889999999</v>
      </c>
      <c r="BE233" t="str">
        <f>""</f>
        <v/>
      </c>
      <c r="BF233" t="str">
        <f>""</f>
        <v/>
      </c>
      <c r="BG233" t="str">
        <f>""</f>
        <v/>
      </c>
      <c r="BH233" t="str">
        <f>""</f>
        <v/>
      </c>
      <c r="BI233" t="str">
        <f>""</f>
        <v/>
      </c>
      <c r="BJ233" t="str">
        <f>""</f>
        <v/>
      </c>
      <c r="BK233" t="str">
        <f>""</f>
        <v/>
      </c>
      <c r="BL233" t="str">
        <f>""</f>
        <v/>
      </c>
      <c r="BM233" t="str">
        <f>""</f>
        <v/>
      </c>
      <c r="BN233" t="str">
        <f>""</f>
        <v/>
      </c>
      <c r="BO233" t="str">
        <f>""</f>
        <v/>
      </c>
      <c r="BP233" t="str">
        <f>""</f>
        <v/>
      </c>
      <c r="BQ233" t="str">
        <f>""</f>
        <v/>
      </c>
      <c r="BR233" t="str">
        <f>""</f>
        <v/>
      </c>
      <c r="BS233" t="str">
        <f>""</f>
        <v/>
      </c>
    </row>
    <row r="234" spans="1:71" x14ac:dyDescent="0.25">
      <c r="A234" t="str">
        <f>"    M&amp;T Bank Corp"</f>
        <v xml:space="preserve">    M&amp;T Bank Corp</v>
      </c>
      <c r="B234" t="str">
        <f>"MTB US Equity"</f>
        <v>MTB US Equity</v>
      </c>
      <c r="C234" t="str">
        <f t="shared" si="30"/>
        <v>F0116</v>
      </c>
      <c r="D234" t="str">
        <f t="shared" si="31"/>
        <v>FED_OTHER_LEASES_%_TOT_LNS_LEAS</v>
      </c>
      <c r="E234" t="str">
        <f t="shared" si="32"/>
        <v>Dynamic</v>
      </c>
      <c r="F234">
        <f ca="1">IF(AND(ISNUMBER($F$641),$B$427=1),$F$641,HLOOKUP(INDIRECT(ADDRESS(2,COLUMN())),OFFSET($AM$2,0,0,ROW()-1,33),ROW()-1,FALSE))</f>
        <v>2.0202883699999998</v>
      </c>
      <c r="G234">
        <f ca="1">IF(AND(ISNUMBER($G$641),$B$427=1),$G$641,HLOOKUP(INDIRECT(ADDRESS(2,COLUMN())),OFFSET($AM$2,0,0,ROW()-1,33),ROW()-1,FALSE))</f>
        <v>1.901355315</v>
      </c>
      <c r="H234">
        <f ca="1">IF(AND(ISNUMBER($H$641),$B$427=1),$H$641,HLOOKUP(INDIRECT(ADDRESS(2,COLUMN())),OFFSET($AM$2,0,0,ROW()-1,33),ROW()-1,FALSE))</f>
        <v>1.8347222700000001</v>
      </c>
      <c r="I234">
        <f ca="1">IF(AND(ISNUMBER($I$641),$B$427=1),$I$641,HLOOKUP(INDIRECT(ADDRESS(2,COLUMN())),OFFSET($AM$2,0,0,ROW()-1,33),ROW()-1,FALSE))</f>
        <v>1.0793128139999999</v>
      </c>
      <c r="J234">
        <f ca="1">IF(AND(ISNUMBER($J$641),$B$427=1),$J$641,HLOOKUP(INDIRECT(ADDRESS(2,COLUMN())),OFFSET($AM$2,0,0,ROW()-1,33),ROW()-1,FALSE))</f>
        <v>1.151697381</v>
      </c>
      <c r="K234">
        <f ca="1">IF(AND(ISNUMBER($K$641),$B$427=1),$K$641,HLOOKUP(INDIRECT(ADDRESS(2,COLUMN())),OFFSET($AM$2,0,0,ROW()-1,33),ROW()-1,FALSE))</f>
        <v>1.4009907669999999</v>
      </c>
      <c r="L234">
        <f ca="1">IF(AND(ISNUMBER($L$641),$B$427=1),$L$641,HLOOKUP(INDIRECT(ADDRESS(2,COLUMN())),OFFSET($AM$2,0,0,ROW()-1,33),ROW()-1,FALSE))</f>
        <v>1.4273497070000001</v>
      </c>
      <c r="M234">
        <f ca="1">IF(AND(ISNUMBER($M$641),$B$427=1),$M$641,HLOOKUP(INDIRECT(ADDRESS(2,COLUMN())),OFFSET($AM$2,0,0,ROW()-1,33),ROW()-1,FALSE))</f>
        <v>1.454169552</v>
      </c>
      <c r="N234">
        <f ca="1">IF(AND(ISNUMBER($N$641),$B$427=1),$N$641,HLOOKUP(INDIRECT(ADDRESS(2,COLUMN())),OFFSET($AM$2,0,0,ROW()-1,33),ROW()-1,FALSE))</f>
        <v>1.401394748</v>
      </c>
      <c r="O234">
        <f ca="1">IF(AND(ISNUMBER($O$641),$B$427=1),$O$641,HLOOKUP(INDIRECT(ADDRESS(2,COLUMN())),OFFSET($AM$2,0,0,ROW()-1,33),ROW()-1,FALSE))</f>
        <v>1.381924704</v>
      </c>
      <c r="P234">
        <f ca="1">IF(AND(ISNUMBER($P$641),$B$427=1),$P$641,HLOOKUP(INDIRECT(ADDRESS(2,COLUMN())),OFFSET($AM$2,0,0,ROW()-1,33),ROW()-1,FALSE))</f>
        <v>1.7840025399999999</v>
      </c>
      <c r="Q234">
        <f ca="1">IF(AND(ISNUMBER($Q$641),$B$427=1),$Q$641,HLOOKUP(INDIRECT(ADDRESS(2,COLUMN())),OFFSET($AM$2,0,0,ROW()-1,33),ROW()-1,FALSE))</f>
        <v>1.931602904</v>
      </c>
      <c r="R234">
        <f ca="1">IF(AND(ISNUMBER($R$641),$B$427=1),$R$641,HLOOKUP(INDIRECT(ADDRESS(2,COLUMN())),OFFSET($AM$2,0,0,ROW()-1,33),ROW()-1,FALSE))</f>
        <v>1.9349759390000001</v>
      </c>
      <c r="S234">
        <f ca="1">IF(AND(ISNUMBER($S$641),$B$427=1),$S$641,HLOOKUP(INDIRECT(ADDRESS(2,COLUMN())),OFFSET($AM$2,0,0,ROW()-1,33),ROW()-1,FALSE))</f>
        <v>2.2049119570000002</v>
      </c>
      <c r="T234">
        <f ca="1">IF(AND(ISNUMBER($T$641),$B$427=1),$T$641,HLOOKUP(INDIRECT(ADDRESS(2,COLUMN())),OFFSET($AM$2,0,0,ROW()-1,33),ROW()-1,FALSE))</f>
        <v>2.6959005610000002</v>
      </c>
      <c r="U234">
        <f ca="1">IF(AND(ISNUMBER($U$641),$B$427=1),$U$641,HLOOKUP(INDIRECT(ADDRESS(2,COLUMN())),OFFSET($AM$2,0,0,ROW()-1,33),ROW()-1,FALSE))</f>
        <v>3.0390887860000002</v>
      </c>
      <c r="V234">
        <f ca="1">IF(AND(ISNUMBER($V$641),$B$427=1),$V$641,HLOOKUP(INDIRECT(ADDRESS(2,COLUMN())),OFFSET($AM$2,0,0,ROW()-1,33),ROW()-1,FALSE))</f>
        <v>2.9166989710000002</v>
      </c>
      <c r="W234">
        <f ca="1">IF(AND(ISNUMBER($W$641),$B$427=1),$W$641,HLOOKUP(INDIRECT(ADDRESS(2,COLUMN())),OFFSET($AM$2,0,0,ROW()-1,33),ROW()-1,FALSE))</f>
        <v>2.818992019</v>
      </c>
      <c r="X234" t="str">
        <f ca="1">IF(AND(ISNUMBER($X$641),$B$427=1),$X$641,HLOOKUP(INDIRECT(ADDRESS(2,COLUMN())),OFFSET($AM$2,0,0,ROW()-1,33),ROW()-1,FALSE))</f>
        <v/>
      </c>
      <c r="Y234" t="str">
        <f ca="1">IF(AND(ISNUMBER($Y$641),$B$427=1),$Y$641,HLOOKUP(INDIRECT(ADDRESS(2,COLUMN())),OFFSET($AM$2,0,0,ROW()-1,33),ROW()-1,FALSE))</f>
        <v/>
      </c>
      <c r="Z234" t="str">
        <f ca="1">IF(AND(ISNUMBER($Z$641),$B$427=1),$Z$641,HLOOKUP(INDIRECT(ADDRESS(2,COLUMN())),OFFSET($AM$2,0,0,ROW()-1,33),ROW()-1,FALSE))</f>
        <v/>
      </c>
      <c r="AA234" t="str">
        <f ca="1">IF(AND(ISNUMBER($AA$641),$B$427=1),$AA$641,HLOOKUP(INDIRECT(ADDRESS(2,COLUMN())),OFFSET($AM$2,0,0,ROW()-1,33),ROW()-1,FALSE))</f>
        <v/>
      </c>
      <c r="AB234" t="str">
        <f ca="1">IF(AND(ISNUMBER($AB$641),$B$427=1),$AB$641,HLOOKUP(INDIRECT(ADDRESS(2,COLUMN())),OFFSET($AM$2,0,0,ROW()-1,33),ROW()-1,FALSE))</f>
        <v/>
      </c>
      <c r="AC234" t="str">
        <f ca="1">IF(AND(ISNUMBER($AC$641),$B$427=1),$AC$641,HLOOKUP(INDIRECT(ADDRESS(2,COLUMN())),OFFSET($AM$2,0,0,ROW()-1,33),ROW()-1,FALSE))</f>
        <v/>
      </c>
      <c r="AD234" t="str">
        <f ca="1">IF(AND(ISNUMBER($AD$641),$B$427=1),$AD$641,HLOOKUP(INDIRECT(ADDRESS(2,COLUMN())),OFFSET($AM$2,0,0,ROW()-1,33),ROW()-1,FALSE))</f>
        <v/>
      </c>
      <c r="AE234" t="str">
        <f ca="1">IF(AND(ISNUMBER($AE$641),$B$427=1),$AE$641,HLOOKUP(INDIRECT(ADDRESS(2,COLUMN())),OFFSET($AM$2,0,0,ROW()-1,33),ROW()-1,FALSE))</f>
        <v/>
      </c>
      <c r="AF234" t="str">
        <f ca="1">IF(AND(ISNUMBER($AF$641),$B$427=1),$AF$641,HLOOKUP(INDIRECT(ADDRESS(2,COLUMN())),OFFSET($AM$2,0,0,ROW()-1,33),ROW()-1,FALSE))</f>
        <v/>
      </c>
      <c r="AG234" t="str">
        <f ca="1">IF(AND(ISNUMBER($AG$641),$B$427=1),$AG$641,HLOOKUP(INDIRECT(ADDRESS(2,COLUMN())),OFFSET($AM$2,0,0,ROW()-1,33),ROW()-1,FALSE))</f>
        <v/>
      </c>
      <c r="AH234" t="str">
        <f ca="1">IF(AND(ISNUMBER($AH$641),$B$427=1),$AH$641,HLOOKUP(INDIRECT(ADDRESS(2,COLUMN())),OFFSET($AM$2,0,0,ROW()-1,33),ROW()-1,FALSE))</f>
        <v/>
      </c>
      <c r="AI234" t="str">
        <f ca="1">IF(AND(ISNUMBER($AI$641),$B$427=1),$AI$641,HLOOKUP(INDIRECT(ADDRESS(2,COLUMN())),OFFSET($AM$2,0,0,ROW()-1,33),ROW()-1,FALSE))</f>
        <v/>
      </c>
      <c r="AJ234" t="str">
        <f ca="1">IF(AND(ISNUMBER($AJ$641),$B$427=1),$AJ$641,HLOOKUP(INDIRECT(ADDRESS(2,COLUMN())),OFFSET($AM$2,0,0,ROW()-1,33),ROW()-1,FALSE))</f>
        <v/>
      </c>
      <c r="AK234" t="str">
        <f ca="1">IF(AND(ISNUMBER($AK$641),$B$427=1),$AK$641,HLOOKUP(INDIRECT(ADDRESS(2,COLUMN())),OFFSET($AM$2,0,0,ROW()-1,33),ROW()-1,FALSE))</f>
        <v/>
      </c>
      <c r="AL234" t="str">
        <f ca="1">IF(AND(ISNUMBER($AL$641),$B$427=1),$AL$641,HLOOKUP(INDIRECT(ADDRESS(2,COLUMN())),OFFSET($AM$2,0,0,ROW()-1,33),ROW()-1,FALSE))</f>
        <v/>
      </c>
      <c r="AM234">
        <f>2.02028837</f>
        <v>2.0202883699999998</v>
      </c>
      <c r="AN234">
        <f>1.901355315</f>
        <v>1.901355315</v>
      </c>
      <c r="AO234">
        <f>1.83472227</f>
        <v>1.8347222700000001</v>
      </c>
      <c r="AP234">
        <f>1.079312814</f>
        <v>1.0793128139999999</v>
      </c>
      <c r="AQ234">
        <f>1.151697381</f>
        <v>1.151697381</v>
      </c>
      <c r="AR234">
        <f>1.400990767</f>
        <v>1.4009907669999999</v>
      </c>
      <c r="AS234">
        <f>1.427349707</f>
        <v>1.4273497070000001</v>
      </c>
      <c r="AT234">
        <f>1.454169552</f>
        <v>1.454169552</v>
      </c>
      <c r="AU234">
        <f>1.401394748</f>
        <v>1.401394748</v>
      </c>
      <c r="AV234">
        <f>1.381924704</f>
        <v>1.381924704</v>
      </c>
      <c r="AW234">
        <f>1.78400254</f>
        <v>1.7840025399999999</v>
      </c>
      <c r="AX234">
        <f>1.931602904</f>
        <v>1.931602904</v>
      </c>
      <c r="AY234">
        <f>1.934975939</f>
        <v>1.9349759390000001</v>
      </c>
      <c r="AZ234">
        <f>2.204911957</f>
        <v>2.2049119570000002</v>
      </c>
      <c r="BA234">
        <f>2.695900561</f>
        <v>2.6959005610000002</v>
      </c>
      <c r="BB234">
        <f>3.039088786</f>
        <v>3.0390887860000002</v>
      </c>
      <c r="BC234">
        <f>2.916698971</f>
        <v>2.9166989710000002</v>
      </c>
      <c r="BD234">
        <f>2.818992019</f>
        <v>2.818992019</v>
      </c>
      <c r="BE234" t="str">
        <f>""</f>
        <v/>
      </c>
      <c r="BF234" t="str">
        <f>""</f>
        <v/>
      </c>
      <c r="BG234" t="str">
        <f>""</f>
        <v/>
      </c>
      <c r="BH234" t="str">
        <f>""</f>
        <v/>
      </c>
      <c r="BI234" t="str">
        <f>""</f>
        <v/>
      </c>
      <c r="BJ234" t="str">
        <f>""</f>
        <v/>
      </c>
      <c r="BK234" t="str">
        <f>""</f>
        <v/>
      </c>
      <c r="BL234" t="str">
        <f>""</f>
        <v/>
      </c>
      <c r="BM234" t="str">
        <f>""</f>
        <v/>
      </c>
      <c r="BN234" t="str">
        <f>""</f>
        <v/>
      </c>
      <c r="BO234" t="str">
        <f>""</f>
        <v/>
      </c>
      <c r="BP234" t="str">
        <f>""</f>
        <v/>
      </c>
      <c r="BQ234" t="str">
        <f>""</f>
        <v/>
      </c>
      <c r="BR234" t="str">
        <f>""</f>
        <v/>
      </c>
      <c r="BS234" t="str">
        <f>""</f>
        <v/>
      </c>
    </row>
    <row r="235" spans="1:71" x14ac:dyDescent="0.25">
      <c r="A235" t="str">
        <f>"    PNC Financial Services Group I"</f>
        <v xml:space="preserve">    PNC Financial Services Group I</v>
      </c>
      <c r="B235" t="str">
        <f>"PNC US Equity"</f>
        <v>PNC US Equity</v>
      </c>
      <c r="C235" t="str">
        <f t="shared" si="30"/>
        <v>F0116</v>
      </c>
      <c r="D235" t="str">
        <f t="shared" si="31"/>
        <v>FED_OTHER_LEASES_%_TOT_LNS_LEAS</v>
      </c>
      <c r="E235" t="str">
        <f t="shared" si="32"/>
        <v>Dynamic</v>
      </c>
      <c r="F235" t="str">
        <f ca="1">IF(AND(ISNUMBER($F$642),$B$427=1),$F$642,HLOOKUP(INDIRECT(ADDRESS(2,COLUMN())),OFFSET($AM$2,0,0,ROW()-1,33),ROW()-1,FALSE))</f>
        <v/>
      </c>
      <c r="G235">
        <f ca="1">IF(AND(ISNUMBER($G$642),$B$427=1),$G$642,HLOOKUP(INDIRECT(ADDRESS(2,COLUMN())),OFFSET($AM$2,0,0,ROW()-1,33),ROW()-1,FALSE))</f>
        <v>2.0514175880000001</v>
      </c>
      <c r="H235">
        <f ca="1">IF(AND(ISNUMBER($H$642),$B$427=1),$H$642,HLOOKUP(INDIRECT(ADDRESS(2,COLUMN())),OFFSET($AM$2,0,0,ROW()-1,33),ROW()-1,FALSE))</f>
        <v>2.0047857520000001</v>
      </c>
      <c r="I235">
        <f ca="1">IF(AND(ISNUMBER($I$642),$B$427=1),$I$642,HLOOKUP(INDIRECT(ADDRESS(2,COLUMN())),OFFSET($AM$2,0,0,ROW()-1,33),ROW()-1,FALSE))</f>
        <v>2.1172515390000002</v>
      </c>
      <c r="J235">
        <f ca="1">IF(AND(ISNUMBER($J$642),$B$427=1),$J$642,HLOOKUP(INDIRECT(ADDRESS(2,COLUMN())),OFFSET($AM$2,0,0,ROW()-1,33),ROW()-1,FALSE))</f>
        <v>2.6501066519999998</v>
      </c>
      <c r="K235">
        <f ca="1">IF(AND(ISNUMBER($K$642),$B$427=1),$K$642,HLOOKUP(INDIRECT(ADDRESS(2,COLUMN())),OFFSET($AM$2,0,0,ROW()-1,33),ROW()-1,FALSE))</f>
        <v>2.9788189539999999</v>
      </c>
      <c r="L235">
        <f ca="1">IF(AND(ISNUMBER($L$642),$B$427=1),$L$642,HLOOKUP(INDIRECT(ADDRESS(2,COLUMN())),OFFSET($AM$2,0,0,ROW()-1,33),ROW()-1,FALSE))</f>
        <v>3.2164383779999999</v>
      </c>
      <c r="M235">
        <f ca="1">IF(AND(ISNUMBER($M$642),$B$427=1),$M$642,HLOOKUP(INDIRECT(ADDRESS(2,COLUMN())),OFFSET($AM$2,0,0,ROW()-1,33),ROW()-1,FALSE))</f>
        <v>3.5620057269999998</v>
      </c>
      <c r="N235">
        <f ca="1">IF(AND(ISNUMBER($N$642),$B$427=1),$N$642,HLOOKUP(INDIRECT(ADDRESS(2,COLUMN())),OFFSET($AM$2,0,0,ROW()-1,33),ROW()-1,FALSE))</f>
        <v>3.556132216</v>
      </c>
      <c r="O235">
        <f ca="1">IF(AND(ISNUMBER($O$642),$B$427=1),$O$642,HLOOKUP(INDIRECT(ADDRESS(2,COLUMN())),OFFSET($AM$2,0,0,ROW()-1,33),ROW()-1,FALSE))</f>
        <v>3.584824797</v>
      </c>
      <c r="P235">
        <f ca="1">IF(AND(ISNUMBER($P$642),$B$427=1),$P$642,HLOOKUP(INDIRECT(ADDRESS(2,COLUMN())),OFFSET($AM$2,0,0,ROW()-1,33),ROW()-1,FALSE))</f>
        <v>3.7071409329999998</v>
      </c>
      <c r="Q235">
        <f ca="1">IF(AND(ISNUMBER($Q$642),$B$427=1),$Q$642,HLOOKUP(INDIRECT(ADDRESS(2,COLUMN())),OFFSET($AM$2,0,0,ROW()-1,33),ROW()-1,FALSE))</f>
        <v>3.808541951</v>
      </c>
      <c r="R235">
        <f ca="1">IF(AND(ISNUMBER($R$642),$B$427=1),$R$642,HLOOKUP(INDIRECT(ADDRESS(2,COLUMN())),OFFSET($AM$2,0,0,ROW()-1,33),ROW()-1,FALSE))</f>
        <v>3.8135931630000002</v>
      </c>
      <c r="S235">
        <f ca="1">IF(AND(ISNUMBER($S$642),$B$427=1),$S$642,HLOOKUP(INDIRECT(ADDRESS(2,COLUMN())),OFFSET($AM$2,0,0,ROW()-1,33),ROW()-1,FALSE))</f>
        <v>3.920544611</v>
      </c>
      <c r="T235">
        <f ca="1">IF(AND(ISNUMBER($T$642),$B$427=1),$T$642,HLOOKUP(INDIRECT(ADDRESS(2,COLUMN())),OFFSET($AM$2,0,0,ROW()-1,33),ROW()-1,FALSE))</f>
        <v>3.8713848259999999</v>
      </c>
      <c r="U235">
        <f ca="1">IF(AND(ISNUMBER($U$642),$B$427=1),$U$642,HLOOKUP(INDIRECT(ADDRESS(2,COLUMN())),OFFSET($AM$2,0,0,ROW()-1,33),ROW()-1,FALSE))</f>
        <v>3.6081160419999998</v>
      </c>
      <c r="V235">
        <f ca="1">IF(AND(ISNUMBER($V$642),$B$427=1),$V$642,HLOOKUP(INDIRECT(ADDRESS(2,COLUMN())),OFFSET($AM$2,0,0,ROW()-1,33),ROW()-1,FALSE))</f>
        <v>3.4362877260000002</v>
      </c>
      <c r="W235">
        <f ca="1">IF(AND(ISNUMBER($W$642),$B$427=1),$W$642,HLOOKUP(INDIRECT(ADDRESS(2,COLUMN())),OFFSET($AM$2,0,0,ROW()-1,33),ROW()-1,FALSE))</f>
        <v>3.072646465</v>
      </c>
      <c r="X235" t="str">
        <f ca="1">IF(AND(ISNUMBER($X$642),$B$427=1),$X$642,HLOOKUP(INDIRECT(ADDRESS(2,COLUMN())),OFFSET($AM$2,0,0,ROW()-1,33),ROW()-1,FALSE))</f>
        <v/>
      </c>
      <c r="Y235" t="str">
        <f ca="1">IF(AND(ISNUMBER($Y$642),$B$427=1),$Y$642,HLOOKUP(INDIRECT(ADDRESS(2,COLUMN())),OFFSET($AM$2,0,0,ROW()-1,33),ROW()-1,FALSE))</f>
        <v/>
      </c>
      <c r="Z235" t="str">
        <f ca="1">IF(AND(ISNUMBER($Z$642),$B$427=1),$Z$642,HLOOKUP(INDIRECT(ADDRESS(2,COLUMN())),OFFSET($AM$2,0,0,ROW()-1,33),ROW()-1,FALSE))</f>
        <v/>
      </c>
      <c r="AA235" t="str">
        <f ca="1">IF(AND(ISNUMBER($AA$642),$B$427=1),$AA$642,HLOOKUP(INDIRECT(ADDRESS(2,COLUMN())),OFFSET($AM$2,0,0,ROW()-1,33),ROW()-1,FALSE))</f>
        <v/>
      </c>
      <c r="AB235" t="str">
        <f ca="1">IF(AND(ISNUMBER($AB$642),$B$427=1),$AB$642,HLOOKUP(INDIRECT(ADDRESS(2,COLUMN())),OFFSET($AM$2,0,0,ROW()-1,33),ROW()-1,FALSE))</f>
        <v/>
      </c>
      <c r="AC235" t="str">
        <f ca="1">IF(AND(ISNUMBER($AC$642),$B$427=1),$AC$642,HLOOKUP(INDIRECT(ADDRESS(2,COLUMN())),OFFSET($AM$2,0,0,ROW()-1,33),ROW()-1,FALSE))</f>
        <v/>
      </c>
      <c r="AD235" t="str">
        <f ca="1">IF(AND(ISNUMBER($AD$642),$B$427=1),$AD$642,HLOOKUP(INDIRECT(ADDRESS(2,COLUMN())),OFFSET($AM$2,0,0,ROW()-1,33),ROW()-1,FALSE))</f>
        <v/>
      </c>
      <c r="AE235" t="str">
        <f ca="1">IF(AND(ISNUMBER($AE$642),$B$427=1),$AE$642,HLOOKUP(INDIRECT(ADDRESS(2,COLUMN())),OFFSET($AM$2,0,0,ROW()-1,33),ROW()-1,FALSE))</f>
        <v/>
      </c>
      <c r="AF235" t="str">
        <f ca="1">IF(AND(ISNUMBER($AF$642),$B$427=1),$AF$642,HLOOKUP(INDIRECT(ADDRESS(2,COLUMN())),OFFSET($AM$2,0,0,ROW()-1,33),ROW()-1,FALSE))</f>
        <v/>
      </c>
      <c r="AG235" t="str">
        <f ca="1">IF(AND(ISNUMBER($AG$642),$B$427=1),$AG$642,HLOOKUP(INDIRECT(ADDRESS(2,COLUMN())),OFFSET($AM$2,0,0,ROW()-1,33),ROW()-1,FALSE))</f>
        <v/>
      </c>
      <c r="AH235" t="str">
        <f ca="1">IF(AND(ISNUMBER($AH$642),$B$427=1),$AH$642,HLOOKUP(INDIRECT(ADDRESS(2,COLUMN())),OFFSET($AM$2,0,0,ROW()-1,33),ROW()-1,FALSE))</f>
        <v/>
      </c>
      <c r="AI235" t="str">
        <f ca="1">IF(AND(ISNUMBER($AI$642),$B$427=1),$AI$642,HLOOKUP(INDIRECT(ADDRESS(2,COLUMN())),OFFSET($AM$2,0,0,ROW()-1,33),ROW()-1,FALSE))</f>
        <v/>
      </c>
      <c r="AJ235" t="str">
        <f ca="1">IF(AND(ISNUMBER($AJ$642),$B$427=1),$AJ$642,HLOOKUP(INDIRECT(ADDRESS(2,COLUMN())),OFFSET($AM$2,0,0,ROW()-1,33),ROW()-1,FALSE))</f>
        <v/>
      </c>
      <c r="AK235" t="str">
        <f ca="1">IF(AND(ISNUMBER($AK$642),$B$427=1),$AK$642,HLOOKUP(INDIRECT(ADDRESS(2,COLUMN())),OFFSET($AM$2,0,0,ROW()-1,33),ROW()-1,FALSE))</f>
        <v/>
      </c>
      <c r="AL235" t="str">
        <f ca="1">IF(AND(ISNUMBER($AL$642),$B$427=1),$AL$642,HLOOKUP(INDIRECT(ADDRESS(2,COLUMN())),OFFSET($AM$2,0,0,ROW()-1,33),ROW()-1,FALSE))</f>
        <v/>
      </c>
      <c r="AM235" t="str">
        <f>""</f>
        <v/>
      </c>
      <c r="AN235">
        <f>2.051417588</f>
        <v>2.0514175880000001</v>
      </c>
      <c r="AO235">
        <f>2.004785752</f>
        <v>2.0047857520000001</v>
      </c>
      <c r="AP235">
        <f>2.117251539</f>
        <v>2.1172515390000002</v>
      </c>
      <c r="AQ235">
        <f>2.650106652</f>
        <v>2.6501066519999998</v>
      </c>
      <c r="AR235">
        <f>2.978818954</f>
        <v>2.9788189539999999</v>
      </c>
      <c r="AS235">
        <f>3.216438378</f>
        <v>3.2164383779999999</v>
      </c>
      <c r="AT235">
        <f>3.562005727</f>
        <v>3.5620057269999998</v>
      </c>
      <c r="AU235">
        <f>3.556132216</f>
        <v>3.556132216</v>
      </c>
      <c r="AV235">
        <f>3.584824797</f>
        <v>3.584824797</v>
      </c>
      <c r="AW235">
        <f>3.707140933</f>
        <v>3.7071409329999998</v>
      </c>
      <c r="AX235">
        <f>3.808541951</f>
        <v>3.808541951</v>
      </c>
      <c r="AY235">
        <f>3.813593163</f>
        <v>3.8135931630000002</v>
      </c>
      <c r="AZ235">
        <f>3.920544611</f>
        <v>3.920544611</v>
      </c>
      <c r="BA235">
        <f>3.871384826</f>
        <v>3.8713848259999999</v>
      </c>
      <c r="BB235">
        <f>3.608116042</f>
        <v>3.6081160419999998</v>
      </c>
      <c r="BC235">
        <f>3.436287726</f>
        <v>3.4362877260000002</v>
      </c>
      <c r="BD235">
        <f>3.072646465</f>
        <v>3.072646465</v>
      </c>
      <c r="BE235" t="str">
        <f>""</f>
        <v/>
      </c>
      <c r="BF235" t="str">
        <f>""</f>
        <v/>
      </c>
      <c r="BG235" t="str">
        <f>""</f>
        <v/>
      </c>
      <c r="BH235" t="str">
        <f>""</f>
        <v/>
      </c>
      <c r="BI235" t="str">
        <f>""</f>
        <v/>
      </c>
      <c r="BJ235" t="str">
        <f>""</f>
        <v/>
      </c>
      <c r="BK235" t="str">
        <f>""</f>
        <v/>
      </c>
      <c r="BL235" t="str">
        <f>""</f>
        <v/>
      </c>
      <c r="BM235" t="str">
        <f>""</f>
        <v/>
      </c>
      <c r="BN235" t="str">
        <f>""</f>
        <v/>
      </c>
      <c r="BO235" t="str">
        <f>""</f>
        <v/>
      </c>
      <c r="BP235" t="str">
        <f>""</f>
        <v/>
      </c>
      <c r="BQ235" t="str">
        <f>""</f>
        <v/>
      </c>
      <c r="BR235" t="str">
        <f>""</f>
        <v/>
      </c>
      <c r="BS235" t="str">
        <f>""</f>
        <v/>
      </c>
    </row>
    <row r="236" spans="1:71" x14ac:dyDescent="0.25">
      <c r="A236" t="str">
        <f>"    Regions Financial Corp"</f>
        <v xml:space="preserve">    Regions Financial Corp</v>
      </c>
      <c r="B236" t="str">
        <f>"RF US Equity"</f>
        <v>RF US Equity</v>
      </c>
      <c r="C236" t="str">
        <f t="shared" si="30"/>
        <v>F0116</v>
      </c>
      <c r="D236" t="str">
        <f t="shared" si="31"/>
        <v>FED_OTHER_LEASES_%_TOT_LNS_LEAS</v>
      </c>
      <c r="E236" t="str">
        <f t="shared" si="32"/>
        <v>Dynamic</v>
      </c>
      <c r="F236" t="str">
        <f ca="1">IF(AND(ISNUMBER($F$643),$B$427=1),$F$643,HLOOKUP(INDIRECT(ADDRESS(2,COLUMN())),OFFSET($AM$2,0,0,ROW()-1,33),ROW()-1,FALSE))</f>
        <v/>
      </c>
      <c r="G236">
        <f ca="1">IF(AND(ISNUMBER($G$643),$B$427=1),$G$643,HLOOKUP(INDIRECT(ADDRESS(2,COLUMN())),OFFSET($AM$2,0,0,ROW()-1,33),ROW()-1,FALSE))</f>
        <v>1.7223223510000001</v>
      </c>
      <c r="H236">
        <f ca="1">IF(AND(ISNUMBER($H$643),$B$427=1),$H$643,HLOOKUP(INDIRECT(ADDRESS(2,COLUMN())),OFFSET($AM$2,0,0,ROW()-1,33),ROW()-1,FALSE))</f>
        <v>1.6014874619999999</v>
      </c>
      <c r="I236">
        <f ca="1">IF(AND(ISNUMBER($I$643),$B$427=1),$I$643,HLOOKUP(INDIRECT(ADDRESS(2,COLUMN())),OFFSET($AM$2,0,0,ROW()-1,33),ROW()-1,FALSE))</f>
        <v>1.69982202</v>
      </c>
      <c r="J236">
        <f ca="1">IF(AND(ISNUMBER($J$643),$B$427=1),$J$643,HLOOKUP(INDIRECT(ADDRESS(2,COLUMN())),OFFSET($AM$2,0,0,ROW()-1,33),ROW()-1,FALSE))</f>
        <v>1.8321784219999999</v>
      </c>
      <c r="K236">
        <f ca="1">IF(AND(ISNUMBER($K$643),$B$427=1),$K$643,HLOOKUP(INDIRECT(ADDRESS(2,COLUMN())),OFFSET($AM$2,0,0,ROW()-1,33),ROW()-1,FALSE))</f>
        <v>1.6244019139999999</v>
      </c>
      <c r="L236">
        <f ca="1">IF(AND(ISNUMBER($L$643),$B$427=1),$L$643,HLOOKUP(INDIRECT(ADDRESS(2,COLUMN())),OFFSET($AM$2,0,0,ROW()-1,33),ROW()-1,FALSE))</f>
        <v>1.491345001</v>
      </c>
      <c r="M236">
        <f ca="1">IF(AND(ISNUMBER($M$643),$B$427=1),$M$643,HLOOKUP(INDIRECT(ADDRESS(2,COLUMN())),OFFSET($AM$2,0,0,ROW()-1,33),ROW()-1,FALSE))</f>
        <v>1.439154249</v>
      </c>
      <c r="N236">
        <f ca="1">IF(AND(ISNUMBER($N$643),$B$427=1),$N$643,HLOOKUP(INDIRECT(ADDRESS(2,COLUMN())),OFFSET($AM$2,0,0,ROW()-1,33),ROW()-1,FALSE))</f>
        <v>1.2431696400000001</v>
      </c>
      <c r="O236">
        <f ca="1">IF(AND(ISNUMBER($O$643),$B$427=1),$O$643,HLOOKUP(INDIRECT(ADDRESS(2,COLUMN())),OFFSET($AM$2,0,0,ROW()-1,33),ROW()-1,FALSE))</f>
        <v>1.2216109740000001</v>
      </c>
      <c r="P236">
        <f ca="1">IF(AND(ISNUMBER($P$643),$B$427=1),$P$643,HLOOKUP(INDIRECT(ADDRESS(2,COLUMN())),OFFSET($AM$2,0,0,ROW()-1,33),ROW()-1,FALSE))</f>
        <v>2.3188156000000002</v>
      </c>
      <c r="Q236">
        <f ca="1">IF(AND(ISNUMBER($Q$643),$B$427=1),$Q$643,HLOOKUP(INDIRECT(ADDRESS(2,COLUMN())),OFFSET($AM$2,0,0,ROW()-1,33),ROW()-1,FALSE))</f>
        <v>2.3710266820000001</v>
      </c>
      <c r="R236">
        <f ca="1">IF(AND(ISNUMBER($R$643),$B$427=1),$R$643,HLOOKUP(INDIRECT(ADDRESS(2,COLUMN())),OFFSET($AM$2,0,0,ROW()-1,33),ROW()-1,FALSE))</f>
        <v>2.1596788949999999</v>
      </c>
      <c r="S236">
        <f ca="1">IF(AND(ISNUMBER($S$643),$B$427=1),$S$643,HLOOKUP(INDIRECT(ADDRESS(2,COLUMN())),OFFSET($AM$2,0,0,ROW()-1,33),ROW()-1,FALSE))</f>
        <v>1.9948343639999999</v>
      </c>
      <c r="T236">
        <f ca="1">IF(AND(ISNUMBER($T$643),$B$427=1),$T$643,HLOOKUP(INDIRECT(ADDRESS(2,COLUMN())),OFFSET($AM$2,0,0,ROW()-1,33),ROW()-1,FALSE))</f>
        <v>2.1729631810000001</v>
      </c>
      <c r="U236">
        <f ca="1">IF(AND(ISNUMBER($U$643),$B$427=1),$U$643,HLOOKUP(INDIRECT(ADDRESS(2,COLUMN())),OFFSET($AM$2,0,0,ROW()-1,33),ROW()-1,FALSE))</f>
        <v>2.3387453570000001</v>
      </c>
      <c r="V236">
        <f ca="1">IF(AND(ISNUMBER($V$643),$B$427=1),$V$643,HLOOKUP(INDIRECT(ADDRESS(2,COLUMN())),OFFSET($AM$2,0,0,ROW()-1,33),ROW()-1,FALSE))</f>
        <v>2.0595381979999998</v>
      </c>
      <c r="W236">
        <f ca="1">IF(AND(ISNUMBER($W$643),$B$427=1),$W$643,HLOOKUP(INDIRECT(ADDRESS(2,COLUMN())),OFFSET($AM$2,0,0,ROW()-1,33),ROW()-1,FALSE))</f>
        <v>2.246696714</v>
      </c>
      <c r="X236" t="str">
        <f ca="1">IF(AND(ISNUMBER($X$643),$B$427=1),$X$643,HLOOKUP(INDIRECT(ADDRESS(2,COLUMN())),OFFSET($AM$2,0,0,ROW()-1,33),ROW()-1,FALSE))</f>
        <v/>
      </c>
      <c r="Y236" t="str">
        <f ca="1">IF(AND(ISNUMBER($Y$643),$B$427=1),$Y$643,HLOOKUP(INDIRECT(ADDRESS(2,COLUMN())),OFFSET($AM$2,0,0,ROW()-1,33),ROW()-1,FALSE))</f>
        <v/>
      </c>
      <c r="Z236" t="str">
        <f ca="1">IF(AND(ISNUMBER($Z$643),$B$427=1),$Z$643,HLOOKUP(INDIRECT(ADDRESS(2,COLUMN())),OFFSET($AM$2,0,0,ROW()-1,33),ROW()-1,FALSE))</f>
        <v/>
      </c>
      <c r="AA236" t="str">
        <f ca="1">IF(AND(ISNUMBER($AA$643),$B$427=1),$AA$643,HLOOKUP(INDIRECT(ADDRESS(2,COLUMN())),OFFSET($AM$2,0,0,ROW()-1,33),ROW()-1,FALSE))</f>
        <v/>
      </c>
      <c r="AB236" t="str">
        <f ca="1">IF(AND(ISNUMBER($AB$643),$B$427=1),$AB$643,HLOOKUP(INDIRECT(ADDRESS(2,COLUMN())),OFFSET($AM$2,0,0,ROW()-1,33),ROW()-1,FALSE))</f>
        <v/>
      </c>
      <c r="AC236" t="str">
        <f ca="1">IF(AND(ISNUMBER($AC$643),$B$427=1),$AC$643,HLOOKUP(INDIRECT(ADDRESS(2,COLUMN())),OFFSET($AM$2,0,0,ROW()-1,33),ROW()-1,FALSE))</f>
        <v/>
      </c>
      <c r="AD236" t="str">
        <f ca="1">IF(AND(ISNUMBER($AD$643),$B$427=1),$AD$643,HLOOKUP(INDIRECT(ADDRESS(2,COLUMN())),OFFSET($AM$2,0,0,ROW()-1,33),ROW()-1,FALSE))</f>
        <v/>
      </c>
      <c r="AE236" t="str">
        <f ca="1">IF(AND(ISNUMBER($AE$643),$B$427=1),$AE$643,HLOOKUP(INDIRECT(ADDRESS(2,COLUMN())),OFFSET($AM$2,0,0,ROW()-1,33),ROW()-1,FALSE))</f>
        <v/>
      </c>
      <c r="AF236" t="str">
        <f ca="1">IF(AND(ISNUMBER($AF$643),$B$427=1),$AF$643,HLOOKUP(INDIRECT(ADDRESS(2,COLUMN())),OFFSET($AM$2,0,0,ROW()-1,33),ROW()-1,FALSE))</f>
        <v/>
      </c>
      <c r="AG236" t="str">
        <f ca="1">IF(AND(ISNUMBER($AG$643),$B$427=1),$AG$643,HLOOKUP(INDIRECT(ADDRESS(2,COLUMN())),OFFSET($AM$2,0,0,ROW()-1,33),ROW()-1,FALSE))</f>
        <v/>
      </c>
      <c r="AH236" t="str">
        <f ca="1">IF(AND(ISNUMBER($AH$643),$B$427=1),$AH$643,HLOOKUP(INDIRECT(ADDRESS(2,COLUMN())),OFFSET($AM$2,0,0,ROW()-1,33),ROW()-1,FALSE))</f>
        <v/>
      </c>
      <c r="AI236" t="str">
        <f ca="1">IF(AND(ISNUMBER($AI$643),$B$427=1),$AI$643,HLOOKUP(INDIRECT(ADDRESS(2,COLUMN())),OFFSET($AM$2,0,0,ROW()-1,33),ROW()-1,FALSE))</f>
        <v/>
      </c>
      <c r="AJ236" t="str">
        <f ca="1">IF(AND(ISNUMBER($AJ$643),$B$427=1),$AJ$643,HLOOKUP(INDIRECT(ADDRESS(2,COLUMN())),OFFSET($AM$2,0,0,ROW()-1,33),ROW()-1,FALSE))</f>
        <v/>
      </c>
      <c r="AK236" t="str">
        <f ca="1">IF(AND(ISNUMBER($AK$643),$B$427=1),$AK$643,HLOOKUP(INDIRECT(ADDRESS(2,COLUMN())),OFFSET($AM$2,0,0,ROW()-1,33),ROW()-1,FALSE))</f>
        <v/>
      </c>
      <c r="AL236" t="str">
        <f ca="1">IF(AND(ISNUMBER($AL$643),$B$427=1),$AL$643,HLOOKUP(INDIRECT(ADDRESS(2,COLUMN())),OFFSET($AM$2,0,0,ROW()-1,33),ROW()-1,FALSE))</f>
        <v/>
      </c>
      <c r="AM236" t="str">
        <f>""</f>
        <v/>
      </c>
      <c r="AN236">
        <f>1.722322351</f>
        <v>1.7223223510000001</v>
      </c>
      <c r="AO236">
        <f>1.601487462</f>
        <v>1.6014874619999999</v>
      </c>
      <c r="AP236">
        <f>1.69982202</f>
        <v>1.69982202</v>
      </c>
      <c r="AQ236">
        <f>1.832178422</f>
        <v>1.8321784219999999</v>
      </c>
      <c r="AR236">
        <f>1.624401914</f>
        <v>1.6244019139999999</v>
      </c>
      <c r="AS236">
        <f>1.491345001</f>
        <v>1.491345001</v>
      </c>
      <c r="AT236">
        <f>1.439154249</f>
        <v>1.439154249</v>
      </c>
      <c r="AU236">
        <f>1.24316964</f>
        <v>1.2431696400000001</v>
      </c>
      <c r="AV236">
        <f>1.221610974</f>
        <v>1.2216109740000001</v>
      </c>
      <c r="AW236">
        <f>2.3188156</f>
        <v>2.3188156000000002</v>
      </c>
      <c r="AX236">
        <f>2.371026682</f>
        <v>2.3710266820000001</v>
      </c>
      <c r="AY236">
        <f>2.159678895</f>
        <v>2.1596788949999999</v>
      </c>
      <c r="AZ236">
        <f>1.994834364</f>
        <v>1.9948343639999999</v>
      </c>
      <c r="BA236">
        <f>2.172963181</f>
        <v>2.1729631810000001</v>
      </c>
      <c r="BB236">
        <f>2.338745357</f>
        <v>2.3387453570000001</v>
      </c>
      <c r="BC236">
        <f>2.059538198</f>
        <v>2.0595381979999998</v>
      </c>
      <c r="BD236">
        <f>2.246696714</f>
        <v>2.246696714</v>
      </c>
      <c r="BE236" t="str">
        <f>""</f>
        <v/>
      </c>
      <c r="BF236" t="str">
        <f>""</f>
        <v/>
      </c>
      <c r="BG236" t="str">
        <f>""</f>
        <v/>
      </c>
      <c r="BH236" t="str">
        <f>""</f>
        <v/>
      </c>
      <c r="BI236" t="str">
        <f>""</f>
        <v/>
      </c>
      <c r="BJ236" t="str">
        <f>""</f>
        <v/>
      </c>
      <c r="BK236" t="str">
        <f>""</f>
        <v/>
      </c>
      <c r="BL236" t="str">
        <f>""</f>
        <v/>
      </c>
      <c r="BM236" t="str">
        <f>""</f>
        <v/>
      </c>
      <c r="BN236" t="str">
        <f>""</f>
        <v/>
      </c>
      <c r="BO236" t="str">
        <f>""</f>
        <v/>
      </c>
      <c r="BP236" t="str">
        <f>""</f>
        <v/>
      </c>
      <c r="BQ236" t="str">
        <f>""</f>
        <v/>
      </c>
      <c r="BR236" t="str">
        <f>""</f>
        <v/>
      </c>
      <c r="BS236" t="str">
        <f>""</f>
        <v/>
      </c>
    </row>
    <row r="237" spans="1:71" x14ac:dyDescent="0.25">
      <c r="A237" t="str">
        <f>"    Truist Financial Corp"</f>
        <v xml:space="preserve">    Truist Financial Corp</v>
      </c>
      <c r="B237" t="str">
        <f>"TFC US Equity"</f>
        <v>TFC US Equity</v>
      </c>
      <c r="C237" t="str">
        <f t="shared" si="30"/>
        <v>F0116</v>
      </c>
      <c r="D237" t="str">
        <f t="shared" si="31"/>
        <v>FED_OTHER_LEASES_%_TOT_LNS_LEAS</v>
      </c>
      <c r="E237" t="str">
        <f t="shared" si="32"/>
        <v>Dynamic</v>
      </c>
      <c r="F237">
        <f ca="1">IF(AND(ISNUMBER($F$644),$B$427=1),$F$644,HLOOKUP(INDIRECT(ADDRESS(2,COLUMN())),OFFSET($AM$2,0,0,ROW()-1,33),ROW()-1,FALSE))</f>
        <v>0.76680389000000004</v>
      </c>
      <c r="G237">
        <f ca="1">IF(AND(ISNUMBER($G$644),$B$427=1),$G$644,HLOOKUP(INDIRECT(ADDRESS(2,COLUMN())),OFFSET($AM$2,0,0,ROW()-1,33),ROW()-1,FALSE))</f>
        <v>0.91402018900000004</v>
      </c>
      <c r="H237">
        <f ca="1">IF(AND(ISNUMBER($H$644),$B$427=1),$H$644,HLOOKUP(INDIRECT(ADDRESS(2,COLUMN())),OFFSET($AM$2,0,0,ROW()-1,33),ROW()-1,FALSE))</f>
        <v>0.99775528000000002</v>
      </c>
      <c r="I237">
        <f ca="1">IF(AND(ISNUMBER($I$644),$B$427=1),$I$644,HLOOKUP(INDIRECT(ADDRESS(2,COLUMN())),OFFSET($AM$2,0,0,ROW()-1,33),ROW()-1,FALSE))</f>
        <v>1.6621082140000001</v>
      </c>
      <c r="J237">
        <f ca="1">IF(AND(ISNUMBER($J$644),$B$427=1),$J$644,HLOOKUP(INDIRECT(ADDRESS(2,COLUMN())),OFFSET($AM$2,0,0,ROW()-1,33),ROW()-1,FALSE))</f>
        <v>1.782578411</v>
      </c>
      <c r="K237">
        <f ca="1">IF(AND(ISNUMBER($K$644),$B$427=1),$K$644,HLOOKUP(INDIRECT(ADDRESS(2,COLUMN())),OFFSET($AM$2,0,0,ROW()-1,33),ROW()-1,FALSE))</f>
        <v>2.012231721</v>
      </c>
      <c r="L237">
        <f ca="1">IF(AND(ISNUMBER($L$644),$B$427=1),$L$644,HLOOKUP(INDIRECT(ADDRESS(2,COLUMN())),OFFSET($AM$2,0,0,ROW()-1,33),ROW()-1,FALSE))</f>
        <v>1.345324365</v>
      </c>
      <c r="M237">
        <f ca="1">IF(AND(ISNUMBER($M$644),$B$427=1),$M$644,HLOOKUP(INDIRECT(ADDRESS(2,COLUMN())),OFFSET($AM$2,0,0,ROW()-1,33),ROW()-1,FALSE))</f>
        <v>1.3197513809999999</v>
      </c>
      <c r="N237">
        <f ca="1">IF(AND(ISNUMBER($N$644),$B$427=1),$N$644,HLOOKUP(INDIRECT(ADDRESS(2,COLUMN())),OFFSET($AM$2,0,0,ROW()-1,33),ROW()-1,FALSE))</f>
        <v>1.1553949130000001</v>
      </c>
      <c r="O237">
        <f ca="1">IF(AND(ISNUMBER($O$644),$B$427=1),$O$644,HLOOKUP(INDIRECT(ADDRESS(2,COLUMN())),OFFSET($AM$2,0,0,ROW()-1,33),ROW()-1,FALSE))</f>
        <v>1.111520375</v>
      </c>
      <c r="P237">
        <f ca="1">IF(AND(ISNUMBER($P$644),$B$427=1),$P$644,HLOOKUP(INDIRECT(ADDRESS(2,COLUMN())),OFFSET($AM$2,0,0,ROW()-1,33),ROW()-1,FALSE))</f>
        <v>0.92289223499999995</v>
      </c>
      <c r="Q237">
        <f ca="1">IF(AND(ISNUMBER($Q$644),$B$427=1),$Q$644,HLOOKUP(INDIRECT(ADDRESS(2,COLUMN())),OFFSET($AM$2,0,0,ROW()-1,33),ROW()-1,FALSE))</f>
        <v>0.96083084100000005</v>
      </c>
      <c r="R237">
        <f ca="1">IF(AND(ISNUMBER($R$644),$B$427=1),$R$644,HLOOKUP(INDIRECT(ADDRESS(2,COLUMN())),OFFSET($AM$2,0,0,ROW()-1,33),ROW()-1,FALSE))</f>
        <v>0.94110717300000002</v>
      </c>
      <c r="S237">
        <f ca="1">IF(AND(ISNUMBER($S$644),$B$427=1),$S$644,HLOOKUP(INDIRECT(ADDRESS(2,COLUMN())),OFFSET($AM$2,0,0,ROW()-1,33),ROW()-1,FALSE))</f>
        <v>0.95922048000000004</v>
      </c>
      <c r="T237">
        <f ca="1">IF(AND(ISNUMBER($T$644),$B$427=1),$T$644,HLOOKUP(INDIRECT(ADDRESS(2,COLUMN())),OFFSET($AM$2,0,0,ROW()-1,33),ROW()-1,FALSE))</f>
        <v>1.079387562</v>
      </c>
      <c r="U237">
        <f ca="1">IF(AND(ISNUMBER($U$644),$B$427=1),$U$644,HLOOKUP(INDIRECT(ADDRESS(2,COLUMN())),OFFSET($AM$2,0,0,ROW()-1,33),ROW()-1,FALSE))</f>
        <v>1.0277976339999999</v>
      </c>
      <c r="V237">
        <f ca="1">IF(AND(ISNUMBER($V$644),$B$427=1),$V$644,HLOOKUP(INDIRECT(ADDRESS(2,COLUMN())),OFFSET($AM$2,0,0,ROW()-1,33),ROW()-1,FALSE))</f>
        <v>1.331836281</v>
      </c>
      <c r="W237">
        <f ca="1">IF(AND(ISNUMBER($W$644),$B$427=1),$W$644,HLOOKUP(INDIRECT(ADDRESS(2,COLUMN())),OFFSET($AM$2,0,0,ROW()-1,33),ROW()-1,FALSE))</f>
        <v>1.7997913189999999</v>
      </c>
      <c r="X237" t="str">
        <f ca="1">IF(AND(ISNUMBER($X$644),$B$427=1),$X$644,HLOOKUP(INDIRECT(ADDRESS(2,COLUMN())),OFFSET($AM$2,0,0,ROW()-1,33),ROW()-1,FALSE))</f>
        <v/>
      </c>
      <c r="Y237" t="str">
        <f ca="1">IF(AND(ISNUMBER($Y$644),$B$427=1),$Y$644,HLOOKUP(INDIRECT(ADDRESS(2,COLUMN())),OFFSET($AM$2,0,0,ROW()-1,33),ROW()-1,FALSE))</f>
        <v/>
      </c>
      <c r="Z237" t="str">
        <f ca="1">IF(AND(ISNUMBER($Z$644),$B$427=1),$Z$644,HLOOKUP(INDIRECT(ADDRESS(2,COLUMN())),OFFSET($AM$2,0,0,ROW()-1,33),ROW()-1,FALSE))</f>
        <v/>
      </c>
      <c r="AA237" t="str">
        <f ca="1">IF(AND(ISNUMBER($AA$644),$B$427=1),$AA$644,HLOOKUP(INDIRECT(ADDRESS(2,COLUMN())),OFFSET($AM$2,0,0,ROW()-1,33),ROW()-1,FALSE))</f>
        <v/>
      </c>
      <c r="AB237" t="str">
        <f ca="1">IF(AND(ISNUMBER($AB$644),$B$427=1),$AB$644,HLOOKUP(INDIRECT(ADDRESS(2,COLUMN())),OFFSET($AM$2,0,0,ROW()-1,33),ROW()-1,FALSE))</f>
        <v/>
      </c>
      <c r="AC237" t="str">
        <f ca="1">IF(AND(ISNUMBER($AC$644),$B$427=1),$AC$644,HLOOKUP(INDIRECT(ADDRESS(2,COLUMN())),OFFSET($AM$2,0,0,ROW()-1,33),ROW()-1,FALSE))</f>
        <v/>
      </c>
      <c r="AD237" t="str">
        <f ca="1">IF(AND(ISNUMBER($AD$644),$B$427=1),$AD$644,HLOOKUP(INDIRECT(ADDRESS(2,COLUMN())),OFFSET($AM$2,0,0,ROW()-1,33),ROW()-1,FALSE))</f>
        <v/>
      </c>
      <c r="AE237" t="str">
        <f ca="1">IF(AND(ISNUMBER($AE$644),$B$427=1),$AE$644,HLOOKUP(INDIRECT(ADDRESS(2,COLUMN())),OFFSET($AM$2,0,0,ROW()-1,33),ROW()-1,FALSE))</f>
        <v/>
      </c>
      <c r="AF237" t="str">
        <f ca="1">IF(AND(ISNUMBER($AF$644),$B$427=1),$AF$644,HLOOKUP(INDIRECT(ADDRESS(2,COLUMN())),OFFSET($AM$2,0,0,ROW()-1,33),ROW()-1,FALSE))</f>
        <v/>
      </c>
      <c r="AG237" t="str">
        <f ca="1">IF(AND(ISNUMBER($AG$644),$B$427=1),$AG$644,HLOOKUP(INDIRECT(ADDRESS(2,COLUMN())),OFFSET($AM$2,0,0,ROW()-1,33),ROW()-1,FALSE))</f>
        <v/>
      </c>
      <c r="AH237" t="str">
        <f ca="1">IF(AND(ISNUMBER($AH$644),$B$427=1),$AH$644,HLOOKUP(INDIRECT(ADDRESS(2,COLUMN())),OFFSET($AM$2,0,0,ROW()-1,33),ROW()-1,FALSE))</f>
        <v/>
      </c>
      <c r="AI237" t="str">
        <f ca="1">IF(AND(ISNUMBER($AI$644),$B$427=1),$AI$644,HLOOKUP(INDIRECT(ADDRESS(2,COLUMN())),OFFSET($AM$2,0,0,ROW()-1,33),ROW()-1,FALSE))</f>
        <v/>
      </c>
      <c r="AJ237" t="str">
        <f ca="1">IF(AND(ISNUMBER($AJ$644),$B$427=1),$AJ$644,HLOOKUP(INDIRECT(ADDRESS(2,COLUMN())),OFFSET($AM$2,0,0,ROW()-1,33),ROW()-1,FALSE))</f>
        <v/>
      </c>
      <c r="AK237" t="str">
        <f ca="1">IF(AND(ISNUMBER($AK$644),$B$427=1),$AK$644,HLOOKUP(INDIRECT(ADDRESS(2,COLUMN())),OFFSET($AM$2,0,0,ROW()-1,33),ROW()-1,FALSE))</f>
        <v/>
      </c>
      <c r="AL237" t="str">
        <f ca="1">IF(AND(ISNUMBER($AL$644),$B$427=1),$AL$644,HLOOKUP(INDIRECT(ADDRESS(2,COLUMN())),OFFSET($AM$2,0,0,ROW()-1,33),ROW()-1,FALSE))</f>
        <v/>
      </c>
      <c r="AM237">
        <f>0.76680389</f>
        <v>0.76680389000000004</v>
      </c>
      <c r="AN237">
        <f>0.914020189</f>
        <v>0.91402018900000004</v>
      </c>
      <c r="AO237">
        <f>0.99775528</f>
        <v>0.99775528000000002</v>
      </c>
      <c r="AP237">
        <f>1.662108214</f>
        <v>1.6621082140000001</v>
      </c>
      <c r="AQ237">
        <f>1.782578411</f>
        <v>1.782578411</v>
      </c>
      <c r="AR237">
        <f>2.012231721</f>
        <v>2.012231721</v>
      </c>
      <c r="AS237">
        <f>1.345324365</f>
        <v>1.345324365</v>
      </c>
      <c r="AT237">
        <f>1.319751381</f>
        <v>1.3197513809999999</v>
      </c>
      <c r="AU237">
        <f>1.155394913</f>
        <v>1.1553949130000001</v>
      </c>
      <c r="AV237">
        <f>1.111520375</f>
        <v>1.111520375</v>
      </c>
      <c r="AW237">
        <f>0.922892235</f>
        <v>0.92289223499999995</v>
      </c>
      <c r="AX237">
        <f>0.960830841</f>
        <v>0.96083084100000005</v>
      </c>
      <c r="AY237">
        <f>0.941107173</f>
        <v>0.94110717300000002</v>
      </c>
      <c r="AZ237">
        <f>0.95922048</f>
        <v>0.95922048000000004</v>
      </c>
      <c r="BA237">
        <f>1.079387562</f>
        <v>1.079387562</v>
      </c>
      <c r="BB237">
        <f>1.027797634</f>
        <v>1.0277976339999999</v>
      </c>
      <c r="BC237">
        <f>1.331836281</f>
        <v>1.331836281</v>
      </c>
      <c r="BD237">
        <f>1.799791319</f>
        <v>1.7997913189999999</v>
      </c>
      <c r="BE237" t="str">
        <f>""</f>
        <v/>
      </c>
      <c r="BF237" t="str">
        <f>""</f>
        <v/>
      </c>
      <c r="BG237" t="str">
        <f>""</f>
        <v/>
      </c>
      <c r="BH237" t="str">
        <f>""</f>
        <v/>
      </c>
      <c r="BI237" t="str">
        <f>""</f>
        <v/>
      </c>
      <c r="BJ237" t="str">
        <f>""</f>
        <v/>
      </c>
      <c r="BK237" t="str">
        <f>""</f>
        <v/>
      </c>
      <c r="BL237" t="str">
        <f>""</f>
        <v/>
      </c>
      <c r="BM237" t="str">
        <f>""</f>
        <v/>
      </c>
      <c r="BN237" t="str">
        <f>""</f>
        <v/>
      </c>
      <c r="BO237" t="str">
        <f>""</f>
        <v/>
      </c>
      <c r="BP237" t="str">
        <f>""</f>
        <v/>
      </c>
      <c r="BQ237" t="str">
        <f>""</f>
        <v/>
      </c>
      <c r="BR237" t="str">
        <f>""</f>
        <v/>
      </c>
      <c r="BS237" t="str">
        <f>""</f>
        <v/>
      </c>
    </row>
    <row r="238" spans="1:71" x14ac:dyDescent="0.25">
      <c r="A238" t="str">
        <f>"    US Bancorp"</f>
        <v xml:space="preserve">    US Bancorp</v>
      </c>
      <c r="B238" t="str">
        <f>"USB US Equity"</f>
        <v>USB US Equity</v>
      </c>
      <c r="C238" t="str">
        <f t="shared" si="30"/>
        <v>F0116</v>
      </c>
      <c r="D238" t="str">
        <f t="shared" si="31"/>
        <v>FED_OTHER_LEASES_%_TOT_LNS_LEAS</v>
      </c>
      <c r="E238" t="str">
        <f t="shared" si="32"/>
        <v>Dynamic</v>
      </c>
      <c r="F238">
        <f ca="1">IF(AND(ISNUMBER($F$645),$B$427=1),$F$645,HLOOKUP(INDIRECT(ADDRESS(2,COLUMN())),OFFSET($AM$2,0,0,ROW()-1,33),ROW()-1,FALSE))</f>
        <v>1.106157085</v>
      </c>
      <c r="G238">
        <f ca="1">IF(AND(ISNUMBER($G$645),$B$427=1),$G$645,HLOOKUP(INDIRECT(ADDRESS(2,COLUMN())),OFFSET($AM$2,0,0,ROW()-1,33),ROW()-1,FALSE))</f>
        <v>1.1182439980000001</v>
      </c>
      <c r="H238">
        <f ca="1">IF(AND(ISNUMBER($H$645),$B$427=1),$H$645,HLOOKUP(INDIRECT(ADDRESS(2,COLUMN())),OFFSET($AM$2,0,0,ROW()-1,33),ROW()-1,FALSE))</f>
        <v>1.170299145</v>
      </c>
      <c r="I238">
        <f ca="1">IF(AND(ISNUMBER($I$645),$B$427=1),$I$645,HLOOKUP(INDIRECT(ADDRESS(2,COLUMN())),OFFSET($AM$2,0,0,ROW()-1,33),ROW()-1,FALSE))</f>
        <v>1.5981713740000001</v>
      </c>
      <c r="J238">
        <f ca="1">IF(AND(ISNUMBER($J$645),$B$427=1),$J$645,HLOOKUP(INDIRECT(ADDRESS(2,COLUMN())),OFFSET($AM$2,0,0,ROW()-1,33),ROW()-1,FALSE))</f>
        <v>1.8129135830000001</v>
      </c>
      <c r="K238">
        <f ca="1">IF(AND(ISNUMBER($K$645),$B$427=1),$K$645,HLOOKUP(INDIRECT(ADDRESS(2,COLUMN())),OFFSET($AM$2,0,0,ROW()-1,33),ROW()-1,FALSE))</f>
        <v>1.887761867</v>
      </c>
      <c r="L238">
        <f ca="1">IF(AND(ISNUMBER($L$645),$B$427=1),$L$645,HLOOKUP(INDIRECT(ADDRESS(2,COLUMN())),OFFSET($AM$2,0,0,ROW()-1,33),ROW()-1,FALSE))</f>
        <v>1.937501299</v>
      </c>
      <c r="M238">
        <f ca="1">IF(AND(ISNUMBER($M$645),$B$427=1),$M$645,HLOOKUP(INDIRECT(ADDRESS(2,COLUMN())),OFFSET($AM$2,0,0,ROW()-1,33),ROW()-1,FALSE))</f>
        <v>1.9775745520000001</v>
      </c>
      <c r="N238">
        <f ca="1">IF(AND(ISNUMBER($N$645),$B$427=1),$N$645,HLOOKUP(INDIRECT(ADDRESS(2,COLUMN())),OFFSET($AM$2,0,0,ROW()-1,33),ROW()-1,FALSE))</f>
        <v>1.9687695009999999</v>
      </c>
      <c r="O238">
        <f ca="1">IF(AND(ISNUMBER($O$645),$B$427=1),$O$645,HLOOKUP(INDIRECT(ADDRESS(2,COLUMN())),OFFSET($AM$2,0,0,ROW()-1,33),ROW()-1,FALSE))</f>
        <v>2.009878289</v>
      </c>
      <c r="P238">
        <f ca="1">IF(AND(ISNUMBER($P$645),$B$427=1),$P$645,HLOOKUP(INDIRECT(ADDRESS(2,COLUMN())),OFFSET($AM$2,0,0,ROW()-1,33),ROW()-1,FALSE))</f>
        <v>2.1398348899999999</v>
      </c>
      <c r="Q238">
        <f ca="1">IF(AND(ISNUMBER($Q$645),$B$427=1),$Q$645,HLOOKUP(INDIRECT(ADDRESS(2,COLUMN())),OFFSET($AM$2,0,0,ROW()-1,33),ROW()-1,FALSE))</f>
        <v>2.2249612710000002</v>
      </c>
      <c r="R238">
        <f ca="1">IF(AND(ISNUMBER($R$645),$B$427=1),$R$645,HLOOKUP(INDIRECT(ADDRESS(2,COLUMN())),OFFSET($AM$2,0,0,ROW()-1,33),ROW()-1,FALSE))</f>
        <v>2.383219215</v>
      </c>
      <c r="S238">
        <f ca="1">IF(AND(ISNUMBER($S$645),$B$427=1),$S$645,HLOOKUP(INDIRECT(ADDRESS(2,COLUMN())),OFFSET($AM$2,0,0,ROW()-1,33),ROW()-1,FALSE))</f>
        <v>2.757559509</v>
      </c>
      <c r="T238">
        <f ca="1">IF(AND(ISNUMBER($T$645),$B$427=1),$T$645,HLOOKUP(INDIRECT(ADDRESS(2,COLUMN())),OFFSET($AM$2,0,0,ROW()-1,33),ROW()-1,FALSE))</f>
        <v>3.028250822</v>
      </c>
      <c r="U238">
        <f ca="1">IF(AND(ISNUMBER($U$645),$B$427=1),$U$645,HLOOKUP(INDIRECT(ADDRESS(2,COLUMN())),OFFSET($AM$2,0,0,ROW()-1,33),ROW()-1,FALSE))</f>
        <v>3.3419036019999999</v>
      </c>
      <c r="V238">
        <f ca="1">IF(AND(ISNUMBER($V$645),$B$427=1),$V$645,HLOOKUP(INDIRECT(ADDRESS(2,COLUMN())),OFFSET($AM$2,0,0,ROW()-1,33),ROW()-1,FALSE))</f>
        <v>3.6452050059999999</v>
      </c>
      <c r="W238">
        <f ca="1">IF(AND(ISNUMBER($W$645),$B$427=1),$W$645,HLOOKUP(INDIRECT(ADDRESS(2,COLUMN())),OFFSET($AM$2,0,0,ROW()-1,33),ROW()-1,FALSE))</f>
        <v>3.934546096</v>
      </c>
      <c r="X238" t="str">
        <f ca="1">IF(AND(ISNUMBER($X$645),$B$427=1),$X$645,HLOOKUP(INDIRECT(ADDRESS(2,COLUMN())),OFFSET($AM$2,0,0,ROW()-1,33),ROW()-1,FALSE))</f>
        <v/>
      </c>
      <c r="Y238" t="str">
        <f ca="1">IF(AND(ISNUMBER($Y$645),$B$427=1),$Y$645,HLOOKUP(INDIRECT(ADDRESS(2,COLUMN())),OFFSET($AM$2,0,0,ROW()-1,33),ROW()-1,FALSE))</f>
        <v/>
      </c>
      <c r="Z238" t="str">
        <f ca="1">IF(AND(ISNUMBER($Z$645),$B$427=1),$Z$645,HLOOKUP(INDIRECT(ADDRESS(2,COLUMN())),OFFSET($AM$2,0,0,ROW()-1,33),ROW()-1,FALSE))</f>
        <v/>
      </c>
      <c r="AA238" t="str">
        <f ca="1">IF(AND(ISNUMBER($AA$645),$B$427=1),$AA$645,HLOOKUP(INDIRECT(ADDRESS(2,COLUMN())),OFFSET($AM$2,0,0,ROW()-1,33),ROW()-1,FALSE))</f>
        <v/>
      </c>
      <c r="AB238" t="str">
        <f ca="1">IF(AND(ISNUMBER($AB$645),$B$427=1),$AB$645,HLOOKUP(INDIRECT(ADDRESS(2,COLUMN())),OFFSET($AM$2,0,0,ROW()-1,33),ROW()-1,FALSE))</f>
        <v/>
      </c>
      <c r="AC238" t="str">
        <f ca="1">IF(AND(ISNUMBER($AC$645),$B$427=1),$AC$645,HLOOKUP(INDIRECT(ADDRESS(2,COLUMN())),OFFSET($AM$2,0,0,ROW()-1,33),ROW()-1,FALSE))</f>
        <v/>
      </c>
      <c r="AD238" t="str">
        <f ca="1">IF(AND(ISNUMBER($AD$645),$B$427=1),$AD$645,HLOOKUP(INDIRECT(ADDRESS(2,COLUMN())),OFFSET($AM$2,0,0,ROW()-1,33),ROW()-1,FALSE))</f>
        <v/>
      </c>
      <c r="AE238" t="str">
        <f ca="1">IF(AND(ISNUMBER($AE$645),$B$427=1),$AE$645,HLOOKUP(INDIRECT(ADDRESS(2,COLUMN())),OFFSET($AM$2,0,0,ROW()-1,33),ROW()-1,FALSE))</f>
        <v/>
      </c>
      <c r="AF238" t="str">
        <f ca="1">IF(AND(ISNUMBER($AF$645),$B$427=1),$AF$645,HLOOKUP(INDIRECT(ADDRESS(2,COLUMN())),OFFSET($AM$2,0,0,ROW()-1,33),ROW()-1,FALSE))</f>
        <v/>
      </c>
      <c r="AG238" t="str">
        <f ca="1">IF(AND(ISNUMBER($AG$645),$B$427=1),$AG$645,HLOOKUP(INDIRECT(ADDRESS(2,COLUMN())),OFFSET($AM$2,0,0,ROW()-1,33),ROW()-1,FALSE))</f>
        <v/>
      </c>
      <c r="AH238" t="str">
        <f ca="1">IF(AND(ISNUMBER($AH$645),$B$427=1),$AH$645,HLOOKUP(INDIRECT(ADDRESS(2,COLUMN())),OFFSET($AM$2,0,0,ROW()-1,33),ROW()-1,FALSE))</f>
        <v/>
      </c>
      <c r="AI238" t="str">
        <f ca="1">IF(AND(ISNUMBER($AI$645),$B$427=1),$AI$645,HLOOKUP(INDIRECT(ADDRESS(2,COLUMN())),OFFSET($AM$2,0,0,ROW()-1,33),ROW()-1,FALSE))</f>
        <v/>
      </c>
      <c r="AJ238" t="str">
        <f ca="1">IF(AND(ISNUMBER($AJ$645),$B$427=1),$AJ$645,HLOOKUP(INDIRECT(ADDRESS(2,COLUMN())),OFFSET($AM$2,0,0,ROW()-1,33),ROW()-1,FALSE))</f>
        <v/>
      </c>
      <c r="AK238" t="str">
        <f ca="1">IF(AND(ISNUMBER($AK$645),$B$427=1),$AK$645,HLOOKUP(INDIRECT(ADDRESS(2,COLUMN())),OFFSET($AM$2,0,0,ROW()-1,33),ROW()-1,FALSE))</f>
        <v/>
      </c>
      <c r="AL238" t="str">
        <f ca="1">IF(AND(ISNUMBER($AL$645),$B$427=1),$AL$645,HLOOKUP(INDIRECT(ADDRESS(2,COLUMN())),OFFSET($AM$2,0,0,ROW()-1,33),ROW()-1,FALSE))</f>
        <v/>
      </c>
      <c r="AM238">
        <f>1.106157085</f>
        <v>1.106157085</v>
      </c>
      <c r="AN238">
        <f>1.118243998</f>
        <v>1.1182439980000001</v>
      </c>
      <c r="AO238">
        <f>1.170299145</f>
        <v>1.170299145</v>
      </c>
      <c r="AP238">
        <f>1.598171374</f>
        <v>1.5981713740000001</v>
      </c>
      <c r="AQ238">
        <f>1.812913583</f>
        <v>1.8129135830000001</v>
      </c>
      <c r="AR238">
        <f>1.887761867</f>
        <v>1.887761867</v>
      </c>
      <c r="AS238">
        <f>1.937501299</f>
        <v>1.937501299</v>
      </c>
      <c r="AT238">
        <f>1.977574552</f>
        <v>1.9775745520000001</v>
      </c>
      <c r="AU238">
        <f>1.968769501</f>
        <v>1.9687695009999999</v>
      </c>
      <c r="AV238">
        <f>2.009878289</f>
        <v>2.009878289</v>
      </c>
      <c r="AW238">
        <f>2.13983489</f>
        <v>2.1398348899999999</v>
      </c>
      <c r="AX238">
        <f>2.224961271</f>
        <v>2.2249612710000002</v>
      </c>
      <c r="AY238">
        <f>2.383219215</f>
        <v>2.383219215</v>
      </c>
      <c r="AZ238">
        <f>2.757559509</f>
        <v>2.757559509</v>
      </c>
      <c r="BA238">
        <f>3.028250822</f>
        <v>3.028250822</v>
      </c>
      <c r="BB238">
        <f>3.341903602</f>
        <v>3.3419036019999999</v>
      </c>
      <c r="BC238">
        <f>3.645205006</f>
        <v>3.6452050059999999</v>
      </c>
      <c r="BD238">
        <f>3.934546096</f>
        <v>3.934546096</v>
      </c>
      <c r="BE238" t="str">
        <f>""</f>
        <v/>
      </c>
      <c r="BF238" t="str">
        <f>""</f>
        <v/>
      </c>
      <c r="BG238" t="str">
        <f>""</f>
        <v/>
      </c>
      <c r="BH238" t="str">
        <f>""</f>
        <v/>
      </c>
      <c r="BI238" t="str">
        <f>""</f>
        <v/>
      </c>
      <c r="BJ238" t="str">
        <f>""</f>
        <v/>
      </c>
      <c r="BK238" t="str">
        <f>""</f>
        <v/>
      </c>
      <c r="BL238" t="str">
        <f>""</f>
        <v/>
      </c>
      <c r="BM238" t="str">
        <f>""</f>
        <v/>
      </c>
      <c r="BN238" t="str">
        <f>""</f>
        <v/>
      </c>
      <c r="BO238" t="str">
        <f>""</f>
        <v/>
      </c>
      <c r="BP238" t="str">
        <f>""</f>
        <v/>
      </c>
      <c r="BQ238" t="str">
        <f>""</f>
        <v/>
      </c>
      <c r="BR238" t="str">
        <f>""</f>
        <v/>
      </c>
      <c r="BS238" t="str">
        <f>""</f>
        <v/>
      </c>
    </row>
    <row r="239" spans="1:71" x14ac:dyDescent="0.25">
      <c r="A239" t="str">
        <f>"    Wells Fargo &amp; Co"</f>
        <v xml:space="preserve">    Wells Fargo &amp; Co</v>
      </c>
      <c r="B239" t="str">
        <f>"WFC US Equity"</f>
        <v>WFC US Equity</v>
      </c>
      <c r="C239" t="str">
        <f t="shared" si="30"/>
        <v>F0116</v>
      </c>
      <c r="D239" t="str">
        <f t="shared" si="31"/>
        <v>FED_OTHER_LEASES_%_TOT_LNS_LEAS</v>
      </c>
      <c r="E239" t="str">
        <f t="shared" si="32"/>
        <v>Dynamic</v>
      </c>
      <c r="F239">
        <f ca="1">IF(AND(ISNUMBER($F$646),$B$427=1),$F$646,HLOOKUP(INDIRECT(ADDRESS(2,COLUMN())),OFFSET($AM$2,0,0,ROW()-1,33),ROW()-1,FALSE))</f>
        <v>1.792951417</v>
      </c>
      <c r="G239">
        <f ca="1">IF(AND(ISNUMBER($G$646),$B$427=1),$G$646,HLOOKUP(INDIRECT(ADDRESS(2,COLUMN())),OFFSET($AM$2,0,0,ROW()-1,33),ROW()-1,FALSE))</f>
        <v>1.7474529830000001</v>
      </c>
      <c r="H239">
        <f ca="1">IF(AND(ISNUMBER($H$646),$B$427=1),$H$646,HLOOKUP(INDIRECT(ADDRESS(2,COLUMN())),OFFSET($AM$2,0,0,ROW()-1,33),ROW()-1,FALSE))</f>
        <v>1.550687513</v>
      </c>
      <c r="I239">
        <f ca="1">IF(AND(ISNUMBER($I$646),$B$427=1),$I$646,HLOOKUP(INDIRECT(ADDRESS(2,COLUMN())),OFFSET($AM$2,0,0,ROW()-1,33),ROW()-1,FALSE))</f>
        <v>1.62293474</v>
      </c>
      <c r="J239">
        <f ca="1">IF(AND(ISNUMBER($J$646),$B$427=1),$J$646,HLOOKUP(INDIRECT(ADDRESS(2,COLUMN())),OFFSET($AM$2,0,0,ROW()-1,33),ROW()-1,FALSE))</f>
        <v>1.8009587250000001</v>
      </c>
      <c r="K239">
        <f ca="1">IF(AND(ISNUMBER($K$646),$B$427=1),$K$646,HLOOKUP(INDIRECT(ADDRESS(2,COLUMN())),OFFSET($AM$2,0,0,ROW()-1,33),ROW()-1,FALSE))</f>
        <v>2.017851437</v>
      </c>
      <c r="L239">
        <f ca="1">IF(AND(ISNUMBER($L$646),$B$427=1),$L$646,HLOOKUP(INDIRECT(ADDRESS(2,COLUMN())),OFFSET($AM$2,0,0,ROW()-1,33),ROW()-1,FALSE))</f>
        <v>2.0412626290000002</v>
      </c>
      <c r="M239">
        <f ca="1">IF(AND(ISNUMBER($M$646),$B$427=1),$M$646,HLOOKUP(INDIRECT(ADDRESS(2,COLUMN())),OFFSET($AM$2,0,0,ROW()-1,33),ROW()-1,FALSE))</f>
        <v>1.9926236429999999</v>
      </c>
      <c r="N239">
        <f ca="1">IF(AND(ISNUMBER($N$646),$B$427=1),$N$646,HLOOKUP(INDIRECT(ADDRESS(2,COLUMN())),OFFSET($AM$2,0,0,ROW()-1,33),ROW()-1,FALSE))</f>
        <v>1.950799677</v>
      </c>
      <c r="O239">
        <f ca="1">IF(AND(ISNUMBER($O$646),$B$427=1),$O$646,HLOOKUP(INDIRECT(ADDRESS(2,COLUMN())),OFFSET($AM$2,0,0,ROW()-1,33),ROW()-1,FALSE))</f>
        <v>1.327048088</v>
      </c>
      <c r="P239">
        <f ca="1">IF(AND(ISNUMBER($P$646),$B$427=1),$P$646,HLOOKUP(INDIRECT(ADDRESS(2,COLUMN())),OFFSET($AM$2,0,0,ROW()-1,33),ROW()-1,FALSE))</f>
        <v>1.40182871</v>
      </c>
      <c r="Q239">
        <f ca="1">IF(AND(ISNUMBER($Q$646),$B$427=1),$Q$646,HLOOKUP(INDIRECT(ADDRESS(2,COLUMN())),OFFSET($AM$2,0,0,ROW()-1,33),ROW()-1,FALSE))</f>
        <v>1.472759135</v>
      </c>
      <c r="R239">
        <f ca="1">IF(AND(ISNUMBER($R$646),$B$427=1),$R$646,HLOOKUP(INDIRECT(ADDRESS(2,COLUMN())),OFFSET($AM$2,0,0,ROW()-1,33),ROW()-1,FALSE))</f>
        <v>1.510997822</v>
      </c>
      <c r="S239">
        <f ca="1">IF(AND(ISNUMBER($S$646),$B$427=1),$S$646,HLOOKUP(INDIRECT(ADDRESS(2,COLUMN())),OFFSET($AM$2,0,0,ROW()-1,33),ROW()-1,FALSE))</f>
        <v>1.6223090689999999</v>
      </c>
      <c r="T239">
        <f ca="1">IF(AND(ISNUMBER($T$646),$B$427=1),$T$646,HLOOKUP(INDIRECT(ADDRESS(2,COLUMN())),OFFSET($AM$2,0,0,ROW()-1,33),ROW()-1,FALSE))</f>
        <v>1.6153922000000001</v>
      </c>
      <c r="U239">
        <f ca="1">IF(AND(ISNUMBER($U$646),$B$427=1),$U$646,HLOOKUP(INDIRECT(ADDRESS(2,COLUMN())),OFFSET($AM$2,0,0,ROW()-1,33),ROW()-1,FALSE))</f>
        <v>1.6922487639999999</v>
      </c>
      <c r="V239">
        <f ca="1">IF(AND(ISNUMBER($V$646),$B$427=1),$V$646,HLOOKUP(INDIRECT(ADDRESS(2,COLUMN())),OFFSET($AM$2,0,0,ROW()-1,33),ROW()-1,FALSE))</f>
        <v>1.7360596800000001</v>
      </c>
      <c r="W239">
        <f ca="1">IF(AND(ISNUMBER($W$646),$B$427=1),$W$646,HLOOKUP(INDIRECT(ADDRESS(2,COLUMN())),OFFSET($AM$2,0,0,ROW()-1,33),ROW()-1,FALSE))</f>
        <v>1.5269856909999999</v>
      </c>
      <c r="X239" t="str">
        <f ca="1">IF(AND(ISNUMBER($X$646),$B$427=1),$X$646,HLOOKUP(INDIRECT(ADDRESS(2,COLUMN())),OFFSET($AM$2,0,0,ROW()-1,33),ROW()-1,FALSE))</f>
        <v/>
      </c>
      <c r="Y239" t="str">
        <f ca="1">IF(AND(ISNUMBER($Y$646),$B$427=1),$Y$646,HLOOKUP(INDIRECT(ADDRESS(2,COLUMN())),OFFSET($AM$2,0,0,ROW()-1,33),ROW()-1,FALSE))</f>
        <v/>
      </c>
      <c r="Z239" t="str">
        <f ca="1">IF(AND(ISNUMBER($Z$646),$B$427=1),$Z$646,HLOOKUP(INDIRECT(ADDRESS(2,COLUMN())),OFFSET($AM$2,0,0,ROW()-1,33),ROW()-1,FALSE))</f>
        <v/>
      </c>
      <c r="AA239" t="str">
        <f ca="1">IF(AND(ISNUMBER($AA$646),$B$427=1),$AA$646,HLOOKUP(INDIRECT(ADDRESS(2,COLUMN())),OFFSET($AM$2,0,0,ROW()-1,33),ROW()-1,FALSE))</f>
        <v/>
      </c>
      <c r="AB239" t="str">
        <f ca="1">IF(AND(ISNUMBER($AB$646),$B$427=1),$AB$646,HLOOKUP(INDIRECT(ADDRESS(2,COLUMN())),OFFSET($AM$2,0,0,ROW()-1,33),ROW()-1,FALSE))</f>
        <v/>
      </c>
      <c r="AC239" t="str">
        <f ca="1">IF(AND(ISNUMBER($AC$646),$B$427=1),$AC$646,HLOOKUP(INDIRECT(ADDRESS(2,COLUMN())),OFFSET($AM$2,0,0,ROW()-1,33),ROW()-1,FALSE))</f>
        <v/>
      </c>
      <c r="AD239" t="str">
        <f ca="1">IF(AND(ISNUMBER($AD$646),$B$427=1),$AD$646,HLOOKUP(INDIRECT(ADDRESS(2,COLUMN())),OFFSET($AM$2,0,0,ROW()-1,33),ROW()-1,FALSE))</f>
        <v/>
      </c>
      <c r="AE239" t="str">
        <f ca="1">IF(AND(ISNUMBER($AE$646),$B$427=1),$AE$646,HLOOKUP(INDIRECT(ADDRESS(2,COLUMN())),OFFSET($AM$2,0,0,ROW()-1,33),ROW()-1,FALSE))</f>
        <v/>
      </c>
      <c r="AF239" t="str">
        <f ca="1">IF(AND(ISNUMBER($AF$646),$B$427=1),$AF$646,HLOOKUP(INDIRECT(ADDRESS(2,COLUMN())),OFFSET($AM$2,0,0,ROW()-1,33),ROW()-1,FALSE))</f>
        <v/>
      </c>
      <c r="AG239" t="str">
        <f ca="1">IF(AND(ISNUMBER($AG$646),$B$427=1),$AG$646,HLOOKUP(INDIRECT(ADDRESS(2,COLUMN())),OFFSET($AM$2,0,0,ROW()-1,33),ROW()-1,FALSE))</f>
        <v/>
      </c>
      <c r="AH239" t="str">
        <f ca="1">IF(AND(ISNUMBER($AH$646),$B$427=1),$AH$646,HLOOKUP(INDIRECT(ADDRESS(2,COLUMN())),OFFSET($AM$2,0,0,ROW()-1,33),ROW()-1,FALSE))</f>
        <v/>
      </c>
      <c r="AI239" t="str">
        <f ca="1">IF(AND(ISNUMBER($AI$646),$B$427=1),$AI$646,HLOOKUP(INDIRECT(ADDRESS(2,COLUMN())),OFFSET($AM$2,0,0,ROW()-1,33),ROW()-1,FALSE))</f>
        <v/>
      </c>
      <c r="AJ239" t="str">
        <f ca="1">IF(AND(ISNUMBER($AJ$646),$B$427=1),$AJ$646,HLOOKUP(INDIRECT(ADDRESS(2,COLUMN())),OFFSET($AM$2,0,0,ROW()-1,33),ROW()-1,FALSE))</f>
        <v/>
      </c>
      <c r="AK239" t="str">
        <f ca="1">IF(AND(ISNUMBER($AK$646),$B$427=1),$AK$646,HLOOKUP(INDIRECT(ADDRESS(2,COLUMN())),OFFSET($AM$2,0,0,ROW()-1,33),ROW()-1,FALSE))</f>
        <v/>
      </c>
      <c r="AL239" t="str">
        <f ca="1">IF(AND(ISNUMBER($AL$646),$B$427=1),$AL$646,HLOOKUP(INDIRECT(ADDRESS(2,COLUMN())),OFFSET($AM$2,0,0,ROW()-1,33),ROW()-1,FALSE))</f>
        <v/>
      </c>
      <c r="AM239">
        <f>1.792951417</f>
        <v>1.792951417</v>
      </c>
      <c r="AN239">
        <f>1.747452983</f>
        <v>1.7474529830000001</v>
      </c>
      <c r="AO239">
        <f>1.550687513</f>
        <v>1.550687513</v>
      </c>
      <c r="AP239">
        <f>1.62293474</f>
        <v>1.62293474</v>
      </c>
      <c r="AQ239">
        <f>1.800958725</f>
        <v>1.8009587250000001</v>
      </c>
      <c r="AR239">
        <f>2.017851437</f>
        <v>2.017851437</v>
      </c>
      <c r="AS239">
        <f>2.041262629</f>
        <v>2.0412626290000002</v>
      </c>
      <c r="AT239">
        <f>1.992623643</f>
        <v>1.9926236429999999</v>
      </c>
      <c r="AU239">
        <f>1.950799677</f>
        <v>1.950799677</v>
      </c>
      <c r="AV239">
        <f>1.327048088</f>
        <v>1.327048088</v>
      </c>
      <c r="AW239">
        <f>1.40182871</f>
        <v>1.40182871</v>
      </c>
      <c r="AX239">
        <f>1.472759135</f>
        <v>1.472759135</v>
      </c>
      <c r="AY239">
        <f>1.510997822</f>
        <v>1.510997822</v>
      </c>
      <c r="AZ239">
        <f>1.622309069</f>
        <v>1.6223090689999999</v>
      </c>
      <c r="BA239">
        <f>1.6153922</f>
        <v>1.6153922000000001</v>
      </c>
      <c r="BB239">
        <f>1.692248764</f>
        <v>1.6922487639999999</v>
      </c>
      <c r="BC239">
        <f>1.73605968</f>
        <v>1.7360596800000001</v>
      </c>
      <c r="BD239">
        <f>1.526985691</f>
        <v>1.5269856909999999</v>
      </c>
      <c r="BE239" t="str">
        <f>""</f>
        <v/>
      </c>
      <c r="BF239" t="str">
        <f>""</f>
        <v/>
      </c>
      <c r="BG239" t="str">
        <f>""</f>
        <v/>
      </c>
      <c r="BH239" t="str">
        <f>""</f>
        <v/>
      </c>
      <c r="BI239" t="str">
        <f>""</f>
        <v/>
      </c>
      <c r="BJ239" t="str">
        <f>""</f>
        <v/>
      </c>
      <c r="BK239" t="str">
        <f>""</f>
        <v/>
      </c>
      <c r="BL239" t="str">
        <f>""</f>
        <v/>
      </c>
      <c r="BM239" t="str">
        <f>""</f>
        <v/>
      </c>
      <c r="BN239" t="str">
        <f>""</f>
        <v/>
      </c>
      <c r="BO239" t="str">
        <f>""</f>
        <v/>
      </c>
      <c r="BP239" t="str">
        <f>""</f>
        <v/>
      </c>
      <c r="BQ239" t="str">
        <f>""</f>
        <v/>
      </c>
      <c r="BR239" t="str">
        <f>""</f>
        <v/>
      </c>
      <c r="BS239" t="str">
        <f>""</f>
        <v/>
      </c>
    </row>
    <row r="240" spans="1:71" x14ac:dyDescent="0.25">
      <c r="A240" t="str">
        <f>"    Western Alliance Bancorp"</f>
        <v xml:space="preserve">    Western Alliance Bancorp</v>
      </c>
      <c r="B240" t="str">
        <f>"WAL US Equity"</f>
        <v>WAL US Equity</v>
      </c>
      <c r="C240" t="str">
        <f t="shared" si="30"/>
        <v>F0116</v>
      </c>
      <c r="D240" t="str">
        <f t="shared" si="31"/>
        <v>FED_OTHER_LEASES_%_TOT_LNS_LEAS</v>
      </c>
      <c r="E240" t="str">
        <f t="shared" si="32"/>
        <v>Dynamic</v>
      </c>
      <c r="F240">
        <f ca="1">IF(AND(ISNUMBER($F$647),$B$427=1),$F$647,HLOOKUP(INDIRECT(ADDRESS(2,COLUMN())),OFFSET($AM$2,0,0,ROW()-1,33),ROW()-1,FALSE))</f>
        <v>0.17376271400000001</v>
      </c>
      <c r="G240">
        <f ca="1">IF(AND(ISNUMBER($G$647),$B$427=1),$G$647,HLOOKUP(INDIRECT(ADDRESS(2,COLUMN())),OFFSET($AM$2,0,0,ROW()-1,33),ROW()-1,FALSE))</f>
        <v>0.28223640900000002</v>
      </c>
      <c r="H240">
        <f ca="1">IF(AND(ISNUMBER($H$647),$B$427=1),$H$647,HLOOKUP(INDIRECT(ADDRESS(2,COLUMN())),OFFSET($AM$2,0,0,ROW()-1,33),ROW()-1,FALSE))</f>
        <v>0.40052947999999999</v>
      </c>
      <c r="I240">
        <f ca="1">IF(AND(ISNUMBER($I$647),$B$427=1),$I$647,HLOOKUP(INDIRECT(ADDRESS(2,COLUMN())),OFFSET($AM$2,0,0,ROW()-1,33),ROW()-1,FALSE))</f>
        <v>0.33279398399999999</v>
      </c>
      <c r="J240">
        <f ca="1">IF(AND(ISNUMBER($J$647),$B$427=1),$J$647,HLOOKUP(INDIRECT(ADDRESS(2,COLUMN())),OFFSET($AM$2,0,0,ROW()-1,33),ROW()-1,FALSE))</f>
        <v>0.608630801</v>
      </c>
      <c r="K240">
        <f ca="1">IF(AND(ISNUMBER($K$647),$B$427=1),$K$647,HLOOKUP(INDIRECT(ADDRESS(2,COLUMN())),OFFSET($AM$2,0,0,ROW()-1,33),ROW()-1,FALSE))</f>
        <v>0.660829636</v>
      </c>
      <c r="L240">
        <f ca="1">IF(AND(ISNUMBER($L$647),$B$427=1),$L$647,HLOOKUP(INDIRECT(ADDRESS(2,COLUMN())),OFFSET($AM$2,0,0,ROW()-1,33),ROW()-1,FALSE))</f>
        <v>0.40068029199999999</v>
      </c>
      <c r="M240">
        <f ca="1">IF(AND(ISNUMBER($M$647),$B$427=1),$M$647,HLOOKUP(INDIRECT(ADDRESS(2,COLUMN())),OFFSET($AM$2,0,0,ROW()-1,33),ROW()-1,FALSE))</f>
        <v>0.436367322</v>
      </c>
      <c r="N240">
        <f ca="1">IF(AND(ISNUMBER($N$647),$B$427=1),$N$647,HLOOKUP(INDIRECT(ADDRESS(2,COLUMN())),OFFSET($AM$2,0,0,ROW()-1,33),ROW()-1,FALSE))</f>
        <v>0.76288365999999996</v>
      </c>
      <c r="O240">
        <f ca="1">IF(AND(ISNUMBER($O$647),$B$427=1),$O$647,HLOOKUP(INDIRECT(ADDRESS(2,COLUMN())),OFFSET($AM$2,0,0,ROW()-1,33),ROW()-1,FALSE))</f>
        <v>1.3333706869999999</v>
      </c>
      <c r="P240">
        <f ca="1">IF(AND(ISNUMBER($P$647),$B$427=1),$P$647,HLOOKUP(INDIRECT(ADDRESS(2,COLUMN())),OFFSET($AM$2,0,0,ROW()-1,33),ROW()-1,FALSE))</f>
        <v>2.448589084</v>
      </c>
      <c r="Q240">
        <f ca="1">IF(AND(ISNUMBER($Q$647),$B$427=1),$Q$647,HLOOKUP(INDIRECT(ADDRESS(2,COLUMN())),OFFSET($AM$2,0,0,ROW()-1,33),ROW()-1,FALSE))</f>
        <v>3.4646588409999999</v>
      </c>
      <c r="R240">
        <f ca="1">IF(AND(ISNUMBER($R$647),$B$427=1),$R$647,HLOOKUP(INDIRECT(ADDRESS(2,COLUMN())),OFFSET($AM$2,0,0,ROW()-1,33),ROW()-1,FALSE))</f>
        <v>5.0521191649999997</v>
      </c>
      <c r="S240">
        <f ca="1">IF(AND(ISNUMBER($S$647),$B$427=1),$S$647,HLOOKUP(INDIRECT(ADDRESS(2,COLUMN())),OFFSET($AM$2,0,0,ROW()-1,33),ROW()-1,FALSE))</f>
        <v>4.5220148330000001</v>
      </c>
      <c r="T240">
        <f ca="1">IF(AND(ISNUMBER($T$647),$B$427=1),$T$647,HLOOKUP(INDIRECT(ADDRESS(2,COLUMN())),OFFSET($AM$2,0,0,ROW()-1,33),ROW()-1,FALSE))</f>
        <v>4.4734104920000002</v>
      </c>
      <c r="U240">
        <f ca="1">IF(AND(ISNUMBER($U$647),$B$427=1),$U$647,HLOOKUP(INDIRECT(ADDRESS(2,COLUMN())),OFFSET($AM$2,0,0,ROW()-1,33),ROW()-1,FALSE))</f>
        <v>2.6899765539999998</v>
      </c>
      <c r="V240">
        <f ca="1">IF(AND(ISNUMBER($V$647),$B$427=1),$V$647,HLOOKUP(INDIRECT(ADDRESS(2,COLUMN())),OFFSET($AM$2,0,0,ROW()-1,33),ROW()-1,FALSE))</f>
        <v>0.67940227200000003</v>
      </c>
      <c r="W240">
        <f ca="1">IF(AND(ISNUMBER($W$647),$B$427=1),$W$647,HLOOKUP(INDIRECT(ADDRESS(2,COLUMN())),OFFSET($AM$2,0,0,ROW()-1,33),ROW()-1,FALSE))</f>
        <v>0.73556568700000002</v>
      </c>
      <c r="X240" t="str">
        <f ca="1">IF(AND(ISNUMBER($X$647),$B$427=1),$X$647,HLOOKUP(INDIRECT(ADDRESS(2,COLUMN())),OFFSET($AM$2,0,0,ROW()-1,33),ROW()-1,FALSE))</f>
        <v/>
      </c>
      <c r="Y240" t="str">
        <f ca="1">IF(AND(ISNUMBER($Y$647),$B$427=1),$Y$647,HLOOKUP(INDIRECT(ADDRESS(2,COLUMN())),OFFSET($AM$2,0,0,ROW()-1,33),ROW()-1,FALSE))</f>
        <v/>
      </c>
      <c r="Z240" t="str">
        <f ca="1">IF(AND(ISNUMBER($Z$647),$B$427=1),$Z$647,HLOOKUP(INDIRECT(ADDRESS(2,COLUMN())),OFFSET($AM$2,0,0,ROW()-1,33),ROW()-1,FALSE))</f>
        <v/>
      </c>
      <c r="AA240" t="str">
        <f ca="1">IF(AND(ISNUMBER($AA$647),$B$427=1),$AA$647,HLOOKUP(INDIRECT(ADDRESS(2,COLUMN())),OFFSET($AM$2,0,0,ROW()-1,33),ROW()-1,FALSE))</f>
        <v/>
      </c>
      <c r="AB240" t="str">
        <f ca="1">IF(AND(ISNUMBER($AB$647),$B$427=1),$AB$647,HLOOKUP(INDIRECT(ADDRESS(2,COLUMN())),OFFSET($AM$2,0,0,ROW()-1,33),ROW()-1,FALSE))</f>
        <v/>
      </c>
      <c r="AC240" t="str">
        <f ca="1">IF(AND(ISNUMBER($AC$647),$B$427=1),$AC$647,HLOOKUP(INDIRECT(ADDRESS(2,COLUMN())),OFFSET($AM$2,0,0,ROW()-1,33),ROW()-1,FALSE))</f>
        <v/>
      </c>
      <c r="AD240" t="str">
        <f ca="1">IF(AND(ISNUMBER($AD$647),$B$427=1),$AD$647,HLOOKUP(INDIRECT(ADDRESS(2,COLUMN())),OFFSET($AM$2,0,0,ROW()-1,33),ROW()-1,FALSE))</f>
        <v/>
      </c>
      <c r="AE240" t="str">
        <f ca="1">IF(AND(ISNUMBER($AE$647),$B$427=1),$AE$647,HLOOKUP(INDIRECT(ADDRESS(2,COLUMN())),OFFSET($AM$2,0,0,ROW()-1,33),ROW()-1,FALSE))</f>
        <v/>
      </c>
      <c r="AF240" t="str">
        <f ca="1">IF(AND(ISNUMBER($AF$647),$B$427=1),$AF$647,HLOOKUP(INDIRECT(ADDRESS(2,COLUMN())),OFFSET($AM$2,0,0,ROW()-1,33),ROW()-1,FALSE))</f>
        <v/>
      </c>
      <c r="AG240" t="str">
        <f ca="1">IF(AND(ISNUMBER($AG$647),$B$427=1),$AG$647,HLOOKUP(INDIRECT(ADDRESS(2,COLUMN())),OFFSET($AM$2,0,0,ROW()-1,33),ROW()-1,FALSE))</f>
        <v/>
      </c>
      <c r="AH240" t="str">
        <f ca="1">IF(AND(ISNUMBER($AH$647),$B$427=1),$AH$647,HLOOKUP(INDIRECT(ADDRESS(2,COLUMN())),OFFSET($AM$2,0,0,ROW()-1,33),ROW()-1,FALSE))</f>
        <v/>
      </c>
      <c r="AI240" t="str">
        <f ca="1">IF(AND(ISNUMBER($AI$647),$B$427=1),$AI$647,HLOOKUP(INDIRECT(ADDRESS(2,COLUMN())),OFFSET($AM$2,0,0,ROW()-1,33),ROW()-1,FALSE))</f>
        <v/>
      </c>
      <c r="AJ240" t="str">
        <f ca="1">IF(AND(ISNUMBER($AJ$647),$B$427=1),$AJ$647,HLOOKUP(INDIRECT(ADDRESS(2,COLUMN())),OFFSET($AM$2,0,0,ROW()-1,33),ROW()-1,FALSE))</f>
        <v/>
      </c>
      <c r="AK240" t="str">
        <f ca="1">IF(AND(ISNUMBER($AK$647),$B$427=1),$AK$647,HLOOKUP(INDIRECT(ADDRESS(2,COLUMN())),OFFSET($AM$2,0,0,ROW()-1,33),ROW()-1,FALSE))</f>
        <v/>
      </c>
      <c r="AL240" t="str">
        <f ca="1">IF(AND(ISNUMBER($AL$647),$B$427=1),$AL$647,HLOOKUP(INDIRECT(ADDRESS(2,COLUMN())),OFFSET($AM$2,0,0,ROW()-1,33),ROW()-1,FALSE))</f>
        <v/>
      </c>
      <c r="AM240">
        <f>0.173762714</f>
        <v>0.17376271400000001</v>
      </c>
      <c r="AN240">
        <f>0.282236409</f>
        <v>0.28223640900000002</v>
      </c>
      <c r="AO240">
        <f>0.40052948</f>
        <v>0.40052947999999999</v>
      </c>
      <c r="AP240">
        <f>0.332793984</f>
        <v>0.33279398399999999</v>
      </c>
      <c r="AQ240">
        <f>0.608630801</f>
        <v>0.608630801</v>
      </c>
      <c r="AR240">
        <f>0.660829636</f>
        <v>0.660829636</v>
      </c>
      <c r="AS240">
        <f>0.400680292</f>
        <v>0.40068029199999999</v>
      </c>
      <c r="AT240">
        <f>0.436367322</f>
        <v>0.436367322</v>
      </c>
      <c r="AU240">
        <f>0.76288366</f>
        <v>0.76288365999999996</v>
      </c>
      <c r="AV240">
        <f>1.333370687</f>
        <v>1.3333706869999999</v>
      </c>
      <c r="AW240">
        <f>2.448589084</f>
        <v>2.448589084</v>
      </c>
      <c r="AX240">
        <f>3.464658841</f>
        <v>3.4646588409999999</v>
      </c>
      <c r="AY240">
        <f>5.052119165</f>
        <v>5.0521191649999997</v>
      </c>
      <c r="AZ240">
        <f>4.522014833</f>
        <v>4.5220148330000001</v>
      </c>
      <c r="BA240">
        <f>4.473410492</f>
        <v>4.4734104920000002</v>
      </c>
      <c r="BB240">
        <f>2.689976554</f>
        <v>2.6899765539999998</v>
      </c>
      <c r="BC240">
        <f>0.679402272</f>
        <v>0.67940227200000003</v>
      </c>
      <c r="BD240">
        <f>0.735565687</f>
        <v>0.73556568700000002</v>
      </c>
      <c r="BE240" t="str">
        <f>""</f>
        <v/>
      </c>
      <c r="BF240" t="str">
        <f>""</f>
        <v/>
      </c>
      <c r="BG240" t="str">
        <f>""</f>
        <v/>
      </c>
      <c r="BH240" t="str">
        <f>""</f>
        <v/>
      </c>
      <c r="BI240" t="str">
        <f>""</f>
        <v/>
      </c>
      <c r="BJ240" t="str">
        <f>""</f>
        <v/>
      </c>
      <c r="BK240" t="str">
        <f>""</f>
        <v/>
      </c>
      <c r="BL240" t="str">
        <f>""</f>
        <v/>
      </c>
      <c r="BM240" t="str">
        <f>""</f>
        <v/>
      </c>
      <c r="BN240" t="str">
        <f>""</f>
        <v/>
      </c>
      <c r="BO240" t="str">
        <f>""</f>
        <v/>
      </c>
      <c r="BP240" t="str">
        <f>""</f>
        <v/>
      </c>
      <c r="BQ240" t="str">
        <f>""</f>
        <v/>
      </c>
      <c r="BR240" t="str">
        <f>""</f>
        <v/>
      </c>
      <c r="BS240" t="str">
        <f>""</f>
        <v/>
      </c>
    </row>
    <row r="241" spans="1:71" x14ac:dyDescent="0.25">
      <c r="A241" t="str">
        <f>"    Zions Bancorp NA"</f>
        <v xml:space="preserve">    Zions Bancorp NA</v>
      </c>
      <c r="B241" t="str">
        <f>"ZION US Equity"</f>
        <v>ZION US Equity</v>
      </c>
      <c r="C241" t="str">
        <f t="shared" si="30"/>
        <v>F0116</v>
      </c>
      <c r="D241" t="str">
        <f t="shared" si="31"/>
        <v>FED_OTHER_LEASES_%_TOT_LNS_LEAS</v>
      </c>
      <c r="E241" t="str">
        <f t="shared" si="32"/>
        <v>Dynamic</v>
      </c>
      <c r="F241" t="str">
        <f ca="1">IF(AND(ISNUMBER($F$648),$B$427=1),$F$648,HLOOKUP(INDIRECT(ADDRESS(2,COLUMN())),OFFSET($AM$2,0,0,ROW()-1,33),ROW()-1,FALSE))</f>
        <v/>
      </c>
      <c r="G241" t="str">
        <f ca="1">IF(AND(ISNUMBER($G$648),$B$427=1),$G$648,HLOOKUP(INDIRECT(ADDRESS(2,COLUMN())),OFFSET($AM$2,0,0,ROW()-1,33),ROW()-1,FALSE))</f>
        <v/>
      </c>
      <c r="H241" t="str">
        <f ca="1">IF(AND(ISNUMBER($H$648),$B$427=1),$H$648,HLOOKUP(INDIRECT(ADDRESS(2,COLUMN())),OFFSET($AM$2,0,0,ROW()-1,33),ROW()-1,FALSE))</f>
        <v/>
      </c>
      <c r="I241" t="str">
        <f ca="1">IF(AND(ISNUMBER($I$648),$B$427=1),$I$648,HLOOKUP(INDIRECT(ADDRESS(2,COLUMN())),OFFSET($AM$2,0,0,ROW()-1,33),ROW()-1,FALSE))</f>
        <v/>
      </c>
      <c r="J241" t="str">
        <f ca="1">IF(AND(ISNUMBER($J$648),$B$427=1),$J$648,HLOOKUP(INDIRECT(ADDRESS(2,COLUMN())),OFFSET($AM$2,0,0,ROW()-1,33),ROW()-1,FALSE))</f>
        <v/>
      </c>
      <c r="K241" t="str">
        <f ca="1">IF(AND(ISNUMBER($K$648),$B$427=1),$K$648,HLOOKUP(INDIRECT(ADDRESS(2,COLUMN())),OFFSET($AM$2,0,0,ROW()-1,33),ROW()-1,FALSE))</f>
        <v/>
      </c>
      <c r="L241" t="str">
        <f ca="1">IF(AND(ISNUMBER($L$648),$B$427=1),$L$648,HLOOKUP(INDIRECT(ADDRESS(2,COLUMN())),OFFSET($AM$2,0,0,ROW()-1,33),ROW()-1,FALSE))</f>
        <v/>
      </c>
      <c r="M241" t="str">
        <f ca="1">IF(AND(ISNUMBER($M$648),$B$427=1),$M$648,HLOOKUP(INDIRECT(ADDRESS(2,COLUMN())),OFFSET($AM$2,0,0,ROW()-1,33),ROW()-1,FALSE))</f>
        <v/>
      </c>
      <c r="N241" t="str">
        <f ca="1">IF(AND(ISNUMBER($N$648),$B$427=1),$N$648,HLOOKUP(INDIRECT(ADDRESS(2,COLUMN())),OFFSET($AM$2,0,0,ROW()-1,33),ROW()-1,FALSE))</f>
        <v/>
      </c>
      <c r="O241" t="str">
        <f ca="1">IF(AND(ISNUMBER($O$648),$B$427=1),$O$648,HLOOKUP(INDIRECT(ADDRESS(2,COLUMN())),OFFSET($AM$2,0,0,ROW()-1,33),ROW()-1,FALSE))</f>
        <v/>
      </c>
      <c r="P241" t="str">
        <f ca="1">IF(AND(ISNUMBER($P$648),$B$427=1),$P$648,HLOOKUP(INDIRECT(ADDRESS(2,COLUMN())),OFFSET($AM$2,0,0,ROW()-1,33),ROW()-1,FALSE))</f>
        <v/>
      </c>
      <c r="Q241" t="str">
        <f ca="1">IF(AND(ISNUMBER($Q$648),$B$427=1),$Q$648,HLOOKUP(INDIRECT(ADDRESS(2,COLUMN())),OFFSET($AM$2,0,0,ROW()-1,33),ROW()-1,FALSE))</f>
        <v/>
      </c>
      <c r="R241" t="str">
        <f ca="1">IF(AND(ISNUMBER($R$648),$B$427=1),$R$648,HLOOKUP(INDIRECT(ADDRESS(2,COLUMN())),OFFSET($AM$2,0,0,ROW()-1,33),ROW()-1,FALSE))</f>
        <v/>
      </c>
      <c r="S241" t="str">
        <f ca="1">IF(AND(ISNUMBER($S$648),$B$427=1),$S$648,HLOOKUP(INDIRECT(ADDRESS(2,COLUMN())),OFFSET($AM$2,0,0,ROW()-1,33),ROW()-1,FALSE))</f>
        <v/>
      </c>
      <c r="T241" t="str">
        <f ca="1">IF(AND(ISNUMBER($T$648),$B$427=1),$T$648,HLOOKUP(INDIRECT(ADDRESS(2,COLUMN())),OFFSET($AM$2,0,0,ROW()-1,33),ROW()-1,FALSE))</f>
        <v/>
      </c>
      <c r="U241" t="str">
        <f ca="1">IF(AND(ISNUMBER($U$648),$B$427=1),$U$648,HLOOKUP(INDIRECT(ADDRESS(2,COLUMN())),OFFSET($AM$2,0,0,ROW()-1,33),ROW()-1,FALSE))</f>
        <v/>
      </c>
      <c r="V241" t="str">
        <f ca="1">IF(AND(ISNUMBER($V$648),$B$427=1),$V$648,HLOOKUP(INDIRECT(ADDRESS(2,COLUMN())),OFFSET($AM$2,0,0,ROW()-1,33),ROW()-1,FALSE))</f>
        <v/>
      </c>
      <c r="W241" t="str">
        <f ca="1">IF(AND(ISNUMBER($W$648),$B$427=1),$W$648,HLOOKUP(INDIRECT(ADDRESS(2,COLUMN())),OFFSET($AM$2,0,0,ROW()-1,33),ROW()-1,FALSE))</f>
        <v/>
      </c>
      <c r="X241" t="str">
        <f ca="1">IF(AND(ISNUMBER($X$648),$B$427=1),$X$648,HLOOKUP(INDIRECT(ADDRESS(2,COLUMN())),OFFSET($AM$2,0,0,ROW()-1,33),ROW()-1,FALSE))</f>
        <v/>
      </c>
      <c r="Y241" t="str">
        <f ca="1">IF(AND(ISNUMBER($Y$648),$B$427=1),$Y$648,HLOOKUP(INDIRECT(ADDRESS(2,COLUMN())),OFFSET($AM$2,0,0,ROW()-1,33),ROW()-1,FALSE))</f>
        <v/>
      </c>
      <c r="Z241" t="str">
        <f ca="1">IF(AND(ISNUMBER($Z$648),$B$427=1),$Z$648,HLOOKUP(INDIRECT(ADDRESS(2,COLUMN())),OFFSET($AM$2,0,0,ROW()-1,33),ROW()-1,FALSE))</f>
        <v/>
      </c>
      <c r="AA241" t="str">
        <f ca="1">IF(AND(ISNUMBER($AA$648),$B$427=1),$AA$648,HLOOKUP(INDIRECT(ADDRESS(2,COLUMN())),OFFSET($AM$2,0,0,ROW()-1,33),ROW()-1,FALSE))</f>
        <v/>
      </c>
      <c r="AB241" t="str">
        <f ca="1">IF(AND(ISNUMBER($AB$648),$B$427=1),$AB$648,HLOOKUP(INDIRECT(ADDRESS(2,COLUMN())),OFFSET($AM$2,0,0,ROW()-1,33),ROW()-1,FALSE))</f>
        <v/>
      </c>
      <c r="AC241" t="str">
        <f ca="1">IF(AND(ISNUMBER($AC$648),$B$427=1),$AC$648,HLOOKUP(INDIRECT(ADDRESS(2,COLUMN())),OFFSET($AM$2,0,0,ROW()-1,33),ROW()-1,FALSE))</f>
        <v/>
      </c>
      <c r="AD241" t="str">
        <f ca="1">IF(AND(ISNUMBER($AD$648),$B$427=1),$AD$648,HLOOKUP(INDIRECT(ADDRESS(2,COLUMN())),OFFSET($AM$2,0,0,ROW()-1,33),ROW()-1,FALSE))</f>
        <v/>
      </c>
      <c r="AE241" t="str">
        <f ca="1">IF(AND(ISNUMBER($AE$648),$B$427=1),$AE$648,HLOOKUP(INDIRECT(ADDRESS(2,COLUMN())),OFFSET($AM$2,0,0,ROW()-1,33),ROW()-1,FALSE))</f>
        <v/>
      </c>
      <c r="AF241" t="str">
        <f ca="1">IF(AND(ISNUMBER($AF$648),$B$427=1),$AF$648,HLOOKUP(INDIRECT(ADDRESS(2,COLUMN())),OFFSET($AM$2,0,0,ROW()-1,33),ROW()-1,FALSE))</f>
        <v/>
      </c>
      <c r="AG241" t="str">
        <f ca="1">IF(AND(ISNUMBER($AG$648),$B$427=1),$AG$648,HLOOKUP(INDIRECT(ADDRESS(2,COLUMN())),OFFSET($AM$2,0,0,ROW()-1,33),ROW()-1,FALSE))</f>
        <v/>
      </c>
      <c r="AH241" t="str">
        <f ca="1">IF(AND(ISNUMBER($AH$648),$B$427=1),$AH$648,HLOOKUP(INDIRECT(ADDRESS(2,COLUMN())),OFFSET($AM$2,0,0,ROW()-1,33),ROW()-1,FALSE))</f>
        <v/>
      </c>
      <c r="AI241" t="str">
        <f ca="1">IF(AND(ISNUMBER($AI$648),$B$427=1),$AI$648,HLOOKUP(INDIRECT(ADDRESS(2,COLUMN())),OFFSET($AM$2,0,0,ROW()-1,33),ROW()-1,FALSE))</f>
        <v/>
      </c>
      <c r="AJ241" t="str">
        <f ca="1">IF(AND(ISNUMBER($AJ$648),$B$427=1),$AJ$648,HLOOKUP(INDIRECT(ADDRESS(2,COLUMN())),OFFSET($AM$2,0,0,ROW()-1,33),ROW()-1,FALSE))</f>
        <v/>
      </c>
      <c r="AK241" t="str">
        <f ca="1">IF(AND(ISNUMBER($AK$648),$B$427=1),$AK$648,HLOOKUP(INDIRECT(ADDRESS(2,COLUMN())),OFFSET($AM$2,0,0,ROW()-1,33),ROW()-1,FALSE))</f>
        <v/>
      </c>
      <c r="AL241" t="str">
        <f ca="1">IF(AND(ISNUMBER($AL$648),$B$427=1),$AL$648,HLOOKUP(INDIRECT(ADDRESS(2,COLUMN())),OFFSET($AM$2,0,0,ROW()-1,33),ROW()-1,FALSE))</f>
        <v/>
      </c>
      <c r="AM241" t="str">
        <f>""</f>
        <v/>
      </c>
      <c r="AN241" t="str">
        <f>""</f>
        <v/>
      </c>
      <c r="AO241" t="str">
        <f>""</f>
        <v/>
      </c>
      <c r="AP241" t="str">
        <f>""</f>
        <v/>
      </c>
      <c r="AQ241" t="str">
        <f>""</f>
        <v/>
      </c>
      <c r="AR241" t="str">
        <f>""</f>
        <v/>
      </c>
      <c r="AS241" t="str">
        <f>""</f>
        <v/>
      </c>
      <c r="AT241" t="str">
        <f>""</f>
        <v/>
      </c>
      <c r="AU241" t="str">
        <f>""</f>
        <v/>
      </c>
      <c r="AV241" t="str">
        <f>""</f>
        <v/>
      </c>
      <c r="AW241" t="str">
        <f>""</f>
        <v/>
      </c>
      <c r="AX241" t="str">
        <f>""</f>
        <v/>
      </c>
      <c r="AY241" t="str">
        <f>""</f>
        <v/>
      </c>
      <c r="AZ241" t="str">
        <f>""</f>
        <v/>
      </c>
      <c r="BA241" t="str">
        <f>""</f>
        <v/>
      </c>
      <c r="BB241" t="str">
        <f>""</f>
        <v/>
      </c>
      <c r="BC241" t="str">
        <f>""</f>
        <v/>
      </c>
      <c r="BD241" t="str">
        <f>""</f>
        <v/>
      </c>
      <c r="BE241" t="str">
        <f>""</f>
        <v/>
      </c>
      <c r="BF241" t="str">
        <f>""</f>
        <v/>
      </c>
      <c r="BG241" t="str">
        <f>""</f>
        <v/>
      </c>
      <c r="BH241" t="str">
        <f>""</f>
        <v/>
      </c>
      <c r="BI241" t="str">
        <f>""</f>
        <v/>
      </c>
      <c r="BJ241" t="str">
        <f>""</f>
        <v/>
      </c>
      <c r="BK241" t="str">
        <f>""</f>
        <v/>
      </c>
      <c r="BL241" t="str">
        <f>""</f>
        <v/>
      </c>
      <c r="BM241" t="str">
        <f>""</f>
        <v/>
      </c>
      <c r="BN241" t="str">
        <f>""</f>
        <v/>
      </c>
      <c r="BO241" t="str">
        <f>""</f>
        <v/>
      </c>
      <c r="BP241" t="str">
        <f>""</f>
        <v/>
      </c>
      <c r="BQ241" t="str">
        <f>""</f>
        <v/>
      </c>
      <c r="BR241" t="str">
        <f>""</f>
        <v/>
      </c>
      <c r="BS241" t="str">
        <f>""</f>
        <v/>
      </c>
    </row>
    <row r="242" spans="1:71" x14ac:dyDescent="0.25">
      <c r="A242" t="str">
        <f>"Consumer loans &amp; leases"</f>
        <v>Consumer loans &amp; leases</v>
      </c>
      <c r="B242" t="str">
        <f>""</f>
        <v/>
      </c>
      <c r="E242" t="str">
        <f>"Expression"</f>
        <v>Expression</v>
      </c>
      <c r="F242">
        <f ca="1">IF(AND($B$427=1,LEN($F$243)&gt;0),$F$243,HLOOKUP(INDIRECT(ADDRESS(2,COLUMN())),OFFSET($AM$2,0,0,ROW()-1,33),ROW()-1,FALSE))</f>
        <v>15.528824</v>
      </c>
      <c r="G242">
        <f ca="1">IF(AND($B$427=1,LEN($G$243)&gt;0),$G$243,HLOOKUP(INDIRECT(ADDRESS(2,COLUMN())),OFFSET($AM$2,0,0,ROW()-1,33),ROW()-1,FALSE))</f>
        <v>12.732901999999999</v>
      </c>
      <c r="H242">
        <f ca="1">IF(AND($B$427=1,LEN($H$243)&gt;0),$H$243,HLOOKUP(INDIRECT(ADDRESS(2,COLUMN())),OFFSET($AM$2,0,0,ROW()-1,33),ROW()-1,FALSE))</f>
        <v>12.422661</v>
      </c>
      <c r="I242">
        <f ca="1">IF(AND($B$427=1,LEN($I$243)&gt;0),$I$243,HLOOKUP(INDIRECT(ADDRESS(2,COLUMN())),OFFSET($AM$2,0,0,ROW()-1,33),ROW()-1,FALSE))</f>
        <v>15.510507</v>
      </c>
      <c r="J242">
        <f ca="1">IF(AND($B$427=1,LEN($J$243)&gt;0),$J$243,HLOOKUP(INDIRECT(ADDRESS(2,COLUMN())),OFFSET($AM$2,0,0,ROW()-1,33),ROW()-1,FALSE))</f>
        <v>12.770244999999999</v>
      </c>
      <c r="K242">
        <f ca="1">IF(AND($B$427=1,LEN($K$243)&gt;0),$K$243,HLOOKUP(INDIRECT(ADDRESS(2,COLUMN())),OFFSET($AM$2,0,0,ROW()-1,33),ROW()-1,FALSE))</f>
        <v>12.992683</v>
      </c>
      <c r="L242">
        <f ca="1">IF(AND($B$427=1,LEN($L$243)&gt;0),$L$243,HLOOKUP(INDIRECT(ADDRESS(2,COLUMN())),OFFSET($AM$2,0,0,ROW()-1,33),ROW()-1,FALSE))</f>
        <v>12.433246</v>
      </c>
      <c r="M242">
        <f ca="1">IF(AND($B$427=1,LEN($M$243)&gt;0),$M$243,HLOOKUP(INDIRECT(ADDRESS(2,COLUMN())),OFFSET($AM$2,0,0,ROW()-1,33),ROW()-1,FALSE))</f>
        <v>12.52449</v>
      </c>
      <c r="N242">
        <f ca="1">IF(AND($B$427=1,LEN($N$243)&gt;0),$N$243,HLOOKUP(INDIRECT(ADDRESS(2,COLUMN())),OFFSET($AM$2,0,0,ROW()-1,33),ROW()-1,FALSE))</f>
        <v>13.30658</v>
      </c>
      <c r="O242">
        <f ca="1">IF(AND($B$427=1,LEN($O$243)&gt;0),$O$243,HLOOKUP(INDIRECT(ADDRESS(2,COLUMN())),OFFSET($AM$2,0,0,ROW()-1,33),ROW()-1,FALSE))</f>
        <v>13.760438000000001</v>
      </c>
      <c r="P242">
        <f ca="1">IF(AND($B$427=1,LEN($P$243)&gt;0),$P$243,HLOOKUP(INDIRECT(ADDRESS(2,COLUMN())),OFFSET($AM$2,0,0,ROW()-1,33),ROW()-1,FALSE))</f>
        <v>13.491292</v>
      </c>
      <c r="Q242">
        <f ca="1">IF(AND($B$427=1,LEN($Q$243)&gt;0),$Q$243,HLOOKUP(INDIRECT(ADDRESS(2,COLUMN())),OFFSET($AM$2,0,0,ROW()-1,33),ROW()-1,FALSE))</f>
        <v>13.741982</v>
      </c>
      <c r="R242">
        <f ca="1">IF(AND($B$427=1,LEN($R$243)&gt;0),$R$243,HLOOKUP(INDIRECT(ADDRESS(2,COLUMN())),OFFSET($AM$2,0,0,ROW()-1,33),ROW()-1,FALSE))</f>
        <v>13.105525999999999</v>
      </c>
      <c r="S242">
        <f ca="1">IF(AND($B$427=1,LEN($S$243)&gt;0),$S$243,HLOOKUP(INDIRECT(ADDRESS(2,COLUMN())),OFFSET($AM$2,0,0,ROW()-1,33),ROW()-1,FALSE))</f>
        <v>13.88062</v>
      </c>
      <c r="T242">
        <f ca="1">IF(AND($B$427=1,LEN($T$243)&gt;0),$T$243,HLOOKUP(INDIRECT(ADDRESS(2,COLUMN())),OFFSET($AM$2,0,0,ROW()-1,33),ROW()-1,FALSE))</f>
        <v>13.118575</v>
      </c>
      <c r="U242">
        <f ca="1">IF(AND($B$427=1,LEN($U$243)&gt;0),$U$243,HLOOKUP(INDIRECT(ADDRESS(2,COLUMN())),OFFSET($AM$2,0,0,ROW()-1,33),ROW()-1,FALSE))</f>
        <v>11.292909</v>
      </c>
      <c r="V242">
        <f ca="1">IF(AND($B$427=1,LEN($V$243)&gt;0),$V$243,HLOOKUP(INDIRECT(ADDRESS(2,COLUMN())),OFFSET($AM$2,0,0,ROW()-1,33),ROW()-1,FALSE))</f>
        <v>11.593709</v>
      </c>
      <c r="W242">
        <f ca="1">IF(AND($B$427=1,LEN($W$243)&gt;0),$W$243,HLOOKUP(INDIRECT(ADDRESS(2,COLUMN())),OFFSET($AM$2,0,0,ROW()-1,33),ROW()-1,FALSE))</f>
        <v>12.479386999999999</v>
      </c>
      <c r="X242">
        <f ca="1">IF(AND($B$427=1,LEN($X$243)&gt;0),$X$243,HLOOKUP(INDIRECT(ADDRESS(2,COLUMN())),OFFSET($AM$2,0,0,ROW()-1,33),ROW()-1,FALSE))</f>
        <v>11.470708</v>
      </c>
      <c r="Y242">
        <f ca="1">IF(AND($B$427=1,LEN($Y$243)&gt;0),$Y$243,HLOOKUP(INDIRECT(ADDRESS(2,COLUMN())),OFFSET($AM$2,0,0,ROW()-1,33),ROW()-1,FALSE))</f>
        <v>12.487231</v>
      </c>
      <c r="Z242">
        <f ca="1">IF(AND($B$427=1,LEN($Z$243)&gt;0),$Z$243,HLOOKUP(INDIRECT(ADDRESS(2,COLUMN())),OFFSET($AM$2,0,0,ROW()-1,33),ROW()-1,FALSE))</f>
        <v>14.878377</v>
      </c>
      <c r="AA242">
        <f ca="1">IF(AND($B$427=1,LEN($AA$243)&gt;0),$AA$243,HLOOKUP(INDIRECT(ADDRESS(2,COLUMN())),OFFSET($AM$2,0,0,ROW()-1,33),ROW()-1,FALSE))</f>
        <v>15.704399</v>
      </c>
      <c r="AB242">
        <f ca="1">IF(AND($B$427=1,LEN($AB$243)&gt;0),$AB$243,HLOOKUP(INDIRECT(ADDRESS(2,COLUMN())),OFFSET($AM$2,0,0,ROW()-1,33),ROW()-1,FALSE))</f>
        <v>15.143427000000001</v>
      </c>
      <c r="AC242">
        <f ca="1">IF(AND($B$427=1,LEN($AC$243)&gt;0),$AC$243,HLOOKUP(INDIRECT(ADDRESS(2,COLUMN())),OFFSET($AM$2,0,0,ROW()-1,33),ROW()-1,FALSE))</f>
        <v>14.221251000000001</v>
      </c>
      <c r="AD242" t="str">
        <f ca="1">IF(AND($B$427=1,LEN($AD$243)&gt;0),$AD$243,HLOOKUP(INDIRECT(ADDRESS(2,COLUMN())),OFFSET($AM$2,0,0,ROW()-1,33),ROW()-1,FALSE))</f>
        <v/>
      </c>
      <c r="AE242" t="str">
        <f ca="1">IF(AND($B$427=1,LEN($AE$243)&gt;0),$AE$243,HLOOKUP(INDIRECT(ADDRESS(2,COLUMN())),OFFSET($AM$2,0,0,ROW()-1,33),ROW()-1,FALSE))</f>
        <v/>
      </c>
      <c r="AF242" t="str">
        <f ca="1">IF(AND($B$427=1,LEN($AF$243)&gt;0),$AF$243,HLOOKUP(INDIRECT(ADDRESS(2,COLUMN())),OFFSET($AM$2,0,0,ROW()-1,33),ROW()-1,FALSE))</f>
        <v/>
      </c>
      <c r="AG242" t="str">
        <f ca="1">IF(AND($B$427=1,LEN($AG$243)&gt;0),$AG$243,HLOOKUP(INDIRECT(ADDRESS(2,COLUMN())),OFFSET($AM$2,0,0,ROW()-1,33),ROW()-1,FALSE))</f>
        <v/>
      </c>
      <c r="AH242" t="str">
        <f ca="1">IF(AND($B$427=1,LEN($AH$243)&gt;0),$AH$243,HLOOKUP(INDIRECT(ADDRESS(2,COLUMN())),OFFSET($AM$2,0,0,ROW()-1,33),ROW()-1,FALSE))</f>
        <v/>
      </c>
      <c r="AI242" t="str">
        <f ca="1">IF(AND($B$427=1,LEN($AI$243)&gt;0),$AI$243,HLOOKUP(INDIRECT(ADDRESS(2,COLUMN())),OFFSET($AM$2,0,0,ROW()-1,33),ROW()-1,FALSE))</f>
        <v/>
      </c>
      <c r="AJ242" t="str">
        <f ca="1">IF(AND($B$427=1,LEN($AJ$243)&gt;0),$AJ$243,HLOOKUP(INDIRECT(ADDRESS(2,COLUMN())),OFFSET($AM$2,0,0,ROW()-1,33),ROW()-1,FALSE))</f>
        <v/>
      </c>
      <c r="AK242" t="str">
        <f ca="1">IF(AND($B$427=1,LEN($AK$243)&gt;0),$AK$243,HLOOKUP(INDIRECT(ADDRESS(2,COLUMN())),OFFSET($AM$2,0,0,ROW()-1,33),ROW()-1,FALSE))</f>
        <v/>
      </c>
      <c r="AL242" t="str">
        <f ca="1">IF(AND($B$427=1,LEN($AL$243)&gt;0),$AL$243,HLOOKUP(INDIRECT(ADDRESS(2,COLUMN())),OFFSET($AM$2,0,0,ROW()-1,33),ROW()-1,FALSE))</f>
        <v/>
      </c>
      <c r="AM242">
        <f>15.528824</f>
        <v>15.528824</v>
      </c>
      <c r="AN242">
        <f>12.732902</f>
        <v>12.732901999999999</v>
      </c>
      <c r="AO242">
        <f>12.422661</f>
        <v>12.422661</v>
      </c>
      <c r="AP242">
        <f>15.510507</f>
        <v>15.510507</v>
      </c>
      <c r="AQ242">
        <f>12.770245</f>
        <v>12.770244999999999</v>
      </c>
      <c r="AR242">
        <f>12.992683</f>
        <v>12.992683</v>
      </c>
      <c r="AS242">
        <f>12.433246</f>
        <v>12.433246</v>
      </c>
      <c r="AT242">
        <f>12.52449</f>
        <v>12.52449</v>
      </c>
      <c r="AU242">
        <f>13.30658</f>
        <v>13.30658</v>
      </c>
      <c r="AV242">
        <f>13.760438</f>
        <v>13.760438000000001</v>
      </c>
      <c r="AW242">
        <f>13.491292</f>
        <v>13.491292</v>
      </c>
      <c r="AX242">
        <f>13.741982</f>
        <v>13.741982</v>
      </c>
      <c r="AY242">
        <f>13.105526</f>
        <v>13.105525999999999</v>
      </c>
      <c r="AZ242">
        <f>13.88062</f>
        <v>13.88062</v>
      </c>
      <c r="BA242">
        <f>13.118575</f>
        <v>13.118575</v>
      </c>
      <c r="BB242">
        <f>11.292909</f>
        <v>11.292909</v>
      </c>
      <c r="BC242">
        <f>11.593709</f>
        <v>11.593709</v>
      </c>
      <c r="BD242">
        <f>12.479387</f>
        <v>12.479386999999999</v>
      </c>
      <c r="BE242">
        <f>11.470708</f>
        <v>11.470708</v>
      </c>
      <c r="BF242">
        <f>12.487231</f>
        <v>12.487231</v>
      </c>
      <c r="BG242">
        <f>14.878377</f>
        <v>14.878377</v>
      </c>
      <c r="BH242">
        <f>15.704399</f>
        <v>15.704399</v>
      </c>
      <c r="BI242">
        <f>15.143427</f>
        <v>15.143427000000001</v>
      </c>
      <c r="BJ242">
        <f>14.221251</f>
        <v>14.221251000000001</v>
      </c>
      <c r="BK242" t="str">
        <f>""</f>
        <v/>
      </c>
      <c r="BL242" t="str">
        <f>""</f>
        <v/>
      </c>
      <c r="BM242" t="str">
        <f>""</f>
        <v/>
      </c>
      <c r="BN242" t="str">
        <f>""</f>
        <v/>
      </c>
      <c r="BO242" t="str">
        <f>""</f>
        <v/>
      </c>
      <c r="BP242" t="str">
        <f>""</f>
        <v/>
      </c>
      <c r="BQ242" t="str">
        <f>""</f>
        <v/>
      </c>
      <c r="BR242" t="str">
        <f>""</f>
        <v/>
      </c>
      <c r="BS242" t="str">
        <f>""</f>
        <v/>
      </c>
    </row>
    <row r="243" spans="1:71" x14ac:dyDescent="0.25">
      <c r="A243" t="str">
        <f>"    Consumer Loans by Company"</f>
        <v xml:space="preserve">    Consumer Loans by Company</v>
      </c>
      <c r="B243" t="str">
        <f>""</f>
        <v/>
      </c>
      <c r="E243" t="str">
        <f>"Median"</f>
        <v>Median</v>
      </c>
      <c r="F243">
        <f ca="1">IF(ISERROR(IF(MEDIAN($F$244:$F$263) = 0, "", MEDIAN($F$244:$F$263))), "", (IF(MEDIAN($F$244:$F$263) = 0, "", MEDIAN($F$244:$F$263))))</f>
        <v>15.52882415</v>
      </c>
      <c r="G243">
        <f ca="1">IF(ISERROR(IF(MEDIAN($G$244:$G$263) = 0, "", MEDIAN($G$244:$G$263))), "", (IF(MEDIAN($G$244:$G$263) = 0, "", MEDIAN($G$244:$G$263))))</f>
        <v>12.7329024</v>
      </c>
      <c r="H243">
        <f ca="1">IF(ISERROR(IF(MEDIAN($H$244:$H$263) = 0, "", MEDIAN($H$244:$H$263))), "", (IF(MEDIAN($H$244:$H$263) = 0, "", MEDIAN($H$244:$H$263))))</f>
        <v>12.422660629999999</v>
      </c>
      <c r="I243">
        <f ca="1">IF(ISERROR(IF(MEDIAN($I$244:$I$263) = 0, "", MEDIAN($I$244:$I$263))), "", (IF(MEDIAN($I$244:$I$263) = 0, "", MEDIAN($I$244:$I$263))))</f>
        <v>15.510506599999999</v>
      </c>
      <c r="J243">
        <f ca="1">IF(ISERROR(IF(MEDIAN($J$244:$J$263) = 0, "", MEDIAN($J$244:$J$263))), "", (IF(MEDIAN($J$244:$J$263) = 0, "", MEDIAN($J$244:$J$263))))</f>
        <v>12.77024538</v>
      </c>
      <c r="K243">
        <f ca="1">IF(ISERROR(IF(MEDIAN($K$244:$K$263) = 0, "", MEDIAN($K$244:$K$263))), "", (IF(MEDIAN($K$244:$K$263) = 0, "", MEDIAN($K$244:$K$263))))</f>
        <v>12.992682650000001</v>
      </c>
      <c r="L243">
        <f ca="1">IF(ISERROR(IF(MEDIAN($L$244:$L$263) = 0, "", MEDIAN($L$244:$L$263))), "", (IF(MEDIAN($L$244:$L$263) = 0, "", MEDIAN($L$244:$L$263))))</f>
        <v>12.433245660000001</v>
      </c>
      <c r="M243">
        <f ca="1">IF(ISERROR(IF(MEDIAN($M$244:$M$263) = 0, "", MEDIAN($M$244:$M$263))), "", (IF(MEDIAN($M$244:$M$263) = 0, "", MEDIAN($M$244:$M$263))))</f>
        <v>12.524490200000001</v>
      </c>
      <c r="N243">
        <f ca="1">IF(ISERROR(IF(MEDIAN($N$244:$N$263) = 0, "", MEDIAN($N$244:$N$263))), "", (IF(MEDIAN($N$244:$N$263) = 0, "", MEDIAN($N$244:$N$263))))</f>
        <v>13.306579660000001</v>
      </c>
      <c r="O243">
        <f ca="1">IF(ISERROR(IF(MEDIAN($O$244:$O$263) = 0, "", MEDIAN($O$244:$O$263))), "", (IF(MEDIAN($O$244:$O$263) = 0, "", MEDIAN($O$244:$O$263))))</f>
        <v>13.760438150000001</v>
      </c>
      <c r="P243">
        <f ca="1">IF(ISERROR(IF(MEDIAN($P$244:$P$263) = 0, "", MEDIAN($P$244:$P$263))), "", (IF(MEDIAN($P$244:$P$263) = 0, "", MEDIAN($P$244:$P$263))))</f>
        <v>13.49129153</v>
      </c>
      <c r="Q243">
        <f ca="1">IF(ISERROR(IF(MEDIAN($Q$244:$Q$263) = 0, "", MEDIAN($Q$244:$Q$263))), "", (IF(MEDIAN($Q$244:$Q$263) = 0, "", MEDIAN($Q$244:$Q$263))))</f>
        <v>13.741982030000001</v>
      </c>
      <c r="R243">
        <f ca="1">IF(ISERROR(IF(MEDIAN($R$244:$R$263) = 0, "", MEDIAN($R$244:$R$263))), "", (IF(MEDIAN($R$244:$R$263) = 0, "", MEDIAN($R$244:$R$263))))</f>
        <v>13.10552577</v>
      </c>
      <c r="S243">
        <f ca="1">IF(ISERROR(IF(MEDIAN($S$244:$S$263) = 0, "", MEDIAN($S$244:$S$263))), "", (IF(MEDIAN($S$244:$S$263) = 0, "", MEDIAN($S$244:$S$263))))</f>
        <v>13.88061967</v>
      </c>
      <c r="T243">
        <f ca="1">IF(ISERROR(IF(MEDIAN($T$244:$T$263) = 0, "", MEDIAN($T$244:$T$263))), "", (IF(MEDIAN($T$244:$T$263) = 0, "", MEDIAN($T$244:$T$263))))</f>
        <v>13.11857466</v>
      </c>
      <c r="U243">
        <f ca="1">IF(ISERROR(IF(MEDIAN($U$244:$U$263) = 0, "", MEDIAN($U$244:$U$263))), "", (IF(MEDIAN($U$244:$U$263) = 0, "", MEDIAN($U$244:$U$263))))</f>
        <v>11.29290857</v>
      </c>
      <c r="V243">
        <f ca="1">IF(ISERROR(IF(MEDIAN($V$244:$V$263) = 0, "", MEDIAN($V$244:$V$263))), "", (IF(MEDIAN($V$244:$V$263) = 0, "", MEDIAN($V$244:$V$263))))</f>
        <v>11.593708810000001</v>
      </c>
      <c r="W243">
        <f ca="1">IF(ISERROR(IF(MEDIAN($W$244:$W$263) = 0, "", MEDIAN($W$244:$W$263))), "", (IF(MEDIAN($W$244:$W$263) = 0, "", MEDIAN($W$244:$W$263))))</f>
        <v>12.4793869</v>
      </c>
      <c r="X243">
        <f ca="1">IF(ISERROR(IF(MEDIAN($X$244:$X$263) = 0, "", MEDIAN($X$244:$X$263))), "", (IF(MEDIAN($X$244:$X$263) = 0, "", MEDIAN($X$244:$X$263))))</f>
        <v>11.470708399999999</v>
      </c>
      <c r="Y243">
        <f ca="1">IF(ISERROR(IF(MEDIAN($Y$244:$Y$263) = 0, "", MEDIAN($Y$244:$Y$263))), "", (IF(MEDIAN($Y$244:$Y$263) = 0, "", MEDIAN($Y$244:$Y$263))))</f>
        <v>12.48723148</v>
      </c>
      <c r="Z243">
        <f ca="1">IF(ISERROR(IF(MEDIAN($Z$244:$Z$263) = 0, "", MEDIAN($Z$244:$Z$263))), "", (IF(MEDIAN($Z$244:$Z$263) = 0, "", MEDIAN($Z$244:$Z$263))))</f>
        <v>14.87837656</v>
      </c>
      <c r="AA243">
        <f ca="1">IF(ISERROR(IF(MEDIAN($AA$244:$AA$263) = 0, "", MEDIAN($AA$244:$AA$263))), "", (IF(MEDIAN($AA$244:$AA$263) = 0, "", MEDIAN($AA$244:$AA$263))))</f>
        <v>15.704399130000001</v>
      </c>
      <c r="AB243">
        <f ca="1">IF(ISERROR(IF(MEDIAN($AB$244:$AB$263) = 0, "", MEDIAN($AB$244:$AB$263))), "", (IF(MEDIAN($AB$244:$AB$263) = 0, "", MEDIAN($AB$244:$AB$263))))</f>
        <v>15.14342746</v>
      </c>
      <c r="AC243">
        <f ca="1">IF(ISERROR(IF(MEDIAN($AC$244:$AC$263) = 0, "", MEDIAN($AC$244:$AC$263))), "", (IF(MEDIAN($AC$244:$AC$263) = 0, "", MEDIAN($AC$244:$AC$263))))</f>
        <v>14.221250830000001</v>
      </c>
      <c r="AD243" t="str">
        <f ca="1">IF(ISERROR(IF(MEDIAN($AD$244:$AD$263) = 0, "", MEDIAN($AD$244:$AD$263))), "", (IF(MEDIAN($AD$244:$AD$263) = 0, "", MEDIAN($AD$244:$AD$263))))</f>
        <v/>
      </c>
      <c r="AE243" t="str">
        <f ca="1">IF(ISERROR(IF(MEDIAN($AE$244:$AE$263) = 0, "", MEDIAN($AE$244:$AE$263))), "", (IF(MEDIAN($AE$244:$AE$263) = 0, "", MEDIAN($AE$244:$AE$263))))</f>
        <v/>
      </c>
      <c r="AF243" t="str">
        <f ca="1">IF(ISERROR(IF(MEDIAN($AF$244:$AF$263) = 0, "", MEDIAN($AF$244:$AF$263))), "", (IF(MEDIAN($AF$244:$AF$263) = 0, "", MEDIAN($AF$244:$AF$263))))</f>
        <v/>
      </c>
      <c r="AG243" t="str">
        <f ca="1">IF(ISERROR(IF(MEDIAN($AG$244:$AG$263) = 0, "", MEDIAN($AG$244:$AG$263))), "", (IF(MEDIAN($AG$244:$AG$263) = 0, "", MEDIAN($AG$244:$AG$263))))</f>
        <v/>
      </c>
      <c r="AH243" t="str">
        <f ca="1">IF(ISERROR(IF(MEDIAN($AH$244:$AH$263) = 0, "", MEDIAN($AH$244:$AH$263))), "", (IF(MEDIAN($AH$244:$AH$263) = 0, "", MEDIAN($AH$244:$AH$263))))</f>
        <v/>
      </c>
      <c r="AI243" t="str">
        <f ca="1">IF(ISERROR(IF(MEDIAN($AI$244:$AI$263) = 0, "", MEDIAN($AI$244:$AI$263))), "", (IF(MEDIAN($AI$244:$AI$263) = 0, "", MEDIAN($AI$244:$AI$263))))</f>
        <v/>
      </c>
      <c r="AJ243" t="str">
        <f ca="1">IF(ISERROR(IF(MEDIAN($AJ$244:$AJ$263) = 0, "", MEDIAN($AJ$244:$AJ$263))), "", (IF(MEDIAN($AJ$244:$AJ$263) = 0, "", MEDIAN($AJ$244:$AJ$263))))</f>
        <v/>
      </c>
      <c r="AK243" t="str">
        <f ca="1">IF(ISERROR(IF(MEDIAN($AK$244:$AK$263) = 0, "", MEDIAN($AK$244:$AK$263))), "", (IF(MEDIAN($AK$244:$AK$263) = 0, "", MEDIAN($AK$244:$AK$263))))</f>
        <v/>
      </c>
      <c r="AL243" t="str">
        <f ca="1">IF(ISERROR(IF(MEDIAN($AL$244:$AL$263) = 0, "", MEDIAN($AL$244:$AL$263))), "", (IF(MEDIAN($AL$244:$AL$263) = 0, "", MEDIAN($AL$244:$AL$263))))</f>
        <v/>
      </c>
      <c r="AM243">
        <f>15.52882415</f>
        <v>15.52882415</v>
      </c>
      <c r="AN243">
        <f>12.7329024</f>
        <v>12.7329024</v>
      </c>
      <c r="AO243">
        <f>12.42266063</f>
        <v>12.422660629999999</v>
      </c>
      <c r="AP243">
        <f>15.5105066</f>
        <v>15.510506599999999</v>
      </c>
      <c r="AQ243">
        <f>12.77024538</f>
        <v>12.77024538</v>
      </c>
      <c r="AR243">
        <f>12.99268265</f>
        <v>12.992682650000001</v>
      </c>
      <c r="AS243">
        <f>12.43324566</f>
        <v>12.433245660000001</v>
      </c>
      <c r="AT243">
        <f>12.5244902</f>
        <v>12.524490200000001</v>
      </c>
      <c r="AU243">
        <f>13.30657966</f>
        <v>13.306579660000001</v>
      </c>
      <c r="AV243">
        <f>13.76043815</f>
        <v>13.760438150000001</v>
      </c>
      <c r="AW243">
        <f>13.49129153</f>
        <v>13.49129153</v>
      </c>
      <c r="AX243">
        <f>13.74198203</f>
        <v>13.741982030000001</v>
      </c>
      <c r="AY243">
        <f>13.10552577</f>
        <v>13.10552577</v>
      </c>
      <c r="AZ243">
        <f>13.88061967</f>
        <v>13.88061967</v>
      </c>
      <c r="BA243">
        <f>13.11857466</f>
        <v>13.11857466</v>
      </c>
      <c r="BB243">
        <f>11.29290857</f>
        <v>11.29290857</v>
      </c>
      <c r="BC243">
        <f>11.59370881</f>
        <v>11.593708810000001</v>
      </c>
      <c r="BD243">
        <f>12.4793869</f>
        <v>12.4793869</v>
      </c>
      <c r="BE243">
        <f>11.4707084</f>
        <v>11.470708399999999</v>
      </c>
      <c r="BF243">
        <f>12.48723148</f>
        <v>12.48723148</v>
      </c>
      <c r="BG243">
        <f>14.87837656</f>
        <v>14.87837656</v>
      </c>
      <c r="BH243">
        <f>15.70439913</f>
        <v>15.704399130000001</v>
      </c>
      <c r="BI243">
        <f>15.14342746</f>
        <v>15.14342746</v>
      </c>
      <c r="BJ243">
        <f>14.22125083</f>
        <v>14.221250830000001</v>
      </c>
      <c r="BK243" t="str">
        <f>""</f>
        <v/>
      </c>
      <c r="BL243" t="str">
        <f>""</f>
        <v/>
      </c>
      <c r="BM243" t="str">
        <f>""</f>
        <v/>
      </c>
      <c r="BN243" t="str">
        <f>""</f>
        <v/>
      </c>
      <c r="BO243" t="str">
        <f>""</f>
        <v/>
      </c>
      <c r="BP243" t="str">
        <f>""</f>
        <v/>
      </c>
      <c r="BQ243" t="str">
        <f>""</f>
        <v/>
      </c>
      <c r="BR243" t="str">
        <f>""</f>
        <v/>
      </c>
      <c r="BS243" t="str">
        <f>""</f>
        <v/>
      </c>
    </row>
    <row r="244" spans="1:71" x14ac:dyDescent="0.25">
      <c r="A244" t="str">
        <f>"        Bank of America Corp"</f>
        <v xml:space="preserve">        Bank of America Corp</v>
      </c>
      <c r="B244" t="str">
        <f>"BAC US Equity"</f>
        <v>BAC US Equity</v>
      </c>
      <c r="C244" t="str">
        <f t="shared" ref="C244:C263" si="33">"F0121"</f>
        <v>F0121</v>
      </c>
      <c r="D244" t="str">
        <f t="shared" ref="D244:D263" si="34">"FED_CNSMR_LNS_LEAS_%_TOT_LNS_LS"</f>
        <v>FED_CNSMR_LNS_LEAS_%_TOT_LNS_LS</v>
      </c>
      <c r="E244" t="str">
        <f t="shared" ref="E244:E263" si="35">"Dynamic"</f>
        <v>Dynamic</v>
      </c>
      <c r="F244">
        <f ca="1">IF(AND(ISNUMBER($F$649),$B$427=1),$F$649,HLOOKUP(INDIRECT(ADDRESS(2,COLUMN())),OFFSET($AM$2,0,0,ROW()-1,33),ROW()-1,FALSE))</f>
        <v>16.976942650000002</v>
      </c>
      <c r="G244">
        <f ca="1">IF(AND(ISNUMBER($G$649),$B$427=1),$G$649,HLOOKUP(INDIRECT(ADDRESS(2,COLUMN())),OFFSET($AM$2,0,0,ROW()-1,33),ROW()-1,FALSE))</f>
        <v>17.450996960000001</v>
      </c>
      <c r="H244">
        <f ca="1">IF(AND(ISNUMBER($H$649),$B$427=1),$H$649,HLOOKUP(INDIRECT(ADDRESS(2,COLUMN())),OFFSET($AM$2,0,0,ROW()-1,33),ROW()-1,FALSE))</f>
        <v>17.140377659999999</v>
      </c>
      <c r="I244">
        <f ca="1">IF(AND(ISNUMBER($I$649),$B$427=1),$I$649,HLOOKUP(INDIRECT(ADDRESS(2,COLUMN())),OFFSET($AM$2,0,0,ROW()-1,33),ROW()-1,FALSE))</f>
        <v>16.379248140000001</v>
      </c>
      <c r="J244">
        <f ca="1">IF(AND(ISNUMBER($J$649),$B$427=1),$J$649,HLOOKUP(INDIRECT(ADDRESS(2,COLUMN())),OFFSET($AM$2,0,0,ROW()-1,33),ROW()-1,FALSE))</f>
        <v>16.042352139999998</v>
      </c>
      <c r="K244">
        <f ca="1">IF(AND(ISNUMBER($K$649),$B$427=1),$K$649,HLOOKUP(INDIRECT(ADDRESS(2,COLUMN())),OFFSET($AM$2,0,0,ROW()-1,33),ROW()-1,FALSE))</f>
        <v>17.032878889999999</v>
      </c>
      <c r="L244">
        <f ca="1">IF(AND(ISNUMBER($L$649),$B$427=1),$L$649,HLOOKUP(INDIRECT(ADDRESS(2,COLUMN())),OFFSET($AM$2,0,0,ROW()-1,33),ROW()-1,FALSE))</f>
        <v>17.930292340000001</v>
      </c>
      <c r="M244">
        <f ca="1">IF(AND(ISNUMBER($M$649),$B$427=1),$M$649,HLOOKUP(INDIRECT(ADDRESS(2,COLUMN())),OFFSET($AM$2,0,0,ROW()-1,33),ROW()-1,FALSE))</f>
        <v>17.89595709</v>
      </c>
      <c r="N244">
        <f ca="1">IF(AND(ISNUMBER($N$649),$B$427=1),$N$649,HLOOKUP(INDIRECT(ADDRESS(2,COLUMN())),OFFSET($AM$2,0,0,ROW()-1,33),ROW()-1,FALSE))</f>
        <v>18.368685280000001</v>
      </c>
      <c r="O244">
        <f ca="1">IF(AND(ISNUMBER($O$649),$B$427=1),$O$649,HLOOKUP(INDIRECT(ADDRESS(2,COLUMN())),OFFSET($AM$2,0,0,ROW()-1,33),ROW()-1,FALSE))</f>
        <v>19.084973219999998</v>
      </c>
      <c r="P244">
        <f ca="1">IF(AND(ISNUMBER($P$649),$B$427=1),$P$649,HLOOKUP(INDIRECT(ADDRESS(2,COLUMN())),OFFSET($AM$2,0,0,ROW()-1,33),ROW()-1,FALSE))</f>
        <v>19.784836519999999</v>
      </c>
      <c r="Q244">
        <f ca="1">IF(AND(ISNUMBER($Q$649),$B$427=1),$Q$649,HLOOKUP(INDIRECT(ADDRESS(2,COLUMN())),OFFSET($AM$2,0,0,ROW()-1,33),ROW()-1,FALSE))</f>
        <v>18.907117020000001</v>
      </c>
      <c r="R244">
        <f ca="1">IF(AND(ISNUMBER($R$649),$B$427=1),$R$649,HLOOKUP(INDIRECT(ADDRESS(2,COLUMN())),OFFSET($AM$2,0,0,ROW()-1,33),ROW()-1,FALSE))</f>
        <v>19.318027279999999</v>
      </c>
      <c r="S244">
        <f ca="1">IF(AND(ISNUMBER($S$649),$B$427=1),$S$649,HLOOKUP(INDIRECT(ADDRESS(2,COLUMN())),OFFSET($AM$2,0,0,ROW()-1,33),ROW()-1,FALSE))</f>
        <v>21.01268662</v>
      </c>
      <c r="T244">
        <f ca="1">IF(AND(ISNUMBER($T$649),$B$427=1),$T$649,HLOOKUP(INDIRECT(ADDRESS(2,COLUMN())),OFFSET($AM$2,0,0,ROW()-1,33),ROW()-1,FALSE))</f>
        <v>23.9848666</v>
      </c>
      <c r="U244">
        <f ca="1">IF(AND(ISNUMBER($U$649),$B$427=1),$U$649,HLOOKUP(INDIRECT(ADDRESS(2,COLUMN())),OFFSET($AM$2,0,0,ROW()-1,33),ROW()-1,FALSE))</f>
        <v>18.24198049</v>
      </c>
      <c r="V244">
        <f ca="1">IF(AND(ISNUMBER($V$649),$B$427=1),$V$649,HLOOKUP(INDIRECT(ADDRESS(2,COLUMN())),OFFSET($AM$2,0,0,ROW()-1,33),ROW()-1,FALSE))</f>
        <v>17.88011161</v>
      </c>
      <c r="W244">
        <f ca="1">IF(AND(ISNUMBER($W$649),$B$427=1),$W$649,HLOOKUP(INDIRECT(ADDRESS(2,COLUMN())),OFFSET($AM$2,0,0,ROW()-1,33),ROW()-1,FALSE))</f>
        <v>18.031237959999999</v>
      </c>
      <c r="X244">
        <f ca="1">IF(AND(ISNUMBER($X$649),$B$427=1),$X$649,HLOOKUP(INDIRECT(ADDRESS(2,COLUMN())),OFFSET($AM$2,0,0,ROW()-1,33),ROW()-1,FALSE))</f>
        <v>19.334395170000001</v>
      </c>
      <c r="Y244">
        <f ca="1">IF(AND(ISNUMBER($Y$649),$B$427=1),$Y$649,HLOOKUP(INDIRECT(ADDRESS(2,COLUMN())),OFFSET($AM$2,0,0,ROW()-1,33),ROW()-1,FALSE))</f>
        <v>17.554733809999998</v>
      </c>
      <c r="Z244">
        <f ca="1">IF(AND(ISNUMBER($Z$649),$B$427=1),$Z$649,HLOOKUP(INDIRECT(ADDRESS(2,COLUMN())),OFFSET($AM$2,0,0,ROW()-1,33),ROW()-1,FALSE))</f>
        <v>17.20282791</v>
      </c>
      <c r="AA244">
        <f ca="1">IF(AND(ISNUMBER($AA$649),$B$427=1),$AA$649,HLOOKUP(INDIRECT(ADDRESS(2,COLUMN())),OFFSET($AM$2,0,0,ROW()-1,33),ROW()-1,FALSE))</f>
        <v>17.946112410000001</v>
      </c>
      <c r="AB244">
        <f ca="1">IF(AND(ISNUMBER($AB$649),$B$427=1),$AB$649,HLOOKUP(INDIRECT(ADDRESS(2,COLUMN())),OFFSET($AM$2,0,0,ROW()-1,33),ROW()-1,FALSE))</f>
        <v>16.667788420000001</v>
      </c>
      <c r="AC244">
        <f ca="1">IF(AND(ISNUMBER($AC$649),$B$427=1),$AC$649,HLOOKUP(INDIRECT(ADDRESS(2,COLUMN())),OFFSET($AM$2,0,0,ROW()-1,33),ROW()-1,FALSE))</f>
        <v>15.03173653</v>
      </c>
      <c r="AD244" t="str">
        <f ca="1">IF(AND(ISNUMBER($AD$649),$B$427=1),$AD$649,HLOOKUP(INDIRECT(ADDRESS(2,COLUMN())),OFFSET($AM$2,0,0,ROW()-1,33),ROW()-1,FALSE))</f>
        <v/>
      </c>
      <c r="AE244" t="str">
        <f ca="1">IF(AND(ISNUMBER($AE$649),$B$427=1),$AE$649,HLOOKUP(INDIRECT(ADDRESS(2,COLUMN())),OFFSET($AM$2,0,0,ROW()-1,33),ROW()-1,FALSE))</f>
        <v/>
      </c>
      <c r="AF244" t="str">
        <f ca="1">IF(AND(ISNUMBER($AF$649),$B$427=1),$AF$649,HLOOKUP(INDIRECT(ADDRESS(2,COLUMN())),OFFSET($AM$2,0,0,ROW()-1,33),ROW()-1,FALSE))</f>
        <v/>
      </c>
      <c r="AG244" t="str">
        <f ca="1">IF(AND(ISNUMBER($AG$649),$B$427=1),$AG$649,HLOOKUP(INDIRECT(ADDRESS(2,COLUMN())),OFFSET($AM$2,0,0,ROW()-1,33),ROW()-1,FALSE))</f>
        <v/>
      </c>
      <c r="AH244" t="str">
        <f ca="1">IF(AND(ISNUMBER($AH$649),$B$427=1),$AH$649,HLOOKUP(INDIRECT(ADDRESS(2,COLUMN())),OFFSET($AM$2,0,0,ROW()-1,33),ROW()-1,FALSE))</f>
        <v/>
      </c>
      <c r="AI244" t="str">
        <f ca="1">IF(AND(ISNUMBER($AI$649),$B$427=1),$AI$649,HLOOKUP(INDIRECT(ADDRESS(2,COLUMN())),OFFSET($AM$2,0,0,ROW()-1,33),ROW()-1,FALSE))</f>
        <v/>
      </c>
      <c r="AJ244" t="str">
        <f ca="1">IF(AND(ISNUMBER($AJ$649),$B$427=1),$AJ$649,HLOOKUP(INDIRECT(ADDRESS(2,COLUMN())),OFFSET($AM$2,0,0,ROW()-1,33),ROW()-1,FALSE))</f>
        <v/>
      </c>
      <c r="AK244" t="str">
        <f ca="1">IF(AND(ISNUMBER($AK$649),$B$427=1),$AK$649,HLOOKUP(INDIRECT(ADDRESS(2,COLUMN())),OFFSET($AM$2,0,0,ROW()-1,33),ROW()-1,FALSE))</f>
        <v/>
      </c>
      <c r="AL244" t="str">
        <f ca="1">IF(AND(ISNUMBER($AL$649),$B$427=1),$AL$649,HLOOKUP(INDIRECT(ADDRESS(2,COLUMN())),OFFSET($AM$2,0,0,ROW()-1,33),ROW()-1,FALSE))</f>
        <v/>
      </c>
      <c r="AM244">
        <f>16.97694265</f>
        <v>16.976942650000002</v>
      </c>
      <c r="AN244">
        <f>17.45099696</f>
        <v>17.450996960000001</v>
      </c>
      <c r="AO244">
        <f>17.14037766</f>
        <v>17.140377659999999</v>
      </c>
      <c r="AP244">
        <f>16.37924814</f>
        <v>16.379248140000001</v>
      </c>
      <c r="AQ244">
        <f>16.04235214</f>
        <v>16.042352139999998</v>
      </c>
      <c r="AR244">
        <f>17.03287889</f>
        <v>17.032878889999999</v>
      </c>
      <c r="AS244">
        <f>17.93029234</f>
        <v>17.930292340000001</v>
      </c>
      <c r="AT244">
        <f>17.89595709</f>
        <v>17.89595709</v>
      </c>
      <c r="AU244">
        <f>18.36868528</f>
        <v>18.368685280000001</v>
      </c>
      <c r="AV244">
        <f>19.08497322</f>
        <v>19.084973219999998</v>
      </c>
      <c r="AW244">
        <f>19.78483652</f>
        <v>19.784836519999999</v>
      </c>
      <c r="AX244">
        <f>18.90711702</f>
        <v>18.907117020000001</v>
      </c>
      <c r="AY244">
        <f>19.31802728</f>
        <v>19.318027279999999</v>
      </c>
      <c r="AZ244">
        <f>21.01268662</f>
        <v>21.01268662</v>
      </c>
      <c r="BA244">
        <f>23.9848666</f>
        <v>23.9848666</v>
      </c>
      <c r="BB244">
        <f>18.24198049</f>
        <v>18.24198049</v>
      </c>
      <c r="BC244">
        <f>17.88011161</f>
        <v>17.88011161</v>
      </c>
      <c r="BD244">
        <f>18.03123796</f>
        <v>18.031237959999999</v>
      </c>
      <c r="BE244">
        <f>19.33439517</f>
        <v>19.334395170000001</v>
      </c>
      <c r="BF244">
        <f>17.55473381</f>
        <v>17.554733809999998</v>
      </c>
      <c r="BG244">
        <f>17.20282791</f>
        <v>17.20282791</v>
      </c>
      <c r="BH244">
        <f>17.94611241</f>
        <v>17.946112410000001</v>
      </c>
      <c r="BI244">
        <f>16.66778842</f>
        <v>16.667788420000001</v>
      </c>
      <c r="BJ244">
        <f>15.03173653</f>
        <v>15.03173653</v>
      </c>
      <c r="BK244" t="str">
        <f>""</f>
        <v/>
      </c>
      <c r="BL244" t="str">
        <f>""</f>
        <v/>
      </c>
      <c r="BM244" t="str">
        <f>""</f>
        <v/>
      </c>
      <c r="BN244" t="str">
        <f>""</f>
        <v/>
      </c>
      <c r="BO244" t="str">
        <f>""</f>
        <v/>
      </c>
      <c r="BP244" t="str">
        <f>""</f>
        <v/>
      </c>
      <c r="BQ244" t="str">
        <f>""</f>
        <v/>
      </c>
      <c r="BR244" t="str">
        <f>""</f>
        <v/>
      </c>
      <c r="BS244" t="str">
        <f>""</f>
        <v/>
      </c>
    </row>
    <row r="245" spans="1:71" x14ac:dyDescent="0.25">
      <c r="A245" t="str">
        <f>"        Citigroup Inc"</f>
        <v xml:space="preserve">        Citigroup Inc</v>
      </c>
      <c r="B245" t="str">
        <f>"C US Equity"</f>
        <v>C US Equity</v>
      </c>
      <c r="C245" t="str">
        <f t="shared" si="33"/>
        <v>F0121</v>
      </c>
      <c r="D245" t="str">
        <f t="shared" si="34"/>
        <v>FED_CNSMR_LNS_LEAS_%_TOT_LNS_LS</v>
      </c>
      <c r="E245" t="str">
        <f t="shared" si="35"/>
        <v>Dynamic</v>
      </c>
      <c r="F245">
        <f ca="1">IF(AND(ISNUMBER($F$650),$B$427=1),$F$650,HLOOKUP(INDIRECT(ADDRESS(2,COLUMN())),OFFSET($AM$2,0,0,ROW()-1,33),ROW()-1,FALSE))</f>
        <v>26.98253278</v>
      </c>
      <c r="G245">
        <f ca="1">IF(AND(ISNUMBER($G$650),$B$427=1),$G$650,HLOOKUP(INDIRECT(ADDRESS(2,COLUMN())),OFFSET($AM$2,0,0,ROW()-1,33),ROW()-1,FALSE))</f>
        <v>26.76741599</v>
      </c>
      <c r="H245">
        <f ca="1">IF(AND(ISNUMBER($H$650),$B$427=1),$H$650,HLOOKUP(INDIRECT(ADDRESS(2,COLUMN())),OFFSET($AM$2,0,0,ROW()-1,33),ROW()-1,FALSE))</f>
        <v>26.038718540000001</v>
      </c>
      <c r="I245">
        <f ca="1">IF(AND(ISNUMBER($I$650),$B$427=1),$I$650,HLOOKUP(INDIRECT(ADDRESS(2,COLUMN())),OFFSET($AM$2,0,0,ROW()-1,33),ROW()-1,FALSE))</f>
        <v>24.412678150000001</v>
      </c>
      <c r="J245">
        <f ca="1">IF(AND(ISNUMBER($J$650),$B$427=1),$J$650,HLOOKUP(INDIRECT(ADDRESS(2,COLUMN())),OFFSET($AM$2,0,0,ROW()-1,33),ROW()-1,FALSE))</f>
        <v>24.920386180000001</v>
      </c>
      <c r="K245">
        <f ca="1">IF(AND(ISNUMBER($K$650),$B$427=1),$K$650,HLOOKUP(INDIRECT(ADDRESS(2,COLUMN())),OFFSET($AM$2,0,0,ROW()-1,33),ROW()-1,FALSE))</f>
        <v>27.903048519999999</v>
      </c>
      <c r="L245">
        <f ca="1">IF(AND(ISNUMBER($L$650),$B$427=1),$L$650,HLOOKUP(INDIRECT(ADDRESS(2,COLUMN())),OFFSET($AM$2,0,0,ROW()-1,33),ROW()-1,FALSE))</f>
        <v>27.257991390000001</v>
      </c>
      <c r="M245">
        <f ca="1">IF(AND(ISNUMBER($M$650),$B$427=1),$M$650,HLOOKUP(INDIRECT(ADDRESS(2,COLUMN())),OFFSET($AM$2,0,0,ROW()-1,33),ROW()-1,FALSE))</f>
        <v>27.524900540000001</v>
      </c>
      <c r="N245">
        <f ca="1">IF(AND(ISNUMBER($N$650),$B$427=1),$N$650,HLOOKUP(INDIRECT(ADDRESS(2,COLUMN())),OFFSET($AM$2,0,0,ROW()-1,33),ROW()-1,FALSE))</f>
        <v>27.920685460000001</v>
      </c>
      <c r="O245">
        <f ca="1">IF(AND(ISNUMBER($O$650),$B$427=1),$O$650,HLOOKUP(INDIRECT(ADDRESS(2,COLUMN())),OFFSET($AM$2,0,0,ROW()-1,33),ROW()-1,FALSE))</f>
        <v>26.06188671</v>
      </c>
      <c r="P245">
        <f ca="1">IF(AND(ISNUMBER($P$650),$B$427=1),$P$650,HLOOKUP(INDIRECT(ADDRESS(2,COLUMN())),OFFSET($AM$2,0,0,ROW()-1,33),ROW()-1,FALSE))</f>
        <v>27.432758400000001</v>
      </c>
      <c r="Q245">
        <f ca="1">IF(AND(ISNUMBER($Q$650),$B$427=1),$Q$650,HLOOKUP(INDIRECT(ADDRESS(2,COLUMN())),OFFSET($AM$2,0,0,ROW()-1,33),ROW()-1,FALSE))</f>
        <v>28.276095609999999</v>
      </c>
      <c r="R245">
        <f ca="1">IF(AND(ISNUMBER($R$650),$B$427=1),$R$650,HLOOKUP(INDIRECT(ADDRESS(2,COLUMN())),OFFSET($AM$2,0,0,ROW()-1,33),ROW()-1,FALSE))</f>
        <v>28.976965459999999</v>
      </c>
      <c r="S245">
        <f ca="1">IF(AND(ISNUMBER($S$650),$B$427=1),$S$650,HLOOKUP(INDIRECT(ADDRESS(2,COLUMN())),OFFSET($AM$2,0,0,ROW()-1,33),ROW()-1,FALSE))</f>
        <v>29.932398249999999</v>
      </c>
      <c r="T245">
        <f ca="1">IF(AND(ISNUMBER($T$650),$B$427=1),$T$650,HLOOKUP(INDIRECT(ADDRESS(2,COLUMN())),OFFSET($AM$2,0,0,ROW()-1,33),ROW()-1,FALSE))</f>
        <v>33.370142379999997</v>
      </c>
      <c r="U245">
        <f ca="1">IF(AND(ISNUMBER($U$650),$B$427=1),$U$650,HLOOKUP(INDIRECT(ADDRESS(2,COLUMN())),OFFSET($AM$2,0,0,ROW()-1,33),ROW()-1,FALSE))</f>
        <v>27.160815920000001</v>
      </c>
      <c r="V245">
        <f ca="1">IF(AND(ISNUMBER($V$650),$B$427=1),$V$650,HLOOKUP(INDIRECT(ADDRESS(2,COLUMN())),OFFSET($AM$2,0,0,ROW()-1,33),ROW()-1,FALSE))</f>
        <v>27.289652029999999</v>
      </c>
      <c r="W245">
        <f ca="1">IF(AND(ISNUMBER($W$650),$B$427=1),$W$650,HLOOKUP(INDIRECT(ADDRESS(2,COLUMN())),OFFSET($AM$2,0,0,ROW()-1,33),ROW()-1,FALSE))</f>
        <v>26.20553052</v>
      </c>
      <c r="X245">
        <f ca="1">IF(AND(ISNUMBER($X$650),$B$427=1),$X$650,HLOOKUP(INDIRECT(ADDRESS(2,COLUMN())),OFFSET($AM$2,0,0,ROW()-1,33),ROW()-1,FALSE))</f>
        <v>25.889646639999999</v>
      </c>
      <c r="Y245">
        <f ca="1">IF(AND(ISNUMBER($Y$650),$B$427=1),$Y$650,HLOOKUP(INDIRECT(ADDRESS(2,COLUMN())),OFFSET($AM$2,0,0,ROW()-1,33),ROW()-1,FALSE))</f>
        <v>27.949474129999999</v>
      </c>
      <c r="Z245">
        <f ca="1">IF(AND(ISNUMBER($Z$650),$B$427=1),$Z$650,HLOOKUP(INDIRECT(ADDRESS(2,COLUMN())),OFFSET($AM$2,0,0,ROW()-1,33),ROW()-1,FALSE))</f>
        <v>31.588641620000001</v>
      </c>
      <c r="AA245">
        <f ca="1">IF(AND(ISNUMBER($AA$650),$B$427=1),$AA$650,HLOOKUP(INDIRECT(ADDRESS(2,COLUMN())),OFFSET($AM$2,0,0,ROW()-1,33),ROW()-1,FALSE))</f>
        <v>35.145943989999999</v>
      </c>
      <c r="AB245">
        <f ca="1">IF(AND(ISNUMBER($AB$650),$B$427=1),$AB$650,HLOOKUP(INDIRECT(ADDRESS(2,COLUMN())),OFFSET($AM$2,0,0,ROW()-1,33),ROW()-1,FALSE))</f>
        <v>30.642853280000001</v>
      </c>
      <c r="AC245">
        <f ca="1">IF(AND(ISNUMBER($AC$650),$B$427=1),$AC$650,HLOOKUP(INDIRECT(ADDRESS(2,COLUMN())),OFFSET($AM$2,0,0,ROW()-1,33),ROW()-1,FALSE))</f>
        <v>29.993237310000001</v>
      </c>
      <c r="AD245" t="str">
        <f ca="1">IF(AND(ISNUMBER($AD$650),$B$427=1),$AD$650,HLOOKUP(INDIRECT(ADDRESS(2,COLUMN())),OFFSET($AM$2,0,0,ROW()-1,33),ROW()-1,FALSE))</f>
        <v/>
      </c>
      <c r="AE245" t="str">
        <f ca="1">IF(AND(ISNUMBER($AE$650),$B$427=1),$AE$650,HLOOKUP(INDIRECT(ADDRESS(2,COLUMN())),OFFSET($AM$2,0,0,ROW()-1,33),ROW()-1,FALSE))</f>
        <v/>
      </c>
      <c r="AF245" t="str">
        <f ca="1">IF(AND(ISNUMBER($AF$650),$B$427=1),$AF$650,HLOOKUP(INDIRECT(ADDRESS(2,COLUMN())),OFFSET($AM$2,0,0,ROW()-1,33),ROW()-1,FALSE))</f>
        <v/>
      </c>
      <c r="AG245" t="str">
        <f ca="1">IF(AND(ISNUMBER($AG$650),$B$427=1),$AG$650,HLOOKUP(INDIRECT(ADDRESS(2,COLUMN())),OFFSET($AM$2,0,0,ROW()-1,33),ROW()-1,FALSE))</f>
        <v/>
      </c>
      <c r="AH245" t="str">
        <f ca="1">IF(AND(ISNUMBER($AH$650),$B$427=1),$AH$650,HLOOKUP(INDIRECT(ADDRESS(2,COLUMN())),OFFSET($AM$2,0,0,ROW()-1,33),ROW()-1,FALSE))</f>
        <v/>
      </c>
      <c r="AI245" t="str">
        <f ca="1">IF(AND(ISNUMBER($AI$650),$B$427=1),$AI$650,HLOOKUP(INDIRECT(ADDRESS(2,COLUMN())),OFFSET($AM$2,0,0,ROW()-1,33),ROW()-1,FALSE))</f>
        <v/>
      </c>
      <c r="AJ245" t="str">
        <f ca="1">IF(AND(ISNUMBER($AJ$650),$B$427=1),$AJ$650,HLOOKUP(INDIRECT(ADDRESS(2,COLUMN())),OFFSET($AM$2,0,0,ROW()-1,33),ROW()-1,FALSE))</f>
        <v/>
      </c>
      <c r="AK245" t="str">
        <f ca="1">IF(AND(ISNUMBER($AK$650),$B$427=1),$AK$650,HLOOKUP(INDIRECT(ADDRESS(2,COLUMN())),OFFSET($AM$2,0,0,ROW()-1,33),ROW()-1,FALSE))</f>
        <v/>
      </c>
      <c r="AL245" t="str">
        <f ca="1">IF(AND(ISNUMBER($AL$650),$B$427=1),$AL$650,HLOOKUP(INDIRECT(ADDRESS(2,COLUMN())),OFFSET($AM$2,0,0,ROW()-1,33),ROW()-1,FALSE))</f>
        <v/>
      </c>
      <c r="AM245">
        <f>26.98253278</f>
        <v>26.98253278</v>
      </c>
      <c r="AN245">
        <f>26.76741599</f>
        <v>26.76741599</v>
      </c>
      <c r="AO245">
        <f>26.03871854</f>
        <v>26.038718540000001</v>
      </c>
      <c r="AP245">
        <f>24.41267815</f>
        <v>24.412678150000001</v>
      </c>
      <c r="AQ245">
        <f>24.92038618</f>
        <v>24.920386180000001</v>
      </c>
      <c r="AR245">
        <f>27.90304852</f>
        <v>27.903048519999999</v>
      </c>
      <c r="AS245">
        <f>27.25799139</f>
        <v>27.257991390000001</v>
      </c>
      <c r="AT245">
        <f>27.52490054</f>
        <v>27.524900540000001</v>
      </c>
      <c r="AU245">
        <f>27.92068546</f>
        <v>27.920685460000001</v>
      </c>
      <c r="AV245">
        <f>26.06188671</f>
        <v>26.06188671</v>
      </c>
      <c r="AW245">
        <f>27.4327584</f>
        <v>27.432758400000001</v>
      </c>
      <c r="AX245">
        <f>28.27609561</f>
        <v>28.276095609999999</v>
      </c>
      <c r="AY245">
        <f>28.97696546</f>
        <v>28.976965459999999</v>
      </c>
      <c r="AZ245">
        <f>29.93239825</f>
        <v>29.932398249999999</v>
      </c>
      <c r="BA245">
        <f>33.37014238</f>
        <v>33.370142379999997</v>
      </c>
      <c r="BB245">
        <f>27.16081592</f>
        <v>27.160815920000001</v>
      </c>
      <c r="BC245">
        <f>27.28965203</f>
        <v>27.289652029999999</v>
      </c>
      <c r="BD245">
        <f>26.20553052</f>
        <v>26.20553052</v>
      </c>
      <c r="BE245">
        <f>25.88964664</f>
        <v>25.889646639999999</v>
      </c>
      <c r="BF245">
        <f>27.94947413</f>
        <v>27.949474129999999</v>
      </c>
      <c r="BG245">
        <f>31.58864162</f>
        <v>31.588641620000001</v>
      </c>
      <c r="BH245">
        <f>35.14594399</f>
        <v>35.145943989999999</v>
      </c>
      <c r="BI245">
        <f>30.64285328</f>
        <v>30.642853280000001</v>
      </c>
      <c r="BJ245">
        <f>29.99323731</f>
        <v>29.993237310000001</v>
      </c>
      <c r="BK245" t="str">
        <f>""</f>
        <v/>
      </c>
      <c r="BL245" t="str">
        <f>""</f>
        <v/>
      </c>
      <c r="BM245" t="str">
        <f>""</f>
        <v/>
      </c>
      <c r="BN245" t="str">
        <f>""</f>
        <v/>
      </c>
      <c r="BO245" t="str">
        <f>""</f>
        <v/>
      </c>
      <c r="BP245" t="str">
        <f>""</f>
        <v/>
      </c>
      <c r="BQ245" t="str">
        <f>""</f>
        <v/>
      </c>
      <c r="BR245" t="str">
        <f>""</f>
        <v/>
      </c>
      <c r="BS245" t="str">
        <f>""</f>
        <v/>
      </c>
    </row>
    <row r="246" spans="1:71" x14ac:dyDescent="0.25">
      <c r="A246" t="str">
        <f>"        Citizens Financial Group Inc"</f>
        <v xml:space="preserve">        Citizens Financial Group Inc</v>
      </c>
      <c r="B246" t="str">
        <f>"CFG US Equity"</f>
        <v>CFG US Equity</v>
      </c>
      <c r="C246" t="str">
        <f t="shared" si="33"/>
        <v>F0121</v>
      </c>
      <c r="D246" t="str">
        <f t="shared" si="34"/>
        <v>FED_CNSMR_LNS_LEAS_%_TOT_LNS_LS</v>
      </c>
      <c r="E246" t="str">
        <f t="shared" si="35"/>
        <v>Dynamic</v>
      </c>
      <c r="F246">
        <f ca="1">IF(AND(ISNUMBER($F$651),$B$427=1),$F$651,HLOOKUP(INDIRECT(ADDRESS(2,COLUMN())),OFFSET($AM$2,0,0,ROW()-1,33),ROW()-1,FALSE))</f>
        <v>14.010152059999999</v>
      </c>
      <c r="G246">
        <f ca="1">IF(AND(ISNUMBER($G$651),$B$427=1),$G$651,HLOOKUP(INDIRECT(ADDRESS(2,COLUMN())),OFFSET($AM$2,0,0,ROW()-1,33),ROW()-1,FALSE))</f>
        <v>16.450249830000001</v>
      </c>
      <c r="H246">
        <f ca="1">IF(AND(ISNUMBER($H$651),$B$427=1),$H$651,HLOOKUP(INDIRECT(ADDRESS(2,COLUMN())),OFFSET($AM$2,0,0,ROW()-1,33),ROW()-1,FALSE))</f>
        <v>18.51121504</v>
      </c>
      <c r="I246">
        <f ca="1">IF(AND(ISNUMBER($I$651),$B$427=1),$I$651,HLOOKUP(INDIRECT(ADDRESS(2,COLUMN())),OFFSET($AM$2,0,0,ROW()-1,33),ROW()-1,FALSE))</f>
        <v>23.999009780000002</v>
      </c>
      <c r="J246">
        <f ca="1">IF(AND(ISNUMBER($J$651),$B$427=1),$J$651,HLOOKUP(INDIRECT(ADDRESS(2,COLUMN())),OFFSET($AM$2,0,0,ROW()-1,33),ROW()-1,FALSE))</f>
        <v>22.689759070000001</v>
      </c>
      <c r="K246">
        <f ca="1">IF(AND(ISNUMBER($K$651),$B$427=1),$K$651,HLOOKUP(INDIRECT(ADDRESS(2,COLUMN())),OFFSET($AM$2,0,0,ROW()-1,33),ROW()-1,FALSE))</f>
        <v>22.52494802</v>
      </c>
      <c r="L246">
        <f ca="1">IF(AND(ISNUMBER($L$651),$B$427=1),$L$651,HLOOKUP(INDIRECT(ADDRESS(2,COLUMN())),OFFSET($AM$2,0,0,ROW()-1,33),ROW()-1,FALSE))</f>
        <v>21.21029768</v>
      </c>
      <c r="M246">
        <f ca="1">IF(AND(ISNUMBER($M$651),$B$427=1),$M$651,HLOOKUP(INDIRECT(ADDRESS(2,COLUMN())),OFFSET($AM$2,0,0,ROW()-1,33),ROW()-1,FALSE))</f>
        <v>22.040132100000001</v>
      </c>
      <c r="N246">
        <f ca="1">IF(AND(ISNUMBER($N$651),$B$427=1),$N$651,HLOOKUP(INDIRECT(ADDRESS(2,COLUMN())),OFFSET($AM$2,0,0,ROW()-1,33),ROW()-1,FALSE))</f>
        <v>21.02285749</v>
      </c>
      <c r="O246">
        <f ca="1">IF(AND(ISNUMBER($O$651),$B$427=1),$O$651,HLOOKUP(INDIRECT(ADDRESS(2,COLUMN())),OFFSET($AM$2,0,0,ROW()-1,33),ROW()-1,FALSE))</f>
        <v>20.07236254</v>
      </c>
      <c r="P246">
        <f ca="1">IF(AND(ISNUMBER($P$651),$B$427=1),$P$651,HLOOKUP(INDIRECT(ADDRESS(2,COLUMN())),OFFSET($AM$2,0,0,ROW()-1,33),ROW()-1,FALSE))</f>
        <v>18.726399489999999</v>
      </c>
      <c r="Q246">
        <f ca="1">IF(AND(ISNUMBER($Q$651),$B$427=1),$Q$651,HLOOKUP(INDIRECT(ADDRESS(2,COLUMN())),OFFSET($AM$2,0,0,ROW()-1,33),ROW()-1,FALSE))</f>
        <v>16.644410570000002</v>
      </c>
      <c r="R246">
        <f ca="1">IF(AND(ISNUMBER($R$651),$B$427=1),$R$651,HLOOKUP(INDIRECT(ADDRESS(2,COLUMN())),OFFSET($AM$2,0,0,ROW()-1,33),ROW()-1,FALSE))</f>
        <v>16.305188860000001</v>
      </c>
      <c r="S246">
        <f ca="1">IF(AND(ISNUMBER($S$651),$B$427=1),$S$651,HLOOKUP(INDIRECT(ADDRESS(2,COLUMN())),OFFSET($AM$2,0,0,ROW()-1,33),ROW()-1,FALSE))</f>
        <v>15.294532090000001</v>
      </c>
      <c r="T246">
        <f ca="1">IF(AND(ISNUMBER($T$651),$B$427=1),$T$651,HLOOKUP(INDIRECT(ADDRESS(2,COLUMN())),OFFSET($AM$2,0,0,ROW()-1,33),ROW()-1,FALSE))</f>
        <v>17.060945759999999</v>
      </c>
      <c r="U246">
        <f ca="1">IF(AND(ISNUMBER($U$651),$B$427=1),$U$651,HLOOKUP(INDIRECT(ADDRESS(2,COLUMN())),OFFSET($AM$2,0,0,ROW()-1,33),ROW()-1,FALSE))</f>
        <v>18.804066509999998</v>
      </c>
      <c r="V246">
        <f ca="1">IF(AND(ISNUMBER($V$651),$B$427=1),$V$651,HLOOKUP(INDIRECT(ADDRESS(2,COLUMN())),OFFSET($AM$2,0,0,ROW()-1,33),ROW()-1,FALSE))</f>
        <v>19.12004335</v>
      </c>
      <c r="W246">
        <f ca="1">IF(AND(ISNUMBER($W$651),$B$427=1),$W$651,HLOOKUP(INDIRECT(ADDRESS(2,COLUMN())),OFFSET($AM$2,0,0,ROW()-1,33),ROW()-1,FALSE))</f>
        <v>19.75897681</v>
      </c>
      <c r="X246">
        <f ca="1">IF(AND(ISNUMBER($X$651),$B$427=1),$X$651,HLOOKUP(INDIRECT(ADDRESS(2,COLUMN())),OFFSET($AM$2,0,0,ROW()-1,33),ROW()-1,FALSE))</f>
        <v>21.722450290000001</v>
      </c>
      <c r="Y246">
        <f ca="1">IF(AND(ISNUMBER($Y$651),$B$427=1),$Y$651,HLOOKUP(INDIRECT(ADDRESS(2,COLUMN())),OFFSET($AM$2,0,0,ROW()-1,33),ROW()-1,FALSE))</f>
        <v>24.900885760000001</v>
      </c>
      <c r="Z246">
        <f ca="1">IF(AND(ISNUMBER($Z$651),$B$427=1),$Z$651,HLOOKUP(INDIRECT(ADDRESS(2,COLUMN())),OFFSET($AM$2,0,0,ROW()-1,33),ROW()-1,FALSE))</f>
        <v>24.803603649999999</v>
      </c>
      <c r="AA246">
        <f ca="1">IF(AND(ISNUMBER($AA$651),$B$427=1),$AA$651,HLOOKUP(INDIRECT(ADDRESS(2,COLUMN())),OFFSET($AM$2,0,0,ROW()-1,33),ROW()-1,FALSE))</f>
        <v>24.772424740000002</v>
      </c>
      <c r="AB246">
        <f ca="1">IF(AND(ISNUMBER($AB$651),$B$427=1),$AB$651,HLOOKUP(INDIRECT(ADDRESS(2,COLUMN())),OFFSET($AM$2,0,0,ROW()-1,33),ROW()-1,FALSE))</f>
        <v>26.712211849999999</v>
      </c>
      <c r="AC246">
        <f ca="1">IF(AND(ISNUMBER($AC$651),$B$427=1),$AC$651,HLOOKUP(INDIRECT(ADDRESS(2,COLUMN())),OFFSET($AM$2,0,0,ROW()-1,33),ROW()-1,FALSE))</f>
        <v>24.678568330000001</v>
      </c>
      <c r="AD246" t="str">
        <f ca="1">IF(AND(ISNUMBER($AD$651),$B$427=1),$AD$651,HLOOKUP(INDIRECT(ADDRESS(2,COLUMN())),OFFSET($AM$2,0,0,ROW()-1,33),ROW()-1,FALSE))</f>
        <v/>
      </c>
      <c r="AE246" t="str">
        <f ca="1">IF(AND(ISNUMBER($AE$651),$B$427=1),$AE$651,HLOOKUP(INDIRECT(ADDRESS(2,COLUMN())),OFFSET($AM$2,0,0,ROW()-1,33),ROW()-1,FALSE))</f>
        <v/>
      </c>
      <c r="AF246" t="str">
        <f ca="1">IF(AND(ISNUMBER($AF$651),$B$427=1),$AF$651,HLOOKUP(INDIRECT(ADDRESS(2,COLUMN())),OFFSET($AM$2,0,0,ROW()-1,33),ROW()-1,FALSE))</f>
        <v/>
      </c>
      <c r="AG246" t="str">
        <f ca="1">IF(AND(ISNUMBER($AG$651),$B$427=1),$AG$651,HLOOKUP(INDIRECT(ADDRESS(2,COLUMN())),OFFSET($AM$2,0,0,ROW()-1,33),ROW()-1,FALSE))</f>
        <v/>
      </c>
      <c r="AH246" t="str">
        <f ca="1">IF(AND(ISNUMBER($AH$651),$B$427=1),$AH$651,HLOOKUP(INDIRECT(ADDRESS(2,COLUMN())),OFFSET($AM$2,0,0,ROW()-1,33),ROW()-1,FALSE))</f>
        <v/>
      </c>
      <c r="AI246" t="str">
        <f ca="1">IF(AND(ISNUMBER($AI$651),$B$427=1),$AI$651,HLOOKUP(INDIRECT(ADDRESS(2,COLUMN())),OFFSET($AM$2,0,0,ROW()-1,33),ROW()-1,FALSE))</f>
        <v/>
      </c>
      <c r="AJ246" t="str">
        <f ca="1">IF(AND(ISNUMBER($AJ$651),$B$427=1),$AJ$651,HLOOKUP(INDIRECT(ADDRESS(2,COLUMN())),OFFSET($AM$2,0,0,ROW()-1,33),ROW()-1,FALSE))</f>
        <v/>
      </c>
      <c r="AK246" t="str">
        <f ca="1">IF(AND(ISNUMBER($AK$651),$B$427=1),$AK$651,HLOOKUP(INDIRECT(ADDRESS(2,COLUMN())),OFFSET($AM$2,0,0,ROW()-1,33),ROW()-1,FALSE))</f>
        <v/>
      </c>
      <c r="AL246" t="str">
        <f ca="1">IF(AND(ISNUMBER($AL$651),$B$427=1),$AL$651,HLOOKUP(INDIRECT(ADDRESS(2,COLUMN())),OFFSET($AM$2,0,0,ROW()-1,33),ROW()-1,FALSE))</f>
        <v/>
      </c>
      <c r="AM246">
        <f>14.01015206</f>
        <v>14.010152059999999</v>
      </c>
      <c r="AN246">
        <f>16.45024983</f>
        <v>16.450249830000001</v>
      </c>
      <c r="AO246">
        <f>18.51121504</f>
        <v>18.51121504</v>
      </c>
      <c r="AP246">
        <f>23.99900978</f>
        <v>23.999009780000002</v>
      </c>
      <c r="AQ246">
        <f>22.68975907</f>
        <v>22.689759070000001</v>
      </c>
      <c r="AR246">
        <f>22.52494802</f>
        <v>22.52494802</v>
      </c>
      <c r="AS246">
        <f>21.21029768</f>
        <v>21.21029768</v>
      </c>
      <c r="AT246">
        <f>22.0401321</f>
        <v>22.040132100000001</v>
      </c>
      <c r="AU246">
        <f>21.02285749</f>
        <v>21.02285749</v>
      </c>
      <c r="AV246">
        <f>20.07236254</f>
        <v>20.07236254</v>
      </c>
      <c r="AW246">
        <f>18.72639949</f>
        <v>18.726399489999999</v>
      </c>
      <c r="AX246">
        <f>16.64441057</f>
        <v>16.644410570000002</v>
      </c>
      <c r="AY246">
        <f>16.30518886</f>
        <v>16.305188860000001</v>
      </c>
      <c r="AZ246">
        <f>15.29453209</f>
        <v>15.294532090000001</v>
      </c>
      <c r="BA246">
        <f>17.06094576</f>
        <v>17.060945759999999</v>
      </c>
      <c r="BB246">
        <f>18.80406651</f>
        <v>18.804066509999998</v>
      </c>
      <c r="BC246">
        <f>19.12004335</f>
        <v>19.12004335</v>
      </c>
      <c r="BD246">
        <f>19.75897681</f>
        <v>19.75897681</v>
      </c>
      <c r="BE246">
        <f>21.72245029</f>
        <v>21.722450290000001</v>
      </c>
      <c r="BF246">
        <f>24.90088576</f>
        <v>24.900885760000001</v>
      </c>
      <c r="BG246">
        <f>24.80360365</f>
        <v>24.803603649999999</v>
      </c>
      <c r="BH246">
        <f>24.77242474</f>
        <v>24.772424740000002</v>
      </c>
      <c r="BI246">
        <f>26.71221185</f>
        <v>26.712211849999999</v>
      </c>
      <c r="BJ246">
        <f>24.67856833</f>
        <v>24.678568330000001</v>
      </c>
      <c r="BK246" t="str">
        <f>""</f>
        <v/>
      </c>
      <c r="BL246" t="str">
        <f>""</f>
        <v/>
      </c>
      <c r="BM246" t="str">
        <f>""</f>
        <v/>
      </c>
      <c r="BN246" t="str">
        <f>""</f>
        <v/>
      </c>
      <c r="BO246" t="str">
        <f>""</f>
        <v/>
      </c>
      <c r="BP246" t="str">
        <f>""</f>
        <v/>
      </c>
      <c r="BQ246" t="str">
        <f>""</f>
        <v/>
      </c>
      <c r="BR246" t="str">
        <f>""</f>
        <v/>
      </c>
      <c r="BS246" t="str">
        <f>""</f>
        <v/>
      </c>
    </row>
    <row r="247" spans="1:71" x14ac:dyDescent="0.25">
      <c r="A247" t="str">
        <f>"        Capital One Financial Corp"</f>
        <v xml:space="preserve">        Capital One Financial Corp</v>
      </c>
      <c r="B247" t="str">
        <f>"COF US Equity"</f>
        <v>COF US Equity</v>
      </c>
      <c r="C247" t="str">
        <f t="shared" si="33"/>
        <v>F0121</v>
      </c>
      <c r="D247" t="str">
        <f t="shared" si="34"/>
        <v>FED_CNSMR_LNS_LEAS_%_TOT_LNS_LS</v>
      </c>
      <c r="E247" t="str">
        <f t="shared" si="35"/>
        <v>Dynamic</v>
      </c>
      <c r="F247">
        <f ca="1">IF(AND(ISNUMBER($F$652),$B$427=1),$F$652,HLOOKUP(INDIRECT(ADDRESS(2,COLUMN())),OFFSET($AM$2,0,0,ROW()-1,33),ROW()-1,FALSE))</f>
        <v>68.974820399999999</v>
      </c>
      <c r="G247">
        <f ca="1">IF(AND(ISNUMBER($G$652),$B$427=1),$G$652,HLOOKUP(INDIRECT(ADDRESS(2,COLUMN())),OFFSET($AM$2,0,0,ROW()-1,33),ROW()-1,FALSE))</f>
        <v>67.365023059999999</v>
      </c>
      <c r="H247">
        <f ca="1">IF(AND(ISNUMBER($H$652),$B$427=1),$H$652,HLOOKUP(INDIRECT(ADDRESS(2,COLUMN())),OFFSET($AM$2,0,0,ROW()-1,33),ROW()-1,FALSE))</f>
        <v>65.511494859999999</v>
      </c>
      <c r="I247">
        <f ca="1">IF(AND(ISNUMBER($I$652),$B$427=1),$I$652,HLOOKUP(INDIRECT(ADDRESS(2,COLUMN())),OFFSET($AM$2,0,0,ROW()-1,33),ROW()-1,FALSE))</f>
        <v>65.704001439999999</v>
      </c>
      <c r="J247">
        <f ca="1">IF(AND(ISNUMBER($J$652),$B$427=1),$J$652,HLOOKUP(INDIRECT(ADDRESS(2,COLUMN())),OFFSET($AM$2,0,0,ROW()-1,33),ROW()-1,FALSE))</f>
        <v>65.647384590000001</v>
      </c>
      <c r="K247">
        <f ca="1">IF(AND(ISNUMBER($K$652),$B$427=1),$K$652,HLOOKUP(INDIRECT(ADDRESS(2,COLUMN())),OFFSET($AM$2,0,0,ROW()-1,33),ROW()-1,FALSE))</f>
        <v>67.486746839999995</v>
      </c>
      <c r="L247">
        <f ca="1">IF(AND(ISNUMBER($L$652),$B$427=1),$L$652,HLOOKUP(INDIRECT(ADDRESS(2,COLUMN())),OFFSET($AM$2,0,0,ROW()-1,33),ROW()-1,FALSE))</f>
        <v>66.533145950000005</v>
      </c>
      <c r="M247">
        <f ca="1">IF(AND(ISNUMBER($M$652),$B$427=1),$M$652,HLOOKUP(INDIRECT(ADDRESS(2,COLUMN())),OFFSET($AM$2,0,0,ROW()-1,33),ROW()-1,FALSE))</f>
        <v>63.098933639999998</v>
      </c>
      <c r="N247">
        <f ca="1">IF(AND(ISNUMBER($N$652),$B$427=1),$N$652,HLOOKUP(INDIRECT(ADDRESS(2,COLUMN())),OFFSET($AM$2,0,0,ROW()-1,33),ROW()-1,FALSE))</f>
        <v>59.389754689999997</v>
      </c>
      <c r="O247">
        <f ca="1">IF(AND(ISNUMBER($O$652),$B$427=1),$O$652,HLOOKUP(INDIRECT(ADDRESS(2,COLUMN())),OFFSET($AM$2,0,0,ROW()-1,33),ROW()-1,FALSE))</f>
        <v>57.220487050000003</v>
      </c>
      <c r="P247">
        <f ca="1">IF(AND(ISNUMBER($P$652),$B$427=1),$P$652,HLOOKUP(INDIRECT(ADDRESS(2,COLUMN())),OFFSET($AM$2,0,0,ROW()-1,33),ROW()-1,FALSE))</f>
        <v>57.019174409999998</v>
      </c>
      <c r="Q247">
        <f ca="1">IF(AND(ISNUMBER($Q$652),$B$427=1),$Q$652,HLOOKUP(INDIRECT(ADDRESS(2,COLUMN())),OFFSET($AM$2,0,0,ROW()-1,33),ROW()-1,FALSE))</f>
        <v>55.076785209999997</v>
      </c>
      <c r="R247">
        <f ca="1">IF(AND(ISNUMBER($R$652),$B$427=1),$R$652,HLOOKUP(INDIRECT(ADDRESS(2,COLUMN())),OFFSET($AM$2,0,0,ROW()-1,33),ROW()-1,FALSE))</f>
        <v>55.619708330000002</v>
      </c>
      <c r="S247">
        <f ca="1">IF(AND(ISNUMBER($S$652),$B$427=1),$S$652,HLOOKUP(INDIRECT(ADDRESS(2,COLUMN())),OFFSET($AM$2,0,0,ROW()-1,33),ROW()-1,FALSE))</f>
        <v>60.45833373</v>
      </c>
      <c r="T247">
        <f ca="1">IF(AND(ISNUMBER($T$652),$B$427=1),$T$652,HLOOKUP(INDIRECT(ADDRESS(2,COLUMN())),OFFSET($AM$2,0,0,ROW()-1,33),ROW()-1,FALSE))</f>
        <v>58.743416449999998</v>
      </c>
      <c r="U247">
        <f ca="1">IF(AND(ISNUMBER($U$652),$B$427=1),$U$652,HLOOKUP(INDIRECT(ADDRESS(2,COLUMN())),OFFSET($AM$2,0,0,ROW()-1,33),ROW()-1,FALSE))</f>
        <v>42.968461310000002</v>
      </c>
      <c r="V247">
        <f ca="1">IF(AND(ISNUMBER($V$652),$B$427=1),$V$652,HLOOKUP(INDIRECT(ADDRESS(2,COLUMN())),OFFSET($AM$2,0,0,ROW()-1,33),ROW()-1,FALSE))</f>
        <v>51.324625130000001</v>
      </c>
      <c r="W247">
        <f ca="1">IF(AND(ISNUMBER($W$652),$B$427=1),$W$652,HLOOKUP(INDIRECT(ADDRESS(2,COLUMN())),OFFSET($AM$2,0,0,ROW()-1,33),ROW()-1,FALSE))</f>
        <v>50.15102211</v>
      </c>
      <c r="X247">
        <f ca="1">IF(AND(ISNUMBER($X$652),$B$427=1),$X$652,HLOOKUP(INDIRECT(ADDRESS(2,COLUMN())),OFFSET($AM$2,0,0,ROW()-1,33),ROW()-1,FALSE))</f>
        <v>48.547214850000003</v>
      </c>
      <c r="Y247">
        <f ca="1">IF(AND(ISNUMBER($Y$652),$B$427=1),$Y$652,HLOOKUP(INDIRECT(ADDRESS(2,COLUMN())),OFFSET($AM$2,0,0,ROW()-1,33),ROW()-1,FALSE))</f>
        <v>73.217884600000005</v>
      </c>
      <c r="Z247">
        <f ca="1">IF(AND(ISNUMBER($Z$652),$B$427=1),$Z$652,HLOOKUP(INDIRECT(ADDRESS(2,COLUMN())),OFFSET($AM$2,0,0,ROW()-1,33),ROW()-1,FALSE))</f>
        <v>91.613857830000001</v>
      </c>
      <c r="AA247" t="str">
        <f ca="1">IF(AND(ISNUMBER($AA$652),$B$427=1),$AA$652,HLOOKUP(INDIRECT(ADDRESS(2,COLUMN())),OFFSET($AM$2,0,0,ROW()-1,33),ROW()-1,FALSE))</f>
        <v/>
      </c>
      <c r="AB247" t="str">
        <f ca="1">IF(AND(ISNUMBER($AB$652),$B$427=1),$AB$652,HLOOKUP(INDIRECT(ADDRESS(2,COLUMN())),OFFSET($AM$2,0,0,ROW()-1,33),ROW()-1,FALSE))</f>
        <v/>
      </c>
      <c r="AC247" t="str">
        <f ca="1">IF(AND(ISNUMBER($AC$652),$B$427=1),$AC$652,HLOOKUP(INDIRECT(ADDRESS(2,COLUMN())),OFFSET($AM$2,0,0,ROW()-1,33),ROW()-1,FALSE))</f>
        <v/>
      </c>
      <c r="AD247" t="str">
        <f ca="1">IF(AND(ISNUMBER($AD$652),$B$427=1),$AD$652,HLOOKUP(INDIRECT(ADDRESS(2,COLUMN())),OFFSET($AM$2,0,0,ROW()-1,33),ROW()-1,FALSE))</f>
        <v/>
      </c>
      <c r="AE247" t="str">
        <f ca="1">IF(AND(ISNUMBER($AE$652),$B$427=1),$AE$652,HLOOKUP(INDIRECT(ADDRESS(2,COLUMN())),OFFSET($AM$2,0,0,ROW()-1,33),ROW()-1,FALSE))</f>
        <v/>
      </c>
      <c r="AF247" t="str">
        <f ca="1">IF(AND(ISNUMBER($AF$652),$B$427=1),$AF$652,HLOOKUP(INDIRECT(ADDRESS(2,COLUMN())),OFFSET($AM$2,0,0,ROW()-1,33),ROW()-1,FALSE))</f>
        <v/>
      </c>
      <c r="AG247" t="str">
        <f ca="1">IF(AND(ISNUMBER($AG$652),$B$427=1),$AG$652,HLOOKUP(INDIRECT(ADDRESS(2,COLUMN())),OFFSET($AM$2,0,0,ROW()-1,33),ROW()-1,FALSE))</f>
        <v/>
      </c>
      <c r="AH247" t="str">
        <f ca="1">IF(AND(ISNUMBER($AH$652),$B$427=1),$AH$652,HLOOKUP(INDIRECT(ADDRESS(2,COLUMN())),OFFSET($AM$2,0,0,ROW()-1,33),ROW()-1,FALSE))</f>
        <v/>
      </c>
      <c r="AI247" t="str">
        <f ca="1">IF(AND(ISNUMBER($AI$652),$B$427=1),$AI$652,HLOOKUP(INDIRECT(ADDRESS(2,COLUMN())),OFFSET($AM$2,0,0,ROW()-1,33),ROW()-1,FALSE))</f>
        <v/>
      </c>
      <c r="AJ247" t="str">
        <f ca="1">IF(AND(ISNUMBER($AJ$652),$B$427=1),$AJ$652,HLOOKUP(INDIRECT(ADDRESS(2,COLUMN())),OFFSET($AM$2,0,0,ROW()-1,33),ROW()-1,FALSE))</f>
        <v/>
      </c>
      <c r="AK247" t="str">
        <f ca="1">IF(AND(ISNUMBER($AK$652),$B$427=1),$AK$652,HLOOKUP(INDIRECT(ADDRESS(2,COLUMN())),OFFSET($AM$2,0,0,ROW()-1,33),ROW()-1,FALSE))</f>
        <v/>
      </c>
      <c r="AL247" t="str">
        <f ca="1">IF(AND(ISNUMBER($AL$652),$B$427=1),$AL$652,HLOOKUP(INDIRECT(ADDRESS(2,COLUMN())),OFFSET($AM$2,0,0,ROW()-1,33),ROW()-1,FALSE))</f>
        <v/>
      </c>
      <c r="AM247">
        <f>68.9748204</f>
        <v>68.974820399999999</v>
      </c>
      <c r="AN247">
        <f>67.36502306</f>
        <v>67.365023059999999</v>
      </c>
      <c r="AO247">
        <f>65.51149486</f>
        <v>65.511494859999999</v>
      </c>
      <c r="AP247">
        <f>65.70400144</f>
        <v>65.704001439999999</v>
      </c>
      <c r="AQ247">
        <f>65.64738459</f>
        <v>65.647384590000001</v>
      </c>
      <c r="AR247">
        <f>67.48674684</f>
        <v>67.486746839999995</v>
      </c>
      <c r="AS247">
        <f>66.53314595</f>
        <v>66.533145950000005</v>
      </c>
      <c r="AT247">
        <f>63.09893364</f>
        <v>63.098933639999998</v>
      </c>
      <c r="AU247">
        <f>59.38975469</f>
        <v>59.389754689999997</v>
      </c>
      <c r="AV247">
        <f>57.22048705</f>
        <v>57.220487050000003</v>
      </c>
      <c r="AW247">
        <f>57.01917441</f>
        <v>57.019174409999998</v>
      </c>
      <c r="AX247">
        <f>55.07678521</f>
        <v>55.076785209999997</v>
      </c>
      <c r="AY247">
        <f>55.61970833</f>
        <v>55.619708330000002</v>
      </c>
      <c r="AZ247">
        <f>60.45833373</f>
        <v>60.45833373</v>
      </c>
      <c r="BA247">
        <f>58.74341645</f>
        <v>58.743416449999998</v>
      </c>
      <c r="BB247">
        <f>42.96846131</f>
        <v>42.968461310000002</v>
      </c>
      <c r="BC247">
        <f>51.32462513</f>
        <v>51.324625130000001</v>
      </c>
      <c r="BD247">
        <f>50.15102211</f>
        <v>50.15102211</v>
      </c>
      <c r="BE247">
        <f>48.54721485</f>
        <v>48.547214850000003</v>
      </c>
      <c r="BF247">
        <f>73.2178846</f>
        <v>73.217884600000005</v>
      </c>
      <c r="BG247">
        <f>91.61385783</f>
        <v>91.613857830000001</v>
      </c>
      <c r="BH247" t="str">
        <f>""</f>
        <v/>
      </c>
      <c r="BI247" t="str">
        <f>""</f>
        <v/>
      </c>
      <c r="BJ247" t="str">
        <f>""</f>
        <v/>
      </c>
      <c r="BK247" t="str">
        <f>""</f>
        <v/>
      </c>
      <c r="BL247" t="str">
        <f>""</f>
        <v/>
      </c>
      <c r="BM247" t="str">
        <f>""</f>
        <v/>
      </c>
      <c r="BN247" t="str">
        <f>""</f>
        <v/>
      </c>
      <c r="BO247" t="str">
        <f>""</f>
        <v/>
      </c>
      <c r="BP247" t="str">
        <f>""</f>
        <v/>
      </c>
      <c r="BQ247" t="str">
        <f>""</f>
        <v/>
      </c>
      <c r="BR247" t="str">
        <f>""</f>
        <v/>
      </c>
      <c r="BS247" t="str">
        <f>""</f>
        <v/>
      </c>
    </row>
    <row r="248" spans="1:71" x14ac:dyDescent="0.25">
      <c r="A248" t="str">
        <f>"        Comerica Inc"</f>
        <v xml:space="preserve">        Comerica Inc</v>
      </c>
      <c r="B248" t="str">
        <f>"CMA US Equity"</f>
        <v>CMA US Equity</v>
      </c>
      <c r="C248" t="str">
        <f t="shared" si="33"/>
        <v>F0121</v>
      </c>
      <c r="D248" t="str">
        <f t="shared" si="34"/>
        <v>FED_CNSMR_LNS_LEAS_%_TOT_LNS_LS</v>
      </c>
      <c r="E248" t="str">
        <f t="shared" si="35"/>
        <v>Dynamic</v>
      </c>
      <c r="F248" t="str">
        <f ca="1">IF(AND(ISNUMBER($F$653),$B$427=1),$F$653,HLOOKUP(INDIRECT(ADDRESS(2,COLUMN())),OFFSET($AM$2,0,0,ROW()-1,33),ROW()-1,FALSE))</f>
        <v/>
      </c>
      <c r="G248">
        <f ca="1">IF(AND(ISNUMBER($G$653),$B$427=1),$G$653,HLOOKUP(INDIRECT(ADDRESS(2,COLUMN())),OFFSET($AM$2,0,0,ROW()-1,33),ROW()-1,FALSE))</f>
        <v>0.96093227599999997</v>
      </c>
      <c r="H248">
        <f ca="1">IF(AND(ISNUMBER($H$653),$B$427=1),$H$653,HLOOKUP(INDIRECT(ADDRESS(2,COLUMN())),OFFSET($AM$2,0,0,ROW()-1,33),ROW()-1,FALSE))</f>
        <v>0.99807126899999998</v>
      </c>
      <c r="I248">
        <f ca="1">IF(AND(ISNUMBER($I$653),$B$427=1),$I$653,HLOOKUP(INDIRECT(ADDRESS(2,COLUMN())),OFFSET($AM$2,0,0,ROW()-1,33),ROW()-1,FALSE))</f>
        <v>1.142196344</v>
      </c>
      <c r="J248">
        <f ca="1">IF(AND(ISNUMBER($J$653),$B$427=1),$J$653,HLOOKUP(INDIRECT(ADDRESS(2,COLUMN())),OFFSET($AM$2,0,0,ROW()-1,33),ROW()-1,FALSE))</f>
        <v>1.1645250110000001</v>
      </c>
      <c r="K248">
        <f ca="1">IF(AND(ISNUMBER($K$653),$B$427=1),$K$653,HLOOKUP(INDIRECT(ADDRESS(2,COLUMN())),OFFSET($AM$2,0,0,ROW()-1,33),ROW()-1,FALSE))</f>
        <v>1.1076703189999999</v>
      </c>
      <c r="L248">
        <f ca="1">IF(AND(ISNUMBER($L$653),$B$427=1),$L$653,HLOOKUP(INDIRECT(ADDRESS(2,COLUMN())),OFFSET($AM$2,0,0,ROW()-1,33),ROW()-1,FALSE))</f>
        <v>1.149662639</v>
      </c>
      <c r="M248">
        <f ca="1">IF(AND(ISNUMBER($M$653),$B$427=1),$M$653,HLOOKUP(INDIRECT(ADDRESS(2,COLUMN())),OFFSET($AM$2,0,0,ROW()-1,33),ROW()-1,FALSE))</f>
        <v>1.214215418</v>
      </c>
      <c r="N248">
        <f ca="1">IF(AND(ISNUMBER($N$653),$B$427=1),$N$653,HLOOKUP(INDIRECT(ADDRESS(2,COLUMN())),OFFSET($AM$2,0,0,ROW()-1,33),ROW()-1,FALSE))</f>
        <v>1.227505147</v>
      </c>
      <c r="O248">
        <f ca="1">IF(AND(ISNUMBER($O$653),$B$427=1),$O$653,HLOOKUP(INDIRECT(ADDRESS(2,COLUMN())),OFFSET($AM$2,0,0,ROW()-1,33),ROW()-1,FALSE))</f>
        <v>1.3440271880000001</v>
      </c>
      <c r="P248">
        <f ca="1">IF(AND(ISNUMBER($P$653),$B$427=1),$P$653,HLOOKUP(INDIRECT(ADDRESS(2,COLUMN())),OFFSET($AM$2,0,0,ROW()-1,33),ROW()-1,FALSE))</f>
        <v>1.317718637</v>
      </c>
      <c r="Q248">
        <f ca="1">IF(AND(ISNUMBER($Q$653),$B$427=1),$Q$653,HLOOKUP(INDIRECT(ADDRESS(2,COLUMN())),OFFSET($AM$2,0,0,ROW()-1,33),ROW()-1,FALSE))</f>
        <v>1.289807616</v>
      </c>
      <c r="R248">
        <f ca="1">IF(AND(ISNUMBER($R$653),$B$427=1),$R$653,HLOOKUP(INDIRECT(ADDRESS(2,COLUMN())),OFFSET($AM$2,0,0,ROW()-1,33),ROW()-1,FALSE))</f>
        <v>1.1415807849999999</v>
      </c>
      <c r="S248">
        <f ca="1">IF(AND(ISNUMBER($S$653),$B$427=1),$S$653,HLOOKUP(INDIRECT(ADDRESS(2,COLUMN())),OFFSET($AM$2,0,0,ROW()-1,33),ROW()-1,FALSE))</f>
        <v>1.3056325790000001</v>
      </c>
      <c r="T248">
        <f ca="1">IF(AND(ISNUMBER($T$653),$B$427=1),$T$653,HLOOKUP(INDIRECT(ADDRESS(2,COLUMN())),OFFSET($AM$2,0,0,ROW()-1,33),ROW()-1,FALSE))</f>
        <v>1.2743963819999999</v>
      </c>
      <c r="U248">
        <f ca="1">IF(AND(ISNUMBER($U$653),$B$427=1),$U$653,HLOOKUP(INDIRECT(ADDRESS(2,COLUMN())),OFFSET($AM$2,0,0,ROW()-1,33),ROW()-1,FALSE))</f>
        <v>1.4591183729999999</v>
      </c>
      <c r="V248">
        <f ca="1">IF(AND(ISNUMBER($V$653),$B$427=1),$V$653,HLOOKUP(INDIRECT(ADDRESS(2,COLUMN())),OFFSET($AM$2,0,0,ROW()-1,33),ROW()-1,FALSE))</f>
        <v>1.4782017569999999</v>
      </c>
      <c r="W248">
        <f ca="1">IF(AND(ISNUMBER($W$653),$B$427=1),$W$653,HLOOKUP(INDIRECT(ADDRESS(2,COLUMN())),OFFSET($AM$2,0,0,ROW()-1,33),ROW()-1,FALSE))</f>
        <v>1.304055854</v>
      </c>
      <c r="X248">
        <f ca="1">IF(AND(ISNUMBER($X$653),$B$427=1),$X$653,HLOOKUP(INDIRECT(ADDRESS(2,COLUMN())),OFFSET($AM$2,0,0,ROW()-1,33),ROW()-1,FALSE))</f>
        <v>1.3133908750000001</v>
      </c>
      <c r="Y248">
        <f ca="1">IF(AND(ISNUMBER($Y$653),$B$427=1),$Y$653,HLOOKUP(INDIRECT(ADDRESS(2,COLUMN())),OFFSET($AM$2,0,0,ROW()-1,33),ROW()-1,FALSE))</f>
        <v>1.6405469770000001</v>
      </c>
      <c r="Z248">
        <f ca="1">IF(AND(ISNUMBER($Z$653),$B$427=1),$Z$653,HLOOKUP(INDIRECT(ADDRESS(2,COLUMN())),OFFSET($AM$2,0,0,ROW()-1,33),ROW()-1,FALSE))</f>
        <v>2.0032573999999999</v>
      </c>
      <c r="AA248">
        <f ca="1">IF(AND(ISNUMBER($AA$653),$B$427=1),$AA$653,HLOOKUP(INDIRECT(ADDRESS(2,COLUMN())),OFFSET($AM$2,0,0,ROW()-1,33),ROW()-1,FALSE))</f>
        <v>1.9394495650000001</v>
      </c>
      <c r="AB248">
        <f ca="1">IF(AND(ISNUMBER($AB$653),$B$427=1),$AB$653,HLOOKUP(INDIRECT(ADDRESS(2,COLUMN())),OFFSET($AM$2,0,0,ROW()-1,33),ROW()-1,FALSE))</f>
        <v>1.8598382120000001</v>
      </c>
      <c r="AC248">
        <f ca="1">IF(AND(ISNUMBER($AC$653),$B$427=1),$AC$653,HLOOKUP(INDIRECT(ADDRESS(2,COLUMN())),OFFSET($AM$2,0,0,ROW()-1,33),ROW()-1,FALSE))</f>
        <v>2.0134836360000001</v>
      </c>
      <c r="AD248" t="str">
        <f ca="1">IF(AND(ISNUMBER($AD$653),$B$427=1),$AD$653,HLOOKUP(INDIRECT(ADDRESS(2,COLUMN())),OFFSET($AM$2,0,0,ROW()-1,33),ROW()-1,FALSE))</f>
        <v/>
      </c>
      <c r="AE248" t="str">
        <f ca="1">IF(AND(ISNUMBER($AE$653),$B$427=1),$AE$653,HLOOKUP(INDIRECT(ADDRESS(2,COLUMN())),OFFSET($AM$2,0,0,ROW()-1,33),ROW()-1,FALSE))</f>
        <v/>
      </c>
      <c r="AF248" t="str">
        <f ca="1">IF(AND(ISNUMBER($AF$653),$B$427=1),$AF$653,HLOOKUP(INDIRECT(ADDRESS(2,COLUMN())),OFFSET($AM$2,0,0,ROW()-1,33),ROW()-1,FALSE))</f>
        <v/>
      </c>
      <c r="AG248" t="str">
        <f ca="1">IF(AND(ISNUMBER($AG$653),$B$427=1),$AG$653,HLOOKUP(INDIRECT(ADDRESS(2,COLUMN())),OFFSET($AM$2,0,0,ROW()-1,33),ROW()-1,FALSE))</f>
        <v/>
      </c>
      <c r="AH248" t="str">
        <f ca="1">IF(AND(ISNUMBER($AH$653),$B$427=1),$AH$653,HLOOKUP(INDIRECT(ADDRESS(2,COLUMN())),OFFSET($AM$2,0,0,ROW()-1,33),ROW()-1,FALSE))</f>
        <v/>
      </c>
      <c r="AI248" t="str">
        <f ca="1">IF(AND(ISNUMBER($AI$653),$B$427=1),$AI$653,HLOOKUP(INDIRECT(ADDRESS(2,COLUMN())),OFFSET($AM$2,0,0,ROW()-1,33),ROW()-1,FALSE))</f>
        <v/>
      </c>
      <c r="AJ248" t="str">
        <f ca="1">IF(AND(ISNUMBER($AJ$653),$B$427=1),$AJ$653,HLOOKUP(INDIRECT(ADDRESS(2,COLUMN())),OFFSET($AM$2,0,0,ROW()-1,33),ROW()-1,FALSE))</f>
        <v/>
      </c>
      <c r="AK248" t="str">
        <f ca="1">IF(AND(ISNUMBER($AK$653),$B$427=1),$AK$653,HLOOKUP(INDIRECT(ADDRESS(2,COLUMN())),OFFSET($AM$2,0,0,ROW()-1,33),ROW()-1,FALSE))</f>
        <v/>
      </c>
      <c r="AL248" t="str">
        <f ca="1">IF(AND(ISNUMBER($AL$653),$B$427=1),$AL$653,HLOOKUP(INDIRECT(ADDRESS(2,COLUMN())),OFFSET($AM$2,0,0,ROW()-1,33),ROW()-1,FALSE))</f>
        <v/>
      </c>
      <c r="AM248" t="str">
        <f>""</f>
        <v/>
      </c>
      <c r="AN248">
        <f>0.960932276</f>
        <v>0.96093227599999997</v>
      </c>
      <c r="AO248">
        <f>0.998071269</f>
        <v>0.99807126899999998</v>
      </c>
      <c r="AP248">
        <f>1.142196344</f>
        <v>1.142196344</v>
      </c>
      <c r="AQ248">
        <f>1.164525011</f>
        <v>1.1645250110000001</v>
      </c>
      <c r="AR248">
        <f>1.107670319</f>
        <v>1.1076703189999999</v>
      </c>
      <c r="AS248">
        <f>1.149662639</f>
        <v>1.149662639</v>
      </c>
      <c r="AT248">
        <f>1.214215418</f>
        <v>1.214215418</v>
      </c>
      <c r="AU248">
        <f>1.227505147</f>
        <v>1.227505147</v>
      </c>
      <c r="AV248">
        <f>1.344027188</f>
        <v>1.3440271880000001</v>
      </c>
      <c r="AW248">
        <f>1.317718637</f>
        <v>1.317718637</v>
      </c>
      <c r="AX248">
        <f>1.289807616</f>
        <v>1.289807616</v>
      </c>
      <c r="AY248">
        <f>1.141580785</f>
        <v>1.1415807849999999</v>
      </c>
      <c r="AZ248">
        <f>1.305632579</f>
        <v>1.3056325790000001</v>
      </c>
      <c r="BA248">
        <f>1.274396382</f>
        <v>1.2743963819999999</v>
      </c>
      <c r="BB248">
        <f>1.459118373</f>
        <v>1.4591183729999999</v>
      </c>
      <c r="BC248">
        <f>1.478201757</f>
        <v>1.4782017569999999</v>
      </c>
      <c r="BD248">
        <f>1.304055854</f>
        <v>1.304055854</v>
      </c>
      <c r="BE248">
        <f>1.313390875</f>
        <v>1.3133908750000001</v>
      </c>
      <c r="BF248">
        <f>1.640546977</f>
        <v>1.6405469770000001</v>
      </c>
      <c r="BG248">
        <f>2.0032574</f>
        <v>2.0032573999999999</v>
      </c>
      <c r="BH248">
        <f>1.939449565</f>
        <v>1.9394495650000001</v>
      </c>
      <c r="BI248">
        <f>1.859838212</f>
        <v>1.8598382120000001</v>
      </c>
      <c r="BJ248">
        <f>2.013483636</f>
        <v>2.0134836360000001</v>
      </c>
      <c r="BK248" t="str">
        <f>""</f>
        <v/>
      </c>
      <c r="BL248" t="str">
        <f>""</f>
        <v/>
      </c>
      <c r="BM248" t="str">
        <f>""</f>
        <v/>
      </c>
      <c r="BN248" t="str">
        <f>""</f>
        <v/>
      </c>
      <c r="BO248" t="str">
        <f>""</f>
        <v/>
      </c>
      <c r="BP248" t="str">
        <f>""</f>
        <v/>
      </c>
      <c r="BQ248" t="str">
        <f>""</f>
        <v/>
      </c>
      <c r="BR248" t="str">
        <f>""</f>
        <v/>
      </c>
      <c r="BS248" t="str">
        <f>""</f>
        <v/>
      </c>
    </row>
    <row r="249" spans="1:71" x14ac:dyDescent="0.25">
      <c r="A249" t="str">
        <f>"        East West Bancorp Inc"</f>
        <v xml:space="preserve">        East West Bancorp Inc</v>
      </c>
      <c r="B249" t="str">
        <f>"EWBC US Equity"</f>
        <v>EWBC US Equity</v>
      </c>
      <c r="C249" t="str">
        <f t="shared" si="33"/>
        <v>F0121</v>
      </c>
      <c r="D249" t="str">
        <f t="shared" si="34"/>
        <v>FED_CNSMR_LNS_LEAS_%_TOT_LNS_LS</v>
      </c>
      <c r="E249" t="str">
        <f t="shared" si="35"/>
        <v>Dynamic</v>
      </c>
      <c r="F249" t="str">
        <f ca="1">IF(AND(ISNUMBER($F$654),$B$427=1),$F$654,HLOOKUP(INDIRECT(ADDRESS(2,COLUMN())),OFFSET($AM$2,0,0,ROW()-1,33),ROW()-1,FALSE))</f>
        <v/>
      </c>
      <c r="G249">
        <f ca="1">IF(AND(ISNUMBER($G$654),$B$427=1),$G$654,HLOOKUP(INDIRECT(ADDRESS(2,COLUMN())),OFFSET($AM$2,0,0,ROW()-1,33),ROW()-1,FALSE))</f>
        <v>2.1964763000000002E-2</v>
      </c>
      <c r="H249">
        <f ca="1">IF(AND(ISNUMBER($H$654),$B$427=1),$H$654,HLOOKUP(INDIRECT(ADDRESS(2,COLUMN())),OFFSET($AM$2,0,0,ROW()-1,33),ROW()-1,FALSE))</f>
        <v>2.2565147000000001E-2</v>
      </c>
      <c r="I249">
        <f ca="1">IF(AND(ISNUMBER($I$654),$B$427=1),$I$654,HLOOKUP(INDIRECT(ADDRESS(2,COLUMN())),OFFSET($AM$2,0,0,ROW()-1,33),ROW()-1,FALSE))</f>
        <v>2.3154587000000001E-2</v>
      </c>
      <c r="J249">
        <f ca="1">IF(AND(ISNUMBER($J$654),$B$427=1),$J$654,HLOOKUP(INDIRECT(ADDRESS(2,COLUMN())),OFFSET($AM$2,0,0,ROW()-1,33),ROW()-1,FALSE))</f>
        <v>3.5869775E-2</v>
      </c>
      <c r="K249">
        <f ca="1">IF(AND(ISNUMBER($K$654),$B$427=1),$K$654,HLOOKUP(INDIRECT(ADDRESS(2,COLUMN())),OFFSET($AM$2,0,0,ROW()-1,33),ROW()-1,FALSE))</f>
        <v>7.8173671E-2</v>
      </c>
      <c r="L249">
        <f ca="1">IF(AND(ISNUMBER($L$654),$B$427=1),$L$654,HLOOKUP(INDIRECT(ADDRESS(2,COLUMN())),OFFSET($AM$2,0,0,ROW()-1,33),ROW()-1,FALSE))</f>
        <v>0.14219485500000001</v>
      </c>
      <c r="M249">
        <f ca="1">IF(AND(ISNUMBER($M$654),$B$427=1),$M$654,HLOOKUP(INDIRECT(ADDRESS(2,COLUMN())),OFFSET($AM$2,0,0,ROW()-1,33),ROW()-1,FALSE))</f>
        <v>0.22944662900000001</v>
      </c>
      <c r="N249">
        <f ca="1">IF(AND(ISNUMBER($N$654),$B$427=1),$N$654,HLOOKUP(INDIRECT(ADDRESS(2,COLUMN())),OFFSET($AM$2,0,0,ROW()-1,33),ROW()-1,FALSE))</f>
        <v>0.34392102299999999</v>
      </c>
      <c r="O249">
        <f ca="1">IF(AND(ISNUMBER($O$654),$B$427=1),$O$654,HLOOKUP(INDIRECT(ADDRESS(2,COLUMN())),OFFSET($AM$2,0,0,ROW()-1,33),ROW()-1,FALSE))</f>
        <v>0.33999438700000001</v>
      </c>
      <c r="P249">
        <f ca="1">IF(AND(ISNUMBER($P$654),$B$427=1),$P$654,HLOOKUP(INDIRECT(ADDRESS(2,COLUMN())),OFFSET($AM$2,0,0,ROW()-1,33),ROW()-1,FALSE))</f>
        <v>0.23696397599999999</v>
      </c>
      <c r="Q249">
        <f ca="1">IF(AND(ISNUMBER($Q$654),$B$427=1),$Q$654,HLOOKUP(INDIRECT(ADDRESS(2,COLUMN())),OFFSET($AM$2,0,0,ROW()-1,33),ROW()-1,FALSE))</f>
        <v>4.6748922100000003</v>
      </c>
      <c r="R249">
        <f ca="1">IF(AND(ISNUMBER($R$654),$B$427=1),$R$654,HLOOKUP(INDIRECT(ADDRESS(2,COLUMN())),OFFSET($AM$2,0,0,ROW()-1,33),ROW()-1,FALSE))</f>
        <v>4.0851642720000001</v>
      </c>
      <c r="S249">
        <f ca="1">IF(AND(ISNUMBER($S$654),$B$427=1),$S$654,HLOOKUP(INDIRECT(ADDRESS(2,COLUMN())),OFFSET($AM$2,0,0,ROW()-1,33),ROW()-1,FALSE))</f>
        <v>3.7237024170000002</v>
      </c>
      <c r="T249">
        <f ca="1">IF(AND(ISNUMBER($T$654),$B$427=1),$T$654,HLOOKUP(INDIRECT(ADDRESS(2,COLUMN())),OFFSET($AM$2,0,0,ROW()-1,33),ROW()-1,FALSE))</f>
        <v>4.8274143829999998</v>
      </c>
      <c r="U249">
        <f ca="1">IF(AND(ISNUMBER($U$654),$B$427=1),$U$654,HLOOKUP(INDIRECT(ADDRESS(2,COLUMN())),OFFSET($AM$2,0,0,ROW()-1,33),ROW()-1,FALSE))</f>
        <v>2.8227089159999998</v>
      </c>
      <c r="V249">
        <f ca="1">IF(AND(ISNUMBER($V$654),$B$427=1),$V$654,HLOOKUP(INDIRECT(ADDRESS(2,COLUMN())),OFFSET($AM$2,0,0,ROW()-1,33),ROW()-1,FALSE))</f>
        <v>0.33389315600000002</v>
      </c>
      <c r="W249">
        <f ca="1">IF(AND(ISNUMBER($W$654),$B$427=1),$W$654,HLOOKUP(INDIRECT(ADDRESS(2,COLUMN())),OFFSET($AM$2,0,0,ROW()-1,33),ROW()-1,FALSE))</f>
        <v>0.34325109700000001</v>
      </c>
      <c r="X249">
        <f ca="1">IF(AND(ISNUMBER($X$654),$B$427=1),$X$654,HLOOKUP(INDIRECT(ADDRESS(2,COLUMN())),OFFSET($AM$2,0,0,ROW()-1,33),ROW()-1,FALSE))</f>
        <v>0.18688667</v>
      </c>
      <c r="Y249">
        <f ca="1">IF(AND(ISNUMBER($Y$654),$B$427=1),$Y$654,HLOOKUP(INDIRECT(ADDRESS(2,COLUMN())),OFFSET($AM$2,0,0,ROW()-1,33),ROW()-1,FALSE))</f>
        <v>0.277640891</v>
      </c>
      <c r="Z249">
        <f ca="1">IF(AND(ISNUMBER($Z$654),$B$427=1),$Z$654,HLOOKUP(INDIRECT(ADDRESS(2,COLUMN())),OFFSET($AM$2,0,0,ROW()-1,33),ROW()-1,FALSE))</f>
        <v>0.32449220099999998</v>
      </c>
      <c r="AA249">
        <f ca="1">IF(AND(ISNUMBER($AA$654),$B$427=1),$AA$654,HLOOKUP(INDIRECT(ADDRESS(2,COLUMN())),OFFSET($AM$2,0,0,ROW()-1,33),ROW()-1,FALSE))</f>
        <v>0.59167751099999999</v>
      </c>
      <c r="AB249">
        <f ca="1">IF(AND(ISNUMBER($AB$654),$B$427=1),$AB$654,HLOOKUP(INDIRECT(ADDRESS(2,COLUMN())),OFFSET($AM$2,0,0,ROW()-1,33),ROW()-1,FALSE))</f>
        <v>0.89774569699999995</v>
      </c>
      <c r="AC249">
        <f ca="1">IF(AND(ISNUMBER($AC$654),$B$427=1),$AC$654,HLOOKUP(INDIRECT(ADDRESS(2,COLUMN())),OFFSET($AM$2,0,0,ROW()-1,33),ROW()-1,FALSE))</f>
        <v>0.91934861999999995</v>
      </c>
      <c r="AD249" t="str">
        <f ca="1">IF(AND(ISNUMBER($AD$654),$B$427=1),$AD$654,HLOOKUP(INDIRECT(ADDRESS(2,COLUMN())),OFFSET($AM$2,0,0,ROW()-1,33),ROW()-1,FALSE))</f>
        <v/>
      </c>
      <c r="AE249" t="str">
        <f ca="1">IF(AND(ISNUMBER($AE$654),$B$427=1),$AE$654,HLOOKUP(INDIRECT(ADDRESS(2,COLUMN())),OFFSET($AM$2,0,0,ROW()-1,33),ROW()-1,FALSE))</f>
        <v/>
      </c>
      <c r="AF249" t="str">
        <f ca="1">IF(AND(ISNUMBER($AF$654),$B$427=1),$AF$654,HLOOKUP(INDIRECT(ADDRESS(2,COLUMN())),OFFSET($AM$2,0,0,ROW()-1,33),ROW()-1,FALSE))</f>
        <v/>
      </c>
      <c r="AG249" t="str">
        <f ca="1">IF(AND(ISNUMBER($AG$654),$B$427=1),$AG$654,HLOOKUP(INDIRECT(ADDRESS(2,COLUMN())),OFFSET($AM$2,0,0,ROW()-1,33),ROW()-1,FALSE))</f>
        <v/>
      </c>
      <c r="AH249" t="str">
        <f ca="1">IF(AND(ISNUMBER($AH$654),$B$427=1),$AH$654,HLOOKUP(INDIRECT(ADDRESS(2,COLUMN())),OFFSET($AM$2,0,0,ROW()-1,33),ROW()-1,FALSE))</f>
        <v/>
      </c>
      <c r="AI249" t="str">
        <f ca="1">IF(AND(ISNUMBER($AI$654),$B$427=1),$AI$654,HLOOKUP(INDIRECT(ADDRESS(2,COLUMN())),OFFSET($AM$2,0,0,ROW()-1,33),ROW()-1,FALSE))</f>
        <v/>
      </c>
      <c r="AJ249" t="str">
        <f ca="1">IF(AND(ISNUMBER($AJ$654),$B$427=1),$AJ$654,HLOOKUP(INDIRECT(ADDRESS(2,COLUMN())),OFFSET($AM$2,0,0,ROW()-1,33),ROW()-1,FALSE))</f>
        <v/>
      </c>
      <c r="AK249" t="str">
        <f ca="1">IF(AND(ISNUMBER($AK$654),$B$427=1),$AK$654,HLOOKUP(INDIRECT(ADDRESS(2,COLUMN())),OFFSET($AM$2,0,0,ROW()-1,33),ROW()-1,FALSE))</f>
        <v/>
      </c>
      <c r="AL249" t="str">
        <f ca="1">IF(AND(ISNUMBER($AL$654),$B$427=1),$AL$654,HLOOKUP(INDIRECT(ADDRESS(2,COLUMN())),OFFSET($AM$2,0,0,ROW()-1,33),ROW()-1,FALSE))</f>
        <v/>
      </c>
      <c r="AM249" t="str">
        <f>""</f>
        <v/>
      </c>
      <c r="AN249">
        <f>0.021964763</f>
        <v>2.1964763000000002E-2</v>
      </c>
      <c r="AO249">
        <f>0.022565147</f>
        <v>2.2565147000000001E-2</v>
      </c>
      <c r="AP249">
        <f>0.023154587</f>
        <v>2.3154587000000001E-2</v>
      </c>
      <c r="AQ249">
        <f>0.035869775</f>
        <v>3.5869775E-2</v>
      </c>
      <c r="AR249">
        <f>0.078173671</f>
        <v>7.8173671E-2</v>
      </c>
      <c r="AS249">
        <f>0.142194855</f>
        <v>0.14219485500000001</v>
      </c>
      <c r="AT249">
        <f>0.229446629</f>
        <v>0.22944662900000001</v>
      </c>
      <c r="AU249">
        <f>0.343921023</f>
        <v>0.34392102299999999</v>
      </c>
      <c r="AV249">
        <f>0.339994387</f>
        <v>0.33999438700000001</v>
      </c>
      <c r="AW249">
        <f>0.236963976</f>
        <v>0.23696397599999999</v>
      </c>
      <c r="AX249">
        <f>4.67489221</f>
        <v>4.6748922100000003</v>
      </c>
      <c r="AY249">
        <f>4.085164272</f>
        <v>4.0851642720000001</v>
      </c>
      <c r="AZ249">
        <f>3.723702417</f>
        <v>3.7237024170000002</v>
      </c>
      <c r="BA249">
        <f>4.827414383</f>
        <v>4.8274143829999998</v>
      </c>
      <c r="BB249">
        <f>2.822708916</f>
        <v>2.8227089159999998</v>
      </c>
      <c r="BC249">
        <f>0.333893156</f>
        <v>0.33389315600000002</v>
      </c>
      <c r="BD249">
        <f>0.343251097</f>
        <v>0.34325109700000001</v>
      </c>
      <c r="BE249">
        <f>0.18688667</f>
        <v>0.18688667</v>
      </c>
      <c r="BF249">
        <f>0.277640891</f>
        <v>0.277640891</v>
      </c>
      <c r="BG249">
        <f>0.324492201</f>
        <v>0.32449220099999998</v>
      </c>
      <c r="BH249">
        <f>0.591677511</f>
        <v>0.59167751099999999</v>
      </c>
      <c r="BI249">
        <f>0.897745697</f>
        <v>0.89774569699999995</v>
      </c>
      <c r="BJ249">
        <f>0.91934862</f>
        <v>0.91934861999999995</v>
      </c>
      <c r="BK249" t="str">
        <f>""</f>
        <v/>
      </c>
      <c r="BL249" t="str">
        <f>""</f>
        <v/>
      </c>
      <c r="BM249" t="str">
        <f>""</f>
        <v/>
      </c>
      <c r="BN249" t="str">
        <f>""</f>
        <v/>
      </c>
      <c r="BO249" t="str">
        <f>""</f>
        <v/>
      </c>
      <c r="BP249" t="str">
        <f>""</f>
        <v/>
      </c>
      <c r="BQ249" t="str">
        <f>""</f>
        <v/>
      </c>
      <c r="BR249" t="str">
        <f>""</f>
        <v/>
      </c>
      <c r="BS249" t="str">
        <f>""</f>
        <v/>
      </c>
    </row>
    <row r="250" spans="1:71" x14ac:dyDescent="0.25">
      <c r="A250" t="str">
        <f>"        Fifth Third Bancorp"</f>
        <v xml:space="preserve">        Fifth Third Bancorp</v>
      </c>
      <c r="B250" t="str">
        <f>"FITB US Equity"</f>
        <v>FITB US Equity</v>
      </c>
      <c r="C250" t="str">
        <f t="shared" si="33"/>
        <v>F0121</v>
      </c>
      <c r="D250" t="str">
        <f t="shared" si="34"/>
        <v>FED_CNSMR_LNS_LEAS_%_TOT_LNS_LS</v>
      </c>
      <c r="E250" t="str">
        <f t="shared" si="35"/>
        <v>Dynamic</v>
      </c>
      <c r="F250">
        <f ca="1">IF(AND(ISNUMBER($F$655),$B$427=1),$F$655,HLOOKUP(INDIRECT(ADDRESS(2,COLUMN())),OFFSET($AM$2,0,0,ROW()-1,33),ROW()-1,FALSE))</f>
        <v>20.596025940000001</v>
      </c>
      <c r="G250">
        <f ca="1">IF(AND(ISNUMBER($G$655),$B$427=1),$G$655,HLOOKUP(INDIRECT(ADDRESS(2,COLUMN())),OFFSET($AM$2,0,0,ROW()-1,33),ROW()-1,FALSE))</f>
        <v>20.0617284</v>
      </c>
      <c r="H250">
        <f ca="1">IF(AND(ISNUMBER($H$655),$B$427=1),$H$655,HLOOKUP(INDIRECT(ADDRESS(2,COLUMN())),OFFSET($AM$2,0,0,ROW()-1,33),ROW()-1,FALSE))</f>
        <v>19.18748592</v>
      </c>
      <c r="I250">
        <f ca="1">IF(AND(ISNUMBER($I$655),$B$427=1),$I$655,HLOOKUP(INDIRECT(ADDRESS(2,COLUMN())),OFFSET($AM$2,0,0,ROW()-1,33),ROW()-1,FALSE))</f>
        <v>18.397311370000001</v>
      </c>
      <c r="J250">
        <f ca="1">IF(AND(ISNUMBER($J$655),$B$427=1),$J$655,HLOOKUP(INDIRECT(ADDRESS(2,COLUMN())),OFFSET($AM$2,0,0,ROW()-1,33),ROW()-1,FALSE))</f>
        <v>16.395734109999999</v>
      </c>
      <c r="K250">
        <f ca="1">IF(AND(ISNUMBER($K$655),$B$427=1),$K$655,HLOOKUP(INDIRECT(ADDRESS(2,COLUMN())),OFFSET($AM$2,0,0,ROW()-1,33),ROW()-1,FALSE))</f>
        <v>15.185015379999999</v>
      </c>
      <c r="L250">
        <f ca="1">IF(AND(ISNUMBER($L$655),$B$427=1),$L$655,HLOOKUP(INDIRECT(ADDRESS(2,COLUMN())),OFFSET($AM$2,0,0,ROW()-1,33),ROW()-1,FALSE))</f>
        <v>14.484747090000001</v>
      </c>
      <c r="M250">
        <f ca="1">IF(AND(ISNUMBER($M$655),$B$427=1),$M$655,HLOOKUP(INDIRECT(ADDRESS(2,COLUMN())),OFFSET($AM$2,0,0,ROW()-1,33),ROW()-1,FALSE))</f>
        <v>14.07069441</v>
      </c>
      <c r="N250">
        <f ca="1">IF(AND(ISNUMBER($N$655),$B$427=1),$N$655,HLOOKUP(INDIRECT(ADDRESS(2,COLUMN())),OFFSET($AM$2,0,0,ROW()-1,33),ROW()-1,FALSE))</f>
        <v>14.06611809</v>
      </c>
      <c r="O250">
        <f ca="1">IF(AND(ISNUMBER($O$655),$B$427=1),$O$655,HLOOKUP(INDIRECT(ADDRESS(2,COLUMN())),OFFSET($AM$2,0,0,ROW()-1,33),ROW()-1,FALSE))</f>
        <v>15.70363435</v>
      </c>
      <c r="P250">
        <f ca="1">IF(AND(ISNUMBER($P$655),$B$427=1),$P$655,HLOOKUP(INDIRECT(ADDRESS(2,COLUMN())),OFFSET($AM$2,0,0,ROW()-1,33),ROW()-1,FALSE))</f>
        <v>16.585487709999999</v>
      </c>
      <c r="Q250">
        <f ca="1">IF(AND(ISNUMBER($Q$655),$B$427=1),$Q$655,HLOOKUP(INDIRECT(ADDRESS(2,COLUMN())),OFFSET($AM$2,0,0,ROW()-1,33),ROW()-1,FALSE))</f>
        <v>16.617073609999998</v>
      </c>
      <c r="R250">
        <f ca="1">IF(AND(ISNUMBER($R$655),$B$427=1),$R$655,HLOOKUP(INDIRECT(ADDRESS(2,COLUMN())),OFFSET($AM$2,0,0,ROW()-1,33),ROW()-1,FALSE))</f>
        <v>16.375095949999999</v>
      </c>
      <c r="S250">
        <f ca="1">IF(AND(ISNUMBER($S$655),$B$427=1),$S$655,HLOOKUP(INDIRECT(ADDRESS(2,COLUMN())),OFFSET($AM$2,0,0,ROW()-1,33),ROW()-1,FALSE))</f>
        <v>16.877234730000001</v>
      </c>
      <c r="T250">
        <f ca="1">IF(AND(ISNUMBER($T$655),$B$427=1),$T$655,HLOOKUP(INDIRECT(ADDRESS(2,COLUMN())),OFFSET($AM$2,0,0,ROW()-1,33),ROW()-1,FALSE))</f>
        <v>16.977163210000001</v>
      </c>
      <c r="U250">
        <f ca="1">IF(AND(ISNUMBER($U$655),$B$427=1),$U$655,HLOOKUP(INDIRECT(ADDRESS(2,COLUMN())),OFFSET($AM$2,0,0,ROW()-1,33),ROW()-1,FALSE))</f>
        <v>14.835023870000001</v>
      </c>
      <c r="V250">
        <f ca="1">IF(AND(ISNUMBER($V$655),$B$427=1),$V$655,HLOOKUP(INDIRECT(ADDRESS(2,COLUMN())),OFFSET($AM$2,0,0,ROW()-1,33),ROW()-1,FALSE))</f>
        <v>13.511089589999999</v>
      </c>
      <c r="W250">
        <f ca="1">IF(AND(ISNUMBER($W$655),$B$427=1),$W$655,HLOOKUP(INDIRECT(ADDRESS(2,COLUMN())),OFFSET($AM$2,0,0,ROW()-1,33),ROW()-1,FALSE))</f>
        <v>16.896574260000001</v>
      </c>
      <c r="X250">
        <f ca="1">IF(AND(ISNUMBER($X$655),$B$427=1),$X$655,HLOOKUP(INDIRECT(ADDRESS(2,COLUMN())),OFFSET($AM$2,0,0,ROW()-1,33),ROW()-1,FALSE))</f>
        <v>15.530091880000001</v>
      </c>
      <c r="Y250">
        <f ca="1">IF(AND(ISNUMBER($Y$655),$B$427=1),$Y$655,HLOOKUP(INDIRECT(ADDRESS(2,COLUMN())),OFFSET($AM$2,0,0,ROW()-1,33),ROW()-1,FALSE))</f>
        <v>15.471672269999999</v>
      </c>
      <c r="Z250">
        <f ca="1">IF(AND(ISNUMBER($Z$655),$B$427=1),$Z$655,HLOOKUP(INDIRECT(ADDRESS(2,COLUMN())),OFFSET($AM$2,0,0,ROW()-1,33),ROW()-1,FALSE))</f>
        <v>15.209945469999999</v>
      </c>
      <c r="AA250">
        <f ca="1">IF(AND(ISNUMBER($AA$655),$B$427=1),$AA$655,HLOOKUP(INDIRECT(ADDRESS(2,COLUMN())),OFFSET($AM$2,0,0,ROW()-1,33),ROW()-1,FALSE))</f>
        <v>18.256711119999999</v>
      </c>
      <c r="AB250">
        <f ca="1">IF(AND(ISNUMBER($AB$655),$B$427=1),$AB$655,HLOOKUP(INDIRECT(ADDRESS(2,COLUMN())),OFFSET($AM$2,0,0,ROW()-1,33),ROW()-1,FALSE))</f>
        <v>14.280809659999999</v>
      </c>
      <c r="AC250">
        <f ca="1">IF(AND(ISNUMBER($AC$655),$B$427=1),$AC$655,HLOOKUP(INDIRECT(ADDRESS(2,COLUMN())),OFFSET($AM$2,0,0,ROW()-1,33),ROW()-1,FALSE))</f>
        <v>12.238066269999999</v>
      </c>
      <c r="AD250" t="str">
        <f ca="1">IF(AND(ISNUMBER($AD$655),$B$427=1),$AD$655,HLOOKUP(INDIRECT(ADDRESS(2,COLUMN())),OFFSET($AM$2,0,0,ROW()-1,33),ROW()-1,FALSE))</f>
        <v/>
      </c>
      <c r="AE250" t="str">
        <f ca="1">IF(AND(ISNUMBER($AE$655),$B$427=1),$AE$655,HLOOKUP(INDIRECT(ADDRESS(2,COLUMN())),OFFSET($AM$2,0,0,ROW()-1,33),ROW()-1,FALSE))</f>
        <v/>
      </c>
      <c r="AF250" t="str">
        <f ca="1">IF(AND(ISNUMBER($AF$655),$B$427=1),$AF$655,HLOOKUP(INDIRECT(ADDRESS(2,COLUMN())),OFFSET($AM$2,0,0,ROW()-1,33),ROW()-1,FALSE))</f>
        <v/>
      </c>
      <c r="AG250" t="str">
        <f ca="1">IF(AND(ISNUMBER($AG$655),$B$427=1),$AG$655,HLOOKUP(INDIRECT(ADDRESS(2,COLUMN())),OFFSET($AM$2,0,0,ROW()-1,33),ROW()-1,FALSE))</f>
        <v/>
      </c>
      <c r="AH250" t="str">
        <f ca="1">IF(AND(ISNUMBER($AH$655),$B$427=1),$AH$655,HLOOKUP(INDIRECT(ADDRESS(2,COLUMN())),OFFSET($AM$2,0,0,ROW()-1,33),ROW()-1,FALSE))</f>
        <v/>
      </c>
      <c r="AI250" t="str">
        <f ca="1">IF(AND(ISNUMBER($AI$655),$B$427=1),$AI$655,HLOOKUP(INDIRECT(ADDRESS(2,COLUMN())),OFFSET($AM$2,0,0,ROW()-1,33),ROW()-1,FALSE))</f>
        <v/>
      </c>
      <c r="AJ250" t="str">
        <f ca="1">IF(AND(ISNUMBER($AJ$655),$B$427=1),$AJ$655,HLOOKUP(INDIRECT(ADDRESS(2,COLUMN())),OFFSET($AM$2,0,0,ROW()-1,33),ROW()-1,FALSE))</f>
        <v/>
      </c>
      <c r="AK250" t="str">
        <f ca="1">IF(AND(ISNUMBER($AK$655),$B$427=1),$AK$655,HLOOKUP(INDIRECT(ADDRESS(2,COLUMN())),OFFSET($AM$2,0,0,ROW()-1,33),ROW()-1,FALSE))</f>
        <v/>
      </c>
      <c r="AL250" t="str">
        <f ca="1">IF(AND(ISNUMBER($AL$655),$B$427=1),$AL$655,HLOOKUP(INDIRECT(ADDRESS(2,COLUMN())),OFFSET($AM$2,0,0,ROW()-1,33),ROW()-1,FALSE))</f>
        <v/>
      </c>
      <c r="AM250">
        <f>20.59602594</f>
        <v>20.596025940000001</v>
      </c>
      <c r="AN250">
        <f>20.0617284</f>
        <v>20.0617284</v>
      </c>
      <c r="AO250">
        <f>19.18748592</f>
        <v>19.18748592</v>
      </c>
      <c r="AP250">
        <f>18.39731137</f>
        <v>18.397311370000001</v>
      </c>
      <c r="AQ250">
        <f>16.39573411</f>
        <v>16.395734109999999</v>
      </c>
      <c r="AR250">
        <f>15.18501538</f>
        <v>15.185015379999999</v>
      </c>
      <c r="AS250">
        <f>14.48474709</f>
        <v>14.484747090000001</v>
      </c>
      <c r="AT250">
        <f>14.07069441</f>
        <v>14.07069441</v>
      </c>
      <c r="AU250">
        <f>14.06611809</f>
        <v>14.06611809</v>
      </c>
      <c r="AV250">
        <f>15.70363435</f>
        <v>15.70363435</v>
      </c>
      <c r="AW250">
        <f>16.58548771</f>
        <v>16.585487709999999</v>
      </c>
      <c r="AX250">
        <f>16.61707361</f>
        <v>16.617073609999998</v>
      </c>
      <c r="AY250">
        <f>16.37509595</f>
        <v>16.375095949999999</v>
      </c>
      <c r="AZ250">
        <f>16.87723473</f>
        <v>16.877234730000001</v>
      </c>
      <c r="BA250">
        <f>16.97716321</f>
        <v>16.977163210000001</v>
      </c>
      <c r="BB250">
        <f>14.83502387</f>
        <v>14.835023870000001</v>
      </c>
      <c r="BC250">
        <f>13.51108959</f>
        <v>13.511089589999999</v>
      </c>
      <c r="BD250">
        <f>16.89657426</f>
        <v>16.896574260000001</v>
      </c>
      <c r="BE250">
        <f>15.53009188</f>
        <v>15.530091880000001</v>
      </c>
      <c r="BF250">
        <f>15.47167227</f>
        <v>15.471672269999999</v>
      </c>
      <c r="BG250">
        <f>15.20994547</f>
        <v>15.209945469999999</v>
      </c>
      <c r="BH250">
        <f>18.25671112</f>
        <v>18.256711119999999</v>
      </c>
      <c r="BI250">
        <f>14.28080966</f>
        <v>14.280809659999999</v>
      </c>
      <c r="BJ250">
        <f>12.23806627</f>
        <v>12.238066269999999</v>
      </c>
      <c r="BK250" t="str">
        <f>""</f>
        <v/>
      </c>
      <c r="BL250" t="str">
        <f>""</f>
        <v/>
      </c>
      <c r="BM250" t="str">
        <f>""</f>
        <v/>
      </c>
      <c r="BN250" t="str">
        <f>""</f>
        <v/>
      </c>
      <c r="BO250" t="str">
        <f>""</f>
        <v/>
      </c>
      <c r="BP250" t="str">
        <f>""</f>
        <v/>
      </c>
      <c r="BQ250" t="str">
        <f>""</f>
        <v/>
      </c>
      <c r="BR250" t="str">
        <f>""</f>
        <v/>
      </c>
      <c r="BS250" t="str">
        <f>""</f>
        <v/>
      </c>
    </row>
    <row r="251" spans="1:71" x14ac:dyDescent="0.25">
      <c r="A251" t="str">
        <f>"        First Citizens BancShares Inc/"</f>
        <v xml:space="preserve">        First Citizens BancShares Inc/</v>
      </c>
      <c r="B251" t="str">
        <f>"FCNCA US Equity"</f>
        <v>FCNCA US Equity</v>
      </c>
      <c r="C251" t="str">
        <f t="shared" si="33"/>
        <v>F0121</v>
      </c>
      <c r="D251" t="str">
        <f t="shared" si="34"/>
        <v>FED_CNSMR_LNS_LEAS_%_TOT_LNS_LS</v>
      </c>
      <c r="E251" t="str">
        <f t="shared" si="35"/>
        <v>Dynamic</v>
      </c>
      <c r="F251">
        <f ca="1">IF(AND(ISNUMBER($F$656),$B$427=1),$F$656,HLOOKUP(INDIRECT(ADDRESS(2,COLUMN())),OFFSET($AM$2,0,0,ROW()-1,33),ROW()-1,FALSE))</f>
        <v>1.9286829219999999</v>
      </c>
      <c r="G251">
        <f ca="1">IF(AND(ISNUMBER($G$656),$B$427=1),$G$656,HLOOKUP(INDIRECT(ADDRESS(2,COLUMN())),OFFSET($AM$2,0,0,ROW()-1,33),ROW()-1,FALSE))</f>
        <v>1.9631068709999999</v>
      </c>
      <c r="H251">
        <f ca="1">IF(AND(ISNUMBER($H$656),$B$427=1),$H$656,HLOOKUP(INDIRECT(ADDRESS(2,COLUMN())),OFFSET($AM$2,0,0,ROW()-1,33),ROW()-1,FALSE))</f>
        <v>2.9179295710000002</v>
      </c>
      <c r="I251">
        <f ca="1">IF(AND(ISNUMBER($I$656),$B$427=1),$I$656,HLOOKUP(INDIRECT(ADDRESS(2,COLUMN())),OFFSET($AM$2,0,0,ROW()-1,33),ROW()-1,FALSE))</f>
        <v>5.7880590620000003</v>
      </c>
      <c r="J251">
        <f ca="1">IF(AND(ISNUMBER($J$656),$B$427=1),$J$656,HLOOKUP(INDIRECT(ADDRESS(2,COLUMN())),OFFSET($AM$2,0,0,ROW()-1,33),ROW()-1,FALSE))</f>
        <v>5.4949853590000002</v>
      </c>
      <c r="K251">
        <f ca="1">IF(AND(ISNUMBER($K$656),$B$427=1),$K$656,HLOOKUP(INDIRECT(ADDRESS(2,COLUMN())),OFFSET($AM$2,0,0,ROW()-1,33),ROW()-1,FALSE))</f>
        <v>6.1526047290000001</v>
      </c>
      <c r="L251">
        <f ca="1">IF(AND(ISNUMBER($L$656),$B$427=1),$L$656,HLOOKUP(INDIRECT(ADDRESS(2,COLUMN())),OFFSET($AM$2,0,0,ROW()-1,33),ROW()-1,FALSE))</f>
        <v>6.7088219809999998</v>
      </c>
      <c r="M251">
        <f ca="1">IF(AND(ISNUMBER($M$656),$B$427=1),$M$656,HLOOKUP(INDIRECT(ADDRESS(2,COLUMN())),OFFSET($AM$2,0,0,ROW()-1,33),ROW()-1,FALSE))</f>
        <v>6.6109723259999997</v>
      </c>
      <c r="N251">
        <f ca="1">IF(AND(ISNUMBER($N$656),$B$427=1),$N$656,HLOOKUP(INDIRECT(ADDRESS(2,COLUMN())),OFFSET($AM$2,0,0,ROW()-1,33),ROW()-1,FALSE))</f>
        <v>6.6380500629999997</v>
      </c>
      <c r="O251">
        <f ca="1">IF(AND(ISNUMBER($O$656),$B$427=1),$O$656,HLOOKUP(INDIRECT(ADDRESS(2,COLUMN())),OFFSET($AM$2,0,0,ROW()-1,33),ROW()-1,FALSE))</f>
        <v>6.0202398490000002</v>
      </c>
      <c r="P251">
        <f ca="1">IF(AND(ISNUMBER($P$656),$B$427=1),$P$656,HLOOKUP(INDIRECT(ADDRESS(2,COLUMN())),OFFSET($AM$2,0,0,ROW()-1,33),ROW()-1,FALSE))</f>
        <v>5.9494473599999997</v>
      </c>
      <c r="Q251">
        <f ca="1">IF(AND(ISNUMBER($Q$656),$B$427=1),$Q$656,HLOOKUP(INDIRECT(ADDRESS(2,COLUMN())),OFFSET($AM$2,0,0,ROW()-1,33),ROW()-1,FALSE))</f>
        <v>2.9383439610000002</v>
      </c>
      <c r="R251">
        <f ca="1">IF(AND(ISNUMBER($R$656),$B$427=1),$R$656,HLOOKUP(INDIRECT(ADDRESS(2,COLUMN())),OFFSET($AM$2,0,0,ROW()-1,33),ROW()-1,FALSE))</f>
        <v>3.1055882179999998</v>
      </c>
      <c r="S251">
        <f ca="1">IF(AND(ISNUMBER($S$656),$B$427=1),$S$656,HLOOKUP(INDIRECT(ADDRESS(2,COLUMN())),OFFSET($AM$2,0,0,ROW()-1,33),ROW()-1,FALSE))</f>
        <v>3.5777234619999998</v>
      </c>
      <c r="T251">
        <f ca="1">IF(AND(ISNUMBER($T$656),$B$427=1),$T$656,HLOOKUP(INDIRECT(ADDRESS(2,COLUMN())),OFFSET($AM$2,0,0,ROW()-1,33),ROW()-1,FALSE))</f>
        <v>4.9082559789999998</v>
      </c>
      <c r="U251">
        <f ca="1">IF(AND(ISNUMBER($U$656),$B$427=1),$U$656,HLOOKUP(INDIRECT(ADDRESS(2,COLUMN())),OFFSET($AM$2,0,0,ROW()-1,33),ROW()-1,FALSE))</f>
        <v>7.3455228400000001</v>
      </c>
      <c r="V251">
        <f ca="1">IF(AND(ISNUMBER($V$656),$B$427=1),$V$656,HLOOKUP(INDIRECT(ADDRESS(2,COLUMN())),OFFSET($AM$2,0,0,ROW()-1,33),ROW()-1,FALSE))</f>
        <v>10.52175965</v>
      </c>
      <c r="W251">
        <f ca="1">IF(AND(ISNUMBER($W$656),$B$427=1),$W$656,HLOOKUP(INDIRECT(ADDRESS(2,COLUMN())),OFFSET($AM$2,0,0,ROW()-1,33),ROW()-1,FALSE))</f>
        <v>12.4793869</v>
      </c>
      <c r="X251">
        <f ca="1">IF(AND(ISNUMBER($X$656),$B$427=1),$X$656,HLOOKUP(INDIRECT(ADDRESS(2,COLUMN())),OFFSET($AM$2,0,0,ROW()-1,33),ROW()-1,FALSE))</f>
        <v>13.2512451</v>
      </c>
      <c r="Y251">
        <f ca="1">IF(AND(ISNUMBER($Y$656),$B$427=1),$Y$656,HLOOKUP(INDIRECT(ADDRESS(2,COLUMN())),OFFSET($AM$2,0,0,ROW()-1,33),ROW()-1,FALSE))</f>
        <v>13.63867902</v>
      </c>
      <c r="Z251">
        <f ca="1">IF(AND(ISNUMBER($Z$656),$B$427=1),$Z$656,HLOOKUP(INDIRECT(ADDRESS(2,COLUMN())),OFFSET($AM$2,0,0,ROW()-1,33),ROW()-1,FALSE))</f>
        <v>14.880312310000001</v>
      </c>
      <c r="AA251">
        <f ca="1">IF(AND(ISNUMBER($AA$656),$B$427=1),$AA$656,HLOOKUP(INDIRECT(ADDRESS(2,COLUMN())),OFFSET($AM$2,0,0,ROW()-1,33),ROW()-1,FALSE))</f>
        <v>15.65231082</v>
      </c>
      <c r="AB251">
        <f ca="1">IF(AND(ISNUMBER($AB$656),$B$427=1),$AB$656,HLOOKUP(INDIRECT(ADDRESS(2,COLUMN())),OFFSET($AM$2,0,0,ROW()-1,33),ROW()-1,FALSE))</f>
        <v>15.14342746</v>
      </c>
      <c r="AC251">
        <f ca="1">IF(AND(ISNUMBER($AC$656),$B$427=1),$AC$656,HLOOKUP(INDIRECT(ADDRESS(2,COLUMN())),OFFSET($AM$2,0,0,ROW()-1,33),ROW()-1,FALSE))</f>
        <v>14.927439939999999</v>
      </c>
      <c r="AD251" t="str">
        <f ca="1">IF(AND(ISNUMBER($AD$656),$B$427=1),$AD$656,HLOOKUP(INDIRECT(ADDRESS(2,COLUMN())),OFFSET($AM$2,0,0,ROW()-1,33),ROW()-1,FALSE))</f>
        <v/>
      </c>
      <c r="AE251" t="str">
        <f ca="1">IF(AND(ISNUMBER($AE$656),$B$427=1),$AE$656,HLOOKUP(INDIRECT(ADDRESS(2,COLUMN())),OFFSET($AM$2,0,0,ROW()-1,33),ROW()-1,FALSE))</f>
        <v/>
      </c>
      <c r="AF251" t="str">
        <f ca="1">IF(AND(ISNUMBER($AF$656),$B$427=1),$AF$656,HLOOKUP(INDIRECT(ADDRESS(2,COLUMN())),OFFSET($AM$2,0,0,ROW()-1,33),ROW()-1,FALSE))</f>
        <v/>
      </c>
      <c r="AG251" t="str">
        <f ca="1">IF(AND(ISNUMBER($AG$656),$B$427=1),$AG$656,HLOOKUP(INDIRECT(ADDRESS(2,COLUMN())),OFFSET($AM$2,0,0,ROW()-1,33),ROW()-1,FALSE))</f>
        <v/>
      </c>
      <c r="AH251" t="str">
        <f ca="1">IF(AND(ISNUMBER($AH$656),$B$427=1),$AH$656,HLOOKUP(INDIRECT(ADDRESS(2,COLUMN())),OFFSET($AM$2,0,0,ROW()-1,33),ROW()-1,FALSE))</f>
        <v/>
      </c>
      <c r="AI251" t="str">
        <f ca="1">IF(AND(ISNUMBER($AI$656),$B$427=1),$AI$656,HLOOKUP(INDIRECT(ADDRESS(2,COLUMN())),OFFSET($AM$2,0,0,ROW()-1,33),ROW()-1,FALSE))</f>
        <v/>
      </c>
      <c r="AJ251" t="str">
        <f ca="1">IF(AND(ISNUMBER($AJ$656),$B$427=1),$AJ$656,HLOOKUP(INDIRECT(ADDRESS(2,COLUMN())),OFFSET($AM$2,0,0,ROW()-1,33),ROW()-1,FALSE))</f>
        <v/>
      </c>
      <c r="AK251" t="str">
        <f ca="1">IF(AND(ISNUMBER($AK$656),$B$427=1),$AK$656,HLOOKUP(INDIRECT(ADDRESS(2,COLUMN())),OFFSET($AM$2,0,0,ROW()-1,33),ROW()-1,FALSE))</f>
        <v/>
      </c>
      <c r="AL251" t="str">
        <f ca="1">IF(AND(ISNUMBER($AL$656),$B$427=1),$AL$656,HLOOKUP(INDIRECT(ADDRESS(2,COLUMN())),OFFSET($AM$2,0,0,ROW()-1,33),ROW()-1,FALSE))</f>
        <v/>
      </c>
      <c r="AM251">
        <f>1.928682922</f>
        <v>1.9286829219999999</v>
      </c>
      <c r="AN251">
        <f>1.963106871</f>
        <v>1.9631068709999999</v>
      </c>
      <c r="AO251">
        <f>2.917929571</f>
        <v>2.9179295710000002</v>
      </c>
      <c r="AP251">
        <f>5.788059062</f>
        <v>5.7880590620000003</v>
      </c>
      <c r="AQ251">
        <f>5.494985359</f>
        <v>5.4949853590000002</v>
      </c>
      <c r="AR251">
        <f>6.152604729</f>
        <v>6.1526047290000001</v>
      </c>
      <c r="AS251">
        <f>6.708821981</f>
        <v>6.7088219809999998</v>
      </c>
      <c r="AT251">
        <f>6.610972326</f>
        <v>6.6109723259999997</v>
      </c>
      <c r="AU251">
        <f>6.638050063</f>
        <v>6.6380500629999997</v>
      </c>
      <c r="AV251">
        <f>6.020239849</f>
        <v>6.0202398490000002</v>
      </c>
      <c r="AW251">
        <f>5.94944736</f>
        <v>5.9494473599999997</v>
      </c>
      <c r="AX251">
        <f>2.938343961</f>
        <v>2.9383439610000002</v>
      </c>
      <c r="AY251">
        <f>3.105588218</f>
        <v>3.1055882179999998</v>
      </c>
      <c r="AZ251">
        <f>3.577723462</f>
        <v>3.5777234619999998</v>
      </c>
      <c r="BA251">
        <f>4.908255979</f>
        <v>4.9082559789999998</v>
      </c>
      <c r="BB251">
        <f>7.34552284</f>
        <v>7.3455228400000001</v>
      </c>
      <c r="BC251">
        <f>10.52175965</f>
        <v>10.52175965</v>
      </c>
      <c r="BD251">
        <f>12.4793869</f>
        <v>12.4793869</v>
      </c>
      <c r="BE251">
        <f>13.2512451</f>
        <v>13.2512451</v>
      </c>
      <c r="BF251">
        <f>13.63867902</f>
        <v>13.63867902</v>
      </c>
      <c r="BG251">
        <f>14.88031231</f>
        <v>14.880312310000001</v>
      </c>
      <c r="BH251">
        <f>15.65231082</f>
        <v>15.65231082</v>
      </c>
      <c r="BI251">
        <f>15.14342746</f>
        <v>15.14342746</v>
      </c>
      <c r="BJ251">
        <f>14.92743994</f>
        <v>14.927439939999999</v>
      </c>
      <c r="BK251" t="str">
        <f>""</f>
        <v/>
      </c>
      <c r="BL251" t="str">
        <f>""</f>
        <v/>
      </c>
      <c r="BM251" t="str">
        <f>""</f>
        <v/>
      </c>
      <c r="BN251" t="str">
        <f>""</f>
        <v/>
      </c>
      <c r="BO251" t="str">
        <f>""</f>
        <v/>
      </c>
      <c r="BP251" t="str">
        <f>""</f>
        <v/>
      </c>
      <c r="BQ251" t="str">
        <f>""</f>
        <v/>
      </c>
      <c r="BR251" t="str">
        <f>""</f>
        <v/>
      </c>
      <c r="BS251" t="str">
        <f>""</f>
        <v/>
      </c>
    </row>
    <row r="252" spans="1:71" x14ac:dyDescent="0.25">
      <c r="A252" t="str">
        <f>"        Flagstar Financial Inc"</f>
        <v xml:space="preserve">        Flagstar Financial Inc</v>
      </c>
      <c r="B252" t="str">
        <f>"FLG US Equity"</f>
        <v>FLG US Equity</v>
      </c>
      <c r="C252" t="str">
        <f t="shared" si="33"/>
        <v>F0121</v>
      </c>
      <c r="D252" t="str">
        <f t="shared" si="34"/>
        <v>FED_CNSMR_LNS_LEAS_%_TOT_LNS_LS</v>
      </c>
      <c r="E252" t="str">
        <f t="shared" si="35"/>
        <v>Dynamic</v>
      </c>
      <c r="F252">
        <f ca="1">IF(AND(ISNUMBER($F$657),$B$427=1),$F$657,HLOOKUP(INDIRECT(ADDRESS(2,COLUMN())),OFFSET($AM$2,0,0,ROW()-1,33),ROW()-1,FALSE))</f>
        <v>0.29928218000000001</v>
      </c>
      <c r="G252">
        <f ca="1">IF(AND(ISNUMBER($G$657),$B$427=1),$G$657,HLOOKUP(INDIRECT(ADDRESS(2,COLUMN())),OFFSET($AM$2,0,0,ROW()-1,33),ROW()-1,FALSE))</f>
        <v>1.4220930270000001</v>
      </c>
      <c r="H252">
        <f ca="1">IF(AND(ISNUMBER($H$657),$B$427=1),$H$657,HLOOKUP(INDIRECT(ADDRESS(2,COLUMN())),OFFSET($AM$2,0,0,ROW()-1,33),ROW()-1,FALSE))</f>
        <v>1.94142715</v>
      </c>
      <c r="I252">
        <f ca="1">IF(AND(ISNUMBER($I$657),$B$427=1),$I$657,HLOOKUP(INDIRECT(ADDRESS(2,COLUMN())),OFFSET($AM$2,0,0,ROW()-1,33),ROW()-1,FALSE))</f>
        <v>3.87857E-3</v>
      </c>
      <c r="J252">
        <f ca="1">IF(AND(ISNUMBER($J$657),$B$427=1),$J$657,HLOOKUP(INDIRECT(ADDRESS(2,COLUMN())),OFFSET($AM$2,0,0,ROW()-1,33),ROW()-1,FALSE))</f>
        <v>4.8743349999999996E-3</v>
      </c>
      <c r="K252">
        <f ca="1">IF(AND(ISNUMBER($K$657),$B$427=1),$K$657,HLOOKUP(INDIRECT(ADDRESS(2,COLUMN())),OFFSET($AM$2,0,0,ROW()-1,33),ROW()-1,FALSE))</f>
        <v>7.5094009999999997E-3</v>
      </c>
      <c r="L252">
        <f ca="1">IF(AND(ISNUMBER($L$657),$B$427=1),$L$657,HLOOKUP(INDIRECT(ADDRESS(2,COLUMN())),OFFSET($AM$2,0,0,ROW()-1,33),ROW()-1,FALSE))</f>
        <v>8.5072150000000003E-3</v>
      </c>
      <c r="M252">
        <f ca="1">IF(AND(ISNUMBER($M$657),$B$427=1),$M$657,HLOOKUP(INDIRECT(ADDRESS(2,COLUMN())),OFFSET($AM$2,0,0,ROW()-1,33),ROW()-1,FALSE))</f>
        <v>8.2918590000000004E-3</v>
      </c>
      <c r="N252">
        <f ca="1">IF(AND(ISNUMBER($N$657),$B$427=1),$N$657,HLOOKUP(INDIRECT(ADDRESS(2,COLUMN())),OFFSET($AM$2,0,0,ROW()-1,33),ROW()-1,FALSE))</f>
        <v>1.006837E-2</v>
      </c>
      <c r="O252">
        <f ca="1">IF(AND(ISNUMBER($O$657),$B$427=1),$O$657,HLOOKUP(INDIRECT(ADDRESS(2,COLUMN())),OFFSET($AM$2,0,0,ROW()-1,33),ROW()-1,FALSE))</f>
        <v>1.1193879E-2</v>
      </c>
      <c r="P252">
        <f ca="1">IF(AND(ISNUMBER($P$657),$B$427=1),$P$657,HLOOKUP(INDIRECT(ADDRESS(2,COLUMN())),OFFSET($AM$2,0,0,ROW()-1,33),ROW()-1,FALSE))</f>
        <v>4.2293429E-2</v>
      </c>
      <c r="Q252">
        <f ca="1">IF(AND(ISNUMBER($Q$657),$B$427=1),$Q$657,HLOOKUP(INDIRECT(ADDRESS(2,COLUMN())),OFFSET($AM$2,0,0,ROW()-1,33),ROW()-1,FALSE))</f>
        <v>5.2355829E-2</v>
      </c>
      <c r="R252">
        <f ca="1">IF(AND(ISNUMBER($R$657),$B$427=1),$R$657,HLOOKUP(INDIRECT(ADDRESS(2,COLUMN())),OFFSET($AM$2,0,0,ROW()-1,33),ROW()-1,FALSE))</f>
        <v>6.1186835000000002E-2</v>
      </c>
      <c r="S252">
        <f ca="1">IF(AND(ISNUMBER($S$657),$B$427=1),$S$657,HLOOKUP(INDIRECT(ADDRESS(2,COLUMN())),OFFSET($AM$2,0,0,ROW()-1,33),ROW()-1,FALSE))</f>
        <v>7.2782015000000005E-2</v>
      </c>
      <c r="T252">
        <f ca="1">IF(AND(ISNUMBER($T$657),$B$427=1),$T$657,HLOOKUP(INDIRECT(ADDRESS(2,COLUMN())),OFFSET($AM$2,0,0,ROW()-1,33),ROW()-1,FALSE))</f>
        <v>7.8162328000000003E-2</v>
      </c>
      <c r="U252">
        <f ca="1">IF(AND(ISNUMBER($U$657),$B$427=1),$U$657,HLOOKUP(INDIRECT(ADDRESS(2,COLUMN())),OFFSET($AM$2,0,0,ROW()-1,33),ROW()-1,FALSE))</f>
        <v>7.2370349E-2</v>
      </c>
      <c r="V252">
        <f ca="1">IF(AND(ISNUMBER($V$657),$B$427=1),$V$657,HLOOKUP(INDIRECT(ADDRESS(2,COLUMN())),OFFSET($AM$2,0,0,ROW()-1,33),ROW()-1,FALSE))</f>
        <v>0.15407124999999999</v>
      </c>
      <c r="W252">
        <f ca="1">IF(AND(ISNUMBER($W$657),$B$427=1),$W$657,HLOOKUP(INDIRECT(ADDRESS(2,COLUMN())),OFFSET($AM$2,0,0,ROW()-1,33),ROW()-1,FALSE))</f>
        <v>0.420023172</v>
      </c>
      <c r="X252">
        <f ca="1">IF(AND(ISNUMBER($X$657),$B$427=1),$X$657,HLOOKUP(INDIRECT(ADDRESS(2,COLUMN())),OFFSET($AM$2,0,0,ROW()-1,33),ROW()-1,FALSE))</f>
        <v>0.155507224</v>
      </c>
      <c r="Y252">
        <f ca="1">IF(AND(ISNUMBER($Y$657),$B$427=1),$Y$657,HLOOKUP(INDIRECT(ADDRESS(2,COLUMN())),OFFSET($AM$2,0,0,ROW()-1,33),ROW()-1,FALSE))</f>
        <v>5.0749263000000003E-2</v>
      </c>
      <c r="Z252">
        <f ca="1">IF(AND(ISNUMBER($Z$657),$B$427=1),$Z$657,HLOOKUP(INDIRECT(ADDRESS(2,COLUMN())),OFFSET($AM$2,0,0,ROW()-1,33),ROW()-1,FALSE))</f>
        <v>3.6814975E-2</v>
      </c>
      <c r="AA252">
        <f ca="1">IF(AND(ISNUMBER($AA$657),$B$427=1),$AA$657,HLOOKUP(INDIRECT(ADDRESS(2,COLUMN())),OFFSET($AM$2,0,0,ROW()-1,33),ROW()-1,FALSE))</f>
        <v>0.977359749</v>
      </c>
      <c r="AB252">
        <f ca="1">IF(AND(ISNUMBER($AB$657),$B$427=1),$AB$657,HLOOKUP(INDIRECT(ADDRESS(2,COLUMN())),OFFSET($AM$2,0,0,ROW()-1,33),ROW()-1,FALSE))</f>
        <v>0.28046854500000001</v>
      </c>
      <c r="AC252">
        <f ca="1">IF(AND(ISNUMBER($AC$657),$B$427=1),$AC$657,HLOOKUP(INDIRECT(ADDRESS(2,COLUMN())),OFFSET($AM$2,0,0,ROW()-1,33),ROW()-1,FALSE))</f>
        <v>0.38930635200000002</v>
      </c>
      <c r="AD252" t="str">
        <f ca="1">IF(AND(ISNUMBER($AD$657),$B$427=1),$AD$657,HLOOKUP(INDIRECT(ADDRESS(2,COLUMN())),OFFSET($AM$2,0,0,ROW()-1,33),ROW()-1,FALSE))</f>
        <v/>
      </c>
      <c r="AE252" t="str">
        <f ca="1">IF(AND(ISNUMBER($AE$657),$B$427=1),$AE$657,HLOOKUP(INDIRECT(ADDRESS(2,COLUMN())),OFFSET($AM$2,0,0,ROW()-1,33),ROW()-1,FALSE))</f>
        <v/>
      </c>
      <c r="AF252" t="str">
        <f ca="1">IF(AND(ISNUMBER($AF$657),$B$427=1),$AF$657,HLOOKUP(INDIRECT(ADDRESS(2,COLUMN())),OFFSET($AM$2,0,0,ROW()-1,33),ROW()-1,FALSE))</f>
        <v/>
      </c>
      <c r="AG252" t="str">
        <f ca="1">IF(AND(ISNUMBER($AG$657),$B$427=1),$AG$657,HLOOKUP(INDIRECT(ADDRESS(2,COLUMN())),OFFSET($AM$2,0,0,ROW()-1,33),ROW()-1,FALSE))</f>
        <v/>
      </c>
      <c r="AH252" t="str">
        <f ca="1">IF(AND(ISNUMBER($AH$657),$B$427=1),$AH$657,HLOOKUP(INDIRECT(ADDRESS(2,COLUMN())),OFFSET($AM$2,0,0,ROW()-1,33),ROW()-1,FALSE))</f>
        <v/>
      </c>
      <c r="AI252" t="str">
        <f ca="1">IF(AND(ISNUMBER($AI$657),$B$427=1),$AI$657,HLOOKUP(INDIRECT(ADDRESS(2,COLUMN())),OFFSET($AM$2,0,0,ROW()-1,33),ROW()-1,FALSE))</f>
        <v/>
      </c>
      <c r="AJ252" t="str">
        <f ca="1">IF(AND(ISNUMBER($AJ$657),$B$427=1),$AJ$657,HLOOKUP(INDIRECT(ADDRESS(2,COLUMN())),OFFSET($AM$2,0,0,ROW()-1,33),ROW()-1,FALSE))</f>
        <v/>
      </c>
      <c r="AK252" t="str">
        <f ca="1">IF(AND(ISNUMBER($AK$657),$B$427=1),$AK$657,HLOOKUP(INDIRECT(ADDRESS(2,COLUMN())),OFFSET($AM$2,0,0,ROW()-1,33),ROW()-1,FALSE))</f>
        <v/>
      </c>
      <c r="AL252" t="str">
        <f ca="1">IF(AND(ISNUMBER($AL$657),$B$427=1),$AL$657,HLOOKUP(INDIRECT(ADDRESS(2,COLUMN())),OFFSET($AM$2,0,0,ROW()-1,33),ROW()-1,FALSE))</f>
        <v/>
      </c>
      <c r="AM252">
        <f>0.29928218</f>
        <v>0.29928218000000001</v>
      </c>
      <c r="AN252">
        <f>1.422093027</f>
        <v>1.4220930270000001</v>
      </c>
      <c r="AO252">
        <f>1.94142715</f>
        <v>1.94142715</v>
      </c>
      <c r="AP252">
        <f>0.00387857</f>
        <v>3.87857E-3</v>
      </c>
      <c r="AQ252">
        <f>0.004874335</f>
        <v>4.8743349999999996E-3</v>
      </c>
      <c r="AR252">
        <f>0.007509401</f>
        <v>7.5094009999999997E-3</v>
      </c>
      <c r="AS252">
        <f>0.008507215</f>
        <v>8.5072150000000003E-3</v>
      </c>
      <c r="AT252">
        <f>0.008291859</f>
        <v>8.2918590000000004E-3</v>
      </c>
      <c r="AU252">
        <f>0.01006837</f>
        <v>1.006837E-2</v>
      </c>
      <c r="AV252">
        <f>0.011193879</f>
        <v>1.1193879E-2</v>
      </c>
      <c r="AW252">
        <f>0.042293429</f>
        <v>4.2293429E-2</v>
      </c>
      <c r="AX252">
        <f>0.052355829</f>
        <v>5.2355829E-2</v>
      </c>
      <c r="AY252">
        <f>0.061186835</f>
        <v>6.1186835000000002E-2</v>
      </c>
      <c r="AZ252">
        <f>0.072782015</f>
        <v>7.2782015000000005E-2</v>
      </c>
      <c r="BA252">
        <f>0.078162328</f>
        <v>7.8162328000000003E-2</v>
      </c>
      <c r="BB252">
        <f>0.072370349</f>
        <v>7.2370349E-2</v>
      </c>
      <c r="BC252">
        <f>0.15407125</f>
        <v>0.15407124999999999</v>
      </c>
      <c r="BD252">
        <f>0.420023172</f>
        <v>0.420023172</v>
      </c>
      <c r="BE252">
        <f>0.155507224</f>
        <v>0.155507224</v>
      </c>
      <c r="BF252">
        <f>0.050749263</f>
        <v>5.0749263000000003E-2</v>
      </c>
      <c r="BG252">
        <f>0.036814975</f>
        <v>3.6814975E-2</v>
      </c>
      <c r="BH252">
        <f>0.977359749</f>
        <v>0.977359749</v>
      </c>
      <c r="BI252">
        <f>0.280468545</f>
        <v>0.28046854500000001</v>
      </c>
      <c r="BJ252">
        <f>0.389306352</f>
        <v>0.38930635200000002</v>
      </c>
      <c r="BK252" t="str">
        <f>""</f>
        <v/>
      </c>
      <c r="BL252" t="str">
        <f>""</f>
        <v/>
      </c>
      <c r="BM252" t="str">
        <f>""</f>
        <v/>
      </c>
      <c r="BN252" t="str">
        <f>""</f>
        <v/>
      </c>
      <c r="BO252" t="str">
        <f>""</f>
        <v/>
      </c>
      <c r="BP252" t="str">
        <f>""</f>
        <v/>
      </c>
      <c r="BQ252" t="str">
        <f>""</f>
        <v/>
      </c>
      <c r="BR252" t="str">
        <f>""</f>
        <v/>
      </c>
      <c r="BS252" t="str">
        <f>""</f>
        <v/>
      </c>
    </row>
    <row r="253" spans="1:71" x14ac:dyDescent="0.25">
      <c r="A253" t="str">
        <f>"        Huntington Bancshares Inc/OH"</f>
        <v xml:space="preserve">        Huntington Bancshares Inc/OH</v>
      </c>
      <c r="B253" t="str">
        <f>"HBAN US Equity"</f>
        <v>HBAN US Equity</v>
      </c>
      <c r="C253" t="str">
        <f t="shared" si="33"/>
        <v>F0121</v>
      </c>
      <c r="D253" t="str">
        <f t="shared" si="34"/>
        <v>FED_CNSMR_LNS_LEAS_%_TOT_LNS_LS</v>
      </c>
      <c r="E253" t="str">
        <f t="shared" si="35"/>
        <v>Dynamic</v>
      </c>
      <c r="F253">
        <f ca="1">IF(AND(ISNUMBER($F$658),$B$427=1),$F$658,HLOOKUP(INDIRECT(ADDRESS(2,COLUMN())),OFFSET($AM$2,0,0,ROW()-1,33),ROW()-1,FALSE))</f>
        <v>17.39294074</v>
      </c>
      <c r="G253">
        <f ca="1">IF(AND(ISNUMBER($G$658),$B$427=1),$G$658,HLOOKUP(INDIRECT(ADDRESS(2,COLUMN())),OFFSET($AM$2,0,0,ROW()-1,33),ROW()-1,FALSE))</f>
        <v>16.54391622</v>
      </c>
      <c r="H253">
        <f ca="1">IF(AND(ISNUMBER($H$658),$B$427=1),$H$658,HLOOKUP(INDIRECT(ADDRESS(2,COLUMN())),OFFSET($AM$2,0,0,ROW()-1,33),ROW()-1,FALSE))</f>
        <v>17.48343599</v>
      </c>
      <c r="I253">
        <f ca="1">IF(AND(ISNUMBER($I$658),$B$427=1),$I$658,HLOOKUP(INDIRECT(ADDRESS(2,COLUMN())),OFFSET($AM$2,0,0,ROW()-1,33),ROW()-1,FALSE))</f>
        <v>18.357777590000001</v>
      </c>
      <c r="J253">
        <f ca="1">IF(AND(ISNUMBER($J$658),$B$427=1),$J$658,HLOOKUP(INDIRECT(ADDRESS(2,COLUMN())),OFFSET($AM$2,0,0,ROW()-1,33),ROW()-1,FALSE))</f>
        <v>22.180977599999999</v>
      </c>
      <c r="K253">
        <f ca="1">IF(AND(ISNUMBER($K$658),$B$427=1),$K$658,HLOOKUP(INDIRECT(ADDRESS(2,COLUMN())),OFFSET($AM$2,0,0,ROW()-1,33),ROW()-1,FALSE))</f>
        <v>23.45479551</v>
      </c>
      <c r="L253">
        <f ca="1">IF(AND(ISNUMBER($L$658),$B$427=1),$L$658,HLOOKUP(INDIRECT(ADDRESS(2,COLUMN())),OFFSET($AM$2,0,0,ROW()-1,33),ROW()-1,FALSE))</f>
        <v>22.816837459999999</v>
      </c>
      <c r="M253">
        <f ca="1">IF(AND(ISNUMBER($M$658),$B$427=1),$M$658,HLOOKUP(INDIRECT(ADDRESS(2,COLUMN())),OFFSET($AM$2,0,0,ROW()-1,33),ROW()-1,FALSE))</f>
        <v>22.760907199999998</v>
      </c>
      <c r="N253">
        <f ca="1">IF(AND(ISNUMBER($N$658),$B$427=1),$N$658,HLOOKUP(INDIRECT(ADDRESS(2,COLUMN())),OFFSET($AM$2,0,0,ROW()-1,33),ROW()-1,FALSE))</f>
        <v>20.995454110000001</v>
      </c>
      <c r="O253">
        <f ca="1">IF(AND(ISNUMBER($O$658),$B$427=1),$O$658,HLOOKUP(INDIRECT(ADDRESS(2,COLUMN())),OFFSET($AM$2,0,0,ROW()-1,33),ROW()-1,FALSE))</f>
        <v>20.128942439999999</v>
      </c>
      <c r="P253">
        <f ca="1">IF(AND(ISNUMBER($P$658),$B$427=1),$P$658,HLOOKUP(INDIRECT(ADDRESS(2,COLUMN())),OFFSET($AM$2,0,0,ROW()-1,33),ROW()-1,FALSE))</f>
        <v>19.266758930000002</v>
      </c>
      <c r="Q253">
        <f ca="1">IF(AND(ISNUMBER($Q$658),$B$427=1),$Q$658,HLOOKUP(INDIRECT(ADDRESS(2,COLUMN())),OFFSET($AM$2,0,0,ROW()-1,33),ROW()-1,FALSE))</f>
        <v>16.478388519999999</v>
      </c>
      <c r="R253">
        <f ca="1">IF(AND(ISNUMBER($R$658),$B$427=1),$R$658,HLOOKUP(INDIRECT(ADDRESS(2,COLUMN())),OFFSET($AM$2,0,0,ROW()-1,33),ROW()-1,FALSE))</f>
        <v>13.10552577</v>
      </c>
      <c r="S253">
        <f ca="1">IF(AND(ISNUMBER($S$658),$B$427=1),$S$658,HLOOKUP(INDIRECT(ADDRESS(2,COLUMN())),OFFSET($AM$2,0,0,ROW()-1,33),ROW()-1,FALSE))</f>
        <v>15.54787616</v>
      </c>
      <c r="T253">
        <f ca="1">IF(AND(ISNUMBER($T$658),$B$427=1),$T$658,HLOOKUP(INDIRECT(ADDRESS(2,COLUMN())),OFFSET($AM$2,0,0,ROW()-1,33),ROW()-1,FALSE))</f>
        <v>16.29538801</v>
      </c>
      <c r="U253">
        <f ca="1">IF(AND(ISNUMBER($U$658),$B$427=1),$U$658,HLOOKUP(INDIRECT(ADDRESS(2,COLUMN())),OFFSET($AM$2,0,0,ROW()-1,33),ROW()-1,FALSE))</f>
        <v>10.86462423</v>
      </c>
      <c r="V253">
        <f ca="1">IF(AND(ISNUMBER($V$658),$B$427=1),$V$658,HLOOKUP(INDIRECT(ADDRESS(2,COLUMN())),OFFSET($AM$2,0,0,ROW()-1,33),ROW()-1,FALSE))</f>
        <v>12.716392129999999</v>
      </c>
      <c r="W253">
        <f ca="1">IF(AND(ISNUMBER($W$658),$B$427=1),$W$658,HLOOKUP(INDIRECT(ADDRESS(2,COLUMN())),OFFSET($AM$2,0,0,ROW()-1,33),ROW()-1,FALSE))</f>
        <v>12.51913884</v>
      </c>
      <c r="X253">
        <f ca="1">IF(AND(ISNUMBER($X$658),$B$427=1),$X$658,HLOOKUP(INDIRECT(ADDRESS(2,COLUMN())),OFFSET($AM$2,0,0,ROW()-1,33),ROW()-1,FALSE))</f>
        <v>11.339940739999999</v>
      </c>
      <c r="Y253">
        <f ca="1">IF(AND(ISNUMBER($Y$658),$B$427=1),$Y$658,HLOOKUP(INDIRECT(ADDRESS(2,COLUMN())),OFFSET($AM$2,0,0,ROW()-1,33),ROW()-1,FALSE))</f>
        <v>11.210668439999999</v>
      </c>
      <c r="Z253">
        <f ca="1">IF(AND(ISNUMBER($Z$658),$B$427=1),$Z$658,HLOOKUP(INDIRECT(ADDRESS(2,COLUMN())),OFFSET($AM$2,0,0,ROW()-1,33),ROW()-1,FALSE))</f>
        <v>10.91194642</v>
      </c>
      <c r="AA253">
        <f ca="1">IF(AND(ISNUMBER($AA$658),$B$427=1),$AA$658,HLOOKUP(INDIRECT(ADDRESS(2,COLUMN())),OFFSET($AM$2,0,0,ROW()-1,33),ROW()-1,FALSE))</f>
        <v>17.164081199999998</v>
      </c>
      <c r="AB253">
        <f ca="1">IF(AND(ISNUMBER($AB$658),$B$427=1),$AB$658,HLOOKUP(INDIRECT(ADDRESS(2,COLUMN())),OFFSET($AM$2,0,0,ROW()-1,33),ROW()-1,FALSE))</f>
        <v>18.918532720000002</v>
      </c>
      <c r="AC253">
        <f ca="1">IF(AND(ISNUMBER($AC$658),$B$427=1),$AC$658,HLOOKUP(INDIRECT(ADDRESS(2,COLUMN())),OFFSET($AM$2,0,0,ROW()-1,33),ROW()-1,FALSE))</f>
        <v>18.2753029</v>
      </c>
      <c r="AD253" t="str">
        <f ca="1">IF(AND(ISNUMBER($AD$658),$B$427=1),$AD$658,HLOOKUP(INDIRECT(ADDRESS(2,COLUMN())),OFFSET($AM$2,0,0,ROW()-1,33),ROW()-1,FALSE))</f>
        <v/>
      </c>
      <c r="AE253" t="str">
        <f ca="1">IF(AND(ISNUMBER($AE$658),$B$427=1),$AE$658,HLOOKUP(INDIRECT(ADDRESS(2,COLUMN())),OFFSET($AM$2,0,0,ROW()-1,33),ROW()-1,FALSE))</f>
        <v/>
      </c>
      <c r="AF253" t="str">
        <f ca="1">IF(AND(ISNUMBER($AF$658),$B$427=1),$AF$658,HLOOKUP(INDIRECT(ADDRESS(2,COLUMN())),OFFSET($AM$2,0,0,ROW()-1,33),ROW()-1,FALSE))</f>
        <v/>
      </c>
      <c r="AG253" t="str">
        <f ca="1">IF(AND(ISNUMBER($AG$658),$B$427=1),$AG$658,HLOOKUP(INDIRECT(ADDRESS(2,COLUMN())),OFFSET($AM$2,0,0,ROW()-1,33),ROW()-1,FALSE))</f>
        <v/>
      </c>
      <c r="AH253" t="str">
        <f ca="1">IF(AND(ISNUMBER($AH$658),$B$427=1),$AH$658,HLOOKUP(INDIRECT(ADDRESS(2,COLUMN())),OFFSET($AM$2,0,0,ROW()-1,33),ROW()-1,FALSE))</f>
        <v/>
      </c>
      <c r="AI253" t="str">
        <f ca="1">IF(AND(ISNUMBER($AI$658),$B$427=1),$AI$658,HLOOKUP(INDIRECT(ADDRESS(2,COLUMN())),OFFSET($AM$2,0,0,ROW()-1,33),ROW()-1,FALSE))</f>
        <v/>
      </c>
      <c r="AJ253" t="str">
        <f ca="1">IF(AND(ISNUMBER($AJ$658),$B$427=1),$AJ$658,HLOOKUP(INDIRECT(ADDRESS(2,COLUMN())),OFFSET($AM$2,0,0,ROW()-1,33),ROW()-1,FALSE))</f>
        <v/>
      </c>
      <c r="AK253" t="str">
        <f ca="1">IF(AND(ISNUMBER($AK$658),$B$427=1),$AK$658,HLOOKUP(INDIRECT(ADDRESS(2,COLUMN())),OFFSET($AM$2,0,0,ROW()-1,33),ROW()-1,FALSE))</f>
        <v/>
      </c>
      <c r="AL253" t="str">
        <f ca="1">IF(AND(ISNUMBER($AL$658),$B$427=1),$AL$658,HLOOKUP(INDIRECT(ADDRESS(2,COLUMN())),OFFSET($AM$2,0,0,ROW()-1,33),ROW()-1,FALSE))</f>
        <v/>
      </c>
      <c r="AM253">
        <f>17.39294074</f>
        <v>17.39294074</v>
      </c>
      <c r="AN253">
        <f>16.54391622</f>
        <v>16.54391622</v>
      </c>
      <c r="AO253">
        <f>17.48343599</f>
        <v>17.48343599</v>
      </c>
      <c r="AP253">
        <f>18.35777759</f>
        <v>18.357777590000001</v>
      </c>
      <c r="AQ253">
        <f>22.1809776</f>
        <v>22.180977599999999</v>
      </c>
      <c r="AR253">
        <f>23.45479551</f>
        <v>23.45479551</v>
      </c>
      <c r="AS253">
        <f>22.81683746</f>
        <v>22.816837459999999</v>
      </c>
      <c r="AT253">
        <f>22.7609072</f>
        <v>22.760907199999998</v>
      </c>
      <c r="AU253">
        <f>20.99545411</f>
        <v>20.995454110000001</v>
      </c>
      <c r="AV253">
        <f>20.12894244</f>
        <v>20.128942439999999</v>
      </c>
      <c r="AW253">
        <f>19.26675893</f>
        <v>19.266758930000002</v>
      </c>
      <c r="AX253">
        <f>16.47838852</f>
        <v>16.478388519999999</v>
      </c>
      <c r="AY253">
        <f>13.10552577</f>
        <v>13.10552577</v>
      </c>
      <c r="AZ253">
        <f>15.54787616</f>
        <v>15.54787616</v>
      </c>
      <c r="BA253">
        <f>16.29538801</f>
        <v>16.29538801</v>
      </c>
      <c r="BB253">
        <f>10.86462423</f>
        <v>10.86462423</v>
      </c>
      <c r="BC253">
        <f>12.71639213</f>
        <v>12.716392129999999</v>
      </c>
      <c r="BD253">
        <f>12.51913884</f>
        <v>12.51913884</v>
      </c>
      <c r="BE253">
        <f>11.33994074</f>
        <v>11.339940739999999</v>
      </c>
      <c r="BF253">
        <f>11.21066844</f>
        <v>11.210668439999999</v>
      </c>
      <c r="BG253">
        <f>10.91194642</f>
        <v>10.91194642</v>
      </c>
      <c r="BH253">
        <f>17.1640812</f>
        <v>17.164081199999998</v>
      </c>
      <c r="BI253">
        <f>18.91853272</f>
        <v>18.918532720000002</v>
      </c>
      <c r="BJ253">
        <f>18.2753029</f>
        <v>18.2753029</v>
      </c>
      <c r="BK253" t="str">
        <f>""</f>
        <v/>
      </c>
      <c r="BL253" t="str">
        <f>""</f>
        <v/>
      </c>
      <c r="BM253" t="str">
        <f>""</f>
        <v/>
      </c>
      <c r="BN253" t="str">
        <f>""</f>
        <v/>
      </c>
      <c r="BO253" t="str">
        <f>""</f>
        <v/>
      </c>
      <c r="BP253" t="str">
        <f>""</f>
        <v/>
      </c>
      <c r="BQ253" t="str">
        <f>""</f>
        <v/>
      </c>
      <c r="BR253" t="str">
        <f>""</f>
        <v/>
      </c>
      <c r="BS253" t="str">
        <f>""</f>
        <v/>
      </c>
    </row>
    <row r="254" spans="1:71" x14ac:dyDescent="0.25">
      <c r="A254" t="str">
        <f>"        JPMorgan Chase &amp; Co"</f>
        <v xml:space="preserve">        JPMorgan Chase &amp; Co</v>
      </c>
      <c r="B254" t="str">
        <f>"JPM US Equity"</f>
        <v>JPM US Equity</v>
      </c>
      <c r="C254" t="str">
        <f t="shared" si="33"/>
        <v>F0121</v>
      </c>
      <c r="D254" t="str">
        <f t="shared" si="34"/>
        <v>FED_CNSMR_LNS_LEAS_%_TOT_LNS_LS</v>
      </c>
      <c r="E254" t="str">
        <f t="shared" si="35"/>
        <v>Dynamic</v>
      </c>
      <c r="F254">
        <f ca="1">IF(AND(ISNUMBER($F$659),$B$427=1),$F$659,HLOOKUP(INDIRECT(ADDRESS(2,COLUMN())),OFFSET($AM$2,0,0,ROW()-1,33),ROW()-1,FALSE))</f>
        <v>20.381922639999999</v>
      </c>
      <c r="G254">
        <f ca="1">IF(AND(ISNUMBER($G$659),$B$427=1),$G$659,HLOOKUP(INDIRECT(ADDRESS(2,COLUMN())),OFFSET($AM$2,0,0,ROW()-1,33),ROW()-1,FALSE))</f>
        <v>20.089720889999999</v>
      </c>
      <c r="H254">
        <f ca="1">IF(AND(ISNUMBER($H$659),$B$427=1),$H$659,HLOOKUP(INDIRECT(ADDRESS(2,COLUMN())),OFFSET($AM$2,0,0,ROW()-1,33),ROW()-1,FALSE))</f>
        <v>20.79544074</v>
      </c>
      <c r="I254">
        <f ca="1">IF(AND(ISNUMBER($I$659),$B$427=1),$I$659,HLOOKUP(INDIRECT(ADDRESS(2,COLUMN())),OFFSET($AM$2,0,0,ROW()-1,33),ROW()-1,FALSE))</f>
        <v>19.389627480000001</v>
      </c>
      <c r="J254">
        <f ca="1">IF(AND(ISNUMBER($J$659),$B$427=1),$J$659,HLOOKUP(INDIRECT(ADDRESS(2,COLUMN())),OFFSET($AM$2,0,0,ROW()-1,33),ROW()-1,FALSE))</f>
        <v>18.851230180000002</v>
      </c>
      <c r="K254">
        <f ca="1">IF(AND(ISNUMBER($K$659),$B$427=1),$K$659,HLOOKUP(INDIRECT(ADDRESS(2,COLUMN())),OFFSET($AM$2,0,0,ROW()-1,33),ROW()-1,FALSE))</f>
        <v>21.43619249</v>
      </c>
      <c r="L254">
        <f ca="1">IF(AND(ISNUMBER($L$659),$B$427=1),$L$659,HLOOKUP(INDIRECT(ADDRESS(2,COLUMN())),OFFSET($AM$2,0,0,ROW()-1,33),ROW()-1,FALSE))</f>
        <v>20.06976985</v>
      </c>
      <c r="M254">
        <f ca="1">IF(AND(ISNUMBER($M$659),$B$427=1),$M$659,HLOOKUP(INDIRECT(ADDRESS(2,COLUMN())),OFFSET($AM$2,0,0,ROW()-1,33),ROW()-1,FALSE))</f>
        <v>21.003021440000001</v>
      </c>
      <c r="N254">
        <f ca="1">IF(AND(ISNUMBER($N$659),$B$427=1),$N$659,HLOOKUP(INDIRECT(ADDRESS(2,COLUMN())),OFFSET($AM$2,0,0,ROW()-1,33),ROW()-1,FALSE))</f>
        <v>22.13990669</v>
      </c>
      <c r="O254">
        <f ca="1">IF(AND(ISNUMBER($O$659),$B$427=1),$O$659,HLOOKUP(INDIRECT(ADDRESS(2,COLUMN())),OFFSET($AM$2,0,0,ROW()-1,33),ROW()-1,FALSE))</f>
        <v>22.27270163</v>
      </c>
      <c r="P254">
        <f ca="1">IF(AND(ISNUMBER($P$659),$B$427=1),$P$659,HLOOKUP(INDIRECT(ADDRESS(2,COLUMN())),OFFSET($AM$2,0,0,ROW()-1,33),ROW()-1,FALSE))</f>
        <v>23.784572300000001</v>
      </c>
      <c r="Q254">
        <f ca="1">IF(AND(ISNUMBER($Q$659),$B$427=1),$Q$659,HLOOKUP(INDIRECT(ADDRESS(2,COLUMN())),OFFSET($AM$2,0,0,ROW()-1,33),ROW()-1,FALSE))</f>
        <v>23.73363621</v>
      </c>
      <c r="R254">
        <f ca="1">IF(AND(ISNUMBER($R$659),$B$427=1),$R$659,HLOOKUP(INDIRECT(ADDRESS(2,COLUMN())),OFFSET($AM$2,0,0,ROW()-1,33),ROW()-1,FALSE))</f>
        <v>23.82044509</v>
      </c>
      <c r="S254">
        <f ca="1">IF(AND(ISNUMBER($S$659),$B$427=1),$S$659,HLOOKUP(INDIRECT(ADDRESS(2,COLUMN())),OFFSET($AM$2,0,0,ROW()-1,33),ROW()-1,FALSE))</f>
        <v>24.549384199999999</v>
      </c>
      <c r="T254">
        <f ca="1">IF(AND(ISNUMBER($T$659),$B$427=1),$T$659,HLOOKUP(INDIRECT(ADDRESS(2,COLUMN())),OFFSET($AM$2,0,0,ROW()-1,33),ROW()-1,FALSE))</f>
        <v>26.107752959999999</v>
      </c>
      <c r="U254">
        <f ca="1">IF(AND(ISNUMBER($U$659),$B$427=1),$U$659,HLOOKUP(INDIRECT(ADDRESS(2,COLUMN())),OFFSET($AM$2,0,0,ROW()-1,33),ROW()-1,FALSE))</f>
        <v>19.860328970000001</v>
      </c>
      <c r="V254">
        <f ca="1">IF(AND(ISNUMBER($V$659),$B$427=1),$V$659,HLOOKUP(INDIRECT(ADDRESS(2,COLUMN())),OFFSET($AM$2,0,0,ROW()-1,33),ROW()-1,FALSE))</f>
        <v>19.893298089999998</v>
      </c>
      <c r="W254">
        <f ca="1">IF(AND(ISNUMBER($W$659),$B$427=1),$W$659,HLOOKUP(INDIRECT(ADDRESS(2,COLUMN())),OFFSET($AM$2,0,0,ROW()-1,33),ROW()-1,FALSE))</f>
        <v>22.851757979999999</v>
      </c>
      <c r="X254">
        <f ca="1">IF(AND(ISNUMBER($X$659),$B$427=1),$X$659,HLOOKUP(INDIRECT(ADDRESS(2,COLUMN())),OFFSET($AM$2,0,0,ROW()-1,33),ROW()-1,FALSE))</f>
        <v>26.38188302</v>
      </c>
      <c r="Y254">
        <f ca="1">IF(AND(ISNUMBER($Y$659),$B$427=1),$Y$659,HLOOKUP(INDIRECT(ADDRESS(2,COLUMN())),OFFSET($AM$2,0,0,ROW()-1,33),ROW()-1,FALSE))</f>
        <v>28.703150900000001</v>
      </c>
      <c r="Z254">
        <f ca="1">IF(AND(ISNUMBER($Z$659),$B$427=1),$Z$659,HLOOKUP(INDIRECT(ADDRESS(2,COLUMN())),OFFSET($AM$2,0,0,ROW()-1,33),ROW()-1,FALSE))</f>
        <v>26.220968289999998</v>
      </c>
      <c r="AA254">
        <f ca="1">IF(AND(ISNUMBER($AA$659),$B$427=1),$AA$659,HLOOKUP(INDIRECT(ADDRESS(2,COLUMN())),OFFSET($AM$2,0,0,ROW()-1,33),ROW()-1,FALSE))</f>
        <v>24.714146450000001</v>
      </c>
      <c r="AB254">
        <f ca="1">IF(AND(ISNUMBER($AB$659),$B$427=1),$AB$659,HLOOKUP(INDIRECT(ADDRESS(2,COLUMN())),OFFSET($AM$2,0,0,ROW()-1,33),ROW()-1,FALSE))</f>
        <v>24.251686679999999</v>
      </c>
      <c r="AC254">
        <f ca="1">IF(AND(ISNUMBER($AC$659),$B$427=1),$AC$659,HLOOKUP(INDIRECT(ADDRESS(2,COLUMN())),OFFSET($AM$2,0,0,ROW()-1,33),ROW()-1,FALSE))</f>
        <v>21.078027760000001</v>
      </c>
      <c r="AD254" t="str">
        <f ca="1">IF(AND(ISNUMBER($AD$659),$B$427=1),$AD$659,HLOOKUP(INDIRECT(ADDRESS(2,COLUMN())),OFFSET($AM$2,0,0,ROW()-1,33),ROW()-1,FALSE))</f>
        <v/>
      </c>
      <c r="AE254" t="str">
        <f ca="1">IF(AND(ISNUMBER($AE$659),$B$427=1),$AE$659,HLOOKUP(INDIRECT(ADDRESS(2,COLUMN())),OFFSET($AM$2,0,0,ROW()-1,33),ROW()-1,FALSE))</f>
        <v/>
      </c>
      <c r="AF254" t="str">
        <f ca="1">IF(AND(ISNUMBER($AF$659),$B$427=1),$AF$659,HLOOKUP(INDIRECT(ADDRESS(2,COLUMN())),OFFSET($AM$2,0,0,ROW()-1,33),ROW()-1,FALSE))</f>
        <v/>
      </c>
      <c r="AG254" t="str">
        <f ca="1">IF(AND(ISNUMBER($AG$659),$B$427=1),$AG$659,HLOOKUP(INDIRECT(ADDRESS(2,COLUMN())),OFFSET($AM$2,0,0,ROW()-1,33),ROW()-1,FALSE))</f>
        <v/>
      </c>
      <c r="AH254" t="str">
        <f ca="1">IF(AND(ISNUMBER($AH$659),$B$427=1),$AH$659,HLOOKUP(INDIRECT(ADDRESS(2,COLUMN())),OFFSET($AM$2,0,0,ROW()-1,33),ROW()-1,FALSE))</f>
        <v/>
      </c>
      <c r="AI254" t="str">
        <f ca="1">IF(AND(ISNUMBER($AI$659),$B$427=1),$AI$659,HLOOKUP(INDIRECT(ADDRESS(2,COLUMN())),OFFSET($AM$2,0,0,ROW()-1,33),ROW()-1,FALSE))</f>
        <v/>
      </c>
      <c r="AJ254" t="str">
        <f ca="1">IF(AND(ISNUMBER($AJ$659),$B$427=1),$AJ$659,HLOOKUP(INDIRECT(ADDRESS(2,COLUMN())),OFFSET($AM$2,0,0,ROW()-1,33),ROW()-1,FALSE))</f>
        <v/>
      </c>
      <c r="AK254" t="str">
        <f ca="1">IF(AND(ISNUMBER($AK$659),$B$427=1),$AK$659,HLOOKUP(INDIRECT(ADDRESS(2,COLUMN())),OFFSET($AM$2,0,0,ROW()-1,33),ROW()-1,FALSE))</f>
        <v/>
      </c>
      <c r="AL254" t="str">
        <f ca="1">IF(AND(ISNUMBER($AL$659),$B$427=1),$AL$659,HLOOKUP(INDIRECT(ADDRESS(2,COLUMN())),OFFSET($AM$2,0,0,ROW()-1,33),ROW()-1,FALSE))</f>
        <v/>
      </c>
      <c r="AM254">
        <f>20.38192264</f>
        <v>20.381922639999999</v>
      </c>
      <c r="AN254">
        <f>20.08972089</f>
        <v>20.089720889999999</v>
      </c>
      <c r="AO254">
        <f>20.79544074</f>
        <v>20.79544074</v>
      </c>
      <c r="AP254">
        <f>19.38962748</f>
        <v>19.389627480000001</v>
      </c>
      <c r="AQ254">
        <f>18.85123018</f>
        <v>18.851230180000002</v>
      </c>
      <c r="AR254">
        <f>21.43619249</f>
        <v>21.43619249</v>
      </c>
      <c r="AS254">
        <f>20.06976985</f>
        <v>20.06976985</v>
      </c>
      <c r="AT254">
        <f>21.00302144</f>
        <v>21.003021440000001</v>
      </c>
      <c r="AU254">
        <f>22.13990669</f>
        <v>22.13990669</v>
      </c>
      <c r="AV254">
        <f>22.27270163</f>
        <v>22.27270163</v>
      </c>
      <c r="AW254">
        <f>23.7845723</f>
        <v>23.784572300000001</v>
      </c>
      <c r="AX254">
        <f>23.73363621</f>
        <v>23.73363621</v>
      </c>
      <c r="AY254">
        <f>23.82044509</f>
        <v>23.82044509</v>
      </c>
      <c r="AZ254">
        <f>24.5493842</f>
        <v>24.549384199999999</v>
      </c>
      <c r="BA254">
        <f>26.10775296</f>
        <v>26.107752959999999</v>
      </c>
      <c r="BB254">
        <f>19.86032897</f>
        <v>19.860328970000001</v>
      </c>
      <c r="BC254">
        <f>19.89329809</f>
        <v>19.893298089999998</v>
      </c>
      <c r="BD254">
        <f>22.85175798</f>
        <v>22.851757979999999</v>
      </c>
      <c r="BE254">
        <f>26.38188302</f>
        <v>26.38188302</v>
      </c>
      <c r="BF254">
        <f>28.7031509</f>
        <v>28.703150900000001</v>
      </c>
      <c r="BG254">
        <f>26.22096829</f>
        <v>26.220968289999998</v>
      </c>
      <c r="BH254">
        <f>24.71414645</f>
        <v>24.714146450000001</v>
      </c>
      <c r="BI254">
        <f>24.25168668</f>
        <v>24.251686679999999</v>
      </c>
      <c r="BJ254">
        <f>21.07802776</f>
        <v>21.078027760000001</v>
      </c>
      <c r="BK254" t="str">
        <f>""</f>
        <v/>
      </c>
      <c r="BL254" t="str">
        <f>""</f>
        <v/>
      </c>
      <c r="BM254" t="str">
        <f>""</f>
        <v/>
      </c>
      <c r="BN254" t="str">
        <f>""</f>
        <v/>
      </c>
      <c r="BO254" t="str">
        <f>""</f>
        <v/>
      </c>
      <c r="BP254" t="str">
        <f>""</f>
        <v/>
      </c>
      <c r="BQ254" t="str">
        <f>""</f>
        <v/>
      </c>
      <c r="BR254" t="str">
        <f>""</f>
        <v/>
      </c>
      <c r="BS254" t="str">
        <f>""</f>
        <v/>
      </c>
    </row>
    <row r="255" spans="1:71" x14ac:dyDescent="0.25">
      <c r="A255" t="str">
        <f>"        KeyCorp"</f>
        <v xml:space="preserve">        KeyCorp</v>
      </c>
      <c r="B255" t="str">
        <f>"KEY US Equity"</f>
        <v>KEY US Equity</v>
      </c>
      <c r="C255" t="str">
        <f t="shared" si="33"/>
        <v>F0121</v>
      </c>
      <c r="D255" t="str">
        <f t="shared" si="34"/>
        <v>FED_CNSMR_LNS_LEAS_%_TOT_LNS_LS</v>
      </c>
      <c r="E255" t="str">
        <f t="shared" si="35"/>
        <v>Dynamic</v>
      </c>
      <c r="F255">
        <f ca="1">IF(AND(ISNUMBER($F$660),$B$427=1),$F$660,HLOOKUP(INDIRECT(ADDRESS(2,COLUMN())),OFFSET($AM$2,0,0,ROW()-1,33),ROW()-1,FALSE))</f>
        <v>6.0604482639999997</v>
      </c>
      <c r="G255">
        <f ca="1">IF(AND(ISNUMBER($G$660),$B$427=1),$G$660,HLOOKUP(INDIRECT(ADDRESS(2,COLUMN())),OFFSET($AM$2,0,0,ROW()-1,33),ROW()-1,FALSE))</f>
        <v>6.3965381079999997</v>
      </c>
      <c r="H255">
        <f ca="1">IF(AND(ISNUMBER($H$660),$B$427=1),$H$660,HLOOKUP(INDIRECT(ADDRESS(2,COLUMN())),OFFSET($AM$2,0,0,ROW()-1,33),ROW()-1,FALSE))</f>
        <v>6.6322168650000002</v>
      </c>
      <c r="I255">
        <f ca="1">IF(AND(ISNUMBER($I$660),$B$427=1),$I$660,HLOOKUP(INDIRECT(ADDRESS(2,COLUMN())),OFFSET($AM$2,0,0,ROW()-1,33),ROW()-1,FALSE))</f>
        <v>7.001194044</v>
      </c>
      <c r="J255">
        <f ca="1">IF(AND(ISNUMBER($J$660),$B$427=1),$J$660,HLOOKUP(INDIRECT(ADDRESS(2,COLUMN())),OFFSET($AM$2,0,0,ROW()-1,33),ROW()-1,FALSE))</f>
        <v>10.933786850000001</v>
      </c>
      <c r="K255">
        <f ca="1">IF(AND(ISNUMBER($K$660),$B$427=1),$K$660,HLOOKUP(INDIRECT(ADDRESS(2,COLUMN())),OFFSET($AM$2,0,0,ROW()-1,33),ROW()-1,FALSE))</f>
        <v>10.56829501</v>
      </c>
      <c r="L255">
        <f ca="1">IF(AND(ISNUMBER($L$660),$B$427=1),$L$660,HLOOKUP(INDIRECT(ADDRESS(2,COLUMN())),OFFSET($AM$2,0,0,ROW()-1,33),ROW()-1,FALSE))</f>
        <v>8.3396966720000005</v>
      </c>
      <c r="M255">
        <f ca="1">IF(AND(ISNUMBER($M$660),$B$427=1),$M$660,HLOOKUP(INDIRECT(ADDRESS(2,COLUMN())),OFFSET($AM$2,0,0,ROW()-1,33),ROW()-1,FALSE))</f>
        <v>8.40709807</v>
      </c>
      <c r="N255">
        <f ca="1">IF(AND(ISNUMBER($N$660),$B$427=1),$N$660,HLOOKUP(INDIRECT(ADDRESS(2,COLUMN())),OFFSET($AM$2,0,0,ROW()-1,33),ROW()-1,FALSE))</f>
        <v>8.4195232119999996</v>
      </c>
      <c r="O255">
        <f ca="1">IF(AND(ISNUMBER($O$660),$B$427=1),$O$660,HLOOKUP(INDIRECT(ADDRESS(2,COLUMN())),OFFSET($AM$2,0,0,ROW()-1,33),ROW()-1,FALSE))</f>
        <v>7.7835046639999996</v>
      </c>
      <c r="P255">
        <f ca="1">IF(AND(ISNUMBER($P$660),$B$427=1),$P$660,HLOOKUP(INDIRECT(ADDRESS(2,COLUMN())),OFFSET($AM$2,0,0,ROW()-1,33),ROW()-1,FALSE))</f>
        <v>9.0009328350000004</v>
      </c>
      <c r="Q255">
        <f ca="1">IF(AND(ISNUMBER($Q$660),$B$427=1),$Q$660,HLOOKUP(INDIRECT(ADDRESS(2,COLUMN())),OFFSET($AM$2,0,0,ROW()-1,33),ROW()-1,FALSE))</f>
        <v>13.03663109</v>
      </c>
      <c r="R255">
        <f ca="1">IF(AND(ISNUMBER($R$660),$B$427=1),$R$660,HLOOKUP(INDIRECT(ADDRESS(2,COLUMN())),OFFSET($AM$2,0,0,ROW()-1,33),ROW()-1,FALSE))</f>
        <v>14.89362315</v>
      </c>
      <c r="S255">
        <f ca="1">IF(AND(ISNUMBER($S$660),$B$427=1),$S$660,HLOOKUP(INDIRECT(ADDRESS(2,COLUMN())),OFFSET($AM$2,0,0,ROW()-1,33),ROW()-1,FALSE))</f>
        <v>15.852207249999999</v>
      </c>
      <c r="T255">
        <f ca="1">IF(AND(ISNUMBER($T$660),$B$427=1),$T$660,HLOOKUP(INDIRECT(ADDRESS(2,COLUMN())),OFFSET($AM$2,0,0,ROW()-1,33),ROW()-1,FALSE))</f>
        <v>17.5805957</v>
      </c>
      <c r="U255">
        <f ca="1">IF(AND(ISNUMBER($U$660),$B$427=1),$U$660,HLOOKUP(INDIRECT(ADDRESS(2,COLUMN())),OFFSET($AM$2,0,0,ROW()-1,33),ROW()-1,FALSE))</f>
        <v>12.886548149999999</v>
      </c>
      <c r="V255">
        <f ca="1">IF(AND(ISNUMBER($V$660),$B$427=1),$V$660,HLOOKUP(INDIRECT(ADDRESS(2,COLUMN())),OFFSET($AM$2,0,0,ROW()-1,33),ROW()-1,FALSE))</f>
        <v>11.593708810000001</v>
      </c>
      <c r="W255">
        <f ca="1">IF(AND(ISNUMBER($W$660),$B$427=1),$W$660,HLOOKUP(INDIRECT(ADDRESS(2,COLUMN())),OFFSET($AM$2,0,0,ROW()-1,33),ROW()-1,FALSE))</f>
        <v>11.634424579999999</v>
      </c>
      <c r="X255">
        <f ca="1">IF(AND(ISNUMBER($X$660),$B$427=1),$X$660,HLOOKUP(INDIRECT(ADDRESS(2,COLUMN())),OFFSET($AM$2,0,0,ROW()-1,33),ROW()-1,FALSE))</f>
        <v>10.8685154</v>
      </c>
      <c r="Y255">
        <f ca="1">IF(AND(ISNUMBER($Y$660),$B$427=1),$Y$660,HLOOKUP(INDIRECT(ADDRESS(2,COLUMN())),OFFSET($AM$2,0,0,ROW()-1,33),ROW()-1,FALSE))</f>
        <v>10.96316201</v>
      </c>
      <c r="Z255">
        <f ca="1">IF(AND(ISNUMBER($Z$660),$B$427=1),$Z$660,HLOOKUP(INDIRECT(ADDRESS(2,COLUMN())),OFFSET($AM$2,0,0,ROW()-1,33),ROW()-1,FALSE))</f>
        <v>13.14983104</v>
      </c>
      <c r="AA255">
        <f ca="1">IF(AND(ISNUMBER($AA$660),$B$427=1),$AA$660,HLOOKUP(INDIRECT(ADDRESS(2,COLUMN())),OFFSET($AM$2,0,0,ROW()-1,33),ROW()-1,FALSE))</f>
        <v>14.54758021</v>
      </c>
      <c r="AB255">
        <f ca="1">IF(AND(ISNUMBER($AB$660),$B$427=1),$AB$660,HLOOKUP(INDIRECT(ADDRESS(2,COLUMN())),OFFSET($AM$2,0,0,ROW()-1,33),ROW()-1,FALSE))</f>
        <v>13.81973928</v>
      </c>
      <c r="AC255">
        <f ca="1">IF(AND(ISNUMBER($AC$660),$B$427=1),$AC$660,HLOOKUP(INDIRECT(ADDRESS(2,COLUMN())),OFFSET($AM$2,0,0,ROW()-1,33),ROW()-1,FALSE))</f>
        <v>14.221250830000001</v>
      </c>
      <c r="AD255" t="str">
        <f ca="1">IF(AND(ISNUMBER($AD$660),$B$427=1),$AD$660,HLOOKUP(INDIRECT(ADDRESS(2,COLUMN())),OFFSET($AM$2,0,0,ROW()-1,33),ROW()-1,FALSE))</f>
        <v/>
      </c>
      <c r="AE255" t="str">
        <f ca="1">IF(AND(ISNUMBER($AE$660),$B$427=1),$AE$660,HLOOKUP(INDIRECT(ADDRESS(2,COLUMN())),OFFSET($AM$2,0,0,ROW()-1,33),ROW()-1,FALSE))</f>
        <v/>
      </c>
      <c r="AF255" t="str">
        <f ca="1">IF(AND(ISNUMBER($AF$660),$B$427=1),$AF$660,HLOOKUP(INDIRECT(ADDRESS(2,COLUMN())),OFFSET($AM$2,0,0,ROW()-1,33),ROW()-1,FALSE))</f>
        <v/>
      </c>
      <c r="AG255" t="str">
        <f ca="1">IF(AND(ISNUMBER($AG$660),$B$427=1),$AG$660,HLOOKUP(INDIRECT(ADDRESS(2,COLUMN())),OFFSET($AM$2,0,0,ROW()-1,33),ROW()-1,FALSE))</f>
        <v/>
      </c>
      <c r="AH255" t="str">
        <f ca="1">IF(AND(ISNUMBER($AH$660),$B$427=1),$AH$660,HLOOKUP(INDIRECT(ADDRESS(2,COLUMN())),OFFSET($AM$2,0,0,ROW()-1,33),ROW()-1,FALSE))</f>
        <v/>
      </c>
      <c r="AI255" t="str">
        <f ca="1">IF(AND(ISNUMBER($AI$660),$B$427=1),$AI$660,HLOOKUP(INDIRECT(ADDRESS(2,COLUMN())),OFFSET($AM$2,0,0,ROW()-1,33),ROW()-1,FALSE))</f>
        <v/>
      </c>
      <c r="AJ255" t="str">
        <f ca="1">IF(AND(ISNUMBER($AJ$660),$B$427=1),$AJ$660,HLOOKUP(INDIRECT(ADDRESS(2,COLUMN())),OFFSET($AM$2,0,0,ROW()-1,33),ROW()-1,FALSE))</f>
        <v/>
      </c>
      <c r="AK255" t="str">
        <f ca="1">IF(AND(ISNUMBER($AK$660),$B$427=1),$AK$660,HLOOKUP(INDIRECT(ADDRESS(2,COLUMN())),OFFSET($AM$2,0,0,ROW()-1,33),ROW()-1,FALSE))</f>
        <v/>
      </c>
      <c r="AL255" t="str">
        <f ca="1">IF(AND(ISNUMBER($AL$660),$B$427=1),$AL$660,HLOOKUP(INDIRECT(ADDRESS(2,COLUMN())),OFFSET($AM$2,0,0,ROW()-1,33),ROW()-1,FALSE))</f>
        <v/>
      </c>
      <c r="AM255">
        <f>6.060448264</f>
        <v>6.0604482639999997</v>
      </c>
      <c r="AN255">
        <f>6.396538108</f>
        <v>6.3965381079999997</v>
      </c>
      <c r="AO255">
        <f>6.632216865</f>
        <v>6.6322168650000002</v>
      </c>
      <c r="AP255">
        <f>7.001194044</f>
        <v>7.001194044</v>
      </c>
      <c r="AQ255">
        <f>10.93378685</f>
        <v>10.933786850000001</v>
      </c>
      <c r="AR255">
        <f>10.56829501</f>
        <v>10.56829501</v>
      </c>
      <c r="AS255">
        <f>8.339696672</f>
        <v>8.3396966720000005</v>
      </c>
      <c r="AT255">
        <f>8.40709807</f>
        <v>8.40709807</v>
      </c>
      <c r="AU255">
        <f>8.419523212</f>
        <v>8.4195232119999996</v>
      </c>
      <c r="AV255">
        <f>7.783504664</f>
        <v>7.7835046639999996</v>
      </c>
      <c r="AW255">
        <f>9.000932835</f>
        <v>9.0009328350000004</v>
      </c>
      <c r="AX255">
        <f>13.03663109</f>
        <v>13.03663109</v>
      </c>
      <c r="AY255">
        <f>14.89362315</f>
        <v>14.89362315</v>
      </c>
      <c r="AZ255">
        <f>15.85220725</f>
        <v>15.852207249999999</v>
      </c>
      <c r="BA255">
        <f>17.5805957</f>
        <v>17.5805957</v>
      </c>
      <c r="BB255">
        <f>12.88654815</f>
        <v>12.886548149999999</v>
      </c>
      <c r="BC255">
        <f>11.59370881</f>
        <v>11.593708810000001</v>
      </c>
      <c r="BD255">
        <f>11.63442458</f>
        <v>11.634424579999999</v>
      </c>
      <c r="BE255">
        <f>10.8685154</f>
        <v>10.8685154</v>
      </c>
      <c r="BF255">
        <f>10.96316201</f>
        <v>10.96316201</v>
      </c>
      <c r="BG255">
        <f>13.14983104</f>
        <v>13.14983104</v>
      </c>
      <c r="BH255">
        <f>14.54758021</f>
        <v>14.54758021</v>
      </c>
      <c r="BI255">
        <f>13.81973928</f>
        <v>13.81973928</v>
      </c>
      <c r="BJ255">
        <f>14.22125083</f>
        <v>14.221250830000001</v>
      </c>
      <c r="BK255" t="str">
        <f>""</f>
        <v/>
      </c>
      <c r="BL255" t="str">
        <f>""</f>
        <v/>
      </c>
      <c r="BM255" t="str">
        <f>""</f>
        <v/>
      </c>
      <c r="BN255" t="str">
        <f>""</f>
        <v/>
      </c>
      <c r="BO255" t="str">
        <f>""</f>
        <v/>
      </c>
      <c r="BP255" t="str">
        <f>""</f>
        <v/>
      </c>
      <c r="BQ255" t="str">
        <f>""</f>
        <v/>
      </c>
      <c r="BR255" t="str">
        <f>""</f>
        <v/>
      </c>
      <c r="BS255" t="str">
        <f>""</f>
        <v/>
      </c>
    </row>
    <row r="256" spans="1:71" x14ac:dyDescent="0.25">
      <c r="A256" t="str">
        <f>"        M&amp;T Bank Corp"</f>
        <v xml:space="preserve">        M&amp;T Bank Corp</v>
      </c>
      <c r="B256" t="str">
        <f>"MTB US Equity"</f>
        <v>MTB US Equity</v>
      </c>
      <c r="C256" t="str">
        <f t="shared" si="33"/>
        <v>F0121</v>
      </c>
      <c r="D256" t="str">
        <f t="shared" si="34"/>
        <v>FED_CNSMR_LNS_LEAS_%_TOT_LNS_LS</v>
      </c>
      <c r="E256" t="str">
        <f t="shared" si="35"/>
        <v>Dynamic</v>
      </c>
      <c r="F256">
        <f ca="1">IF(AND(ISNUMBER($F$661),$B$427=1),$F$661,HLOOKUP(INDIRECT(ADDRESS(2,COLUMN())),OFFSET($AM$2,0,0,ROW()-1,33),ROW()-1,FALSE))</f>
        <v>14.429543710000001</v>
      </c>
      <c r="G256">
        <f ca="1">IF(AND(ISNUMBER($G$661),$B$427=1),$G$661,HLOOKUP(INDIRECT(ADDRESS(2,COLUMN())),OFFSET($AM$2,0,0,ROW()-1,33),ROW()-1,FALSE))</f>
        <v>12.02971426</v>
      </c>
      <c r="H256">
        <f ca="1">IF(AND(ISNUMBER($H$661),$B$427=1),$H$661,HLOOKUP(INDIRECT(ADDRESS(2,COLUMN())),OFFSET($AM$2,0,0,ROW()-1,33),ROW()-1,FALSE))</f>
        <v>11.83763899</v>
      </c>
      <c r="I256">
        <f ca="1">IF(AND(ISNUMBER($I$661),$B$427=1),$I$661,HLOOKUP(INDIRECT(ADDRESS(2,COLUMN())),OFFSET($AM$2,0,0,ROW()-1,33),ROW()-1,FALSE))</f>
        <v>15.510506599999999</v>
      </c>
      <c r="J256">
        <f ca="1">IF(AND(ISNUMBER($J$661),$B$427=1),$J$661,HLOOKUP(INDIRECT(ADDRESS(2,COLUMN())),OFFSET($AM$2,0,0,ROW()-1,33),ROW()-1,FALSE))</f>
        <v>12.77024538</v>
      </c>
      <c r="K256">
        <f ca="1">IF(AND(ISNUMBER($K$661),$B$427=1),$K$661,HLOOKUP(INDIRECT(ADDRESS(2,COLUMN())),OFFSET($AM$2,0,0,ROW()-1,33),ROW()-1,FALSE))</f>
        <v>11.989854830000001</v>
      </c>
      <c r="L256">
        <f ca="1">IF(AND(ISNUMBER($L$661),$B$427=1),$L$661,HLOOKUP(INDIRECT(ADDRESS(2,COLUMN())),OFFSET($AM$2,0,0,ROW()-1,33),ROW()-1,FALSE))</f>
        <v>10.29240828</v>
      </c>
      <c r="M256">
        <f ca="1">IF(AND(ISNUMBER($M$661),$B$427=1),$M$661,HLOOKUP(INDIRECT(ADDRESS(2,COLUMN())),OFFSET($AM$2,0,0,ROW()-1,33),ROW()-1,FALSE))</f>
        <v>9.0579328550000007</v>
      </c>
      <c r="N256">
        <f ca="1">IF(AND(ISNUMBER($N$661),$B$427=1),$N$661,HLOOKUP(INDIRECT(ADDRESS(2,COLUMN())),OFFSET($AM$2,0,0,ROW()-1,33),ROW()-1,FALSE))</f>
        <v>7.1549087379999996</v>
      </c>
      <c r="O256">
        <f ca="1">IF(AND(ISNUMBER($O$661),$B$427=1),$O$661,HLOOKUP(INDIRECT(ADDRESS(2,COLUMN())),OFFSET($AM$2,0,0,ROW()-1,33),ROW()-1,FALSE))</f>
        <v>6.4347585299999999</v>
      </c>
      <c r="P256">
        <f ca="1">IF(AND(ISNUMBER($P$661),$B$427=1),$P$661,HLOOKUP(INDIRECT(ADDRESS(2,COLUMN())),OFFSET($AM$2,0,0,ROW()-1,33),ROW()-1,FALSE))</f>
        <v>7.4143260499999997</v>
      </c>
      <c r="Q256">
        <f ca="1">IF(AND(ISNUMBER($Q$661),$B$427=1),$Q$661,HLOOKUP(INDIRECT(ADDRESS(2,COLUMN())),OFFSET($AM$2,0,0,ROW()-1,33),ROW()-1,FALSE))</f>
        <v>6.4809400139999997</v>
      </c>
      <c r="R256">
        <f ca="1">IF(AND(ISNUMBER($R$661),$B$427=1),$R$661,HLOOKUP(INDIRECT(ADDRESS(2,COLUMN())),OFFSET($AM$2,0,0,ROW()-1,33),ROW()-1,FALSE))</f>
        <v>7.847525761</v>
      </c>
      <c r="S256">
        <f ca="1">IF(AND(ISNUMBER($S$661),$B$427=1),$S$661,HLOOKUP(INDIRECT(ADDRESS(2,COLUMN())),OFFSET($AM$2,0,0,ROW()-1,33),ROW()-1,FALSE))</f>
        <v>8.8799530020000006</v>
      </c>
      <c r="T256">
        <f ca="1">IF(AND(ISNUMBER($T$661),$B$427=1),$T$661,HLOOKUP(INDIRECT(ADDRESS(2,COLUMN())),OFFSET($AM$2,0,0,ROW()-1,33),ROW()-1,FALSE))</f>
        <v>9.4735233910000005</v>
      </c>
      <c r="U256">
        <f ca="1">IF(AND(ISNUMBER($U$661),$B$427=1),$U$661,HLOOKUP(INDIRECT(ADDRESS(2,COLUMN())),OFFSET($AM$2,0,0,ROW()-1,33),ROW()-1,FALSE))</f>
        <v>10.018794809999999</v>
      </c>
      <c r="V256">
        <f ca="1">IF(AND(ISNUMBER($V$661),$B$427=1),$V$661,HLOOKUP(INDIRECT(ADDRESS(2,COLUMN())),OFFSET($AM$2,0,0,ROW()-1,33),ROW()-1,FALSE))</f>
        <v>10.8008959</v>
      </c>
      <c r="W256">
        <f ca="1">IF(AND(ISNUMBER($W$661),$B$427=1),$W$661,HLOOKUP(INDIRECT(ADDRESS(2,COLUMN())),OFFSET($AM$2,0,0,ROW()-1,33),ROW()-1,FALSE))</f>
        <v>12.021412379999999</v>
      </c>
      <c r="X256">
        <f ca="1">IF(AND(ISNUMBER($X$661),$B$427=1),$X$661,HLOOKUP(INDIRECT(ADDRESS(2,COLUMN())),OFFSET($AM$2,0,0,ROW()-1,33),ROW()-1,FALSE))</f>
        <v>10.371018230000001</v>
      </c>
      <c r="Y256">
        <f ca="1">IF(AND(ISNUMBER($Y$661),$B$427=1),$Y$661,HLOOKUP(INDIRECT(ADDRESS(2,COLUMN())),OFFSET($AM$2,0,0,ROW()-1,33),ROW()-1,FALSE))</f>
        <v>12.48723148</v>
      </c>
      <c r="Z256">
        <f ca="1">IF(AND(ISNUMBER($Z$661),$B$427=1),$Z$661,HLOOKUP(INDIRECT(ADDRESS(2,COLUMN())),OFFSET($AM$2,0,0,ROW()-1,33),ROW()-1,FALSE))</f>
        <v>14.87837656</v>
      </c>
      <c r="AA256">
        <f ca="1">IF(AND(ISNUMBER($AA$661),$B$427=1),$AA$661,HLOOKUP(INDIRECT(ADDRESS(2,COLUMN())),OFFSET($AM$2,0,0,ROW()-1,33),ROW()-1,FALSE))</f>
        <v>15.704399130000001</v>
      </c>
      <c r="AB256">
        <f ca="1">IF(AND(ISNUMBER($AB$661),$B$427=1),$AB$661,HLOOKUP(INDIRECT(ADDRESS(2,COLUMN())),OFFSET($AM$2,0,0,ROW()-1,33),ROW()-1,FALSE))</f>
        <v>16.237764590000001</v>
      </c>
      <c r="AC256">
        <f ca="1">IF(AND(ISNUMBER($AC$661),$B$427=1),$AC$661,HLOOKUP(INDIRECT(ADDRESS(2,COLUMN())),OFFSET($AM$2,0,0,ROW()-1,33),ROW()-1,FALSE))</f>
        <v>12.761650899999999</v>
      </c>
      <c r="AD256" t="str">
        <f ca="1">IF(AND(ISNUMBER($AD$661),$B$427=1),$AD$661,HLOOKUP(INDIRECT(ADDRESS(2,COLUMN())),OFFSET($AM$2,0,0,ROW()-1,33),ROW()-1,FALSE))</f>
        <v/>
      </c>
      <c r="AE256" t="str">
        <f ca="1">IF(AND(ISNUMBER($AE$661),$B$427=1),$AE$661,HLOOKUP(INDIRECT(ADDRESS(2,COLUMN())),OFFSET($AM$2,0,0,ROW()-1,33),ROW()-1,FALSE))</f>
        <v/>
      </c>
      <c r="AF256" t="str">
        <f ca="1">IF(AND(ISNUMBER($AF$661),$B$427=1),$AF$661,HLOOKUP(INDIRECT(ADDRESS(2,COLUMN())),OFFSET($AM$2,0,0,ROW()-1,33),ROW()-1,FALSE))</f>
        <v/>
      </c>
      <c r="AG256" t="str">
        <f ca="1">IF(AND(ISNUMBER($AG$661),$B$427=1),$AG$661,HLOOKUP(INDIRECT(ADDRESS(2,COLUMN())),OFFSET($AM$2,0,0,ROW()-1,33),ROW()-1,FALSE))</f>
        <v/>
      </c>
      <c r="AH256" t="str">
        <f ca="1">IF(AND(ISNUMBER($AH$661),$B$427=1),$AH$661,HLOOKUP(INDIRECT(ADDRESS(2,COLUMN())),OFFSET($AM$2,0,0,ROW()-1,33),ROW()-1,FALSE))</f>
        <v/>
      </c>
      <c r="AI256" t="str">
        <f ca="1">IF(AND(ISNUMBER($AI$661),$B$427=1),$AI$661,HLOOKUP(INDIRECT(ADDRESS(2,COLUMN())),OFFSET($AM$2,0,0,ROW()-1,33),ROW()-1,FALSE))</f>
        <v/>
      </c>
      <c r="AJ256" t="str">
        <f ca="1">IF(AND(ISNUMBER($AJ$661),$B$427=1),$AJ$661,HLOOKUP(INDIRECT(ADDRESS(2,COLUMN())),OFFSET($AM$2,0,0,ROW()-1,33),ROW()-1,FALSE))</f>
        <v/>
      </c>
      <c r="AK256" t="str">
        <f ca="1">IF(AND(ISNUMBER($AK$661),$B$427=1),$AK$661,HLOOKUP(INDIRECT(ADDRESS(2,COLUMN())),OFFSET($AM$2,0,0,ROW()-1,33),ROW()-1,FALSE))</f>
        <v/>
      </c>
      <c r="AL256" t="str">
        <f ca="1">IF(AND(ISNUMBER($AL$661),$B$427=1),$AL$661,HLOOKUP(INDIRECT(ADDRESS(2,COLUMN())),OFFSET($AM$2,0,0,ROW()-1,33),ROW()-1,FALSE))</f>
        <v/>
      </c>
      <c r="AM256">
        <f>14.42954371</f>
        <v>14.429543710000001</v>
      </c>
      <c r="AN256">
        <f>12.02971426</f>
        <v>12.02971426</v>
      </c>
      <c r="AO256">
        <f>11.83763899</f>
        <v>11.83763899</v>
      </c>
      <c r="AP256">
        <f>15.5105066</f>
        <v>15.510506599999999</v>
      </c>
      <c r="AQ256">
        <f>12.77024538</f>
        <v>12.77024538</v>
      </c>
      <c r="AR256">
        <f>11.98985483</f>
        <v>11.989854830000001</v>
      </c>
      <c r="AS256">
        <f>10.29240828</f>
        <v>10.29240828</v>
      </c>
      <c r="AT256">
        <f>9.057932855</f>
        <v>9.0579328550000007</v>
      </c>
      <c r="AU256">
        <f>7.154908738</f>
        <v>7.1549087379999996</v>
      </c>
      <c r="AV256">
        <f>6.43475853</f>
        <v>6.4347585299999999</v>
      </c>
      <c r="AW256">
        <f>7.41432605</f>
        <v>7.4143260499999997</v>
      </c>
      <c r="AX256">
        <f>6.480940014</f>
        <v>6.4809400139999997</v>
      </c>
      <c r="AY256">
        <f>7.847525761</f>
        <v>7.847525761</v>
      </c>
      <c r="AZ256">
        <f>8.879953002</f>
        <v>8.8799530020000006</v>
      </c>
      <c r="BA256">
        <f>9.473523391</f>
        <v>9.4735233910000005</v>
      </c>
      <c r="BB256">
        <f>10.01879481</f>
        <v>10.018794809999999</v>
      </c>
      <c r="BC256">
        <f>10.8008959</f>
        <v>10.8008959</v>
      </c>
      <c r="BD256">
        <f>12.02141238</f>
        <v>12.021412379999999</v>
      </c>
      <c r="BE256">
        <f>10.37101823</f>
        <v>10.371018230000001</v>
      </c>
      <c r="BF256">
        <f>12.48723148</f>
        <v>12.48723148</v>
      </c>
      <c r="BG256">
        <f>14.87837656</f>
        <v>14.87837656</v>
      </c>
      <c r="BH256">
        <f>15.70439913</f>
        <v>15.704399130000001</v>
      </c>
      <c r="BI256">
        <f>16.23776459</f>
        <v>16.237764590000001</v>
      </c>
      <c r="BJ256">
        <f>12.7616509</f>
        <v>12.761650899999999</v>
      </c>
      <c r="BK256" t="str">
        <f>""</f>
        <v/>
      </c>
      <c r="BL256" t="str">
        <f>""</f>
        <v/>
      </c>
      <c r="BM256" t="str">
        <f>""</f>
        <v/>
      </c>
      <c r="BN256" t="str">
        <f>""</f>
        <v/>
      </c>
      <c r="BO256" t="str">
        <f>""</f>
        <v/>
      </c>
      <c r="BP256" t="str">
        <f>""</f>
        <v/>
      </c>
      <c r="BQ256" t="str">
        <f>""</f>
        <v/>
      </c>
      <c r="BR256" t="str">
        <f>""</f>
        <v/>
      </c>
      <c r="BS256" t="str">
        <f>""</f>
        <v/>
      </c>
    </row>
    <row r="257" spans="1:71" x14ac:dyDescent="0.25">
      <c r="A257" t="str">
        <f>"        PNC Financial Services Group I"</f>
        <v xml:space="preserve">        PNC Financial Services Group I</v>
      </c>
      <c r="B257" t="str">
        <f>"PNC US Equity"</f>
        <v>PNC US Equity</v>
      </c>
      <c r="C257" t="str">
        <f t="shared" si="33"/>
        <v>F0121</v>
      </c>
      <c r="D257" t="str">
        <f t="shared" si="34"/>
        <v>FED_CNSMR_LNS_LEAS_%_TOT_LNS_LS</v>
      </c>
      <c r="E257" t="str">
        <f t="shared" si="35"/>
        <v>Dynamic</v>
      </c>
      <c r="F257" t="str">
        <f ca="1">IF(AND(ISNUMBER($F$662),$B$427=1),$F$662,HLOOKUP(INDIRECT(ADDRESS(2,COLUMN())),OFFSET($AM$2,0,0,ROW()-1,33),ROW()-1,FALSE))</f>
        <v/>
      </c>
      <c r="G257">
        <f ca="1">IF(AND(ISNUMBER($G$662),$B$427=1),$G$662,HLOOKUP(INDIRECT(ADDRESS(2,COLUMN())),OFFSET($AM$2,0,0,ROW()-1,33),ROW()-1,FALSE))</f>
        <v>8.4554241349999995</v>
      </c>
      <c r="H257">
        <f ca="1">IF(AND(ISNUMBER($H$662),$B$427=1),$H$662,HLOOKUP(INDIRECT(ADDRESS(2,COLUMN())),OFFSET($AM$2,0,0,ROW()-1,33),ROW()-1,FALSE))</f>
        <v>8.6032317050000007</v>
      </c>
      <c r="I257">
        <f ca="1">IF(AND(ISNUMBER($I$662),$B$427=1),$I$662,HLOOKUP(INDIRECT(ADDRESS(2,COLUMN())),OFFSET($AM$2,0,0,ROW()-1,33),ROW()-1,FALSE))</f>
        <v>10.51832594</v>
      </c>
      <c r="J257">
        <f ca="1">IF(AND(ISNUMBER($J$662),$B$427=1),$J$662,HLOOKUP(INDIRECT(ADDRESS(2,COLUMN())),OFFSET($AM$2,0,0,ROW()-1,33),ROW()-1,FALSE))</f>
        <v>11.1428194</v>
      </c>
      <c r="K257">
        <f ca="1">IF(AND(ISNUMBER($K$662),$B$427=1),$K$662,HLOOKUP(INDIRECT(ADDRESS(2,COLUMN())),OFFSET($AM$2,0,0,ROW()-1,33),ROW()-1,FALSE))</f>
        <v>12.992682650000001</v>
      </c>
      <c r="L257">
        <f ca="1">IF(AND(ISNUMBER($L$662),$B$427=1),$L$662,HLOOKUP(INDIRECT(ADDRESS(2,COLUMN())),OFFSET($AM$2,0,0,ROW()-1,33),ROW()-1,FALSE))</f>
        <v>12.433245660000001</v>
      </c>
      <c r="M257">
        <f ca="1">IF(AND(ISNUMBER($M$662),$B$427=1),$M$662,HLOOKUP(INDIRECT(ADDRESS(2,COLUMN())),OFFSET($AM$2,0,0,ROW()-1,33),ROW()-1,FALSE))</f>
        <v>11.930916590000001</v>
      </c>
      <c r="N257">
        <f ca="1">IF(AND(ISNUMBER($N$662),$B$427=1),$N$662,HLOOKUP(INDIRECT(ADDRESS(2,COLUMN())),OFFSET($AM$2,0,0,ROW()-1,33),ROW()-1,FALSE))</f>
        <v>12.472920200000001</v>
      </c>
      <c r="O257">
        <f ca="1">IF(AND(ISNUMBER($O$662),$B$427=1),$O$662,HLOOKUP(INDIRECT(ADDRESS(2,COLUMN())),OFFSET($AM$2,0,0,ROW()-1,33),ROW()-1,FALSE))</f>
        <v>12.41697048</v>
      </c>
      <c r="P257">
        <f ca="1">IF(AND(ISNUMBER($P$662),$B$427=1),$P$662,HLOOKUP(INDIRECT(ADDRESS(2,COLUMN())),OFFSET($AM$2,0,0,ROW()-1,33),ROW()-1,FALSE))</f>
        <v>12.86016347</v>
      </c>
      <c r="Q257">
        <f ca="1">IF(AND(ISNUMBER($Q$662),$B$427=1),$Q$662,HLOOKUP(INDIRECT(ADDRESS(2,COLUMN())),OFFSET($AM$2,0,0,ROW()-1,33),ROW()-1,FALSE))</f>
        <v>13.31488178</v>
      </c>
      <c r="R257">
        <f ca="1">IF(AND(ISNUMBER($R$662),$B$427=1),$R$662,HLOOKUP(INDIRECT(ADDRESS(2,COLUMN())),OFFSET($AM$2,0,0,ROW()-1,33),ROW()-1,FALSE))</f>
        <v>13.235084629999999</v>
      </c>
      <c r="S257">
        <f ca="1">IF(AND(ISNUMBER($S$662),$B$427=1),$S$662,HLOOKUP(INDIRECT(ADDRESS(2,COLUMN())),OFFSET($AM$2,0,0,ROW()-1,33),ROW()-1,FALSE))</f>
        <v>13.88061967</v>
      </c>
      <c r="T257">
        <f ca="1">IF(AND(ISNUMBER($T$662),$B$427=1),$T$662,HLOOKUP(INDIRECT(ADDRESS(2,COLUMN())),OFFSET($AM$2,0,0,ROW()-1,33),ROW()-1,FALSE))</f>
        <v>13.11857466</v>
      </c>
      <c r="U257">
        <f ca="1">IF(AND(ISNUMBER($U$662),$B$427=1),$U$662,HLOOKUP(INDIRECT(ADDRESS(2,COLUMN())),OFFSET($AM$2,0,0,ROW()-1,33),ROW()-1,FALSE))</f>
        <v>10.733325560000001</v>
      </c>
      <c r="V257">
        <f ca="1">IF(AND(ISNUMBER($V$662),$B$427=1),$V$662,HLOOKUP(INDIRECT(ADDRESS(2,COLUMN())),OFFSET($AM$2,0,0,ROW()-1,33),ROW()-1,FALSE))</f>
        <v>7.6829274319999996</v>
      </c>
      <c r="W257">
        <f ca="1">IF(AND(ISNUMBER($W$662),$B$427=1),$W$662,HLOOKUP(INDIRECT(ADDRESS(2,COLUMN())),OFFSET($AM$2,0,0,ROW()-1,33),ROW()-1,FALSE))</f>
        <v>7.3708402050000004</v>
      </c>
      <c r="X257">
        <f ca="1">IF(AND(ISNUMBER($X$662),$B$427=1),$X$662,HLOOKUP(INDIRECT(ADDRESS(2,COLUMN())),OFFSET($AM$2,0,0,ROW()-1,33),ROW()-1,FALSE))</f>
        <v>7.5498011079999996</v>
      </c>
      <c r="Y257">
        <f ca="1">IF(AND(ISNUMBER($Y$662),$B$427=1),$Y$662,HLOOKUP(INDIRECT(ADDRESS(2,COLUMN())),OFFSET($AM$2,0,0,ROW()-1,33),ROW()-1,FALSE))</f>
        <v>8.1936432690000007</v>
      </c>
      <c r="Z257">
        <f ca="1">IF(AND(ISNUMBER($Z$662),$B$427=1),$Z$662,HLOOKUP(INDIRECT(ADDRESS(2,COLUMN())),OFFSET($AM$2,0,0,ROW()-1,33),ROW()-1,FALSE))</f>
        <v>8.5526788370000002</v>
      </c>
      <c r="AA257">
        <f ca="1">IF(AND(ISNUMBER($AA$662),$B$427=1),$AA$662,HLOOKUP(INDIRECT(ADDRESS(2,COLUMN())),OFFSET($AM$2,0,0,ROW()-1,33),ROW()-1,FALSE))</f>
        <v>7.1830472859999999</v>
      </c>
      <c r="AB257">
        <f ca="1">IF(AND(ISNUMBER($AB$662),$B$427=1),$AB$662,HLOOKUP(INDIRECT(ADDRESS(2,COLUMN())),OFFSET($AM$2,0,0,ROW()-1,33),ROW()-1,FALSE))</f>
        <v>7.2465431220000003</v>
      </c>
      <c r="AC257">
        <f ca="1">IF(AND(ISNUMBER($AC$662),$B$427=1),$AC$662,HLOOKUP(INDIRECT(ADDRESS(2,COLUMN())),OFFSET($AM$2,0,0,ROW()-1,33),ROW()-1,FALSE))</f>
        <v>7.9605302470000003</v>
      </c>
      <c r="AD257" t="str">
        <f ca="1">IF(AND(ISNUMBER($AD$662),$B$427=1),$AD$662,HLOOKUP(INDIRECT(ADDRESS(2,COLUMN())),OFFSET($AM$2,0,0,ROW()-1,33),ROW()-1,FALSE))</f>
        <v/>
      </c>
      <c r="AE257" t="str">
        <f ca="1">IF(AND(ISNUMBER($AE$662),$B$427=1),$AE$662,HLOOKUP(INDIRECT(ADDRESS(2,COLUMN())),OFFSET($AM$2,0,0,ROW()-1,33),ROW()-1,FALSE))</f>
        <v/>
      </c>
      <c r="AF257" t="str">
        <f ca="1">IF(AND(ISNUMBER($AF$662),$B$427=1),$AF$662,HLOOKUP(INDIRECT(ADDRESS(2,COLUMN())),OFFSET($AM$2,0,0,ROW()-1,33),ROW()-1,FALSE))</f>
        <v/>
      </c>
      <c r="AG257" t="str">
        <f ca="1">IF(AND(ISNUMBER($AG$662),$B$427=1),$AG$662,HLOOKUP(INDIRECT(ADDRESS(2,COLUMN())),OFFSET($AM$2,0,0,ROW()-1,33),ROW()-1,FALSE))</f>
        <v/>
      </c>
      <c r="AH257" t="str">
        <f ca="1">IF(AND(ISNUMBER($AH$662),$B$427=1),$AH$662,HLOOKUP(INDIRECT(ADDRESS(2,COLUMN())),OFFSET($AM$2,0,0,ROW()-1,33),ROW()-1,FALSE))</f>
        <v/>
      </c>
      <c r="AI257" t="str">
        <f ca="1">IF(AND(ISNUMBER($AI$662),$B$427=1),$AI$662,HLOOKUP(INDIRECT(ADDRESS(2,COLUMN())),OFFSET($AM$2,0,0,ROW()-1,33),ROW()-1,FALSE))</f>
        <v/>
      </c>
      <c r="AJ257" t="str">
        <f ca="1">IF(AND(ISNUMBER($AJ$662),$B$427=1),$AJ$662,HLOOKUP(INDIRECT(ADDRESS(2,COLUMN())),OFFSET($AM$2,0,0,ROW()-1,33),ROW()-1,FALSE))</f>
        <v/>
      </c>
      <c r="AK257" t="str">
        <f ca="1">IF(AND(ISNUMBER($AK$662),$B$427=1),$AK$662,HLOOKUP(INDIRECT(ADDRESS(2,COLUMN())),OFFSET($AM$2,0,0,ROW()-1,33),ROW()-1,FALSE))</f>
        <v/>
      </c>
      <c r="AL257" t="str">
        <f ca="1">IF(AND(ISNUMBER($AL$662),$B$427=1),$AL$662,HLOOKUP(INDIRECT(ADDRESS(2,COLUMN())),OFFSET($AM$2,0,0,ROW()-1,33),ROW()-1,FALSE))</f>
        <v/>
      </c>
      <c r="AM257" t="str">
        <f>""</f>
        <v/>
      </c>
      <c r="AN257">
        <f>8.455424135</f>
        <v>8.4554241349999995</v>
      </c>
      <c r="AO257">
        <f>8.603231705</f>
        <v>8.6032317050000007</v>
      </c>
      <c r="AP257">
        <f>10.51832594</f>
        <v>10.51832594</v>
      </c>
      <c r="AQ257">
        <f>11.1428194</f>
        <v>11.1428194</v>
      </c>
      <c r="AR257">
        <f>12.99268265</f>
        <v>12.992682650000001</v>
      </c>
      <c r="AS257">
        <f>12.43324566</f>
        <v>12.433245660000001</v>
      </c>
      <c r="AT257">
        <f>11.93091659</f>
        <v>11.930916590000001</v>
      </c>
      <c r="AU257">
        <f>12.4729202</f>
        <v>12.472920200000001</v>
      </c>
      <c r="AV257">
        <f>12.41697048</f>
        <v>12.41697048</v>
      </c>
      <c r="AW257">
        <f>12.86016347</f>
        <v>12.86016347</v>
      </c>
      <c r="AX257">
        <f>13.31488178</f>
        <v>13.31488178</v>
      </c>
      <c r="AY257">
        <f>13.23508463</f>
        <v>13.235084629999999</v>
      </c>
      <c r="AZ257">
        <f>13.88061967</f>
        <v>13.88061967</v>
      </c>
      <c r="BA257">
        <f>13.11857466</f>
        <v>13.11857466</v>
      </c>
      <c r="BB257">
        <f>10.73332556</f>
        <v>10.733325560000001</v>
      </c>
      <c r="BC257">
        <f>7.682927432</f>
        <v>7.6829274319999996</v>
      </c>
      <c r="BD257">
        <f>7.370840205</f>
        <v>7.3708402050000004</v>
      </c>
      <c r="BE257">
        <f>7.549801108</f>
        <v>7.5498011079999996</v>
      </c>
      <c r="BF257">
        <f>8.193643269</f>
        <v>8.1936432690000007</v>
      </c>
      <c r="BG257">
        <f>8.552678837</f>
        <v>8.5526788370000002</v>
      </c>
      <c r="BH257">
        <f>7.183047286</f>
        <v>7.1830472859999999</v>
      </c>
      <c r="BI257">
        <f>7.246543122</f>
        <v>7.2465431220000003</v>
      </c>
      <c r="BJ257">
        <f>7.960530247</f>
        <v>7.9605302470000003</v>
      </c>
      <c r="BK257" t="str">
        <f>""</f>
        <v/>
      </c>
      <c r="BL257" t="str">
        <f>""</f>
        <v/>
      </c>
      <c r="BM257" t="str">
        <f>""</f>
        <v/>
      </c>
      <c r="BN257" t="str">
        <f>""</f>
        <v/>
      </c>
      <c r="BO257" t="str">
        <f>""</f>
        <v/>
      </c>
      <c r="BP257" t="str">
        <f>""</f>
        <v/>
      </c>
      <c r="BQ257" t="str">
        <f>""</f>
        <v/>
      </c>
      <c r="BR257" t="str">
        <f>""</f>
        <v/>
      </c>
      <c r="BS257" t="str">
        <f>""</f>
        <v/>
      </c>
    </row>
    <row r="258" spans="1:71" x14ac:dyDescent="0.25">
      <c r="A258" t="str">
        <f>"        Regions Financial Corp"</f>
        <v xml:space="preserve">        Regions Financial Corp</v>
      </c>
      <c r="B258" t="str">
        <f>"RF US Equity"</f>
        <v>RF US Equity</v>
      </c>
      <c r="C258" t="str">
        <f t="shared" si="33"/>
        <v>F0121</v>
      </c>
      <c r="D258" t="str">
        <f t="shared" si="34"/>
        <v>FED_CNSMR_LNS_LEAS_%_TOT_LNS_LS</v>
      </c>
      <c r="E258" t="str">
        <f t="shared" si="35"/>
        <v>Dynamic</v>
      </c>
      <c r="F258" t="str">
        <f ca="1">IF(AND(ISNUMBER($F$663),$B$427=1),$F$663,HLOOKUP(INDIRECT(ADDRESS(2,COLUMN())),OFFSET($AM$2,0,0,ROW()-1,33),ROW()-1,FALSE))</f>
        <v/>
      </c>
      <c r="G258">
        <f ca="1">IF(AND(ISNUMBER($G$663),$B$427=1),$G$663,HLOOKUP(INDIRECT(ADDRESS(2,COLUMN())),OFFSET($AM$2,0,0,ROW()-1,33),ROW()-1,FALSE))</f>
        <v>7.9716895159999996</v>
      </c>
      <c r="H258">
        <f ca="1">IF(AND(ISNUMBER($H$663),$B$427=1),$H$663,HLOOKUP(INDIRECT(ADDRESS(2,COLUMN())),OFFSET($AM$2,0,0,ROW()-1,33),ROW()-1,FALSE))</f>
        <v>8.0207916010000009</v>
      </c>
      <c r="I258">
        <f ca="1">IF(AND(ISNUMBER($I$663),$B$427=1),$I$663,HLOOKUP(INDIRECT(ADDRESS(2,COLUMN())),OFFSET($AM$2,0,0,ROW()-1,33),ROW()-1,FALSE))</f>
        <v>8.9665893170000004</v>
      </c>
      <c r="J258">
        <f ca="1">IF(AND(ISNUMBER($J$663),$B$427=1),$J$663,HLOOKUP(INDIRECT(ADDRESS(2,COLUMN())),OFFSET($AM$2,0,0,ROW()-1,33),ROW()-1,FALSE))</f>
        <v>6.5979073929999998</v>
      </c>
      <c r="K258">
        <f ca="1">IF(AND(ISNUMBER($K$663),$B$427=1),$K$663,HLOOKUP(INDIRECT(ADDRESS(2,COLUMN())),OFFSET($AM$2,0,0,ROW()-1,33),ROW()-1,FALSE))</f>
        <v>9.2009569379999991</v>
      </c>
      <c r="L258">
        <f ca="1">IF(AND(ISNUMBER($L$663),$B$427=1),$L$663,HLOOKUP(INDIRECT(ADDRESS(2,COLUMN())),OFFSET($AM$2,0,0,ROW()-1,33),ROW()-1,FALSE))</f>
        <v>9.4253091280000003</v>
      </c>
      <c r="M258">
        <f ca="1">IF(AND(ISNUMBER($M$663),$B$427=1),$M$663,HLOOKUP(INDIRECT(ADDRESS(2,COLUMN())),OFFSET($AM$2,0,0,ROW()-1,33),ROW()-1,FALSE))</f>
        <v>8.9026095779999999</v>
      </c>
      <c r="N258">
        <f ca="1">IF(AND(ISNUMBER($N$663),$B$427=1),$N$663,HLOOKUP(INDIRECT(ADDRESS(2,COLUMN())),OFFSET($AM$2,0,0,ROW()-1,33),ROW()-1,FALSE))</f>
        <v>8.9051930959999996</v>
      </c>
      <c r="O258">
        <f ca="1">IF(AND(ISNUMBER($O$663),$B$427=1),$O$663,HLOOKUP(INDIRECT(ADDRESS(2,COLUMN())),OFFSET($AM$2,0,0,ROW()-1,33),ROW()-1,FALSE))</f>
        <v>8.0302732300000006</v>
      </c>
      <c r="P258">
        <f ca="1">IF(AND(ISNUMBER($P$663),$B$427=1),$P$663,HLOOKUP(INDIRECT(ADDRESS(2,COLUMN())),OFFSET($AM$2,0,0,ROW()-1,33),ROW()-1,FALSE))</f>
        <v>7.415967577</v>
      </c>
      <c r="Q258">
        <f ca="1">IF(AND(ISNUMBER($Q$663),$B$427=1),$Q$663,HLOOKUP(INDIRECT(ADDRESS(2,COLUMN())),OFFSET($AM$2,0,0,ROW()-1,33),ROW()-1,FALSE))</f>
        <v>6.77711781</v>
      </c>
      <c r="R258">
        <f ca="1">IF(AND(ISNUMBER($R$663),$B$427=1),$R$663,HLOOKUP(INDIRECT(ADDRESS(2,COLUMN())),OFFSET($AM$2,0,0,ROW()-1,33),ROW()-1,FALSE))</f>
        <v>5.7949973249999998</v>
      </c>
      <c r="S258">
        <f ca="1">IF(AND(ISNUMBER($S$663),$B$427=1),$S$663,HLOOKUP(INDIRECT(ADDRESS(2,COLUMN())),OFFSET($AM$2,0,0,ROW()-1,33),ROW()-1,FALSE))</f>
        <v>5.0523586629999997</v>
      </c>
      <c r="T258">
        <f ca="1">IF(AND(ISNUMBER($T$663),$B$427=1),$T$663,HLOOKUP(INDIRECT(ADDRESS(2,COLUMN())),OFFSET($AM$2,0,0,ROW()-1,33),ROW()-1,FALSE))</f>
        <v>3.2024732660000002</v>
      </c>
      <c r="U258">
        <f ca="1">IF(AND(ISNUMBER($U$663),$B$427=1),$U$663,HLOOKUP(INDIRECT(ADDRESS(2,COLUMN())),OFFSET($AM$2,0,0,ROW()-1,33),ROW()-1,FALSE))</f>
        <v>4.1114804749999996</v>
      </c>
      <c r="V258">
        <f ca="1">IF(AND(ISNUMBER($V$663),$B$427=1),$V$663,HLOOKUP(INDIRECT(ADDRESS(2,COLUMN())),OFFSET($AM$2,0,0,ROW()-1,33),ROW()-1,FALSE))</f>
        <v>5.2108382559999997</v>
      </c>
      <c r="W258">
        <f ca="1">IF(AND(ISNUMBER($W$663),$B$427=1),$W$663,HLOOKUP(INDIRECT(ADDRESS(2,COLUMN())),OFFSET($AM$2,0,0,ROW()-1,33),ROW()-1,FALSE))</f>
        <v>6.0139538180000001</v>
      </c>
      <c r="X258">
        <f ca="1">IF(AND(ISNUMBER($X$663),$B$427=1),$X$663,HLOOKUP(INDIRECT(ADDRESS(2,COLUMN())),OFFSET($AM$2,0,0,ROW()-1,33),ROW()-1,FALSE))</f>
        <v>6.385120573</v>
      </c>
      <c r="Y258">
        <f ca="1">IF(AND(ISNUMBER($Y$663),$B$427=1),$Y$663,HLOOKUP(INDIRECT(ADDRESS(2,COLUMN())),OFFSET($AM$2,0,0,ROW()-1,33),ROW()-1,FALSE))</f>
        <v>5.6255526150000001</v>
      </c>
      <c r="Z258">
        <f ca="1">IF(AND(ISNUMBER($Z$663),$B$427=1),$Z$663,HLOOKUP(INDIRECT(ADDRESS(2,COLUMN())),OFFSET($AM$2,0,0,ROW()-1,33),ROW()-1,FALSE))</f>
        <v>6.8069972559999998</v>
      </c>
      <c r="AA258" t="str">
        <f ca="1">IF(AND(ISNUMBER($AA$663),$B$427=1),$AA$663,HLOOKUP(INDIRECT(ADDRESS(2,COLUMN())),OFFSET($AM$2,0,0,ROW()-1,33),ROW()-1,FALSE))</f>
        <v/>
      </c>
      <c r="AB258" t="str">
        <f ca="1">IF(AND(ISNUMBER($AB$663),$B$427=1),$AB$663,HLOOKUP(INDIRECT(ADDRESS(2,COLUMN())),OFFSET($AM$2,0,0,ROW()-1,33),ROW()-1,FALSE))</f>
        <v/>
      </c>
      <c r="AC258" t="str">
        <f ca="1">IF(AND(ISNUMBER($AC$663),$B$427=1),$AC$663,HLOOKUP(INDIRECT(ADDRESS(2,COLUMN())),OFFSET($AM$2,0,0,ROW()-1,33),ROW()-1,FALSE))</f>
        <v/>
      </c>
      <c r="AD258" t="str">
        <f ca="1">IF(AND(ISNUMBER($AD$663),$B$427=1),$AD$663,HLOOKUP(INDIRECT(ADDRESS(2,COLUMN())),OFFSET($AM$2,0,0,ROW()-1,33),ROW()-1,FALSE))</f>
        <v/>
      </c>
      <c r="AE258" t="str">
        <f ca="1">IF(AND(ISNUMBER($AE$663),$B$427=1),$AE$663,HLOOKUP(INDIRECT(ADDRESS(2,COLUMN())),OFFSET($AM$2,0,0,ROW()-1,33),ROW()-1,FALSE))</f>
        <v/>
      </c>
      <c r="AF258" t="str">
        <f ca="1">IF(AND(ISNUMBER($AF$663),$B$427=1),$AF$663,HLOOKUP(INDIRECT(ADDRESS(2,COLUMN())),OFFSET($AM$2,0,0,ROW()-1,33),ROW()-1,FALSE))</f>
        <v/>
      </c>
      <c r="AG258" t="str">
        <f ca="1">IF(AND(ISNUMBER($AG$663),$B$427=1),$AG$663,HLOOKUP(INDIRECT(ADDRESS(2,COLUMN())),OFFSET($AM$2,0,0,ROW()-1,33),ROW()-1,FALSE))</f>
        <v/>
      </c>
      <c r="AH258" t="str">
        <f ca="1">IF(AND(ISNUMBER($AH$663),$B$427=1),$AH$663,HLOOKUP(INDIRECT(ADDRESS(2,COLUMN())),OFFSET($AM$2,0,0,ROW()-1,33),ROW()-1,FALSE))</f>
        <v/>
      </c>
      <c r="AI258" t="str">
        <f ca="1">IF(AND(ISNUMBER($AI$663),$B$427=1),$AI$663,HLOOKUP(INDIRECT(ADDRESS(2,COLUMN())),OFFSET($AM$2,0,0,ROW()-1,33),ROW()-1,FALSE))</f>
        <v/>
      </c>
      <c r="AJ258" t="str">
        <f ca="1">IF(AND(ISNUMBER($AJ$663),$B$427=1),$AJ$663,HLOOKUP(INDIRECT(ADDRESS(2,COLUMN())),OFFSET($AM$2,0,0,ROW()-1,33),ROW()-1,FALSE))</f>
        <v/>
      </c>
      <c r="AK258" t="str">
        <f ca="1">IF(AND(ISNUMBER($AK$663),$B$427=1),$AK$663,HLOOKUP(INDIRECT(ADDRESS(2,COLUMN())),OFFSET($AM$2,0,0,ROW()-1,33),ROW()-1,FALSE))</f>
        <v/>
      </c>
      <c r="AL258" t="str">
        <f ca="1">IF(AND(ISNUMBER($AL$663),$B$427=1),$AL$663,HLOOKUP(INDIRECT(ADDRESS(2,COLUMN())),OFFSET($AM$2,0,0,ROW()-1,33),ROW()-1,FALSE))</f>
        <v/>
      </c>
      <c r="AM258" t="str">
        <f>""</f>
        <v/>
      </c>
      <c r="AN258">
        <f>7.971689516</f>
        <v>7.9716895159999996</v>
      </c>
      <c r="AO258">
        <f>8.020791601</f>
        <v>8.0207916010000009</v>
      </c>
      <c r="AP258">
        <f>8.966589317</f>
        <v>8.9665893170000004</v>
      </c>
      <c r="AQ258">
        <f>6.597907393</f>
        <v>6.5979073929999998</v>
      </c>
      <c r="AR258">
        <f>9.200956938</f>
        <v>9.2009569379999991</v>
      </c>
      <c r="AS258">
        <f>9.425309128</f>
        <v>9.4253091280000003</v>
      </c>
      <c r="AT258">
        <f>8.902609578</f>
        <v>8.9026095779999999</v>
      </c>
      <c r="AU258">
        <f>8.905193096</f>
        <v>8.9051930959999996</v>
      </c>
      <c r="AV258">
        <f>8.03027323</f>
        <v>8.0302732300000006</v>
      </c>
      <c r="AW258">
        <f>7.415967577</f>
        <v>7.415967577</v>
      </c>
      <c r="AX258">
        <f>6.77711781</f>
        <v>6.77711781</v>
      </c>
      <c r="AY258">
        <f>5.794997325</f>
        <v>5.7949973249999998</v>
      </c>
      <c r="AZ258">
        <f>5.052358663</f>
        <v>5.0523586629999997</v>
      </c>
      <c r="BA258">
        <f>3.202473266</f>
        <v>3.2024732660000002</v>
      </c>
      <c r="BB258">
        <f>4.111480475</f>
        <v>4.1114804749999996</v>
      </c>
      <c r="BC258">
        <f>5.210838256</f>
        <v>5.2108382559999997</v>
      </c>
      <c r="BD258">
        <f>6.013953818</f>
        <v>6.0139538180000001</v>
      </c>
      <c r="BE258">
        <f>6.385120573</f>
        <v>6.385120573</v>
      </c>
      <c r="BF258">
        <f>5.625552615</f>
        <v>5.6255526150000001</v>
      </c>
      <c r="BG258">
        <f>6.806997256</f>
        <v>6.8069972559999998</v>
      </c>
      <c r="BH258" t="str">
        <f>""</f>
        <v/>
      </c>
      <c r="BI258" t="str">
        <f>""</f>
        <v/>
      </c>
      <c r="BJ258" t="str">
        <f>""</f>
        <v/>
      </c>
      <c r="BK258" t="str">
        <f>""</f>
        <v/>
      </c>
      <c r="BL258" t="str">
        <f>""</f>
        <v/>
      </c>
      <c r="BM258" t="str">
        <f>""</f>
        <v/>
      </c>
      <c r="BN258" t="str">
        <f>""</f>
        <v/>
      </c>
      <c r="BO258" t="str">
        <f>""</f>
        <v/>
      </c>
      <c r="BP258" t="str">
        <f>""</f>
        <v/>
      </c>
      <c r="BQ258" t="str">
        <f>""</f>
        <v/>
      </c>
      <c r="BR258" t="str">
        <f>""</f>
        <v/>
      </c>
      <c r="BS258" t="str">
        <f>""</f>
        <v/>
      </c>
    </row>
    <row r="259" spans="1:71" x14ac:dyDescent="0.25">
      <c r="A259" t="str">
        <f>"        Truist Financial Corp"</f>
        <v xml:space="preserve">        Truist Financial Corp</v>
      </c>
      <c r="B259" t="str">
        <f>"TFC US Equity"</f>
        <v>TFC US Equity</v>
      </c>
      <c r="C259" t="str">
        <f t="shared" si="33"/>
        <v>F0121</v>
      </c>
      <c r="D259" t="str">
        <f t="shared" si="34"/>
        <v>FED_CNSMR_LNS_LEAS_%_TOT_LNS_LS</v>
      </c>
      <c r="E259" t="str">
        <f t="shared" si="35"/>
        <v>Dynamic</v>
      </c>
      <c r="F259">
        <f ca="1">IF(AND(ISNUMBER($F$664),$B$427=1),$F$664,HLOOKUP(INDIRECT(ADDRESS(2,COLUMN())),OFFSET($AM$2,0,0,ROW()-1,33),ROW()-1,FALSE))</f>
        <v>17.88245156</v>
      </c>
      <c r="G259">
        <f ca="1">IF(AND(ISNUMBER($G$664),$B$427=1),$G$664,HLOOKUP(INDIRECT(ADDRESS(2,COLUMN())),OFFSET($AM$2,0,0,ROW()-1,33),ROW()-1,FALSE))</f>
        <v>17.227876340000002</v>
      </c>
      <c r="H259">
        <f ca="1">IF(AND(ISNUMBER($H$664),$B$427=1),$H$664,HLOOKUP(INDIRECT(ADDRESS(2,COLUMN())),OFFSET($AM$2,0,0,ROW()-1,33),ROW()-1,FALSE))</f>
        <v>19.309175870000001</v>
      </c>
      <c r="I259">
        <f ca="1">IF(AND(ISNUMBER($I$664),$B$427=1),$I$664,HLOOKUP(INDIRECT(ADDRESS(2,COLUMN())),OFFSET($AM$2,0,0,ROW()-1,33),ROW()-1,FALSE))</f>
        <v>20.464452560000002</v>
      </c>
      <c r="J259">
        <f ca="1">IF(AND(ISNUMBER($J$664),$B$427=1),$J$664,HLOOKUP(INDIRECT(ADDRESS(2,COLUMN())),OFFSET($AM$2,0,0,ROW()-1,33),ROW()-1,FALSE))</f>
        <v>19.658069350000002</v>
      </c>
      <c r="K259">
        <f ca="1">IF(AND(ISNUMBER($K$664),$B$427=1),$K$664,HLOOKUP(INDIRECT(ADDRESS(2,COLUMN())),OFFSET($AM$2,0,0,ROW()-1,33),ROW()-1,FALSE))</f>
        <v>19.024382330000002</v>
      </c>
      <c r="L259">
        <f ca="1">IF(AND(ISNUMBER($L$664),$B$427=1),$L$664,HLOOKUP(INDIRECT(ADDRESS(2,COLUMN())),OFFSET($AM$2,0,0,ROW()-1,33),ROW()-1,FALSE))</f>
        <v>14.561236259999999</v>
      </c>
      <c r="M259">
        <f ca="1">IF(AND(ISNUMBER($M$664),$B$427=1),$M$664,HLOOKUP(INDIRECT(ADDRESS(2,COLUMN())),OFFSET($AM$2,0,0,ROW()-1,33),ROW()-1,FALSE))</f>
        <v>14.55524862</v>
      </c>
      <c r="N259">
        <f ca="1">IF(AND(ISNUMBER($N$664),$B$427=1),$N$664,HLOOKUP(INDIRECT(ADDRESS(2,COLUMN())),OFFSET($AM$2,0,0,ROW()-1,33),ROW()-1,FALSE))</f>
        <v>15.050531489999999</v>
      </c>
      <c r="O259">
        <f ca="1">IF(AND(ISNUMBER($O$664),$B$427=1),$O$664,HLOOKUP(INDIRECT(ADDRESS(2,COLUMN())),OFFSET($AM$2,0,0,ROW()-1,33),ROW()-1,FALSE))</f>
        <v>14.64567922</v>
      </c>
      <c r="P259">
        <f ca="1">IF(AND(ISNUMBER($P$664),$B$427=1),$P$664,HLOOKUP(INDIRECT(ADDRESS(2,COLUMN())),OFFSET($AM$2,0,0,ROW()-1,33),ROW()-1,FALSE))</f>
        <v>15.38038562</v>
      </c>
      <c r="Q259">
        <f ca="1">IF(AND(ISNUMBER($Q$664),$B$427=1),$Q$664,HLOOKUP(INDIRECT(ADDRESS(2,COLUMN())),OFFSET($AM$2,0,0,ROW()-1,33),ROW()-1,FALSE))</f>
        <v>14.09326813</v>
      </c>
      <c r="R259">
        <f ca="1">IF(AND(ISNUMBER($R$664),$B$427=1),$R$664,HLOOKUP(INDIRECT(ADDRESS(2,COLUMN())),OFFSET($AM$2,0,0,ROW()-1,33),ROW()-1,FALSE))</f>
        <v>12.59943202</v>
      </c>
      <c r="S259">
        <f ca="1">IF(AND(ISNUMBER($S$664),$B$427=1),$S$664,HLOOKUP(INDIRECT(ADDRESS(2,COLUMN())),OFFSET($AM$2,0,0,ROW()-1,33),ROW()-1,FALSE))</f>
        <v>12.577728710000001</v>
      </c>
      <c r="T259">
        <f ca="1">IF(AND(ISNUMBER($T$664),$B$427=1),$T$664,HLOOKUP(INDIRECT(ADDRESS(2,COLUMN())),OFFSET($AM$2,0,0,ROW()-1,33),ROW()-1,FALSE))</f>
        <v>12.21954</v>
      </c>
      <c r="U259">
        <f ca="1">IF(AND(ISNUMBER($U$664),$B$427=1),$U$664,HLOOKUP(INDIRECT(ADDRESS(2,COLUMN())),OFFSET($AM$2,0,0,ROW()-1,33),ROW()-1,FALSE))</f>
        <v>11.29290857</v>
      </c>
      <c r="V259">
        <f ca="1">IF(AND(ISNUMBER($V$664),$B$427=1),$V$664,HLOOKUP(INDIRECT(ADDRESS(2,COLUMN())),OFFSET($AM$2,0,0,ROW()-1,33),ROW()-1,FALSE))</f>
        <v>11.236965659999999</v>
      </c>
      <c r="W259">
        <f ca="1">IF(AND(ISNUMBER($W$664),$B$427=1),$W$664,HLOOKUP(INDIRECT(ADDRESS(2,COLUMN())),OFFSET($AM$2,0,0,ROW()-1,33),ROW()-1,FALSE))</f>
        <v>11.20100014</v>
      </c>
      <c r="X259">
        <f ca="1">IF(AND(ISNUMBER($X$664),$B$427=1),$X$664,HLOOKUP(INDIRECT(ADDRESS(2,COLUMN())),OFFSET($AM$2,0,0,ROW()-1,33),ROW()-1,FALSE))</f>
        <v>11.470708399999999</v>
      </c>
      <c r="Y259">
        <f ca="1">IF(AND(ISNUMBER($Y$664),$B$427=1),$Y$664,HLOOKUP(INDIRECT(ADDRESS(2,COLUMN())),OFFSET($AM$2,0,0,ROW()-1,33),ROW()-1,FALSE))</f>
        <v>11.71853849</v>
      </c>
      <c r="Z259">
        <f ca="1">IF(AND(ISNUMBER($Z$664),$B$427=1),$Z$664,HLOOKUP(INDIRECT(ADDRESS(2,COLUMN())),OFFSET($AM$2,0,0,ROW()-1,33),ROW()-1,FALSE))</f>
        <v>12.47086711</v>
      </c>
      <c r="AA259">
        <f ca="1">IF(AND(ISNUMBER($AA$664),$B$427=1),$AA$664,HLOOKUP(INDIRECT(ADDRESS(2,COLUMN())),OFFSET($AM$2,0,0,ROW()-1,33),ROW()-1,FALSE))</f>
        <v>13.340389650000001</v>
      </c>
      <c r="AB259">
        <f ca="1">IF(AND(ISNUMBER($AB$664),$B$427=1),$AB$664,HLOOKUP(INDIRECT(ADDRESS(2,COLUMN())),OFFSET($AM$2,0,0,ROW()-1,33),ROW()-1,FALSE))</f>
        <v>10.905254190000001</v>
      </c>
      <c r="AC259">
        <f ca="1">IF(AND(ISNUMBER($AC$664),$B$427=1),$AC$664,HLOOKUP(INDIRECT(ADDRESS(2,COLUMN())),OFFSET($AM$2,0,0,ROW()-1,33),ROW()-1,FALSE))</f>
        <v>11.54068994</v>
      </c>
      <c r="AD259" t="str">
        <f ca="1">IF(AND(ISNUMBER($AD$664),$B$427=1),$AD$664,HLOOKUP(INDIRECT(ADDRESS(2,COLUMN())),OFFSET($AM$2,0,0,ROW()-1,33),ROW()-1,FALSE))</f>
        <v/>
      </c>
      <c r="AE259" t="str">
        <f ca="1">IF(AND(ISNUMBER($AE$664),$B$427=1),$AE$664,HLOOKUP(INDIRECT(ADDRESS(2,COLUMN())),OFFSET($AM$2,0,0,ROW()-1,33),ROW()-1,FALSE))</f>
        <v/>
      </c>
      <c r="AF259" t="str">
        <f ca="1">IF(AND(ISNUMBER($AF$664),$B$427=1),$AF$664,HLOOKUP(INDIRECT(ADDRESS(2,COLUMN())),OFFSET($AM$2,0,0,ROW()-1,33),ROW()-1,FALSE))</f>
        <v/>
      </c>
      <c r="AG259" t="str">
        <f ca="1">IF(AND(ISNUMBER($AG$664),$B$427=1),$AG$664,HLOOKUP(INDIRECT(ADDRESS(2,COLUMN())),OFFSET($AM$2,0,0,ROW()-1,33),ROW()-1,FALSE))</f>
        <v/>
      </c>
      <c r="AH259" t="str">
        <f ca="1">IF(AND(ISNUMBER($AH$664),$B$427=1),$AH$664,HLOOKUP(INDIRECT(ADDRESS(2,COLUMN())),OFFSET($AM$2,0,0,ROW()-1,33),ROW()-1,FALSE))</f>
        <v/>
      </c>
      <c r="AI259" t="str">
        <f ca="1">IF(AND(ISNUMBER($AI$664),$B$427=1),$AI$664,HLOOKUP(INDIRECT(ADDRESS(2,COLUMN())),OFFSET($AM$2,0,0,ROW()-1,33),ROW()-1,FALSE))</f>
        <v/>
      </c>
      <c r="AJ259" t="str">
        <f ca="1">IF(AND(ISNUMBER($AJ$664),$B$427=1),$AJ$664,HLOOKUP(INDIRECT(ADDRESS(2,COLUMN())),OFFSET($AM$2,0,0,ROW()-1,33),ROW()-1,FALSE))</f>
        <v/>
      </c>
      <c r="AK259" t="str">
        <f ca="1">IF(AND(ISNUMBER($AK$664),$B$427=1),$AK$664,HLOOKUP(INDIRECT(ADDRESS(2,COLUMN())),OFFSET($AM$2,0,0,ROW()-1,33),ROW()-1,FALSE))</f>
        <v/>
      </c>
      <c r="AL259" t="str">
        <f ca="1">IF(AND(ISNUMBER($AL$664),$B$427=1),$AL$664,HLOOKUP(INDIRECT(ADDRESS(2,COLUMN())),OFFSET($AM$2,0,0,ROW()-1,33),ROW()-1,FALSE))</f>
        <v/>
      </c>
      <c r="AM259">
        <f>17.88245156</f>
        <v>17.88245156</v>
      </c>
      <c r="AN259">
        <f>17.22787634</f>
        <v>17.227876340000002</v>
      </c>
      <c r="AO259">
        <f>19.30917587</f>
        <v>19.309175870000001</v>
      </c>
      <c r="AP259">
        <f>20.46445256</f>
        <v>20.464452560000002</v>
      </c>
      <c r="AQ259">
        <f>19.65806935</f>
        <v>19.658069350000002</v>
      </c>
      <c r="AR259">
        <f>19.02438233</f>
        <v>19.024382330000002</v>
      </c>
      <c r="AS259">
        <f>14.56123626</f>
        <v>14.561236259999999</v>
      </c>
      <c r="AT259">
        <f>14.55524862</f>
        <v>14.55524862</v>
      </c>
      <c r="AU259">
        <f>15.05053149</f>
        <v>15.050531489999999</v>
      </c>
      <c r="AV259">
        <f>14.64567922</f>
        <v>14.64567922</v>
      </c>
      <c r="AW259">
        <f>15.38038562</f>
        <v>15.38038562</v>
      </c>
      <c r="AX259">
        <f>14.09326813</f>
        <v>14.09326813</v>
      </c>
      <c r="AY259">
        <f>12.59943202</f>
        <v>12.59943202</v>
      </c>
      <c r="AZ259">
        <f>12.57772871</f>
        <v>12.577728710000001</v>
      </c>
      <c r="BA259">
        <f>12.21954</f>
        <v>12.21954</v>
      </c>
      <c r="BB259">
        <f>11.29290857</f>
        <v>11.29290857</v>
      </c>
      <c r="BC259">
        <f>11.23696566</f>
        <v>11.236965659999999</v>
      </c>
      <c r="BD259">
        <f>11.20100014</f>
        <v>11.20100014</v>
      </c>
      <c r="BE259">
        <f>11.4707084</f>
        <v>11.470708399999999</v>
      </c>
      <c r="BF259">
        <f>11.71853849</f>
        <v>11.71853849</v>
      </c>
      <c r="BG259">
        <f>12.47086711</f>
        <v>12.47086711</v>
      </c>
      <c r="BH259">
        <f>13.34038965</f>
        <v>13.340389650000001</v>
      </c>
      <c r="BI259">
        <f>10.90525419</f>
        <v>10.905254190000001</v>
      </c>
      <c r="BJ259">
        <f>11.54068994</f>
        <v>11.54068994</v>
      </c>
      <c r="BK259" t="str">
        <f>""</f>
        <v/>
      </c>
      <c r="BL259" t="str">
        <f>""</f>
        <v/>
      </c>
      <c r="BM259" t="str">
        <f>""</f>
        <v/>
      </c>
      <c r="BN259" t="str">
        <f>""</f>
        <v/>
      </c>
      <c r="BO259" t="str">
        <f>""</f>
        <v/>
      </c>
      <c r="BP259" t="str">
        <f>""</f>
        <v/>
      </c>
      <c r="BQ259" t="str">
        <f>""</f>
        <v/>
      </c>
      <c r="BR259" t="str">
        <f>""</f>
        <v/>
      </c>
      <c r="BS259" t="str">
        <f>""</f>
        <v/>
      </c>
    </row>
    <row r="260" spans="1:71" x14ac:dyDescent="0.25">
      <c r="A260" t="str">
        <f>"        US Bancorp"</f>
        <v xml:space="preserve">        US Bancorp</v>
      </c>
      <c r="B260" t="str">
        <f>"USB US Equity"</f>
        <v>USB US Equity</v>
      </c>
      <c r="C260" t="str">
        <f t="shared" si="33"/>
        <v>F0121</v>
      </c>
      <c r="D260" t="str">
        <f t="shared" si="34"/>
        <v>FED_CNSMR_LNS_LEAS_%_TOT_LNS_LS</v>
      </c>
      <c r="E260" t="str">
        <f t="shared" si="35"/>
        <v>Dynamic</v>
      </c>
      <c r="F260">
        <f ca="1">IF(AND(ISNUMBER($F$665),$B$427=1),$F$665,HLOOKUP(INDIRECT(ADDRESS(2,COLUMN())),OFFSET($AM$2,0,0,ROW()-1,33),ROW()-1,FALSE))</f>
        <v>15.52882415</v>
      </c>
      <c r="G260">
        <f ca="1">IF(AND(ISNUMBER($G$665),$B$427=1),$G$665,HLOOKUP(INDIRECT(ADDRESS(2,COLUMN())),OFFSET($AM$2,0,0,ROW()-1,33),ROW()-1,FALSE))</f>
        <v>15.966556389999999</v>
      </c>
      <c r="H260">
        <f ca="1">IF(AND(ISNUMBER($H$665),$B$427=1),$H$665,HLOOKUP(INDIRECT(ADDRESS(2,COLUMN())),OFFSET($AM$2,0,0,ROW()-1,33),ROW()-1,FALSE))</f>
        <v>17.49608748</v>
      </c>
      <c r="I260">
        <f ca="1">IF(AND(ISNUMBER($I$665),$B$427=1),$I$665,HLOOKUP(INDIRECT(ADDRESS(2,COLUMN())),OFFSET($AM$2,0,0,ROW()-1,33),ROW()-1,FALSE))</f>
        <v>23.46725953</v>
      </c>
      <c r="J260">
        <f ca="1">IF(AND(ISNUMBER($J$665),$B$427=1),$J$665,HLOOKUP(INDIRECT(ADDRESS(2,COLUMN())),OFFSET($AM$2,0,0,ROW()-1,33),ROW()-1,FALSE))</f>
        <v>21.827727530000001</v>
      </c>
      <c r="K260">
        <f ca="1">IF(AND(ISNUMBER($K$665),$B$427=1),$K$665,HLOOKUP(INDIRECT(ADDRESS(2,COLUMN())),OFFSET($AM$2,0,0,ROW()-1,33),ROW()-1,FALSE))</f>
        <v>22.161230440000001</v>
      </c>
      <c r="L260">
        <f ca="1">IF(AND(ISNUMBER($L$665),$B$427=1),$L$665,HLOOKUP(INDIRECT(ADDRESS(2,COLUMN())),OFFSET($AM$2,0,0,ROW()-1,33),ROW()-1,FALSE))</f>
        <v>22.047691270000001</v>
      </c>
      <c r="M260">
        <f ca="1">IF(AND(ISNUMBER($M$665),$B$427=1),$M$665,HLOOKUP(INDIRECT(ADDRESS(2,COLUMN())),OFFSET($AM$2,0,0,ROW()-1,33),ROW()-1,FALSE))</f>
        <v>22.28749453</v>
      </c>
      <c r="N260">
        <f ca="1">IF(AND(ISNUMBER($N$665),$B$427=1),$N$665,HLOOKUP(INDIRECT(ADDRESS(2,COLUMN())),OFFSET($AM$2,0,0,ROW()-1,33),ROW()-1,FALSE))</f>
        <v>21.35815517</v>
      </c>
      <c r="O260">
        <f ca="1">IF(AND(ISNUMBER($O$665),$B$427=1),$O$665,HLOOKUP(INDIRECT(ADDRESS(2,COLUMN())),OFFSET($AM$2,0,0,ROW()-1,33),ROW()-1,FALSE))</f>
        <v>21.223493449999999</v>
      </c>
      <c r="P260">
        <f ca="1">IF(AND(ISNUMBER($P$665),$B$427=1),$P$665,HLOOKUP(INDIRECT(ADDRESS(2,COLUMN())),OFFSET($AM$2,0,0,ROW()-1,33),ROW()-1,FALSE))</f>
        <v>20.620118659999999</v>
      </c>
      <c r="Q260">
        <f ca="1">IF(AND(ISNUMBER($Q$665),$B$427=1),$Q$665,HLOOKUP(INDIRECT(ADDRESS(2,COLUMN())),OFFSET($AM$2,0,0,ROW()-1,33),ROW()-1,FALSE))</f>
        <v>21.212057260000002</v>
      </c>
      <c r="R260">
        <f ca="1">IF(AND(ISNUMBER($R$665),$B$427=1),$R$665,HLOOKUP(INDIRECT(ADDRESS(2,COLUMN())),OFFSET($AM$2,0,0,ROW()-1,33),ROW()-1,FALSE))</f>
        <v>20.90816216</v>
      </c>
      <c r="S260">
        <f ca="1">IF(AND(ISNUMBER($S$665),$B$427=1),$S$665,HLOOKUP(INDIRECT(ADDRESS(2,COLUMN())),OFFSET($AM$2,0,0,ROW()-1,33),ROW()-1,FALSE))</f>
        <v>22.158394139999999</v>
      </c>
      <c r="T260">
        <f ca="1">IF(AND(ISNUMBER($T$665),$B$427=1),$T$665,HLOOKUP(INDIRECT(ADDRESS(2,COLUMN())),OFFSET($AM$2,0,0,ROW()-1,33),ROW()-1,FALSE))</f>
        <v>22.869571669999999</v>
      </c>
      <c r="U260">
        <f ca="1">IF(AND(ISNUMBER($U$665),$B$427=1),$U$665,HLOOKUP(INDIRECT(ADDRESS(2,COLUMN())),OFFSET($AM$2,0,0,ROW()-1,33),ROW()-1,FALSE))</f>
        <v>22.476156110000002</v>
      </c>
      <c r="V260">
        <f ca="1">IF(AND(ISNUMBER($V$665),$B$427=1),$V$665,HLOOKUP(INDIRECT(ADDRESS(2,COLUMN())),OFFSET($AM$2,0,0,ROW()-1,33),ROW()-1,FALSE))</f>
        <v>22.11038185</v>
      </c>
      <c r="W260">
        <f ca="1">IF(AND(ISNUMBER($W$665),$B$427=1),$W$665,HLOOKUP(INDIRECT(ADDRESS(2,COLUMN())),OFFSET($AM$2,0,0,ROW()-1,33),ROW()-1,FALSE))</f>
        <v>22.540751109999999</v>
      </c>
      <c r="X260">
        <f ca="1">IF(AND(ISNUMBER($X$665),$B$427=1),$X$665,HLOOKUP(INDIRECT(ADDRESS(2,COLUMN())),OFFSET($AM$2,0,0,ROW()-1,33),ROW()-1,FALSE))</f>
        <v>17.955370340000002</v>
      </c>
      <c r="Y260">
        <f ca="1">IF(AND(ISNUMBER($Y$665),$B$427=1),$Y$665,HLOOKUP(INDIRECT(ADDRESS(2,COLUMN())),OFFSET($AM$2,0,0,ROW()-1,33),ROW()-1,FALSE))</f>
        <v>16.650417229999999</v>
      </c>
      <c r="Z260">
        <f ca="1">IF(AND(ISNUMBER($Z$665),$B$427=1),$Z$665,HLOOKUP(INDIRECT(ADDRESS(2,COLUMN())),OFFSET($AM$2,0,0,ROW()-1,33),ROW()-1,FALSE))</f>
        <v>16.456627579999999</v>
      </c>
      <c r="AA260">
        <f ca="1">IF(AND(ISNUMBER($AA$665),$B$427=1),$AA$665,HLOOKUP(INDIRECT(ADDRESS(2,COLUMN())),OFFSET($AM$2,0,0,ROW()-1,33),ROW()-1,FALSE))</f>
        <v>16.397867430000002</v>
      </c>
      <c r="AB260">
        <f ca="1">IF(AND(ISNUMBER($AB$665),$B$427=1),$AB$665,HLOOKUP(INDIRECT(ADDRESS(2,COLUMN())),OFFSET($AM$2,0,0,ROW()-1,33),ROW()-1,FALSE))</f>
        <v>15.18478532</v>
      </c>
      <c r="AC260">
        <f ca="1">IF(AND(ISNUMBER($AC$665),$B$427=1),$AC$665,HLOOKUP(INDIRECT(ADDRESS(2,COLUMN())),OFFSET($AM$2,0,0,ROW()-1,33),ROW()-1,FALSE))</f>
        <v>15.045425460000001</v>
      </c>
      <c r="AD260" t="str">
        <f ca="1">IF(AND(ISNUMBER($AD$665),$B$427=1),$AD$665,HLOOKUP(INDIRECT(ADDRESS(2,COLUMN())),OFFSET($AM$2,0,0,ROW()-1,33),ROW()-1,FALSE))</f>
        <v/>
      </c>
      <c r="AE260" t="str">
        <f ca="1">IF(AND(ISNUMBER($AE$665),$B$427=1),$AE$665,HLOOKUP(INDIRECT(ADDRESS(2,COLUMN())),OFFSET($AM$2,0,0,ROW()-1,33),ROW()-1,FALSE))</f>
        <v/>
      </c>
      <c r="AF260" t="str">
        <f ca="1">IF(AND(ISNUMBER($AF$665),$B$427=1),$AF$665,HLOOKUP(INDIRECT(ADDRESS(2,COLUMN())),OFFSET($AM$2,0,0,ROW()-1,33),ROW()-1,FALSE))</f>
        <v/>
      </c>
      <c r="AG260" t="str">
        <f ca="1">IF(AND(ISNUMBER($AG$665),$B$427=1),$AG$665,HLOOKUP(INDIRECT(ADDRESS(2,COLUMN())),OFFSET($AM$2,0,0,ROW()-1,33),ROW()-1,FALSE))</f>
        <v/>
      </c>
      <c r="AH260" t="str">
        <f ca="1">IF(AND(ISNUMBER($AH$665),$B$427=1),$AH$665,HLOOKUP(INDIRECT(ADDRESS(2,COLUMN())),OFFSET($AM$2,0,0,ROW()-1,33),ROW()-1,FALSE))</f>
        <v/>
      </c>
      <c r="AI260" t="str">
        <f ca="1">IF(AND(ISNUMBER($AI$665),$B$427=1),$AI$665,HLOOKUP(INDIRECT(ADDRESS(2,COLUMN())),OFFSET($AM$2,0,0,ROW()-1,33),ROW()-1,FALSE))</f>
        <v/>
      </c>
      <c r="AJ260" t="str">
        <f ca="1">IF(AND(ISNUMBER($AJ$665),$B$427=1),$AJ$665,HLOOKUP(INDIRECT(ADDRESS(2,COLUMN())),OFFSET($AM$2,0,0,ROW()-1,33),ROW()-1,FALSE))</f>
        <v/>
      </c>
      <c r="AK260" t="str">
        <f ca="1">IF(AND(ISNUMBER($AK$665),$B$427=1),$AK$665,HLOOKUP(INDIRECT(ADDRESS(2,COLUMN())),OFFSET($AM$2,0,0,ROW()-1,33),ROW()-1,FALSE))</f>
        <v/>
      </c>
      <c r="AL260" t="str">
        <f ca="1">IF(AND(ISNUMBER($AL$665),$B$427=1),$AL$665,HLOOKUP(INDIRECT(ADDRESS(2,COLUMN())),OFFSET($AM$2,0,0,ROW()-1,33),ROW()-1,FALSE))</f>
        <v/>
      </c>
      <c r="AM260">
        <f>15.52882415</f>
        <v>15.52882415</v>
      </c>
      <c r="AN260">
        <f>15.96655639</f>
        <v>15.966556389999999</v>
      </c>
      <c r="AO260">
        <f>17.49608748</f>
        <v>17.49608748</v>
      </c>
      <c r="AP260">
        <f>23.46725953</f>
        <v>23.46725953</v>
      </c>
      <c r="AQ260">
        <f>21.82772753</f>
        <v>21.827727530000001</v>
      </c>
      <c r="AR260">
        <f>22.16123044</f>
        <v>22.161230440000001</v>
      </c>
      <c r="AS260">
        <f>22.04769127</f>
        <v>22.047691270000001</v>
      </c>
      <c r="AT260">
        <f>22.28749453</f>
        <v>22.28749453</v>
      </c>
      <c r="AU260">
        <f>21.35815517</f>
        <v>21.35815517</v>
      </c>
      <c r="AV260">
        <f>21.22349345</f>
        <v>21.223493449999999</v>
      </c>
      <c r="AW260">
        <f>20.62011866</f>
        <v>20.620118659999999</v>
      </c>
      <c r="AX260">
        <f>21.21205726</f>
        <v>21.212057260000002</v>
      </c>
      <c r="AY260">
        <f>20.90816216</f>
        <v>20.90816216</v>
      </c>
      <c r="AZ260">
        <f>22.15839414</f>
        <v>22.158394139999999</v>
      </c>
      <c r="BA260">
        <f>22.86957167</f>
        <v>22.869571669999999</v>
      </c>
      <c r="BB260">
        <f>22.47615611</f>
        <v>22.476156110000002</v>
      </c>
      <c r="BC260">
        <f>22.11038185</f>
        <v>22.11038185</v>
      </c>
      <c r="BD260">
        <f>22.54075111</f>
        <v>22.540751109999999</v>
      </c>
      <c r="BE260">
        <f>17.95537034</f>
        <v>17.955370340000002</v>
      </c>
      <c r="BF260">
        <f>16.65041723</f>
        <v>16.650417229999999</v>
      </c>
      <c r="BG260">
        <f>16.45662758</f>
        <v>16.456627579999999</v>
      </c>
      <c r="BH260">
        <f>16.39786743</f>
        <v>16.397867430000002</v>
      </c>
      <c r="BI260">
        <f>15.18478532</f>
        <v>15.18478532</v>
      </c>
      <c r="BJ260">
        <f>15.04542546</f>
        <v>15.045425460000001</v>
      </c>
      <c r="BK260" t="str">
        <f>""</f>
        <v/>
      </c>
      <c r="BL260" t="str">
        <f>""</f>
        <v/>
      </c>
      <c r="BM260" t="str">
        <f>""</f>
        <v/>
      </c>
      <c r="BN260" t="str">
        <f>""</f>
        <v/>
      </c>
      <c r="BO260" t="str">
        <f>""</f>
        <v/>
      </c>
      <c r="BP260" t="str">
        <f>""</f>
        <v/>
      </c>
      <c r="BQ260" t="str">
        <f>""</f>
        <v/>
      </c>
      <c r="BR260" t="str">
        <f>""</f>
        <v/>
      </c>
      <c r="BS260" t="str">
        <f>""</f>
        <v/>
      </c>
    </row>
    <row r="261" spans="1:71" x14ac:dyDescent="0.25">
      <c r="A261" t="str">
        <f>"        Wells Fargo &amp; Co"</f>
        <v xml:space="preserve">        Wells Fargo &amp; Co</v>
      </c>
      <c r="B261" t="str">
        <f>"WFC US Equity"</f>
        <v>WFC US Equity</v>
      </c>
      <c r="C261" t="str">
        <f t="shared" si="33"/>
        <v>F0121</v>
      </c>
      <c r="D261" t="str">
        <f t="shared" si="34"/>
        <v>FED_CNSMR_LNS_LEAS_%_TOT_LNS_LS</v>
      </c>
      <c r="E261" t="str">
        <f t="shared" si="35"/>
        <v>Dynamic</v>
      </c>
      <c r="F261">
        <f ca="1">IF(AND(ISNUMBER($F$666),$B$427=1),$F$666,HLOOKUP(INDIRECT(ADDRESS(2,COLUMN())),OFFSET($AM$2,0,0,ROW()-1,33),ROW()-1,FALSE))</f>
        <v>12.792953600000001</v>
      </c>
      <c r="G261">
        <f ca="1">IF(AND(ISNUMBER($G$666),$B$427=1),$G$666,HLOOKUP(INDIRECT(ADDRESS(2,COLUMN())),OFFSET($AM$2,0,0,ROW()-1,33),ROW()-1,FALSE))</f>
        <v>12.7329024</v>
      </c>
      <c r="H261">
        <f ca="1">IF(AND(ISNUMBER($H$666),$B$427=1),$H$666,HLOOKUP(INDIRECT(ADDRESS(2,COLUMN())),OFFSET($AM$2,0,0,ROW()-1,33),ROW()-1,FALSE))</f>
        <v>12.422660629999999</v>
      </c>
      <c r="I261">
        <f ca="1">IF(AND(ISNUMBER($I$666),$B$427=1),$I$666,HLOOKUP(INDIRECT(ADDRESS(2,COLUMN())),OFFSET($AM$2,0,0,ROW()-1,33),ROW()-1,FALSE))</f>
        <v>12.34950879</v>
      </c>
      <c r="J261">
        <f ca="1">IF(AND(ISNUMBER($J$666),$B$427=1),$J$666,HLOOKUP(INDIRECT(ADDRESS(2,COLUMN())),OFFSET($AM$2,0,0,ROW()-1,33),ROW()-1,FALSE))</f>
        <v>11.950775670000001</v>
      </c>
      <c r="K261">
        <f ca="1">IF(AND(ISNUMBER($K$666),$B$427=1),$K$666,HLOOKUP(INDIRECT(ADDRESS(2,COLUMN())),OFFSET($AM$2,0,0,ROW()-1,33),ROW()-1,FALSE))</f>
        <v>11.73530543</v>
      </c>
      <c r="L261">
        <f ca="1">IF(AND(ISNUMBER($L$666),$B$427=1),$L$666,HLOOKUP(INDIRECT(ADDRESS(2,COLUMN())),OFFSET($AM$2,0,0,ROW()-1,33),ROW()-1,FALSE))</f>
        <v>11.658775929999999</v>
      </c>
      <c r="M261">
        <f ca="1">IF(AND(ISNUMBER($M$666),$B$427=1),$M$666,HLOOKUP(INDIRECT(ADDRESS(2,COLUMN())),OFFSET($AM$2,0,0,ROW()-1,33),ROW()-1,FALSE))</f>
        <v>12.524490200000001</v>
      </c>
      <c r="N261">
        <f ca="1">IF(AND(ISNUMBER($N$666),$B$427=1),$N$666,HLOOKUP(INDIRECT(ADDRESS(2,COLUMN())),OFFSET($AM$2,0,0,ROW()-1,33),ROW()-1,FALSE))</f>
        <v>13.306579660000001</v>
      </c>
      <c r="O261">
        <f ca="1">IF(AND(ISNUMBER($O$666),$B$427=1),$O$666,HLOOKUP(INDIRECT(ADDRESS(2,COLUMN())),OFFSET($AM$2,0,0,ROW()-1,33),ROW()-1,FALSE))</f>
        <v>13.760438150000001</v>
      </c>
      <c r="P261">
        <f ca="1">IF(AND(ISNUMBER($P$666),$B$427=1),$P$666,HLOOKUP(INDIRECT(ADDRESS(2,COLUMN())),OFFSET($AM$2,0,0,ROW()-1,33),ROW()-1,FALSE))</f>
        <v>13.49129153</v>
      </c>
      <c r="Q261">
        <f ca="1">IF(AND(ISNUMBER($Q$666),$B$427=1),$Q$666,HLOOKUP(INDIRECT(ADDRESS(2,COLUMN())),OFFSET($AM$2,0,0,ROW()-1,33),ROW()-1,FALSE))</f>
        <v>13.741982030000001</v>
      </c>
      <c r="R261">
        <f ca="1">IF(AND(ISNUMBER($R$666),$B$427=1),$R$666,HLOOKUP(INDIRECT(ADDRESS(2,COLUMN())),OFFSET($AM$2,0,0,ROW()-1,33),ROW()-1,FALSE))</f>
        <v>12.71466479</v>
      </c>
      <c r="S261">
        <f ca="1">IF(AND(ISNUMBER($S$666),$B$427=1),$S$666,HLOOKUP(INDIRECT(ADDRESS(2,COLUMN())),OFFSET($AM$2,0,0,ROW()-1,33),ROW()-1,FALSE))</f>
        <v>12.68591501</v>
      </c>
      <c r="T261">
        <f ca="1">IF(AND(ISNUMBER($T$666),$B$427=1),$T$666,HLOOKUP(INDIRECT(ADDRESS(2,COLUMN())),OFFSET($AM$2,0,0,ROW()-1,33),ROW()-1,FALSE))</f>
        <v>12.98981906</v>
      </c>
      <c r="U261">
        <f ca="1">IF(AND(ISNUMBER($U$666),$B$427=1),$U$666,HLOOKUP(INDIRECT(ADDRESS(2,COLUMN())),OFFSET($AM$2,0,0,ROW()-1,33),ROW()-1,FALSE))</f>
        <v>13.79886587</v>
      </c>
      <c r="V261">
        <f ca="1">IF(AND(ISNUMBER($V$666),$B$427=1),$V$666,HLOOKUP(INDIRECT(ADDRESS(2,COLUMN())),OFFSET($AM$2,0,0,ROW()-1,33),ROW()-1,FALSE))</f>
        <v>13.280390860000001</v>
      </c>
      <c r="W261">
        <f ca="1">IF(AND(ISNUMBER($W$666),$B$427=1),$W$666,HLOOKUP(INDIRECT(ADDRESS(2,COLUMN())),OFFSET($AM$2,0,0,ROW()-1,33),ROW()-1,FALSE))</f>
        <v>18.954380690000001</v>
      </c>
      <c r="X261">
        <f ca="1">IF(AND(ISNUMBER($X$666),$B$427=1),$X$666,HLOOKUP(INDIRECT(ADDRESS(2,COLUMN())),OFFSET($AM$2,0,0,ROW()-1,33),ROW()-1,FALSE))</f>
        <v>19.83551872</v>
      </c>
      <c r="Y261">
        <f ca="1">IF(AND(ISNUMBER($Y$666),$B$427=1),$Y$666,HLOOKUP(INDIRECT(ADDRESS(2,COLUMN())),OFFSET($AM$2,0,0,ROW()-1,33),ROW()-1,FALSE))</f>
        <v>17.6164758</v>
      </c>
      <c r="Z261">
        <f ca="1">IF(AND(ISNUMBER($Z$666),$B$427=1),$Z$666,HLOOKUP(INDIRECT(ADDRESS(2,COLUMN())),OFFSET($AM$2,0,0,ROW()-1,33),ROW()-1,FALSE))</f>
        <v>16.97357444</v>
      </c>
      <c r="AA261">
        <f ca="1">IF(AND(ISNUMBER($AA$666),$B$427=1),$AA$666,HLOOKUP(INDIRECT(ADDRESS(2,COLUMN())),OFFSET($AM$2,0,0,ROW()-1,33),ROW()-1,FALSE))</f>
        <v>17.304046660000001</v>
      </c>
      <c r="AB261">
        <f ca="1">IF(AND(ISNUMBER($AB$666),$B$427=1),$AB$666,HLOOKUP(INDIRECT(ADDRESS(2,COLUMN())),OFFSET($AM$2,0,0,ROW()-1,33),ROW()-1,FALSE))</f>
        <v>16.274911280000001</v>
      </c>
      <c r="AC261">
        <f ca="1">IF(AND(ISNUMBER($AC$666),$B$427=1),$AC$666,HLOOKUP(INDIRECT(ADDRESS(2,COLUMN())),OFFSET($AM$2,0,0,ROW()-1,33),ROW()-1,FALSE))</f>
        <v>17.280603330000002</v>
      </c>
      <c r="AD261" t="str">
        <f ca="1">IF(AND(ISNUMBER($AD$666),$B$427=1),$AD$666,HLOOKUP(INDIRECT(ADDRESS(2,COLUMN())),OFFSET($AM$2,0,0,ROW()-1,33),ROW()-1,FALSE))</f>
        <v/>
      </c>
      <c r="AE261" t="str">
        <f ca="1">IF(AND(ISNUMBER($AE$666),$B$427=1),$AE$666,HLOOKUP(INDIRECT(ADDRESS(2,COLUMN())),OFFSET($AM$2,0,0,ROW()-1,33),ROW()-1,FALSE))</f>
        <v/>
      </c>
      <c r="AF261" t="str">
        <f ca="1">IF(AND(ISNUMBER($AF$666),$B$427=1),$AF$666,HLOOKUP(INDIRECT(ADDRESS(2,COLUMN())),OFFSET($AM$2,0,0,ROW()-1,33),ROW()-1,FALSE))</f>
        <v/>
      </c>
      <c r="AG261" t="str">
        <f ca="1">IF(AND(ISNUMBER($AG$666),$B$427=1),$AG$666,HLOOKUP(INDIRECT(ADDRESS(2,COLUMN())),OFFSET($AM$2,0,0,ROW()-1,33),ROW()-1,FALSE))</f>
        <v/>
      </c>
      <c r="AH261" t="str">
        <f ca="1">IF(AND(ISNUMBER($AH$666),$B$427=1),$AH$666,HLOOKUP(INDIRECT(ADDRESS(2,COLUMN())),OFFSET($AM$2,0,0,ROW()-1,33),ROW()-1,FALSE))</f>
        <v/>
      </c>
      <c r="AI261" t="str">
        <f ca="1">IF(AND(ISNUMBER($AI$666),$B$427=1),$AI$666,HLOOKUP(INDIRECT(ADDRESS(2,COLUMN())),OFFSET($AM$2,0,0,ROW()-1,33),ROW()-1,FALSE))</f>
        <v/>
      </c>
      <c r="AJ261" t="str">
        <f ca="1">IF(AND(ISNUMBER($AJ$666),$B$427=1),$AJ$666,HLOOKUP(INDIRECT(ADDRESS(2,COLUMN())),OFFSET($AM$2,0,0,ROW()-1,33),ROW()-1,FALSE))</f>
        <v/>
      </c>
      <c r="AK261" t="str">
        <f ca="1">IF(AND(ISNUMBER($AK$666),$B$427=1),$AK$666,HLOOKUP(INDIRECT(ADDRESS(2,COLUMN())),OFFSET($AM$2,0,0,ROW()-1,33),ROW()-1,FALSE))</f>
        <v/>
      </c>
      <c r="AL261" t="str">
        <f ca="1">IF(AND(ISNUMBER($AL$666),$B$427=1),$AL$666,HLOOKUP(INDIRECT(ADDRESS(2,COLUMN())),OFFSET($AM$2,0,0,ROW()-1,33),ROW()-1,FALSE))</f>
        <v/>
      </c>
      <c r="AM261">
        <f>12.7929536</f>
        <v>12.792953600000001</v>
      </c>
      <c r="AN261">
        <f>12.7329024</f>
        <v>12.7329024</v>
      </c>
      <c r="AO261">
        <f>12.42266063</f>
        <v>12.422660629999999</v>
      </c>
      <c r="AP261">
        <f>12.34950879</f>
        <v>12.34950879</v>
      </c>
      <c r="AQ261">
        <f>11.95077567</f>
        <v>11.950775670000001</v>
      </c>
      <c r="AR261">
        <f>11.73530543</f>
        <v>11.73530543</v>
      </c>
      <c r="AS261">
        <f>11.65877593</f>
        <v>11.658775929999999</v>
      </c>
      <c r="AT261">
        <f>12.5244902</f>
        <v>12.524490200000001</v>
      </c>
      <c r="AU261">
        <f>13.30657966</f>
        <v>13.306579660000001</v>
      </c>
      <c r="AV261">
        <f>13.76043815</f>
        <v>13.760438150000001</v>
      </c>
      <c r="AW261">
        <f>13.49129153</f>
        <v>13.49129153</v>
      </c>
      <c r="AX261">
        <f>13.74198203</f>
        <v>13.741982030000001</v>
      </c>
      <c r="AY261">
        <f>12.71466479</f>
        <v>12.71466479</v>
      </c>
      <c r="AZ261">
        <f>12.68591501</f>
        <v>12.68591501</v>
      </c>
      <c r="BA261">
        <f>12.98981906</f>
        <v>12.98981906</v>
      </c>
      <c r="BB261">
        <f>13.79886587</f>
        <v>13.79886587</v>
      </c>
      <c r="BC261">
        <f>13.28039086</f>
        <v>13.280390860000001</v>
      </c>
      <c r="BD261">
        <f>18.95438069</f>
        <v>18.954380690000001</v>
      </c>
      <c r="BE261">
        <f>19.83551872</f>
        <v>19.83551872</v>
      </c>
      <c r="BF261">
        <f>17.6164758</f>
        <v>17.6164758</v>
      </c>
      <c r="BG261">
        <f>16.97357444</f>
        <v>16.97357444</v>
      </c>
      <c r="BH261">
        <f>17.30404666</f>
        <v>17.304046660000001</v>
      </c>
      <c r="BI261">
        <f>16.27491128</f>
        <v>16.274911280000001</v>
      </c>
      <c r="BJ261">
        <f>17.28060333</f>
        <v>17.280603330000002</v>
      </c>
      <c r="BK261" t="str">
        <f>""</f>
        <v/>
      </c>
      <c r="BL261" t="str">
        <f>""</f>
        <v/>
      </c>
      <c r="BM261" t="str">
        <f>""</f>
        <v/>
      </c>
      <c r="BN261" t="str">
        <f>""</f>
        <v/>
      </c>
      <c r="BO261" t="str">
        <f>""</f>
        <v/>
      </c>
      <c r="BP261" t="str">
        <f>""</f>
        <v/>
      </c>
      <c r="BQ261" t="str">
        <f>""</f>
        <v/>
      </c>
      <c r="BR261" t="str">
        <f>""</f>
        <v/>
      </c>
      <c r="BS261" t="str">
        <f>""</f>
        <v/>
      </c>
    </row>
    <row r="262" spans="1:71" x14ac:dyDescent="0.25">
      <c r="A262" t="str">
        <f>"        Western Alliance Bancorp"</f>
        <v xml:space="preserve">        Western Alliance Bancorp</v>
      </c>
      <c r="B262" t="str">
        <f>"WAL US Equity"</f>
        <v>WAL US Equity</v>
      </c>
      <c r="C262" t="str">
        <f t="shared" si="33"/>
        <v>F0121</v>
      </c>
      <c r="D262" t="str">
        <f t="shared" si="34"/>
        <v>FED_CNSMR_LNS_LEAS_%_TOT_LNS_LS</v>
      </c>
      <c r="E262" t="str">
        <f t="shared" si="35"/>
        <v>Dynamic</v>
      </c>
      <c r="F262">
        <f ca="1">IF(AND(ISNUMBER($F$667),$B$427=1),$F$667,HLOOKUP(INDIRECT(ADDRESS(2,COLUMN())),OFFSET($AM$2,0,0,ROW()-1,33),ROW()-1,FALSE))</f>
        <v>4.2349427000000002E-2</v>
      </c>
      <c r="G262">
        <f ca="1">IF(AND(ISNUMBER($G$667),$B$427=1),$G$667,HLOOKUP(INDIRECT(ADDRESS(2,COLUMN())),OFFSET($AM$2,0,0,ROW()-1,33),ROW()-1,FALSE))</f>
        <v>5.7674673000000003E-2</v>
      </c>
      <c r="H262">
        <f ca="1">IF(AND(ISNUMBER($H$667),$B$427=1),$H$667,HLOOKUP(INDIRECT(ADDRESS(2,COLUMN())),OFFSET($AM$2,0,0,ROW()-1,33),ROW()-1,FALSE))</f>
        <v>6.2148197000000002E-2</v>
      </c>
      <c r="I262">
        <f ca="1">IF(AND(ISNUMBER($I$667),$B$427=1),$I$667,HLOOKUP(INDIRECT(ADDRESS(2,COLUMN())),OFFSET($AM$2,0,0,ROW()-1,33),ROW()-1,FALSE))</f>
        <v>4.8207774000000002E-2</v>
      </c>
      <c r="J262">
        <f ca="1">IF(AND(ISNUMBER($J$667),$B$427=1),$J$667,HLOOKUP(INDIRECT(ADDRESS(2,COLUMN())),OFFSET($AM$2,0,0,ROW()-1,33),ROW()-1,FALSE))</f>
        <v>3.8542834999999998E-2</v>
      </c>
      <c r="K262">
        <f ca="1">IF(AND(ISNUMBER($K$667),$B$427=1),$K$667,HLOOKUP(INDIRECT(ADDRESS(2,COLUMN())),OFFSET($AM$2,0,0,ROW()-1,33),ROW()-1,FALSE))</f>
        <v>5.1994726999999998E-2</v>
      </c>
      <c r="L262">
        <f ca="1">IF(AND(ISNUMBER($L$667),$B$427=1),$L$667,HLOOKUP(INDIRECT(ADDRESS(2,COLUMN())),OFFSET($AM$2,0,0,ROW()-1,33),ROW()-1,FALSE))</f>
        <v>8.1053022000000002E-2</v>
      </c>
      <c r="M262">
        <f ca="1">IF(AND(ISNUMBER($M$667),$B$427=1),$M$667,HLOOKUP(INDIRECT(ADDRESS(2,COLUMN())),OFFSET($AM$2,0,0,ROW()-1,33),ROW()-1,FALSE))</f>
        <v>0.111932376</v>
      </c>
      <c r="N262">
        <f ca="1">IF(AND(ISNUMBER($N$667),$B$427=1),$N$667,HLOOKUP(INDIRECT(ADDRESS(2,COLUMN())),OFFSET($AM$2,0,0,ROW()-1,33),ROW()-1,FALSE))</f>
        <v>9.8580936999999993E-2</v>
      </c>
      <c r="O262">
        <f ca="1">IF(AND(ISNUMBER($O$667),$B$427=1),$O$667,HLOOKUP(INDIRECT(ADDRESS(2,COLUMN())),OFFSET($AM$2,0,0,ROW()-1,33),ROW()-1,FALSE))</f>
        <v>0.13354987900000001</v>
      </c>
      <c r="P262">
        <f ca="1">IF(AND(ISNUMBER($P$667),$B$427=1),$P$667,HLOOKUP(INDIRECT(ADDRESS(2,COLUMN())),OFFSET($AM$2,0,0,ROW()-1,33),ROW()-1,FALSE))</f>
        <v>0.18444285799999999</v>
      </c>
      <c r="Q262">
        <f ca="1">IF(AND(ISNUMBER($Q$667),$B$427=1),$Q$667,HLOOKUP(INDIRECT(ADDRESS(2,COLUMN())),OFFSET($AM$2,0,0,ROW()-1,33),ROW()-1,FALSE))</f>
        <v>0.32239047900000001</v>
      </c>
      <c r="R262">
        <f ca="1">IF(AND(ISNUMBER($R$667),$B$427=1),$R$667,HLOOKUP(INDIRECT(ADDRESS(2,COLUMN())),OFFSET($AM$2,0,0,ROW()-1,33),ROW()-1,FALSE))</f>
        <v>0.77034463600000003</v>
      </c>
      <c r="S262">
        <f ca="1">IF(AND(ISNUMBER($S$667),$B$427=1),$S$667,HLOOKUP(INDIRECT(ADDRESS(2,COLUMN())),OFFSET($AM$2,0,0,ROW()-1,33),ROW()-1,FALSE))</f>
        <v>1.195996938</v>
      </c>
      <c r="T262">
        <f ca="1">IF(AND(ISNUMBER($T$667),$B$427=1),$T$667,HLOOKUP(INDIRECT(ADDRESS(2,COLUMN())),OFFSET($AM$2,0,0,ROW()-1,33),ROW()-1,FALSE))</f>
        <v>1.6188552629999999</v>
      </c>
      <c r="U262">
        <f ca="1">IF(AND(ISNUMBER($U$667),$B$427=1),$U$667,HLOOKUP(INDIRECT(ADDRESS(2,COLUMN())),OFFSET($AM$2,0,0,ROW()-1,33),ROW()-1,FALSE))</f>
        <v>1.9596015929999999</v>
      </c>
      <c r="V262">
        <f ca="1">IF(AND(ISNUMBER($V$667),$B$427=1),$V$667,HLOOKUP(INDIRECT(ADDRESS(2,COLUMN())),OFFSET($AM$2,0,0,ROW()-1,33),ROW()-1,FALSE))</f>
        <v>1.966612579</v>
      </c>
      <c r="W262">
        <f ca="1">IF(AND(ISNUMBER($W$667),$B$427=1),$W$667,HLOOKUP(INDIRECT(ADDRESS(2,COLUMN())),OFFSET($AM$2,0,0,ROW()-1,33),ROW()-1,FALSE))</f>
        <v>1.1949681560000001</v>
      </c>
      <c r="X262">
        <f ca="1">IF(AND(ISNUMBER($X$667),$B$427=1),$X$667,HLOOKUP(INDIRECT(ADDRESS(2,COLUMN())),OFFSET($AM$2,0,0,ROW()-1,33),ROW()-1,FALSE))</f>
        <v>0.95988650200000003</v>
      </c>
      <c r="Y262">
        <f ca="1">IF(AND(ISNUMBER($Y$667),$B$427=1),$Y$667,HLOOKUP(INDIRECT(ADDRESS(2,COLUMN())),OFFSET($AM$2,0,0,ROW()-1,33),ROW()-1,FALSE))</f>
        <v>1.1379887989999999</v>
      </c>
      <c r="Z262">
        <f ca="1">IF(AND(ISNUMBER($Z$667),$B$427=1),$Z$667,HLOOKUP(INDIRECT(ADDRESS(2,COLUMN())),OFFSET($AM$2,0,0,ROW()-1,33),ROW()-1,FALSE))</f>
        <v>1.485309448</v>
      </c>
      <c r="AA262">
        <f ca="1">IF(AND(ISNUMBER($AA$667),$B$427=1),$AA$667,HLOOKUP(INDIRECT(ADDRESS(2,COLUMN())),OFFSET($AM$2,0,0,ROW()-1,33),ROW()-1,FALSE))</f>
        <v>1.607142128</v>
      </c>
      <c r="AB262">
        <f ca="1">IF(AND(ISNUMBER($AB$667),$B$427=1),$AB$667,HLOOKUP(INDIRECT(ADDRESS(2,COLUMN())),OFFSET($AM$2,0,0,ROW()-1,33),ROW()-1,FALSE))</f>
        <v>2.2138576589999999</v>
      </c>
      <c r="AC262">
        <f ca="1">IF(AND(ISNUMBER($AC$667),$B$427=1),$AC$667,HLOOKUP(INDIRECT(ADDRESS(2,COLUMN())),OFFSET($AM$2,0,0,ROW()-1,33),ROW()-1,FALSE))</f>
        <v>3.1331740039999998</v>
      </c>
      <c r="AD262" t="str">
        <f ca="1">IF(AND(ISNUMBER($AD$667),$B$427=1),$AD$667,HLOOKUP(INDIRECT(ADDRESS(2,COLUMN())),OFFSET($AM$2,0,0,ROW()-1,33),ROW()-1,FALSE))</f>
        <v/>
      </c>
      <c r="AE262" t="str">
        <f ca="1">IF(AND(ISNUMBER($AE$667),$B$427=1),$AE$667,HLOOKUP(INDIRECT(ADDRESS(2,COLUMN())),OFFSET($AM$2,0,0,ROW()-1,33),ROW()-1,FALSE))</f>
        <v/>
      </c>
      <c r="AF262" t="str">
        <f ca="1">IF(AND(ISNUMBER($AF$667),$B$427=1),$AF$667,HLOOKUP(INDIRECT(ADDRESS(2,COLUMN())),OFFSET($AM$2,0,0,ROW()-1,33),ROW()-1,FALSE))</f>
        <v/>
      </c>
      <c r="AG262" t="str">
        <f ca="1">IF(AND(ISNUMBER($AG$667),$B$427=1),$AG$667,HLOOKUP(INDIRECT(ADDRESS(2,COLUMN())),OFFSET($AM$2,0,0,ROW()-1,33),ROW()-1,FALSE))</f>
        <v/>
      </c>
      <c r="AH262" t="str">
        <f ca="1">IF(AND(ISNUMBER($AH$667),$B$427=1),$AH$667,HLOOKUP(INDIRECT(ADDRESS(2,COLUMN())),OFFSET($AM$2,0,0,ROW()-1,33),ROW()-1,FALSE))</f>
        <v/>
      </c>
      <c r="AI262" t="str">
        <f ca="1">IF(AND(ISNUMBER($AI$667),$B$427=1),$AI$667,HLOOKUP(INDIRECT(ADDRESS(2,COLUMN())),OFFSET($AM$2,0,0,ROW()-1,33),ROW()-1,FALSE))</f>
        <v/>
      </c>
      <c r="AJ262" t="str">
        <f ca="1">IF(AND(ISNUMBER($AJ$667),$B$427=1),$AJ$667,HLOOKUP(INDIRECT(ADDRESS(2,COLUMN())),OFFSET($AM$2,0,0,ROW()-1,33),ROW()-1,FALSE))</f>
        <v/>
      </c>
      <c r="AK262" t="str">
        <f ca="1">IF(AND(ISNUMBER($AK$667),$B$427=1),$AK$667,HLOOKUP(INDIRECT(ADDRESS(2,COLUMN())),OFFSET($AM$2,0,0,ROW()-1,33),ROW()-1,FALSE))</f>
        <v/>
      </c>
      <c r="AL262" t="str">
        <f ca="1">IF(AND(ISNUMBER($AL$667),$B$427=1),$AL$667,HLOOKUP(INDIRECT(ADDRESS(2,COLUMN())),OFFSET($AM$2,0,0,ROW()-1,33),ROW()-1,FALSE))</f>
        <v/>
      </c>
      <c r="AM262">
        <f>0.042349427</f>
        <v>4.2349427000000002E-2</v>
      </c>
      <c r="AN262">
        <f>0.057674673</f>
        <v>5.7674673000000003E-2</v>
      </c>
      <c r="AO262">
        <f>0.062148197</f>
        <v>6.2148197000000002E-2</v>
      </c>
      <c r="AP262">
        <f>0.048207774</f>
        <v>4.8207774000000002E-2</v>
      </c>
      <c r="AQ262">
        <f>0.038542835</f>
        <v>3.8542834999999998E-2</v>
      </c>
      <c r="AR262">
        <f>0.051994727</f>
        <v>5.1994726999999998E-2</v>
      </c>
      <c r="AS262">
        <f>0.081053022</f>
        <v>8.1053022000000002E-2</v>
      </c>
      <c r="AT262">
        <f>0.111932376</f>
        <v>0.111932376</v>
      </c>
      <c r="AU262">
        <f>0.098580937</f>
        <v>9.8580936999999993E-2</v>
      </c>
      <c r="AV262">
        <f>0.133549879</f>
        <v>0.13354987900000001</v>
      </c>
      <c r="AW262">
        <f>0.184442858</f>
        <v>0.18444285799999999</v>
      </c>
      <c r="AX262">
        <f>0.322390479</f>
        <v>0.32239047900000001</v>
      </c>
      <c r="AY262">
        <f>0.770344636</f>
        <v>0.77034463600000003</v>
      </c>
      <c r="AZ262">
        <f>1.195996938</f>
        <v>1.195996938</v>
      </c>
      <c r="BA262">
        <f>1.618855263</f>
        <v>1.6188552629999999</v>
      </c>
      <c r="BB262">
        <f>1.959601593</f>
        <v>1.9596015929999999</v>
      </c>
      <c r="BC262">
        <f>1.966612579</f>
        <v>1.966612579</v>
      </c>
      <c r="BD262">
        <f>1.194968156</f>
        <v>1.1949681560000001</v>
      </c>
      <c r="BE262">
        <f>0.959886502</f>
        <v>0.95988650200000003</v>
      </c>
      <c r="BF262">
        <f>1.137988799</f>
        <v>1.1379887989999999</v>
      </c>
      <c r="BG262">
        <f>1.485309448</f>
        <v>1.485309448</v>
      </c>
      <c r="BH262">
        <f>1.607142128</f>
        <v>1.607142128</v>
      </c>
      <c r="BI262">
        <f>2.213857659</f>
        <v>2.2138576589999999</v>
      </c>
      <c r="BJ262">
        <f>3.133174004</f>
        <v>3.1331740039999998</v>
      </c>
      <c r="BK262" t="str">
        <f>""</f>
        <v/>
      </c>
      <c r="BL262" t="str">
        <f>""</f>
        <v/>
      </c>
      <c r="BM262" t="str">
        <f>""</f>
        <v/>
      </c>
      <c r="BN262" t="str">
        <f>""</f>
        <v/>
      </c>
      <c r="BO262" t="str">
        <f>""</f>
        <v/>
      </c>
      <c r="BP262" t="str">
        <f>""</f>
        <v/>
      </c>
      <c r="BQ262" t="str">
        <f>""</f>
        <v/>
      </c>
      <c r="BR262" t="str">
        <f>""</f>
        <v/>
      </c>
      <c r="BS262" t="str">
        <f>""</f>
        <v/>
      </c>
    </row>
    <row r="263" spans="1:71" x14ac:dyDescent="0.25">
      <c r="A263" t="str">
        <f>"        Zions Bancorp NA"</f>
        <v xml:space="preserve">        Zions Bancorp NA</v>
      </c>
      <c r="B263" t="str">
        <f>"ZION US Equity"</f>
        <v>ZION US Equity</v>
      </c>
      <c r="C263" t="str">
        <f t="shared" si="33"/>
        <v>F0121</v>
      </c>
      <c r="D263" t="str">
        <f t="shared" si="34"/>
        <v>FED_CNSMR_LNS_LEAS_%_TOT_LNS_LS</v>
      </c>
      <c r="E263" t="str">
        <f t="shared" si="35"/>
        <v>Dynamic</v>
      </c>
      <c r="F263" t="str">
        <f ca="1">IF(AND(ISNUMBER($F$668),$B$427=1),$F$668,HLOOKUP(INDIRECT(ADDRESS(2,COLUMN())),OFFSET($AM$2,0,0,ROW()-1,33),ROW()-1,FALSE))</f>
        <v/>
      </c>
      <c r="G263" t="str">
        <f ca="1">IF(AND(ISNUMBER($G$668),$B$427=1),$G$668,HLOOKUP(INDIRECT(ADDRESS(2,COLUMN())),OFFSET($AM$2,0,0,ROW()-1,33),ROW()-1,FALSE))</f>
        <v/>
      </c>
      <c r="H263" t="str">
        <f ca="1">IF(AND(ISNUMBER($H$668),$B$427=1),$H$668,HLOOKUP(INDIRECT(ADDRESS(2,COLUMN())),OFFSET($AM$2,0,0,ROW()-1,33),ROW()-1,FALSE))</f>
        <v/>
      </c>
      <c r="I263" t="str">
        <f ca="1">IF(AND(ISNUMBER($I$668),$B$427=1),$I$668,HLOOKUP(INDIRECT(ADDRESS(2,COLUMN())),OFFSET($AM$2,0,0,ROW()-1,33),ROW()-1,FALSE))</f>
        <v/>
      </c>
      <c r="J263" t="str">
        <f ca="1">IF(AND(ISNUMBER($J$668),$B$427=1),$J$668,HLOOKUP(INDIRECT(ADDRESS(2,COLUMN())),OFFSET($AM$2,0,0,ROW()-1,33),ROW()-1,FALSE))</f>
        <v/>
      </c>
      <c r="K263" t="str">
        <f ca="1">IF(AND(ISNUMBER($K$668),$B$427=1),$K$668,HLOOKUP(INDIRECT(ADDRESS(2,COLUMN())),OFFSET($AM$2,0,0,ROW()-1,33),ROW()-1,FALSE))</f>
        <v/>
      </c>
      <c r="L263" t="str">
        <f ca="1">IF(AND(ISNUMBER($L$668),$B$427=1),$L$668,HLOOKUP(INDIRECT(ADDRESS(2,COLUMN())),OFFSET($AM$2,0,0,ROW()-1,33),ROW()-1,FALSE))</f>
        <v/>
      </c>
      <c r="M263" t="str">
        <f ca="1">IF(AND(ISNUMBER($M$668),$B$427=1),$M$668,HLOOKUP(INDIRECT(ADDRESS(2,COLUMN())),OFFSET($AM$2,0,0,ROW()-1,33),ROW()-1,FALSE))</f>
        <v/>
      </c>
      <c r="N263" t="str">
        <f ca="1">IF(AND(ISNUMBER($N$668),$B$427=1),$N$668,HLOOKUP(INDIRECT(ADDRESS(2,COLUMN())),OFFSET($AM$2,0,0,ROW()-1,33),ROW()-1,FALSE))</f>
        <v/>
      </c>
      <c r="O263" t="str">
        <f ca="1">IF(AND(ISNUMBER($O$668),$B$427=1),$O$668,HLOOKUP(INDIRECT(ADDRESS(2,COLUMN())),OFFSET($AM$2,0,0,ROW()-1,33),ROW()-1,FALSE))</f>
        <v/>
      </c>
      <c r="P263" t="str">
        <f ca="1">IF(AND(ISNUMBER($P$668),$B$427=1),$P$668,HLOOKUP(INDIRECT(ADDRESS(2,COLUMN())),OFFSET($AM$2,0,0,ROW()-1,33),ROW()-1,FALSE))</f>
        <v/>
      </c>
      <c r="Q263" t="str">
        <f ca="1">IF(AND(ISNUMBER($Q$668),$B$427=1),$Q$668,HLOOKUP(INDIRECT(ADDRESS(2,COLUMN())),OFFSET($AM$2,0,0,ROW()-1,33),ROW()-1,FALSE))</f>
        <v/>
      </c>
      <c r="R263" t="str">
        <f ca="1">IF(AND(ISNUMBER($R$668),$B$427=1),$R$668,HLOOKUP(INDIRECT(ADDRESS(2,COLUMN())),OFFSET($AM$2,0,0,ROW()-1,33),ROW()-1,FALSE))</f>
        <v/>
      </c>
      <c r="S263" t="str">
        <f ca="1">IF(AND(ISNUMBER($S$668),$B$427=1),$S$668,HLOOKUP(INDIRECT(ADDRESS(2,COLUMN())),OFFSET($AM$2,0,0,ROW()-1,33),ROW()-1,FALSE))</f>
        <v/>
      </c>
      <c r="T263" t="str">
        <f ca="1">IF(AND(ISNUMBER($T$668),$B$427=1),$T$668,HLOOKUP(INDIRECT(ADDRESS(2,COLUMN())),OFFSET($AM$2,0,0,ROW()-1,33),ROW()-1,FALSE))</f>
        <v/>
      </c>
      <c r="U263" t="str">
        <f ca="1">IF(AND(ISNUMBER($U$668),$B$427=1),$U$668,HLOOKUP(INDIRECT(ADDRESS(2,COLUMN())),OFFSET($AM$2,0,0,ROW()-1,33),ROW()-1,FALSE))</f>
        <v/>
      </c>
      <c r="V263" t="str">
        <f ca="1">IF(AND(ISNUMBER($V$668),$B$427=1),$V$668,HLOOKUP(INDIRECT(ADDRESS(2,COLUMN())),OFFSET($AM$2,0,0,ROW()-1,33),ROW()-1,FALSE))</f>
        <v/>
      </c>
      <c r="W263" t="str">
        <f ca="1">IF(AND(ISNUMBER($W$668),$B$427=1),$W$668,HLOOKUP(INDIRECT(ADDRESS(2,COLUMN())),OFFSET($AM$2,0,0,ROW()-1,33),ROW()-1,FALSE))</f>
        <v/>
      </c>
      <c r="X263" t="str">
        <f ca="1">IF(AND(ISNUMBER($X$668),$B$427=1),$X$668,HLOOKUP(INDIRECT(ADDRESS(2,COLUMN())),OFFSET($AM$2,0,0,ROW()-1,33),ROW()-1,FALSE))</f>
        <v/>
      </c>
      <c r="Y263" t="str">
        <f ca="1">IF(AND(ISNUMBER($Y$668),$B$427=1),$Y$668,HLOOKUP(INDIRECT(ADDRESS(2,COLUMN())),OFFSET($AM$2,0,0,ROW()-1,33),ROW()-1,FALSE))</f>
        <v/>
      </c>
      <c r="Z263" t="str">
        <f ca="1">IF(AND(ISNUMBER($Z$668),$B$427=1),$Z$668,HLOOKUP(INDIRECT(ADDRESS(2,COLUMN())),OFFSET($AM$2,0,0,ROW()-1,33),ROW()-1,FALSE))</f>
        <v/>
      </c>
      <c r="AA263" t="str">
        <f ca="1">IF(AND(ISNUMBER($AA$668),$B$427=1),$AA$668,HLOOKUP(INDIRECT(ADDRESS(2,COLUMN())),OFFSET($AM$2,0,0,ROW()-1,33),ROW()-1,FALSE))</f>
        <v/>
      </c>
      <c r="AB263" t="str">
        <f ca="1">IF(AND(ISNUMBER($AB$668),$B$427=1),$AB$668,HLOOKUP(INDIRECT(ADDRESS(2,COLUMN())),OFFSET($AM$2,0,0,ROW()-1,33),ROW()-1,FALSE))</f>
        <v/>
      </c>
      <c r="AC263" t="str">
        <f ca="1">IF(AND(ISNUMBER($AC$668),$B$427=1),$AC$668,HLOOKUP(INDIRECT(ADDRESS(2,COLUMN())),OFFSET($AM$2,0,0,ROW()-1,33),ROW()-1,FALSE))</f>
        <v/>
      </c>
      <c r="AD263" t="str">
        <f ca="1">IF(AND(ISNUMBER($AD$668),$B$427=1),$AD$668,HLOOKUP(INDIRECT(ADDRESS(2,COLUMN())),OFFSET($AM$2,0,0,ROW()-1,33),ROW()-1,FALSE))</f>
        <v/>
      </c>
      <c r="AE263" t="str">
        <f ca="1">IF(AND(ISNUMBER($AE$668),$B$427=1),$AE$668,HLOOKUP(INDIRECT(ADDRESS(2,COLUMN())),OFFSET($AM$2,0,0,ROW()-1,33),ROW()-1,FALSE))</f>
        <v/>
      </c>
      <c r="AF263" t="str">
        <f ca="1">IF(AND(ISNUMBER($AF$668),$B$427=1),$AF$668,HLOOKUP(INDIRECT(ADDRESS(2,COLUMN())),OFFSET($AM$2,0,0,ROW()-1,33),ROW()-1,FALSE))</f>
        <v/>
      </c>
      <c r="AG263" t="str">
        <f ca="1">IF(AND(ISNUMBER($AG$668),$B$427=1),$AG$668,HLOOKUP(INDIRECT(ADDRESS(2,COLUMN())),OFFSET($AM$2,0,0,ROW()-1,33),ROW()-1,FALSE))</f>
        <v/>
      </c>
      <c r="AH263" t="str">
        <f ca="1">IF(AND(ISNUMBER($AH$668),$B$427=1),$AH$668,HLOOKUP(INDIRECT(ADDRESS(2,COLUMN())),OFFSET($AM$2,0,0,ROW()-1,33),ROW()-1,FALSE))</f>
        <v/>
      </c>
      <c r="AI263" t="str">
        <f ca="1">IF(AND(ISNUMBER($AI$668),$B$427=1),$AI$668,HLOOKUP(INDIRECT(ADDRESS(2,COLUMN())),OFFSET($AM$2,0,0,ROW()-1,33),ROW()-1,FALSE))</f>
        <v/>
      </c>
      <c r="AJ263" t="str">
        <f ca="1">IF(AND(ISNUMBER($AJ$668),$B$427=1),$AJ$668,HLOOKUP(INDIRECT(ADDRESS(2,COLUMN())),OFFSET($AM$2,0,0,ROW()-1,33),ROW()-1,FALSE))</f>
        <v/>
      </c>
      <c r="AK263" t="str">
        <f ca="1">IF(AND(ISNUMBER($AK$668),$B$427=1),$AK$668,HLOOKUP(INDIRECT(ADDRESS(2,COLUMN())),OFFSET($AM$2,0,0,ROW()-1,33),ROW()-1,FALSE))</f>
        <v/>
      </c>
      <c r="AL263" t="str">
        <f ca="1">IF(AND(ISNUMBER($AL$668),$B$427=1),$AL$668,HLOOKUP(INDIRECT(ADDRESS(2,COLUMN())),OFFSET($AM$2,0,0,ROW()-1,33),ROW()-1,FALSE))</f>
        <v/>
      </c>
      <c r="AM263" t="str">
        <f>""</f>
        <v/>
      </c>
      <c r="AN263" t="str">
        <f>""</f>
        <v/>
      </c>
      <c r="AO263" t="str">
        <f>""</f>
        <v/>
      </c>
      <c r="AP263" t="str">
        <f>""</f>
        <v/>
      </c>
      <c r="AQ263" t="str">
        <f>""</f>
        <v/>
      </c>
      <c r="AR263" t="str">
        <f>""</f>
        <v/>
      </c>
      <c r="AS263" t="str">
        <f>""</f>
        <v/>
      </c>
      <c r="AT263" t="str">
        <f>""</f>
        <v/>
      </c>
      <c r="AU263" t="str">
        <f>""</f>
        <v/>
      </c>
      <c r="AV263" t="str">
        <f>""</f>
        <v/>
      </c>
      <c r="AW263" t="str">
        <f>""</f>
        <v/>
      </c>
      <c r="AX263" t="str">
        <f>""</f>
        <v/>
      </c>
      <c r="AY263" t="str">
        <f>""</f>
        <v/>
      </c>
      <c r="AZ263" t="str">
        <f>""</f>
        <v/>
      </c>
      <c r="BA263" t="str">
        <f>""</f>
        <v/>
      </c>
      <c r="BB263" t="str">
        <f>""</f>
        <v/>
      </c>
      <c r="BC263" t="str">
        <f>""</f>
        <v/>
      </c>
      <c r="BD263" t="str">
        <f>""</f>
        <v/>
      </c>
      <c r="BE263" t="str">
        <f>""</f>
        <v/>
      </c>
      <c r="BF263" t="str">
        <f>""</f>
        <v/>
      </c>
      <c r="BG263" t="str">
        <f>""</f>
        <v/>
      </c>
      <c r="BH263" t="str">
        <f>""</f>
        <v/>
      </c>
      <c r="BI263" t="str">
        <f>""</f>
        <v/>
      </c>
      <c r="BJ263" t="str">
        <f>""</f>
        <v/>
      </c>
      <c r="BK263" t="str">
        <f>""</f>
        <v/>
      </c>
      <c r="BL263" t="str">
        <f>""</f>
        <v/>
      </c>
      <c r="BM263" t="str">
        <f>""</f>
        <v/>
      </c>
      <c r="BN263" t="str">
        <f>""</f>
        <v/>
      </c>
      <c r="BO263" t="str">
        <f>""</f>
        <v/>
      </c>
      <c r="BP263" t="str">
        <f>""</f>
        <v/>
      </c>
      <c r="BQ263" t="str">
        <f>""</f>
        <v/>
      </c>
      <c r="BR263" t="str">
        <f>""</f>
        <v/>
      </c>
      <c r="BS263" t="str">
        <f>""</f>
        <v/>
      </c>
    </row>
    <row r="264" spans="1:71" x14ac:dyDescent="0.25">
      <c r="A264" t="str">
        <f>"Other loans"</f>
        <v>Other loans</v>
      </c>
      <c r="B264" t="str">
        <f>""</f>
        <v/>
      </c>
      <c r="E264" t="str">
        <f>"Sum"</f>
        <v>Sum</v>
      </c>
      <c r="F264">
        <f ca="1">IF(ISERROR(IF(SUM($F$265,$F$286,$F$307,$F$328,$F$349,$F$370,$F$391) = 0, "", SUM($F$265,$F$286,$F$307,$F$328,$F$349,$F$370,$F$391))), "", (IF(SUM($F$265,$F$286,$F$307,$F$328,$F$349,$F$370,$F$391) = 0, "", SUM($F$265,$F$286,$F$307,$F$328,$F$349,$F$370,$F$391))))</f>
        <v>13.3394265425</v>
      </c>
      <c r="G264">
        <f ca="1">IF(ISERROR(IF(SUM($G$265,$G$286,$G$307,$G$328,$G$349,$G$370,$G$391) = 0, "", SUM($G$265,$G$286,$G$307,$G$328,$G$349,$G$370,$G$391))), "", (IF(SUM($G$265,$G$286,$G$307,$G$328,$G$349,$G$370,$G$391) = 0, "", SUM($G$265,$G$286,$G$307,$G$328,$G$349,$G$370,$G$391))))</f>
        <v>10.196047642</v>
      </c>
      <c r="H264">
        <f ca="1">IF(ISERROR(IF(SUM($H$265,$H$286,$H$307,$H$328,$H$349,$H$370,$H$391) = 0, "", SUM($H$265,$H$286,$H$307,$H$328,$H$349,$H$370,$H$391))), "", (IF(SUM($H$265,$H$286,$H$307,$H$328,$H$349,$H$370,$H$391) = 0, "", SUM($H$265,$H$286,$H$307,$H$328,$H$349,$H$370,$H$391))))</f>
        <v>10.535312189000001</v>
      </c>
      <c r="I264">
        <f ca="1">IF(ISERROR(IF(SUM($I$265,$I$286,$I$307,$I$328,$I$349,$I$370,$I$391) = 0, "", SUM($I$265,$I$286,$I$307,$I$328,$I$349,$I$370,$I$391))), "", (IF(SUM($I$265,$I$286,$I$307,$I$328,$I$349,$I$370,$I$391) = 0, "", SUM($I$265,$I$286,$I$307,$I$328,$I$349,$I$370,$I$391))))</f>
        <v>8.9575975569999997</v>
      </c>
      <c r="J264">
        <f ca="1">IF(ISERROR(IF(SUM($J$265,$J$286,$J$307,$J$328,$J$349,$J$370,$J$391) = 0, "", SUM($J$265,$J$286,$J$307,$J$328,$J$349,$J$370,$J$391))), "", (IF(SUM($J$265,$J$286,$J$307,$J$328,$J$349,$J$370,$J$391) = 0, "", SUM($J$265,$J$286,$J$307,$J$328,$J$349,$J$370,$J$391))))</f>
        <v>8.8919806930000007</v>
      </c>
      <c r="K264">
        <f ca="1">IF(ISERROR(IF(SUM($K$265,$K$286,$K$307,$K$328,$K$349,$K$370,$K$391) = 0, "", SUM($K$265,$K$286,$K$307,$K$328,$K$349,$K$370,$K$391))), "", (IF(SUM($K$265,$K$286,$K$307,$K$328,$K$349,$K$370,$K$391) = 0, "", SUM($K$265,$K$286,$K$307,$K$328,$K$349,$K$370,$K$391))))</f>
        <v>7.3068501590000006</v>
      </c>
      <c r="L264">
        <f ca="1">IF(ISERROR(IF(SUM($L$265,$L$286,$L$307,$L$328,$L$349,$L$370,$L$391) = 0, "", SUM($L$265,$L$286,$L$307,$L$328,$L$349,$L$370,$L$391))), "", (IF(SUM($L$265,$L$286,$L$307,$L$328,$L$349,$L$370,$L$391) = 0, "", SUM($L$265,$L$286,$L$307,$L$328,$L$349,$L$370,$L$391))))</f>
        <v>7.4814959370000009</v>
      </c>
      <c r="M264">
        <f ca="1">IF(ISERROR(IF(SUM($M$265,$M$286,$M$307,$M$328,$M$349,$M$370,$M$391) = 0, "", SUM($M$265,$M$286,$M$307,$M$328,$M$349,$M$370,$M$391))), "", (IF(SUM($M$265,$M$286,$M$307,$M$328,$M$349,$M$370,$M$391) = 0, "", SUM($M$265,$M$286,$M$307,$M$328,$M$349,$M$370,$M$391))))</f>
        <v>7.1848668440000001</v>
      </c>
      <c r="N264">
        <f ca="1">IF(ISERROR(IF(SUM($N$265,$N$286,$N$307,$N$328,$N$349,$N$370,$N$391) = 0, "", SUM($N$265,$N$286,$N$307,$N$328,$N$349,$N$370,$N$391))), "", (IF(SUM($N$265,$N$286,$N$307,$N$328,$N$349,$N$370,$N$391) = 0, "", SUM($N$265,$N$286,$N$307,$N$328,$N$349,$N$370,$N$391))))</f>
        <v>6.942657241</v>
      </c>
      <c r="O264">
        <f ca="1">IF(ISERROR(IF(SUM($O$265,$O$286,$O$307,$O$328,$O$349,$O$370,$O$391) = 0, "", SUM($O$265,$O$286,$O$307,$O$328,$O$349,$O$370,$O$391))), "", (IF(SUM($O$265,$O$286,$O$307,$O$328,$O$349,$O$370,$O$391) = 0, "", SUM($O$265,$O$286,$O$307,$O$328,$O$349,$O$370,$O$391))))</f>
        <v>7.0711627850000003</v>
      </c>
      <c r="P264">
        <f ca="1">IF(ISERROR(IF(SUM($P$265,$P$286,$P$307,$P$328,$P$349,$P$370,$P$391) = 0, "", SUM($P$265,$P$286,$P$307,$P$328,$P$349,$P$370,$P$391))), "", (IF(SUM($P$265,$P$286,$P$307,$P$328,$P$349,$P$370,$P$391) = 0, "", SUM($P$265,$P$286,$P$307,$P$328,$P$349,$P$370,$P$391))))</f>
        <v>6.6730263090000008</v>
      </c>
      <c r="Q264">
        <f ca="1">IF(ISERROR(IF(SUM($Q$265,$Q$286,$Q$307,$Q$328,$Q$349,$Q$370,$Q$391) = 0, "", SUM($Q$265,$Q$286,$Q$307,$Q$328,$Q$349,$Q$370,$Q$391))), "", (IF(SUM($Q$265,$Q$286,$Q$307,$Q$328,$Q$349,$Q$370,$Q$391) = 0, "", SUM($Q$265,$Q$286,$Q$307,$Q$328,$Q$349,$Q$370,$Q$391))))</f>
        <v>4.9632453410000004</v>
      </c>
      <c r="R264">
        <f ca="1">IF(ISERROR(IF(SUM($R$265,$R$286,$R$307,$R$328,$R$349,$R$370,$R$391) = 0, "", SUM($R$265,$R$286,$R$307,$R$328,$R$349,$R$370,$R$391))), "", (IF(SUM($R$265,$R$286,$R$307,$R$328,$R$349,$R$370,$R$391) = 0, "", SUM($R$265,$R$286,$R$307,$R$328,$R$349,$R$370,$R$391))))</f>
        <v>4.0954905099999994</v>
      </c>
      <c r="S264">
        <f ca="1">IF(ISERROR(IF(SUM($S$265,$S$286,$S$307,$S$328,$S$349,$S$370,$S$391) = 0, "", SUM($S$265,$S$286,$S$307,$S$328,$S$349,$S$370,$S$391))), "", (IF(SUM($S$265,$S$286,$S$307,$S$328,$S$349,$S$370,$S$391) = 0, "", SUM($S$265,$S$286,$S$307,$S$328,$S$349,$S$370,$S$391))))</f>
        <v>3.5193738309999998</v>
      </c>
      <c r="T264">
        <f ca="1">IF(ISERROR(IF(SUM($T$265,$T$286,$T$307,$T$328,$T$349,$T$370,$T$391) = 0, "", SUM($T$265,$T$286,$T$307,$T$328,$T$349,$T$370,$T$391))), "", (IF(SUM($T$265,$T$286,$T$307,$T$328,$T$349,$T$370,$T$391) = 0, "", SUM($T$265,$T$286,$T$307,$T$328,$T$349,$T$370,$T$391))))</f>
        <v>3.2437461540000001</v>
      </c>
      <c r="U264">
        <f ca="1">IF(ISERROR(IF(SUM($U$265,$U$286,$U$307,$U$328,$U$349,$U$370,$U$391) = 0, "", SUM($U$265,$U$286,$U$307,$U$328,$U$349,$U$370,$U$391))), "", (IF(SUM($U$265,$U$286,$U$307,$U$328,$U$349,$U$370,$U$391) = 0, "", SUM($U$265,$U$286,$U$307,$U$328,$U$349,$U$370,$U$391))))</f>
        <v>0.24607451400000002</v>
      </c>
      <c r="V264">
        <f ca="1">IF(ISERROR(IF(SUM($V$265,$V$286,$V$307,$V$328,$V$349,$V$370,$V$391) = 0, "", SUM($V$265,$V$286,$V$307,$V$328,$V$349,$V$370,$V$391))), "", (IF(SUM($V$265,$V$286,$V$307,$V$328,$V$349,$V$370,$V$391) = 0, "", SUM($V$265,$V$286,$V$307,$V$328,$V$349,$V$370,$V$391))))</f>
        <v>0.28077828400000004</v>
      </c>
      <c r="W264">
        <f ca="1">IF(ISERROR(IF(SUM($W$265,$W$286,$W$307,$W$328,$W$349,$W$370,$W$391) = 0, "", SUM($W$265,$W$286,$W$307,$W$328,$W$349,$W$370,$W$391))), "", (IF(SUM($W$265,$W$286,$W$307,$W$328,$W$349,$W$370,$W$391) = 0, "", SUM($W$265,$W$286,$W$307,$W$328,$W$349,$W$370,$W$391))))</f>
        <v>0.31462501799999998</v>
      </c>
      <c r="X264">
        <f ca="1">IF(ISERROR(IF(SUM($X$265,$X$286,$X$307,$X$328,$X$349,$X$370,$X$391) = 0, "", SUM($X$265,$X$286,$X$307,$X$328,$X$349,$X$370,$X$391))), "", (IF(SUM($X$265,$X$286,$X$307,$X$328,$X$349,$X$370,$X$391) = 0, "", SUM($X$265,$X$286,$X$307,$X$328,$X$349,$X$370,$X$391))))</f>
        <v>0.30616491200000001</v>
      </c>
      <c r="Y264">
        <f ca="1">IF(ISERROR(IF(SUM($Y$265,$Y$286,$Y$307,$Y$328,$Y$349,$Y$370,$Y$391) = 0, "", SUM($Y$265,$Y$286,$Y$307,$Y$328,$Y$349,$Y$370,$Y$391))), "", (IF(SUM($Y$265,$Y$286,$Y$307,$Y$328,$Y$349,$Y$370,$Y$391) = 0, "", SUM($Y$265,$Y$286,$Y$307,$Y$328,$Y$349,$Y$370,$Y$391))))</f>
        <v>0.15372608900000001</v>
      </c>
      <c r="Z264">
        <f ca="1">IF(ISERROR(IF(SUM($Z$265,$Z$286,$Z$307,$Z$328,$Z$349,$Z$370,$Z$391) = 0, "", SUM($Z$265,$Z$286,$Z$307,$Z$328,$Z$349,$Z$370,$Z$391))), "", (IF(SUM($Z$265,$Z$286,$Z$307,$Z$328,$Z$349,$Z$370,$Z$391) = 0, "", SUM($Z$265,$Z$286,$Z$307,$Z$328,$Z$349,$Z$370,$Z$391))))</f>
        <v>0.17456258600000002</v>
      </c>
      <c r="AA264">
        <f ca="1">IF(ISERROR(IF(SUM($AA$265,$AA$286,$AA$307,$AA$328,$AA$349,$AA$370,$AA$391) = 0, "", SUM($AA$265,$AA$286,$AA$307,$AA$328,$AA$349,$AA$370,$AA$391))), "", (IF(SUM($AA$265,$AA$286,$AA$307,$AA$328,$AA$349,$AA$370,$AA$391) = 0, "", SUM($AA$265,$AA$286,$AA$307,$AA$328,$AA$349,$AA$370,$AA$391))))</f>
        <v>0.16304302599999998</v>
      </c>
      <c r="AB264">
        <f ca="1">IF(ISERROR(IF(SUM($AB$265,$AB$286,$AB$307,$AB$328,$AB$349,$AB$370,$AB$391) = 0, "", SUM($AB$265,$AB$286,$AB$307,$AB$328,$AB$349,$AB$370,$AB$391))), "", (IF(SUM($AB$265,$AB$286,$AB$307,$AB$328,$AB$349,$AB$370,$AB$391) = 0, "", SUM($AB$265,$AB$286,$AB$307,$AB$328,$AB$349,$AB$370,$AB$391))))</f>
        <v>0.146962233</v>
      </c>
      <c r="AC264">
        <f ca="1">IF(ISERROR(IF(SUM($AC$265,$AC$286,$AC$307,$AC$328,$AC$349,$AC$370,$AC$391) = 0, "", SUM($AC$265,$AC$286,$AC$307,$AC$328,$AC$349,$AC$370,$AC$391))), "", (IF(SUM($AC$265,$AC$286,$AC$307,$AC$328,$AC$349,$AC$370,$AC$391) = 0, "", SUM($AC$265,$AC$286,$AC$307,$AC$328,$AC$349,$AC$370,$AC$391))))</f>
        <v>0.18362132399999997</v>
      </c>
      <c r="AD264" t="str">
        <f ca="1">IF(ISERROR(IF(SUM($AD$265,$AD$286,$AD$307,$AD$328,$AD$349,$AD$370,$AD$391) = 0, "", SUM($AD$265,$AD$286,$AD$307,$AD$328,$AD$349,$AD$370,$AD$391))), "", (IF(SUM($AD$265,$AD$286,$AD$307,$AD$328,$AD$349,$AD$370,$AD$391) = 0, "", SUM($AD$265,$AD$286,$AD$307,$AD$328,$AD$349,$AD$370,$AD$391))))</f>
        <v/>
      </c>
      <c r="AE264" t="str">
        <f ca="1">IF(ISERROR(IF(SUM($AE$265,$AE$286,$AE$307,$AE$328,$AE$349,$AE$370,$AE$391) = 0, "", SUM($AE$265,$AE$286,$AE$307,$AE$328,$AE$349,$AE$370,$AE$391))), "", (IF(SUM($AE$265,$AE$286,$AE$307,$AE$328,$AE$349,$AE$370,$AE$391) = 0, "", SUM($AE$265,$AE$286,$AE$307,$AE$328,$AE$349,$AE$370,$AE$391))))</f>
        <v/>
      </c>
      <c r="AF264" t="str">
        <f ca="1">IF(ISERROR(IF(SUM($AF$265,$AF$286,$AF$307,$AF$328,$AF$349,$AF$370,$AF$391) = 0, "", SUM($AF$265,$AF$286,$AF$307,$AF$328,$AF$349,$AF$370,$AF$391))), "", (IF(SUM($AF$265,$AF$286,$AF$307,$AF$328,$AF$349,$AF$370,$AF$391) = 0, "", SUM($AF$265,$AF$286,$AF$307,$AF$328,$AF$349,$AF$370,$AF$391))))</f>
        <v/>
      </c>
      <c r="AG264" t="str">
        <f ca="1">IF(ISERROR(IF(SUM($AG$265,$AG$286,$AG$307,$AG$328,$AG$349,$AG$370,$AG$391) = 0, "", SUM($AG$265,$AG$286,$AG$307,$AG$328,$AG$349,$AG$370,$AG$391))), "", (IF(SUM($AG$265,$AG$286,$AG$307,$AG$328,$AG$349,$AG$370,$AG$391) = 0, "", SUM($AG$265,$AG$286,$AG$307,$AG$328,$AG$349,$AG$370,$AG$391))))</f>
        <v/>
      </c>
      <c r="AH264" t="str">
        <f ca="1">IF(ISERROR(IF(SUM($AH$265,$AH$286,$AH$307,$AH$328,$AH$349,$AH$370,$AH$391) = 0, "", SUM($AH$265,$AH$286,$AH$307,$AH$328,$AH$349,$AH$370,$AH$391))), "", (IF(SUM($AH$265,$AH$286,$AH$307,$AH$328,$AH$349,$AH$370,$AH$391) = 0, "", SUM($AH$265,$AH$286,$AH$307,$AH$328,$AH$349,$AH$370,$AH$391))))</f>
        <v/>
      </c>
      <c r="AI264" t="str">
        <f ca="1">IF(ISERROR(IF(SUM($AI$265,$AI$286,$AI$307,$AI$328,$AI$349,$AI$370,$AI$391) = 0, "", SUM($AI$265,$AI$286,$AI$307,$AI$328,$AI$349,$AI$370,$AI$391))), "", (IF(SUM($AI$265,$AI$286,$AI$307,$AI$328,$AI$349,$AI$370,$AI$391) = 0, "", SUM($AI$265,$AI$286,$AI$307,$AI$328,$AI$349,$AI$370,$AI$391))))</f>
        <v/>
      </c>
      <c r="AJ264" t="str">
        <f ca="1">IF(ISERROR(IF(SUM($AJ$265,$AJ$286,$AJ$307,$AJ$328,$AJ$349,$AJ$370,$AJ$391) = 0, "", SUM($AJ$265,$AJ$286,$AJ$307,$AJ$328,$AJ$349,$AJ$370,$AJ$391))), "", (IF(SUM($AJ$265,$AJ$286,$AJ$307,$AJ$328,$AJ$349,$AJ$370,$AJ$391) = 0, "", SUM($AJ$265,$AJ$286,$AJ$307,$AJ$328,$AJ$349,$AJ$370,$AJ$391))))</f>
        <v/>
      </c>
      <c r="AK264" t="str">
        <f ca="1">IF(ISERROR(IF(SUM($AK$265,$AK$286,$AK$307,$AK$328,$AK$349,$AK$370,$AK$391) = 0, "", SUM($AK$265,$AK$286,$AK$307,$AK$328,$AK$349,$AK$370,$AK$391))), "", (IF(SUM($AK$265,$AK$286,$AK$307,$AK$328,$AK$349,$AK$370,$AK$391) = 0, "", SUM($AK$265,$AK$286,$AK$307,$AK$328,$AK$349,$AK$370,$AK$391))))</f>
        <v/>
      </c>
      <c r="AL264" t="str">
        <f ca="1">IF(ISERROR(IF(SUM($AL$265,$AL$286,$AL$307,$AL$328,$AL$349,$AL$370,$AL$391) = 0, "", SUM($AL$265,$AL$286,$AL$307,$AL$328,$AL$349,$AL$370,$AL$391))), "", (IF(SUM($AL$265,$AL$286,$AL$307,$AL$328,$AL$349,$AL$370,$AL$391) = 0, "", SUM($AL$265,$AL$286,$AL$307,$AL$328,$AL$349,$AL$370,$AL$391))))</f>
        <v/>
      </c>
      <c r="AM264">
        <f>13.24057846</f>
        <v>13.24057846</v>
      </c>
      <c r="AN264">
        <f>10.19604764</f>
        <v>10.19604764</v>
      </c>
      <c r="AO264">
        <f>10.53531219</f>
        <v>10.535312190000001</v>
      </c>
      <c r="AP264">
        <f>8.957597557</f>
        <v>8.9575975569999997</v>
      </c>
      <c r="AQ264">
        <f>8.891980694</f>
        <v>8.8919806940000008</v>
      </c>
      <c r="AR264">
        <f>7.306850159</f>
        <v>7.3068501589999997</v>
      </c>
      <c r="AS264">
        <f>7.481495937</f>
        <v>7.481495937</v>
      </c>
      <c r="AT264">
        <f>7.184866846</f>
        <v>7.1848668460000003</v>
      </c>
      <c r="AU264">
        <f>6.942657241</f>
        <v>6.942657241</v>
      </c>
      <c r="AV264">
        <f>7.071162784</f>
        <v>7.0711627840000002</v>
      </c>
      <c r="AW264">
        <f>6.673026309</f>
        <v>6.6730263089999999</v>
      </c>
      <c r="AX264">
        <f>4.963245342</f>
        <v>4.9632453419999996</v>
      </c>
      <c r="AY264">
        <f>4.09549051</f>
        <v>4.0954905100000003</v>
      </c>
      <c r="AZ264">
        <f>3.519373831</f>
        <v>3.5193738309999998</v>
      </c>
      <c r="BA264">
        <f>3.243746156</f>
        <v>3.2437461559999998</v>
      </c>
      <c r="BB264">
        <f>0.246074513</f>
        <v>0.24607451299999999</v>
      </c>
      <c r="BC264">
        <f>0.280778284</f>
        <v>0.28077828399999999</v>
      </c>
      <c r="BD264">
        <f>0.314625017</f>
        <v>0.31462501700000001</v>
      </c>
      <c r="BE264">
        <f>0.306164912</f>
        <v>0.30616491200000001</v>
      </c>
      <c r="BF264">
        <f>0.153726089</f>
        <v>0.15372608900000001</v>
      </c>
      <c r="BG264">
        <f>0.174562586</f>
        <v>0.17456258599999999</v>
      </c>
      <c r="BH264">
        <f>0.163043026</f>
        <v>0.16304302600000001</v>
      </c>
      <c r="BI264">
        <f>0.146962233</f>
        <v>0.146962233</v>
      </c>
      <c r="BJ264">
        <f>0.183621324</f>
        <v>0.183621324</v>
      </c>
      <c r="BK264" t="str">
        <f>""</f>
        <v/>
      </c>
      <c r="BL264" t="str">
        <f>""</f>
        <v/>
      </c>
      <c r="BM264" t="str">
        <f>""</f>
        <v/>
      </c>
      <c r="BN264" t="str">
        <f>""</f>
        <v/>
      </c>
      <c r="BO264" t="str">
        <f>""</f>
        <v/>
      </c>
      <c r="BP264" t="str">
        <f>""</f>
        <v/>
      </c>
      <c r="BQ264" t="str">
        <f>""</f>
        <v/>
      </c>
      <c r="BR264" t="str">
        <f>""</f>
        <v/>
      </c>
      <c r="BS264" t="str">
        <f>""</f>
        <v/>
      </c>
    </row>
    <row r="265" spans="1:71" x14ac:dyDescent="0.25">
      <c r="A265" t="str">
        <f>"    Margin loans"</f>
        <v xml:space="preserve">    Margin loans</v>
      </c>
      <c r="B265" t="str">
        <f>""</f>
        <v/>
      </c>
      <c r="E265" t="str">
        <f>"Median"</f>
        <v>Median</v>
      </c>
      <c r="F265">
        <f ca="1">IF(ISERROR(IF(MEDIAN($F$266:$F$285) = 0, "", MEDIAN($F$266:$F$285))), "", (IF(MEDIAN($F$266:$F$285) = 0, "", MEDIAN($F$266:$F$285))))</f>
        <v>0.1680541555</v>
      </c>
      <c r="G265">
        <f ca="1">IF(ISERROR(IF(MEDIAN($G$266:$G$285) = 0, "", MEDIAN($G$266:$G$285))), "", (IF(MEDIAN($G$266:$G$285) = 0, "", MEDIAN($G$266:$G$285))))</f>
        <v>0.12854842899999999</v>
      </c>
      <c r="H265">
        <f ca="1">IF(ISERROR(IF(MEDIAN($H$266:$H$285) = 0, "", MEDIAN($H$266:$H$285))), "", (IF(MEDIAN($H$266:$H$285) = 0, "", MEDIAN($H$266:$H$285))))</f>
        <v>0.143843468</v>
      </c>
      <c r="I265">
        <f ca="1">IF(ISERROR(IF(MEDIAN($I$266:$I$285) = 0, "", MEDIAN($I$266:$I$285))), "", (IF(MEDIAN($I$266:$I$285) = 0, "", MEDIAN($I$266:$I$285))))</f>
        <v>0.15595014800000001</v>
      </c>
      <c r="J265">
        <f ca="1">IF(ISERROR(IF(MEDIAN($J$266:$J$285) = 0, "", MEDIAN($J$266:$J$285))), "", (IF(MEDIAN($J$266:$J$285) = 0, "", MEDIAN($J$266:$J$285))))</f>
        <v>7.9792538999999996E-2</v>
      </c>
      <c r="K265">
        <f ca="1">IF(ISERROR(IF(MEDIAN($K$266:$K$285) = 0, "", MEDIAN($K$266:$K$285))), "", (IF(MEDIAN($K$266:$K$285) = 0, "", MEDIAN($K$266:$K$285))))</f>
        <v>0.107655502</v>
      </c>
      <c r="L265">
        <f ca="1">IF(ISERROR(IF(MEDIAN($L$266:$L$285) = 0, "", MEDIAN($L$266:$L$285))), "", (IF(MEDIAN($L$266:$L$285) = 0, "", MEDIAN($L$266:$L$285))))</f>
        <v>0.125161731</v>
      </c>
      <c r="M265">
        <f ca="1">IF(ISERROR(IF(MEDIAN($M$266:$M$285) = 0, "", MEDIAN($M$266:$M$285))), "", (IF(MEDIAN($M$266:$M$285) = 0, "", MEDIAN($M$266:$M$285))))</f>
        <v>0.16517675600000001</v>
      </c>
      <c r="N265">
        <f ca="1">IF(ISERROR(IF(MEDIAN($N$266:$N$285) = 0, "", MEDIAN($N$266:$N$285))), "", (IF(MEDIAN($N$266:$N$285) = 0, "", MEDIAN($N$266:$N$285))))</f>
        <v>0.14173418600000001</v>
      </c>
      <c r="O265">
        <f ca="1">IF(ISERROR(IF(MEDIAN($O$266:$O$285) = 0, "", MEDIAN($O$266:$O$285))), "", (IF(MEDIAN($O$266:$O$285) = 0, "", MEDIAN($O$266:$O$285))))</f>
        <v>0.153945112</v>
      </c>
      <c r="P265">
        <f ca="1">IF(ISERROR(IF(MEDIAN($P$266:$P$285) = 0, "", MEDIAN($P$266:$P$285))), "", (IF(MEDIAN($P$266:$P$285) = 0, "", MEDIAN($P$266:$P$285))))</f>
        <v>0.176855067</v>
      </c>
      <c r="Q265">
        <f ca="1">IF(ISERROR(IF(MEDIAN($Q$266:$Q$285) = 0, "", MEDIAN($Q$266:$Q$285))), "", (IF(MEDIAN($Q$266:$Q$285) = 0, "", MEDIAN($Q$266:$Q$285))))</f>
        <v>0.14780975199999999</v>
      </c>
      <c r="R265">
        <f ca="1">IF(ISERROR(IF(MEDIAN($R$266:$R$285) = 0, "", MEDIAN($R$266:$R$285))), "", (IF(MEDIAN($R$266:$R$285) = 0, "", MEDIAN($R$266:$R$285))))</f>
        <v>0.124040943</v>
      </c>
      <c r="S265">
        <f ca="1">IF(ISERROR(IF(MEDIAN($S$266:$S$285) = 0, "", MEDIAN($S$266:$S$285))), "", (IF(MEDIAN($S$266:$S$285) = 0, "", MEDIAN($S$266:$S$285))))</f>
        <v>0.209691143</v>
      </c>
      <c r="T265">
        <f ca="1">IF(ISERROR(IF(MEDIAN($T$266:$T$285) = 0, "", MEDIAN($T$266:$T$285))), "", (IF(MEDIAN($T$266:$T$285) = 0, "", MEDIAN($T$266:$T$285))))</f>
        <v>0.160296413</v>
      </c>
      <c r="U265">
        <f ca="1">IF(ISERROR(IF(MEDIAN($U$266:$U$285) = 0, "", MEDIAN($U$266:$U$285))), "", (IF(MEDIAN($U$266:$U$285) = 0, "", MEDIAN($U$266:$U$285))))</f>
        <v>0.10013725</v>
      </c>
      <c r="V265">
        <f ca="1">IF(ISERROR(IF(MEDIAN($V$266:$V$285) = 0, "", MEDIAN($V$266:$V$285))), "", (IF(MEDIAN($V$266:$V$285) = 0, "", MEDIAN($V$266:$V$285))))</f>
        <v>0.12822183200000001</v>
      </c>
      <c r="W265">
        <f ca="1">IF(ISERROR(IF(MEDIAN($W$266:$W$285) = 0, "", MEDIAN($W$266:$W$285))), "", (IF(MEDIAN($W$266:$W$285) = 0, "", MEDIAN($W$266:$W$285))))</f>
        <v>0.17992537</v>
      </c>
      <c r="X265">
        <f ca="1">IF(ISERROR(IF(MEDIAN($X$266:$X$285) = 0, "", MEDIAN($X$266:$X$285))), "", (IF(MEDIAN($X$266:$X$285) = 0, "", MEDIAN($X$266:$X$285))))</f>
        <v>0.15945081699999999</v>
      </c>
      <c r="Y265" t="str">
        <f ca="1">IF(ISERROR(IF(MEDIAN($Y$266:$Y$285) = 0, "", MEDIAN($Y$266:$Y$285))), "", (IF(MEDIAN($Y$266:$Y$285) = 0, "", MEDIAN($Y$266:$Y$285))))</f>
        <v/>
      </c>
      <c r="Z265" t="str">
        <f ca="1">IF(ISERROR(IF(MEDIAN($Z$266:$Z$285) = 0, "", MEDIAN($Z$266:$Z$285))), "", (IF(MEDIAN($Z$266:$Z$285) = 0, "", MEDIAN($Z$266:$Z$285))))</f>
        <v/>
      </c>
      <c r="AA265" t="str">
        <f ca="1">IF(ISERROR(IF(MEDIAN($AA$266:$AA$285) = 0, "", MEDIAN($AA$266:$AA$285))), "", (IF(MEDIAN($AA$266:$AA$285) = 0, "", MEDIAN($AA$266:$AA$285))))</f>
        <v/>
      </c>
      <c r="AB265" t="str">
        <f ca="1">IF(ISERROR(IF(MEDIAN($AB$266:$AB$285) = 0, "", MEDIAN($AB$266:$AB$285))), "", (IF(MEDIAN($AB$266:$AB$285) = 0, "", MEDIAN($AB$266:$AB$285))))</f>
        <v/>
      </c>
      <c r="AC265" t="str">
        <f ca="1">IF(ISERROR(IF(MEDIAN($AC$266:$AC$285) = 0, "", MEDIAN($AC$266:$AC$285))), "", (IF(MEDIAN($AC$266:$AC$285) = 0, "", MEDIAN($AC$266:$AC$285))))</f>
        <v/>
      </c>
      <c r="AD265" t="str">
        <f ca="1">IF(ISERROR(IF(MEDIAN($AD$266:$AD$285) = 0, "", MEDIAN($AD$266:$AD$285))), "", (IF(MEDIAN($AD$266:$AD$285) = 0, "", MEDIAN($AD$266:$AD$285))))</f>
        <v/>
      </c>
      <c r="AE265" t="str">
        <f ca="1">IF(ISERROR(IF(MEDIAN($AE$266:$AE$285) = 0, "", MEDIAN($AE$266:$AE$285))), "", (IF(MEDIAN($AE$266:$AE$285) = 0, "", MEDIAN($AE$266:$AE$285))))</f>
        <v/>
      </c>
      <c r="AF265" t="str">
        <f ca="1">IF(ISERROR(IF(MEDIAN($AF$266:$AF$285) = 0, "", MEDIAN($AF$266:$AF$285))), "", (IF(MEDIAN($AF$266:$AF$285) = 0, "", MEDIAN($AF$266:$AF$285))))</f>
        <v/>
      </c>
      <c r="AG265" t="str">
        <f ca="1">IF(ISERROR(IF(MEDIAN($AG$266:$AG$285) = 0, "", MEDIAN($AG$266:$AG$285))), "", (IF(MEDIAN($AG$266:$AG$285) = 0, "", MEDIAN($AG$266:$AG$285))))</f>
        <v/>
      </c>
      <c r="AH265" t="str">
        <f ca="1">IF(ISERROR(IF(MEDIAN($AH$266:$AH$285) = 0, "", MEDIAN($AH$266:$AH$285))), "", (IF(MEDIAN($AH$266:$AH$285) = 0, "", MEDIAN($AH$266:$AH$285))))</f>
        <v/>
      </c>
      <c r="AI265" t="str">
        <f ca="1">IF(ISERROR(IF(MEDIAN($AI$266:$AI$285) = 0, "", MEDIAN($AI$266:$AI$285))), "", (IF(MEDIAN($AI$266:$AI$285) = 0, "", MEDIAN($AI$266:$AI$285))))</f>
        <v/>
      </c>
      <c r="AJ265" t="str">
        <f ca="1">IF(ISERROR(IF(MEDIAN($AJ$266:$AJ$285) = 0, "", MEDIAN($AJ$266:$AJ$285))), "", (IF(MEDIAN($AJ$266:$AJ$285) = 0, "", MEDIAN($AJ$266:$AJ$285))))</f>
        <v/>
      </c>
      <c r="AK265" t="str">
        <f ca="1">IF(ISERROR(IF(MEDIAN($AK$266:$AK$285) = 0, "", MEDIAN($AK$266:$AK$285))), "", (IF(MEDIAN($AK$266:$AK$285) = 0, "", MEDIAN($AK$266:$AK$285))))</f>
        <v/>
      </c>
      <c r="AL265" t="str">
        <f ca="1">IF(ISERROR(IF(MEDIAN($AL$266:$AL$285) = 0, "", MEDIAN($AL$266:$AL$285))), "", (IF(MEDIAN($AL$266:$AL$285) = 0, "", MEDIAN($AL$266:$AL$285))))</f>
        <v/>
      </c>
      <c r="AM265">
        <f>0.168054155</f>
        <v>0.16805415500000001</v>
      </c>
      <c r="AN265">
        <f>0.128548429</f>
        <v>0.12854842899999999</v>
      </c>
      <c r="AO265">
        <f>0.143843468</f>
        <v>0.143843468</v>
      </c>
      <c r="AP265">
        <f>0.155950148</f>
        <v>0.15595014800000001</v>
      </c>
      <c r="AQ265">
        <f>0.079792539</f>
        <v>7.9792538999999996E-2</v>
      </c>
      <c r="AR265">
        <f>0.107655502</f>
        <v>0.107655502</v>
      </c>
      <c r="AS265">
        <f>0.125161731</f>
        <v>0.125161731</v>
      </c>
      <c r="AT265">
        <f>0.165176756</f>
        <v>0.16517675600000001</v>
      </c>
      <c r="AU265">
        <f>0.141734186</f>
        <v>0.14173418600000001</v>
      </c>
      <c r="AV265">
        <f>0.153945112</f>
        <v>0.153945112</v>
      </c>
      <c r="AW265">
        <f>0.176855067</f>
        <v>0.176855067</v>
      </c>
      <c r="AX265">
        <f>0.147809752</f>
        <v>0.14780975199999999</v>
      </c>
      <c r="AY265">
        <f>0.124040943</f>
        <v>0.124040943</v>
      </c>
      <c r="AZ265">
        <f>0.209691143</f>
        <v>0.209691143</v>
      </c>
      <c r="BA265">
        <f>0.160296413</f>
        <v>0.160296413</v>
      </c>
      <c r="BB265">
        <f>0.10013725</f>
        <v>0.10013725</v>
      </c>
      <c r="BC265">
        <f>0.128221832</f>
        <v>0.12822183200000001</v>
      </c>
      <c r="BD265">
        <f>0.17992537</f>
        <v>0.17992537</v>
      </c>
      <c r="BE265">
        <f>0.159450817</f>
        <v>0.15945081699999999</v>
      </c>
      <c r="BF265" t="str">
        <f>""</f>
        <v/>
      </c>
      <c r="BG265" t="str">
        <f>""</f>
        <v/>
      </c>
      <c r="BH265" t="str">
        <f>""</f>
        <v/>
      </c>
      <c r="BI265" t="str">
        <f>""</f>
        <v/>
      </c>
      <c r="BJ265" t="str">
        <f>""</f>
        <v/>
      </c>
      <c r="BK265" t="str">
        <f>""</f>
        <v/>
      </c>
      <c r="BL265" t="str">
        <f>""</f>
        <v/>
      </c>
      <c r="BM265" t="str">
        <f>""</f>
        <v/>
      </c>
      <c r="BN265" t="str">
        <f>""</f>
        <v/>
      </c>
      <c r="BO265" t="str">
        <f>""</f>
        <v/>
      </c>
      <c r="BP265" t="str">
        <f>""</f>
        <v/>
      </c>
      <c r="BQ265" t="str">
        <f>""</f>
        <v/>
      </c>
      <c r="BR265" t="str">
        <f>""</f>
        <v/>
      </c>
      <c r="BS265" t="str">
        <f>""</f>
        <v/>
      </c>
    </row>
    <row r="266" spans="1:71" x14ac:dyDescent="0.25">
      <c r="A266" t="str">
        <f>"        Bank of America Corp"</f>
        <v xml:space="preserve">        Bank of America Corp</v>
      </c>
      <c r="B266" t="str">
        <f>"BAC US Equity"</f>
        <v>BAC US Equity</v>
      </c>
      <c r="C266" t="str">
        <f t="shared" ref="C266:C285" si="36">"F0122"</f>
        <v>F0122</v>
      </c>
      <c r="D266" t="str">
        <f t="shared" ref="D266:D285" si="37">"FED_MARGIN_LOANS_%_TOT_LNS_LEAS"</f>
        <v>FED_MARGIN_LOANS_%_TOT_LNS_LEAS</v>
      </c>
      <c r="E266" t="str">
        <f t="shared" ref="E266:E285" si="38">"Dynamic"</f>
        <v>Dynamic</v>
      </c>
      <c r="F266">
        <f ca="1">IF(AND(ISNUMBER($F$669),$B$427=1),$F$669,HLOOKUP(INDIRECT(ADDRESS(2,COLUMN())),OFFSET($AM$2,0,0,ROW()-1,33),ROW()-1,FALSE))</f>
        <v>5.1678654899999996</v>
      </c>
      <c r="G266">
        <f ca="1">IF(AND(ISNUMBER($G$669),$B$427=1),$G$669,HLOOKUP(INDIRECT(ADDRESS(2,COLUMN())),OFFSET($AM$2,0,0,ROW()-1,33),ROW()-1,FALSE))</f>
        <v>4.5872168200000001</v>
      </c>
      <c r="H266">
        <f ca="1">IF(AND(ISNUMBER($H$669),$B$427=1),$H$669,HLOOKUP(INDIRECT(ADDRESS(2,COLUMN())),OFFSET($AM$2,0,0,ROW()-1,33),ROW()-1,FALSE))</f>
        <v>3.4589805770000002</v>
      </c>
      <c r="I266">
        <f ca="1">IF(AND(ISNUMBER($I$669),$B$427=1),$I$669,HLOOKUP(INDIRECT(ADDRESS(2,COLUMN())),OFFSET($AM$2,0,0,ROW()-1,33),ROW()-1,FALSE))</f>
        <v>5.3252519420000004</v>
      </c>
      <c r="J266">
        <f ca="1">IF(AND(ISNUMBER($J$669),$B$427=1),$J$669,HLOOKUP(INDIRECT(ADDRESS(2,COLUMN())),OFFSET($AM$2,0,0,ROW()-1,33),ROW()-1,FALSE))</f>
        <v>5.1541656480000002</v>
      </c>
      <c r="K266">
        <f ca="1">IF(AND(ISNUMBER($K$669),$B$427=1),$K$669,HLOOKUP(INDIRECT(ADDRESS(2,COLUMN())),OFFSET($AM$2,0,0,ROW()-1,33),ROW()-1,FALSE))</f>
        <v>5.5280368429999998</v>
      </c>
      <c r="L266">
        <f ca="1">IF(AND(ISNUMBER($L$669),$B$427=1),$L$669,HLOOKUP(INDIRECT(ADDRESS(2,COLUMN())),OFFSET($AM$2,0,0,ROW()-1,33),ROW()-1,FALSE))</f>
        <v>4.4415430750000002</v>
      </c>
      <c r="M266">
        <f ca="1">IF(AND(ISNUMBER($M$669),$B$427=1),$M$669,HLOOKUP(INDIRECT(ADDRESS(2,COLUMN())),OFFSET($AM$2,0,0,ROW()-1,33),ROW()-1,FALSE))</f>
        <v>6.5174622260000001</v>
      </c>
      <c r="N266">
        <f ca="1">IF(AND(ISNUMBER($N$669),$B$427=1),$N$669,HLOOKUP(INDIRECT(ADDRESS(2,COLUMN())),OFFSET($AM$2,0,0,ROW()-1,33),ROW()-1,FALSE))</f>
        <v>5.3575992079999999</v>
      </c>
      <c r="O266">
        <f ca="1">IF(AND(ISNUMBER($O$669),$B$427=1),$O$669,HLOOKUP(INDIRECT(ADDRESS(2,COLUMN())),OFFSET($AM$2,0,0,ROW()-1,33),ROW()-1,FALSE))</f>
        <v>4.2669236340000003</v>
      </c>
      <c r="P266">
        <f ca="1">IF(AND(ISNUMBER($P$669),$B$427=1),$P$669,HLOOKUP(INDIRECT(ADDRESS(2,COLUMN())),OFFSET($AM$2,0,0,ROW()-1,33),ROW()-1,FALSE))</f>
        <v>4.3109002140000001</v>
      </c>
      <c r="Q266">
        <f ca="1">IF(AND(ISNUMBER($Q$669),$B$427=1),$Q$669,HLOOKUP(INDIRECT(ADDRESS(2,COLUMN())),OFFSET($AM$2,0,0,ROW()-1,33),ROW()-1,FALSE))</f>
        <v>5.3461951489999997</v>
      </c>
      <c r="R266">
        <f ca="1">IF(AND(ISNUMBER($R$669),$B$427=1),$R$669,HLOOKUP(INDIRECT(ADDRESS(2,COLUMN())),OFFSET($AM$2,0,0,ROW()-1,33),ROW()-1,FALSE))</f>
        <v>5.4851568779999997</v>
      </c>
      <c r="S266">
        <f ca="1">IF(AND(ISNUMBER($S$669),$B$427=1),$S$669,HLOOKUP(INDIRECT(ADDRESS(2,COLUMN())),OFFSET($AM$2,0,0,ROW()-1,33),ROW()-1,FALSE))</f>
        <v>3.2783888700000001</v>
      </c>
      <c r="T266">
        <f ca="1">IF(AND(ISNUMBER($T$669),$B$427=1),$T$669,HLOOKUP(INDIRECT(ADDRESS(2,COLUMN())),OFFSET($AM$2,0,0,ROW()-1,33),ROW()-1,FALSE))</f>
        <v>1.7189892360000001</v>
      </c>
      <c r="U266">
        <f ca="1">IF(AND(ISNUMBER($U$669),$B$427=1),$U$669,HLOOKUP(INDIRECT(ADDRESS(2,COLUMN())),OFFSET($AM$2,0,0,ROW()-1,33),ROW()-1,FALSE))</f>
        <v>1.8960397659999999</v>
      </c>
      <c r="V266">
        <f ca="1">IF(AND(ISNUMBER($V$669),$B$427=1),$V$669,HLOOKUP(INDIRECT(ADDRESS(2,COLUMN())),OFFSET($AM$2,0,0,ROW()-1,33),ROW()-1,FALSE))</f>
        <v>0.27754812000000001</v>
      </c>
      <c r="W266">
        <f ca="1">IF(AND(ISNUMBER($W$669),$B$427=1),$W$669,HLOOKUP(INDIRECT(ADDRESS(2,COLUMN())),OFFSET($AM$2,0,0,ROW()-1,33),ROW()-1,FALSE))</f>
        <v>0.29070195199999999</v>
      </c>
      <c r="X266">
        <f ca="1">IF(AND(ISNUMBER($X$669),$B$427=1),$X$669,HLOOKUP(INDIRECT(ADDRESS(2,COLUMN())),OFFSET($AM$2,0,0,ROW()-1,33),ROW()-1,FALSE))</f>
        <v>0.15945081699999999</v>
      </c>
      <c r="Y266" t="str">
        <f ca="1">IF(AND(ISNUMBER($Y$669),$B$427=1),$Y$669,HLOOKUP(INDIRECT(ADDRESS(2,COLUMN())),OFFSET($AM$2,0,0,ROW()-1,33),ROW()-1,FALSE))</f>
        <v/>
      </c>
      <c r="Z266" t="str">
        <f ca="1">IF(AND(ISNUMBER($Z$669),$B$427=1),$Z$669,HLOOKUP(INDIRECT(ADDRESS(2,COLUMN())),OFFSET($AM$2,0,0,ROW()-1,33),ROW()-1,FALSE))</f>
        <v/>
      </c>
      <c r="AA266" t="str">
        <f ca="1">IF(AND(ISNUMBER($AA$669),$B$427=1),$AA$669,HLOOKUP(INDIRECT(ADDRESS(2,COLUMN())),OFFSET($AM$2,0,0,ROW()-1,33),ROW()-1,FALSE))</f>
        <v/>
      </c>
      <c r="AB266" t="str">
        <f ca="1">IF(AND(ISNUMBER($AB$669),$B$427=1),$AB$669,HLOOKUP(INDIRECT(ADDRESS(2,COLUMN())),OFFSET($AM$2,0,0,ROW()-1,33),ROW()-1,FALSE))</f>
        <v/>
      </c>
      <c r="AC266" t="str">
        <f ca="1">IF(AND(ISNUMBER($AC$669),$B$427=1),$AC$669,HLOOKUP(INDIRECT(ADDRESS(2,COLUMN())),OFFSET($AM$2,0,0,ROW()-1,33),ROW()-1,FALSE))</f>
        <v/>
      </c>
      <c r="AD266" t="str">
        <f ca="1">IF(AND(ISNUMBER($AD$669),$B$427=1),$AD$669,HLOOKUP(INDIRECT(ADDRESS(2,COLUMN())),OFFSET($AM$2,0,0,ROW()-1,33),ROW()-1,FALSE))</f>
        <v/>
      </c>
      <c r="AE266" t="str">
        <f ca="1">IF(AND(ISNUMBER($AE$669),$B$427=1),$AE$669,HLOOKUP(INDIRECT(ADDRESS(2,COLUMN())),OFFSET($AM$2,0,0,ROW()-1,33),ROW()-1,FALSE))</f>
        <v/>
      </c>
      <c r="AF266" t="str">
        <f ca="1">IF(AND(ISNUMBER($AF$669),$B$427=1),$AF$669,HLOOKUP(INDIRECT(ADDRESS(2,COLUMN())),OFFSET($AM$2,0,0,ROW()-1,33),ROW()-1,FALSE))</f>
        <v/>
      </c>
      <c r="AG266" t="str">
        <f ca="1">IF(AND(ISNUMBER($AG$669),$B$427=1),$AG$669,HLOOKUP(INDIRECT(ADDRESS(2,COLUMN())),OFFSET($AM$2,0,0,ROW()-1,33),ROW()-1,FALSE))</f>
        <v/>
      </c>
      <c r="AH266" t="str">
        <f ca="1">IF(AND(ISNUMBER($AH$669),$B$427=1),$AH$669,HLOOKUP(INDIRECT(ADDRESS(2,COLUMN())),OFFSET($AM$2,0,0,ROW()-1,33),ROW()-1,FALSE))</f>
        <v/>
      </c>
      <c r="AI266" t="str">
        <f ca="1">IF(AND(ISNUMBER($AI$669),$B$427=1),$AI$669,HLOOKUP(INDIRECT(ADDRESS(2,COLUMN())),OFFSET($AM$2,0,0,ROW()-1,33),ROW()-1,FALSE))</f>
        <v/>
      </c>
      <c r="AJ266" t="str">
        <f ca="1">IF(AND(ISNUMBER($AJ$669),$B$427=1),$AJ$669,HLOOKUP(INDIRECT(ADDRESS(2,COLUMN())),OFFSET($AM$2,0,0,ROW()-1,33),ROW()-1,FALSE))</f>
        <v/>
      </c>
      <c r="AK266" t="str">
        <f ca="1">IF(AND(ISNUMBER($AK$669),$B$427=1),$AK$669,HLOOKUP(INDIRECT(ADDRESS(2,COLUMN())),OFFSET($AM$2,0,0,ROW()-1,33),ROW()-1,FALSE))</f>
        <v/>
      </c>
      <c r="AL266" t="str">
        <f ca="1">IF(AND(ISNUMBER($AL$669),$B$427=1),$AL$669,HLOOKUP(INDIRECT(ADDRESS(2,COLUMN())),OFFSET($AM$2,0,0,ROW()-1,33),ROW()-1,FALSE))</f>
        <v/>
      </c>
      <c r="AM266">
        <f>5.16786549</f>
        <v>5.1678654899999996</v>
      </c>
      <c r="AN266">
        <f>4.58721682</f>
        <v>4.5872168200000001</v>
      </c>
      <c r="AO266">
        <f>3.458980577</f>
        <v>3.4589805770000002</v>
      </c>
      <c r="AP266">
        <f>5.325251942</f>
        <v>5.3252519420000004</v>
      </c>
      <c r="AQ266">
        <f>5.154165648</f>
        <v>5.1541656480000002</v>
      </c>
      <c r="AR266">
        <f>5.528036843</f>
        <v>5.5280368429999998</v>
      </c>
      <c r="AS266">
        <f>4.441543075</f>
        <v>4.4415430750000002</v>
      </c>
      <c r="AT266">
        <f>6.517462226</f>
        <v>6.5174622260000001</v>
      </c>
      <c r="AU266">
        <f>5.357599208</f>
        <v>5.3575992079999999</v>
      </c>
      <c r="AV266">
        <f>4.266923634</f>
        <v>4.2669236340000003</v>
      </c>
      <c r="AW266">
        <f>4.310900214</f>
        <v>4.3109002140000001</v>
      </c>
      <c r="AX266">
        <f>5.346195149</f>
        <v>5.3461951489999997</v>
      </c>
      <c r="AY266">
        <f>5.485156878</f>
        <v>5.4851568779999997</v>
      </c>
      <c r="AZ266">
        <f>3.27838887</f>
        <v>3.2783888700000001</v>
      </c>
      <c r="BA266">
        <f>1.718989236</f>
        <v>1.7189892360000001</v>
      </c>
      <c r="BB266">
        <f>1.896039766</f>
        <v>1.8960397659999999</v>
      </c>
      <c r="BC266">
        <f>0.27754812</f>
        <v>0.27754812000000001</v>
      </c>
      <c r="BD266">
        <f>0.290701952</f>
        <v>0.29070195199999999</v>
      </c>
      <c r="BE266">
        <f>0.159450817</f>
        <v>0.15945081699999999</v>
      </c>
      <c r="BF266" t="str">
        <f>""</f>
        <v/>
      </c>
      <c r="BG266" t="str">
        <f>""</f>
        <v/>
      </c>
      <c r="BH266" t="str">
        <f>""</f>
        <v/>
      </c>
      <c r="BI266" t="str">
        <f>""</f>
        <v/>
      </c>
      <c r="BJ266" t="str">
        <f>""</f>
        <v/>
      </c>
      <c r="BK266" t="str">
        <f>""</f>
        <v/>
      </c>
      <c r="BL266" t="str">
        <f>""</f>
        <v/>
      </c>
      <c r="BM266" t="str">
        <f>""</f>
        <v/>
      </c>
      <c r="BN266" t="str">
        <f>""</f>
        <v/>
      </c>
      <c r="BO266" t="str">
        <f>""</f>
        <v/>
      </c>
      <c r="BP266" t="str">
        <f>""</f>
        <v/>
      </c>
      <c r="BQ266" t="str">
        <f>""</f>
        <v/>
      </c>
      <c r="BR266" t="str">
        <f>""</f>
        <v/>
      </c>
      <c r="BS266" t="str">
        <f>""</f>
        <v/>
      </c>
    </row>
    <row r="267" spans="1:71" x14ac:dyDescent="0.25">
      <c r="A267" t="str">
        <f>"        Citigroup Inc"</f>
        <v xml:space="preserve">        Citigroup Inc</v>
      </c>
      <c r="B267" t="str">
        <f>"C US Equity"</f>
        <v>C US Equity</v>
      </c>
      <c r="C267" t="str">
        <f t="shared" si="36"/>
        <v>F0122</v>
      </c>
      <c r="D267" t="str">
        <f t="shared" si="37"/>
        <v>FED_MARGIN_LOANS_%_TOT_LNS_LEAS</v>
      </c>
      <c r="E267" t="str">
        <f t="shared" si="38"/>
        <v>Dynamic</v>
      </c>
      <c r="F267">
        <f ca="1">IF(AND(ISNUMBER($F$670),$B$427=1),$F$670,HLOOKUP(INDIRECT(ADDRESS(2,COLUMN())),OFFSET($AM$2,0,0,ROW()-1,33),ROW()-1,FALSE))</f>
        <v>2.5761864289999998</v>
      </c>
      <c r="G267">
        <f ca="1">IF(AND(ISNUMBER($G$670),$B$427=1),$G$670,HLOOKUP(INDIRECT(ADDRESS(2,COLUMN())),OFFSET($AM$2,0,0,ROW()-1,33),ROW()-1,FALSE))</f>
        <v>1.945141781</v>
      </c>
      <c r="H267">
        <f ca="1">IF(AND(ISNUMBER($H$670),$B$427=1),$H$670,HLOOKUP(INDIRECT(ADDRESS(2,COLUMN())),OFFSET($AM$2,0,0,ROW()-1,33),ROW()-1,FALSE))</f>
        <v>1.88396181</v>
      </c>
      <c r="I267">
        <f ca="1">IF(AND(ISNUMBER($I$670),$B$427=1),$I$670,HLOOKUP(INDIRECT(ADDRESS(2,COLUMN())),OFFSET($AM$2,0,0,ROW()-1,33),ROW()-1,FALSE))</f>
        <v>3.4975537120000002</v>
      </c>
      <c r="J267">
        <f ca="1">IF(AND(ISNUMBER($J$670),$B$427=1),$J$670,HLOOKUP(INDIRECT(ADDRESS(2,COLUMN())),OFFSET($AM$2,0,0,ROW()-1,33),ROW()-1,FALSE))</f>
        <v>2.7370175140000002</v>
      </c>
      <c r="K267">
        <f ca="1">IF(AND(ISNUMBER($K$670),$B$427=1),$K$670,HLOOKUP(INDIRECT(ADDRESS(2,COLUMN())),OFFSET($AM$2,0,0,ROW()-1,33),ROW()-1,FALSE))</f>
        <v>2.1196310060000001</v>
      </c>
      <c r="L267">
        <f ca="1">IF(AND(ISNUMBER($L$670),$B$427=1),$L$670,HLOOKUP(INDIRECT(ADDRESS(2,COLUMN())),OFFSET($AM$2,0,0,ROW()-1,33),ROW()-1,FALSE))</f>
        <v>1.988047479</v>
      </c>
      <c r="M267">
        <f ca="1">IF(AND(ISNUMBER($M$670),$B$427=1),$M$670,HLOOKUP(INDIRECT(ADDRESS(2,COLUMN())),OFFSET($AM$2,0,0,ROW()-1,33),ROW()-1,FALSE))</f>
        <v>2.5096553130000001</v>
      </c>
      <c r="N267">
        <f ca="1">IF(AND(ISNUMBER($N$670),$B$427=1),$N$670,HLOOKUP(INDIRECT(ADDRESS(2,COLUMN())),OFFSET($AM$2,0,0,ROW()-1,33),ROW()-1,FALSE))</f>
        <v>1.711779846</v>
      </c>
      <c r="O267">
        <f ca="1">IF(AND(ISNUMBER($O$670),$B$427=1),$O$670,HLOOKUP(INDIRECT(ADDRESS(2,COLUMN())),OFFSET($AM$2,0,0,ROW()-1,33),ROW()-1,FALSE))</f>
        <v>2.1329097809999999</v>
      </c>
      <c r="P267">
        <f ca="1">IF(AND(ISNUMBER($P$670),$B$427=1),$P$670,HLOOKUP(INDIRECT(ADDRESS(2,COLUMN())),OFFSET($AM$2,0,0,ROW()-1,33),ROW()-1,FALSE))</f>
        <v>2.301451073</v>
      </c>
      <c r="Q267">
        <f ca="1">IF(AND(ISNUMBER($Q$670),$B$427=1),$Q$670,HLOOKUP(INDIRECT(ADDRESS(2,COLUMN())),OFFSET($AM$2,0,0,ROW()-1,33),ROW()-1,FALSE))</f>
        <v>2.1106178729999998</v>
      </c>
      <c r="R267">
        <f ca="1">IF(AND(ISNUMBER($R$670),$B$427=1),$R$670,HLOOKUP(INDIRECT(ADDRESS(2,COLUMN())),OFFSET($AM$2,0,0,ROW()-1,33),ROW()-1,FALSE))</f>
        <v>2.0102438280000001</v>
      </c>
      <c r="S267">
        <f ca="1">IF(AND(ISNUMBER($S$670),$B$427=1),$S$670,HLOOKUP(INDIRECT(ADDRESS(2,COLUMN())),OFFSET($AM$2,0,0,ROW()-1,33),ROW()-1,FALSE))</f>
        <v>3.2196017060000002</v>
      </c>
      <c r="T267">
        <f ca="1">IF(AND(ISNUMBER($T$670),$B$427=1),$T$670,HLOOKUP(INDIRECT(ADDRESS(2,COLUMN())),OFFSET($AM$2,0,0,ROW()-1,33),ROW()-1,FALSE))</f>
        <v>3.18594051</v>
      </c>
      <c r="U267">
        <f ca="1">IF(AND(ISNUMBER($U$670),$B$427=1),$U$670,HLOOKUP(INDIRECT(ADDRESS(2,COLUMN())),OFFSET($AM$2,0,0,ROW()-1,33),ROW()-1,FALSE))</f>
        <v>3.2661933150000002</v>
      </c>
      <c r="V267">
        <f ca="1">IF(AND(ISNUMBER($V$670),$B$427=1),$V$670,HLOOKUP(INDIRECT(ADDRESS(2,COLUMN())),OFFSET($AM$2,0,0,ROW()-1,33),ROW()-1,FALSE))</f>
        <v>3.1410056329999998</v>
      </c>
      <c r="W267">
        <f ca="1">IF(AND(ISNUMBER($W$670),$B$427=1),$W$670,HLOOKUP(INDIRECT(ADDRESS(2,COLUMN())),OFFSET($AM$2,0,0,ROW()-1,33),ROW()-1,FALSE))</f>
        <v>3.9389695279999999</v>
      </c>
      <c r="X267">
        <f ca="1">IF(AND(ISNUMBER($X$670),$B$427=1),$X$670,HLOOKUP(INDIRECT(ADDRESS(2,COLUMN())),OFFSET($AM$2,0,0,ROW()-1,33),ROW()-1,FALSE))</f>
        <v>4.6522984039999997</v>
      </c>
      <c r="Y267" t="str">
        <f ca="1">IF(AND(ISNUMBER($Y$670),$B$427=1),$Y$670,HLOOKUP(INDIRECT(ADDRESS(2,COLUMN())),OFFSET($AM$2,0,0,ROW()-1,33),ROW()-1,FALSE))</f>
        <v/>
      </c>
      <c r="Z267" t="str">
        <f ca="1">IF(AND(ISNUMBER($Z$670),$B$427=1),$Z$670,HLOOKUP(INDIRECT(ADDRESS(2,COLUMN())),OFFSET($AM$2,0,0,ROW()-1,33),ROW()-1,FALSE))</f>
        <v/>
      </c>
      <c r="AA267" t="str">
        <f ca="1">IF(AND(ISNUMBER($AA$670),$B$427=1),$AA$670,HLOOKUP(INDIRECT(ADDRESS(2,COLUMN())),OFFSET($AM$2,0,0,ROW()-1,33),ROW()-1,FALSE))</f>
        <v/>
      </c>
      <c r="AB267" t="str">
        <f ca="1">IF(AND(ISNUMBER($AB$670),$B$427=1),$AB$670,HLOOKUP(INDIRECT(ADDRESS(2,COLUMN())),OFFSET($AM$2,0,0,ROW()-1,33),ROW()-1,FALSE))</f>
        <v/>
      </c>
      <c r="AC267" t="str">
        <f ca="1">IF(AND(ISNUMBER($AC$670),$B$427=1),$AC$670,HLOOKUP(INDIRECT(ADDRESS(2,COLUMN())),OFFSET($AM$2,0,0,ROW()-1,33),ROW()-1,FALSE))</f>
        <v/>
      </c>
      <c r="AD267" t="str">
        <f ca="1">IF(AND(ISNUMBER($AD$670),$B$427=1),$AD$670,HLOOKUP(INDIRECT(ADDRESS(2,COLUMN())),OFFSET($AM$2,0,0,ROW()-1,33),ROW()-1,FALSE))</f>
        <v/>
      </c>
      <c r="AE267" t="str">
        <f ca="1">IF(AND(ISNUMBER($AE$670),$B$427=1),$AE$670,HLOOKUP(INDIRECT(ADDRESS(2,COLUMN())),OFFSET($AM$2,0,0,ROW()-1,33),ROW()-1,FALSE))</f>
        <v/>
      </c>
      <c r="AF267" t="str">
        <f ca="1">IF(AND(ISNUMBER($AF$670),$B$427=1),$AF$670,HLOOKUP(INDIRECT(ADDRESS(2,COLUMN())),OFFSET($AM$2,0,0,ROW()-1,33),ROW()-1,FALSE))</f>
        <v/>
      </c>
      <c r="AG267" t="str">
        <f ca="1">IF(AND(ISNUMBER($AG$670),$B$427=1),$AG$670,HLOOKUP(INDIRECT(ADDRESS(2,COLUMN())),OFFSET($AM$2,0,0,ROW()-1,33),ROW()-1,FALSE))</f>
        <v/>
      </c>
      <c r="AH267" t="str">
        <f ca="1">IF(AND(ISNUMBER($AH$670),$B$427=1),$AH$670,HLOOKUP(INDIRECT(ADDRESS(2,COLUMN())),OFFSET($AM$2,0,0,ROW()-1,33),ROW()-1,FALSE))</f>
        <v/>
      </c>
      <c r="AI267" t="str">
        <f ca="1">IF(AND(ISNUMBER($AI$670),$B$427=1),$AI$670,HLOOKUP(INDIRECT(ADDRESS(2,COLUMN())),OFFSET($AM$2,0,0,ROW()-1,33),ROW()-1,FALSE))</f>
        <v/>
      </c>
      <c r="AJ267" t="str">
        <f ca="1">IF(AND(ISNUMBER($AJ$670),$B$427=1),$AJ$670,HLOOKUP(INDIRECT(ADDRESS(2,COLUMN())),OFFSET($AM$2,0,0,ROW()-1,33),ROW()-1,FALSE))</f>
        <v/>
      </c>
      <c r="AK267" t="str">
        <f ca="1">IF(AND(ISNUMBER($AK$670),$B$427=1),$AK$670,HLOOKUP(INDIRECT(ADDRESS(2,COLUMN())),OFFSET($AM$2,0,0,ROW()-1,33),ROW()-1,FALSE))</f>
        <v/>
      </c>
      <c r="AL267" t="str">
        <f ca="1">IF(AND(ISNUMBER($AL$670),$B$427=1),$AL$670,HLOOKUP(INDIRECT(ADDRESS(2,COLUMN())),OFFSET($AM$2,0,0,ROW()-1,33),ROW()-1,FALSE))</f>
        <v/>
      </c>
      <c r="AM267">
        <f>2.576186429</f>
        <v>2.5761864289999998</v>
      </c>
      <c r="AN267">
        <f>1.945141781</f>
        <v>1.945141781</v>
      </c>
      <c r="AO267">
        <f>1.88396181</f>
        <v>1.88396181</v>
      </c>
      <c r="AP267">
        <f>3.497553712</f>
        <v>3.4975537120000002</v>
      </c>
      <c r="AQ267">
        <f>2.737017514</f>
        <v>2.7370175140000002</v>
      </c>
      <c r="AR267">
        <f>2.119631006</f>
        <v>2.1196310060000001</v>
      </c>
      <c r="AS267">
        <f>1.988047479</f>
        <v>1.988047479</v>
      </c>
      <c r="AT267">
        <f>2.509655313</f>
        <v>2.5096553130000001</v>
      </c>
      <c r="AU267">
        <f>1.711779846</f>
        <v>1.711779846</v>
      </c>
      <c r="AV267">
        <f>2.132909781</f>
        <v>2.1329097809999999</v>
      </c>
      <c r="AW267">
        <f>2.301451073</f>
        <v>2.301451073</v>
      </c>
      <c r="AX267">
        <f>2.110617873</f>
        <v>2.1106178729999998</v>
      </c>
      <c r="AY267">
        <f>2.010243828</f>
        <v>2.0102438280000001</v>
      </c>
      <c r="AZ267">
        <f>3.219601706</f>
        <v>3.2196017060000002</v>
      </c>
      <c r="BA267">
        <f>3.18594051</f>
        <v>3.18594051</v>
      </c>
      <c r="BB267">
        <f>3.266193315</f>
        <v>3.2661933150000002</v>
      </c>
      <c r="BC267">
        <f>3.141005633</f>
        <v>3.1410056329999998</v>
      </c>
      <c r="BD267">
        <f>3.938969528</f>
        <v>3.9389695279999999</v>
      </c>
      <c r="BE267">
        <f>4.652298404</f>
        <v>4.6522984039999997</v>
      </c>
      <c r="BF267" t="str">
        <f>""</f>
        <v/>
      </c>
      <c r="BG267" t="str">
        <f>""</f>
        <v/>
      </c>
      <c r="BH267" t="str">
        <f>""</f>
        <v/>
      </c>
      <c r="BI267" t="str">
        <f>""</f>
        <v/>
      </c>
      <c r="BJ267" t="str">
        <f>""</f>
        <v/>
      </c>
      <c r="BK267" t="str">
        <f>""</f>
        <v/>
      </c>
      <c r="BL267" t="str">
        <f>""</f>
        <v/>
      </c>
      <c r="BM267" t="str">
        <f>""</f>
        <v/>
      </c>
      <c r="BN267" t="str">
        <f>""</f>
        <v/>
      </c>
      <c r="BO267" t="str">
        <f>""</f>
        <v/>
      </c>
      <c r="BP267" t="str">
        <f>""</f>
        <v/>
      </c>
      <c r="BQ267" t="str">
        <f>""</f>
        <v/>
      </c>
      <c r="BR267" t="str">
        <f>""</f>
        <v/>
      </c>
      <c r="BS267" t="str">
        <f>""</f>
        <v/>
      </c>
    </row>
    <row r="268" spans="1:71" x14ac:dyDescent="0.25">
      <c r="A268" t="str">
        <f>"        Citizens Financial Group Inc"</f>
        <v xml:space="preserve">        Citizens Financial Group Inc</v>
      </c>
      <c r="B268" t="str">
        <f>"CFG US Equity"</f>
        <v>CFG US Equity</v>
      </c>
      <c r="C268" t="str">
        <f t="shared" si="36"/>
        <v>F0122</v>
      </c>
      <c r="D268" t="str">
        <f t="shared" si="37"/>
        <v>FED_MARGIN_LOANS_%_TOT_LNS_LEAS</v>
      </c>
      <c r="E268" t="str">
        <f t="shared" si="38"/>
        <v>Dynamic</v>
      </c>
      <c r="F268">
        <f ca="1">IF(AND(ISNUMBER($F$671),$B$427=1),$F$671,HLOOKUP(INDIRECT(ADDRESS(2,COLUMN())),OFFSET($AM$2,0,0,ROW()-1,33),ROW()-1,FALSE))</f>
        <v>0</v>
      </c>
      <c r="G268">
        <f ca="1">IF(AND(ISNUMBER($G$671),$B$427=1),$G$671,HLOOKUP(INDIRECT(ADDRESS(2,COLUMN())),OFFSET($AM$2,0,0,ROW()-1,33),ROW()-1,FALSE))</f>
        <v>0</v>
      </c>
      <c r="H268">
        <f ca="1">IF(AND(ISNUMBER($H$671),$B$427=1),$H$671,HLOOKUP(INDIRECT(ADDRESS(2,COLUMN())),OFFSET($AM$2,0,0,ROW()-1,33),ROW()-1,FALSE))</f>
        <v>0</v>
      </c>
      <c r="I268">
        <f ca="1">IF(AND(ISNUMBER($I$671),$B$427=1),$I$671,HLOOKUP(INDIRECT(ADDRESS(2,COLUMN())),OFFSET($AM$2,0,0,ROW()-1,33),ROW()-1,FALSE))</f>
        <v>4.0988784E-2</v>
      </c>
      <c r="J268">
        <f ca="1">IF(AND(ISNUMBER($J$671),$B$427=1),$J$671,HLOOKUP(INDIRECT(ADDRESS(2,COLUMN())),OFFSET($AM$2,0,0,ROW()-1,33),ROW()-1,FALSE))</f>
        <v>5.7725090999999999E-2</v>
      </c>
      <c r="K268">
        <f ca="1">IF(AND(ISNUMBER($K$671),$B$427=1),$K$671,HLOOKUP(INDIRECT(ADDRESS(2,COLUMN())),OFFSET($AM$2,0,0,ROW()-1,33),ROW()-1,FALSE))</f>
        <v>7.8726049000000006E-2</v>
      </c>
      <c r="L268">
        <f ca="1">IF(AND(ISNUMBER($L$671),$B$427=1),$L$671,HLOOKUP(INDIRECT(ADDRESS(2,COLUMN())),OFFSET($AM$2,0,0,ROW()-1,33),ROW()-1,FALSE))</f>
        <v>0</v>
      </c>
      <c r="M268">
        <f ca="1">IF(AND(ISNUMBER($M$671),$B$427=1),$M$671,HLOOKUP(INDIRECT(ADDRESS(2,COLUMN())),OFFSET($AM$2,0,0,ROW()-1,33),ROW()-1,FALSE))</f>
        <v>0</v>
      </c>
      <c r="N268">
        <f ca="1">IF(AND(ISNUMBER($N$671),$B$427=1),$N$671,HLOOKUP(INDIRECT(ADDRESS(2,COLUMN())),OFFSET($AM$2,0,0,ROW()-1,33),ROW()-1,FALSE))</f>
        <v>0</v>
      </c>
      <c r="O268">
        <f ca="1">IF(AND(ISNUMBER($O$671),$B$427=1),$O$671,HLOOKUP(INDIRECT(ADDRESS(2,COLUMN())),OFFSET($AM$2,0,0,ROW()-1,33),ROW()-1,FALSE))</f>
        <v>0</v>
      </c>
      <c r="P268">
        <f ca="1">IF(AND(ISNUMBER($P$671),$B$427=1),$P$671,HLOOKUP(INDIRECT(ADDRESS(2,COLUMN())),OFFSET($AM$2,0,0,ROW()-1,33),ROW()-1,FALSE))</f>
        <v>0</v>
      </c>
      <c r="Q268">
        <f ca="1">IF(AND(ISNUMBER($Q$671),$B$427=1),$Q$671,HLOOKUP(INDIRECT(ADDRESS(2,COLUMN())),OFFSET($AM$2,0,0,ROW()-1,33),ROW()-1,FALSE))</f>
        <v>0</v>
      </c>
      <c r="R268">
        <f ca="1">IF(AND(ISNUMBER($R$671),$B$427=1),$R$671,HLOOKUP(INDIRECT(ADDRESS(2,COLUMN())),OFFSET($AM$2,0,0,ROW()-1,33),ROW()-1,FALSE))</f>
        <v>1.987108E-3</v>
      </c>
      <c r="S268">
        <f ca="1">IF(AND(ISNUMBER($S$671),$B$427=1),$S$671,HLOOKUP(INDIRECT(ADDRESS(2,COLUMN())),OFFSET($AM$2,0,0,ROW()-1,33),ROW()-1,FALSE))</f>
        <v>3.6140510000000001E-3</v>
      </c>
      <c r="T268">
        <f ca="1">IF(AND(ISNUMBER($T$671),$B$427=1),$T$671,HLOOKUP(INDIRECT(ADDRESS(2,COLUMN())),OFFSET($AM$2,0,0,ROW()-1,33),ROW()-1,FALSE))</f>
        <v>6.7084149999999997E-3</v>
      </c>
      <c r="U268">
        <f ca="1">IF(AND(ISNUMBER($U$671),$B$427=1),$U$671,HLOOKUP(INDIRECT(ADDRESS(2,COLUMN())),OFFSET($AM$2,0,0,ROW()-1,33),ROW()-1,FALSE))</f>
        <v>2.5119019999999999E-2</v>
      </c>
      <c r="V268">
        <f ca="1">IF(AND(ISNUMBER($V$671),$B$427=1),$V$671,HLOOKUP(INDIRECT(ADDRESS(2,COLUMN())),OFFSET($AM$2,0,0,ROW()-1,33),ROW()-1,FALSE))</f>
        <v>3.106241E-3</v>
      </c>
      <c r="W268">
        <f ca="1">IF(AND(ISNUMBER($W$671),$B$427=1),$W$671,HLOOKUP(INDIRECT(ADDRESS(2,COLUMN())),OFFSET($AM$2,0,0,ROW()-1,33),ROW()-1,FALSE))</f>
        <v>2.2100399999999999E-4</v>
      </c>
      <c r="X268">
        <f ca="1">IF(AND(ISNUMBER($X$671),$B$427=1),$X$671,HLOOKUP(INDIRECT(ADDRESS(2,COLUMN())),OFFSET($AM$2,0,0,ROW()-1,33),ROW()-1,FALSE))</f>
        <v>2.5173799999999999E-4</v>
      </c>
      <c r="Y268" t="str">
        <f ca="1">IF(AND(ISNUMBER($Y$671),$B$427=1),$Y$671,HLOOKUP(INDIRECT(ADDRESS(2,COLUMN())),OFFSET($AM$2,0,0,ROW()-1,33),ROW()-1,FALSE))</f>
        <v/>
      </c>
      <c r="Z268" t="str">
        <f ca="1">IF(AND(ISNUMBER($Z$671),$B$427=1),$Z$671,HLOOKUP(INDIRECT(ADDRESS(2,COLUMN())),OFFSET($AM$2,0,0,ROW()-1,33),ROW()-1,FALSE))</f>
        <v/>
      </c>
      <c r="AA268" t="str">
        <f ca="1">IF(AND(ISNUMBER($AA$671),$B$427=1),$AA$671,HLOOKUP(INDIRECT(ADDRESS(2,COLUMN())),OFFSET($AM$2,0,0,ROW()-1,33),ROW()-1,FALSE))</f>
        <v/>
      </c>
      <c r="AB268" t="str">
        <f ca="1">IF(AND(ISNUMBER($AB$671),$B$427=1),$AB$671,HLOOKUP(INDIRECT(ADDRESS(2,COLUMN())),OFFSET($AM$2,0,0,ROW()-1,33),ROW()-1,FALSE))</f>
        <v/>
      </c>
      <c r="AC268" t="str">
        <f ca="1">IF(AND(ISNUMBER($AC$671),$B$427=1),$AC$671,HLOOKUP(INDIRECT(ADDRESS(2,COLUMN())),OFFSET($AM$2,0,0,ROW()-1,33),ROW()-1,FALSE))</f>
        <v/>
      </c>
      <c r="AD268" t="str">
        <f ca="1">IF(AND(ISNUMBER($AD$671),$B$427=1),$AD$671,HLOOKUP(INDIRECT(ADDRESS(2,COLUMN())),OFFSET($AM$2,0,0,ROW()-1,33),ROW()-1,FALSE))</f>
        <v/>
      </c>
      <c r="AE268" t="str">
        <f ca="1">IF(AND(ISNUMBER($AE$671),$B$427=1),$AE$671,HLOOKUP(INDIRECT(ADDRESS(2,COLUMN())),OFFSET($AM$2,0,0,ROW()-1,33),ROW()-1,FALSE))</f>
        <v/>
      </c>
      <c r="AF268" t="str">
        <f ca="1">IF(AND(ISNUMBER($AF$671),$B$427=1),$AF$671,HLOOKUP(INDIRECT(ADDRESS(2,COLUMN())),OFFSET($AM$2,0,0,ROW()-1,33),ROW()-1,FALSE))</f>
        <v/>
      </c>
      <c r="AG268" t="str">
        <f ca="1">IF(AND(ISNUMBER($AG$671),$B$427=1),$AG$671,HLOOKUP(INDIRECT(ADDRESS(2,COLUMN())),OFFSET($AM$2,0,0,ROW()-1,33),ROW()-1,FALSE))</f>
        <v/>
      </c>
      <c r="AH268" t="str">
        <f ca="1">IF(AND(ISNUMBER($AH$671),$B$427=1),$AH$671,HLOOKUP(INDIRECT(ADDRESS(2,COLUMN())),OFFSET($AM$2,0,0,ROW()-1,33),ROW()-1,FALSE))</f>
        <v/>
      </c>
      <c r="AI268" t="str">
        <f ca="1">IF(AND(ISNUMBER($AI$671),$B$427=1),$AI$671,HLOOKUP(INDIRECT(ADDRESS(2,COLUMN())),OFFSET($AM$2,0,0,ROW()-1,33),ROW()-1,FALSE))</f>
        <v/>
      </c>
      <c r="AJ268" t="str">
        <f ca="1">IF(AND(ISNUMBER($AJ$671),$B$427=1),$AJ$671,HLOOKUP(INDIRECT(ADDRESS(2,COLUMN())),OFFSET($AM$2,0,0,ROW()-1,33),ROW()-1,FALSE))</f>
        <v/>
      </c>
      <c r="AK268" t="str">
        <f ca="1">IF(AND(ISNUMBER($AK$671),$B$427=1),$AK$671,HLOOKUP(INDIRECT(ADDRESS(2,COLUMN())),OFFSET($AM$2,0,0,ROW()-1,33),ROW()-1,FALSE))</f>
        <v/>
      </c>
      <c r="AL268" t="str">
        <f ca="1">IF(AND(ISNUMBER($AL$671),$B$427=1),$AL$671,HLOOKUP(INDIRECT(ADDRESS(2,COLUMN())),OFFSET($AM$2,0,0,ROW()-1,33),ROW()-1,FALSE))</f>
        <v/>
      </c>
      <c r="AM268">
        <f>0</f>
        <v>0</v>
      </c>
      <c r="AN268">
        <f>0</f>
        <v>0</v>
      </c>
      <c r="AO268">
        <f>0</f>
        <v>0</v>
      </c>
      <c r="AP268">
        <f>0.040988784</f>
        <v>4.0988784E-2</v>
      </c>
      <c r="AQ268">
        <f>0.057725091</f>
        <v>5.7725090999999999E-2</v>
      </c>
      <c r="AR268">
        <f>0.078726049</f>
        <v>7.8726049000000006E-2</v>
      </c>
      <c r="AS268">
        <f>0</f>
        <v>0</v>
      </c>
      <c r="AT268">
        <f>0</f>
        <v>0</v>
      </c>
      <c r="AU268">
        <f>0</f>
        <v>0</v>
      </c>
      <c r="AV268">
        <f>0</f>
        <v>0</v>
      </c>
      <c r="AW268">
        <f>0</f>
        <v>0</v>
      </c>
      <c r="AX268">
        <f>0</f>
        <v>0</v>
      </c>
      <c r="AY268">
        <f>0.001987108</f>
        <v>1.987108E-3</v>
      </c>
      <c r="AZ268">
        <f>0.003614051</f>
        <v>3.6140510000000001E-3</v>
      </c>
      <c r="BA268">
        <f>0.006708415</f>
        <v>6.7084149999999997E-3</v>
      </c>
      <c r="BB268">
        <f>0.02511902</f>
        <v>2.5119019999999999E-2</v>
      </c>
      <c r="BC268">
        <f>0.003106241</f>
        <v>3.106241E-3</v>
      </c>
      <c r="BD268">
        <f>0.000221004</f>
        <v>2.2100399999999999E-4</v>
      </c>
      <c r="BE268">
        <f>0.000251738</f>
        <v>2.5173799999999999E-4</v>
      </c>
      <c r="BF268" t="str">
        <f>""</f>
        <v/>
      </c>
      <c r="BG268" t="str">
        <f>""</f>
        <v/>
      </c>
      <c r="BH268" t="str">
        <f>""</f>
        <v/>
      </c>
      <c r="BI268" t="str">
        <f>""</f>
        <v/>
      </c>
      <c r="BJ268" t="str">
        <f>""</f>
        <v/>
      </c>
      <c r="BK268" t="str">
        <f>""</f>
        <v/>
      </c>
      <c r="BL268" t="str">
        <f>""</f>
        <v/>
      </c>
      <c r="BM268" t="str">
        <f>""</f>
        <v/>
      </c>
      <c r="BN268" t="str">
        <f>""</f>
        <v/>
      </c>
      <c r="BO268" t="str">
        <f>""</f>
        <v/>
      </c>
      <c r="BP268" t="str">
        <f>""</f>
        <v/>
      </c>
      <c r="BQ268" t="str">
        <f>""</f>
        <v/>
      </c>
      <c r="BR268" t="str">
        <f>""</f>
        <v/>
      </c>
      <c r="BS268" t="str">
        <f>""</f>
        <v/>
      </c>
    </row>
    <row r="269" spans="1:71" x14ac:dyDescent="0.25">
      <c r="A269" t="str">
        <f>"        Capital One Financial Corp"</f>
        <v xml:space="preserve">        Capital One Financial Corp</v>
      </c>
      <c r="B269" t="str">
        <f>"COF US Equity"</f>
        <v>COF US Equity</v>
      </c>
      <c r="C269" t="str">
        <f t="shared" si="36"/>
        <v>F0122</v>
      </c>
      <c r="D269" t="str">
        <f t="shared" si="37"/>
        <v>FED_MARGIN_LOANS_%_TOT_LNS_LEAS</v>
      </c>
      <c r="E269" t="str">
        <f t="shared" si="38"/>
        <v>Dynamic</v>
      </c>
      <c r="F269">
        <f ca="1">IF(AND(ISNUMBER($F$672),$B$427=1),$F$672,HLOOKUP(INDIRECT(ADDRESS(2,COLUMN())),OFFSET($AM$2,0,0,ROW()-1,33),ROW()-1,FALSE))</f>
        <v>0</v>
      </c>
      <c r="G269">
        <f ca="1">IF(AND(ISNUMBER($G$672),$B$427=1),$G$672,HLOOKUP(INDIRECT(ADDRESS(2,COLUMN())),OFFSET($AM$2,0,0,ROW()-1,33),ROW()-1,FALSE))</f>
        <v>2.1252607E-2</v>
      </c>
      <c r="H269">
        <f ca="1">IF(AND(ISNUMBER($H$672),$B$427=1),$H$672,HLOOKUP(INDIRECT(ADDRESS(2,COLUMN())),OFFSET($AM$2,0,0,ROW()-1,33),ROW()-1,FALSE))</f>
        <v>4.0788628E-2</v>
      </c>
      <c r="I269">
        <f ca="1">IF(AND(ISNUMBER($I$672),$B$427=1),$I$672,HLOOKUP(INDIRECT(ADDRESS(2,COLUMN())),OFFSET($AM$2,0,0,ROW()-1,33),ROW()-1,FALSE))</f>
        <v>2.5678659999999999E-2</v>
      </c>
      <c r="J269">
        <f ca="1">IF(AND(ISNUMBER($J$672),$B$427=1),$J$672,HLOOKUP(INDIRECT(ADDRESS(2,COLUMN())),OFFSET($AM$2,0,0,ROW()-1,33),ROW()-1,FALSE))</f>
        <v>1.9163396999999999E-2</v>
      </c>
      <c r="K269">
        <f ca="1">IF(AND(ISNUMBER($K$672),$B$427=1),$K$672,HLOOKUP(INDIRECT(ADDRESS(2,COLUMN())),OFFSET($AM$2,0,0,ROW()-1,33),ROW()-1,FALSE))</f>
        <v>1.9152617E-2</v>
      </c>
      <c r="L269">
        <f ca="1">IF(AND(ISNUMBER($L$672),$B$427=1),$L$672,HLOOKUP(INDIRECT(ADDRESS(2,COLUMN())),OFFSET($AM$2,0,0,ROW()-1,33),ROW()-1,FALSE))</f>
        <v>2.0956268E-2</v>
      </c>
      <c r="M269">
        <f ca="1">IF(AND(ISNUMBER($M$672),$B$427=1),$M$672,HLOOKUP(INDIRECT(ADDRESS(2,COLUMN())),OFFSET($AM$2,0,0,ROW()-1,33),ROW()-1,FALSE))</f>
        <v>0.10197687900000001</v>
      </c>
      <c r="N269">
        <f ca="1">IF(AND(ISNUMBER($N$672),$B$427=1),$N$672,HLOOKUP(INDIRECT(ADDRESS(2,COLUMN())),OFFSET($AM$2,0,0,ROW()-1,33),ROW()-1,FALSE))</f>
        <v>0.106382949</v>
      </c>
      <c r="O269">
        <f ca="1">IF(AND(ISNUMBER($O$672),$B$427=1),$O$672,HLOOKUP(INDIRECT(ADDRESS(2,COLUMN())),OFFSET($AM$2,0,0,ROW()-1,33),ROW()-1,FALSE))</f>
        <v>0.125228274</v>
      </c>
      <c r="P269">
        <f ca="1">IF(AND(ISNUMBER($P$672),$B$427=1),$P$672,HLOOKUP(INDIRECT(ADDRESS(2,COLUMN())),OFFSET($AM$2,0,0,ROW()-1,33),ROW()-1,FALSE))</f>
        <v>0.129230909</v>
      </c>
      <c r="Q269">
        <f ca="1">IF(AND(ISNUMBER($Q$672),$B$427=1),$Q$672,HLOOKUP(INDIRECT(ADDRESS(2,COLUMN())),OFFSET($AM$2,0,0,ROW()-1,33),ROW()-1,FALSE))</f>
        <v>0.121409824</v>
      </c>
      <c r="R269">
        <f ca="1">IF(AND(ISNUMBER($R$672),$B$427=1),$R$672,HLOOKUP(INDIRECT(ADDRESS(2,COLUMN())),OFFSET($AM$2,0,0,ROW()-1,33),ROW()-1,FALSE))</f>
        <v>0.11181896500000001</v>
      </c>
      <c r="S269">
        <f ca="1">IF(AND(ISNUMBER($S$672),$B$427=1),$S$672,HLOOKUP(INDIRECT(ADDRESS(2,COLUMN())),OFFSET($AM$2,0,0,ROW()-1,33),ROW()-1,FALSE))</f>
        <v>8.4247647999999994E-2</v>
      </c>
      <c r="T269">
        <f ca="1">IF(AND(ISNUMBER($T$672),$B$427=1),$T$672,HLOOKUP(INDIRECT(ADDRESS(2,COLUMN())),OFFSET($AM$2,0,0,ROW()-1,33),ROW()-1,FALSE))</f>
        <v>4.0206906000000001E-2</v>
      </c>
      <c r="U269">
        <f ca="1">IF(AND(ISNUMBER($U$672),$B$427=1),$U$672,HLOOKUP(INDIRECT(ADDRESS(2,COLUMN())),OFFSET($AM$2,0,0,ROW()-1,33),ROW()-1,FALSE))</f>
        <v>7.3519818000000001E-2</v>
      </c>
      <c r="V269">
        <f ca="1">IF(AND(ISNUMBER($V$672),$B$427=1),$V$672,HLOOKUP(INDIRECT(ADDRESS(2,COLUMN())),OFFSET($AM$2,0,0,ROW()-1,33),ROW()-1,FALSE))</f>
        <v>4.9375535999999998E-2</v>
      </c>
      <c r="W269">
        <f ca="1">IF(AND(ISNUMBER($W$672),$B$427=1),$W$672,HLOOKUP(INDIRECT(ADDRESS(2,COLUMN())),OFFSET($AM$2,0,0,ROW()-1,33),ROW()-1,FALSE))</f>
        <v>3.5059312000000002E-2</v>
      </c>
      <c r="X269">
        <f ca="1">IF(AND(ISNUMBER($X$672),$B$427=1),$X$672,HLOOKUP(INDIRECT(ADDRESS(2,COLUMN())),OFFSET($AM$2,0,0,ROW()-1,33),ROW()-1,FALSE))</f>
        <v>3.2939872000000002E-2</v>
      </c>
      <c r="Y269" t="str">
        <f ca="1">IF(AND(ISNUMBER($Y$672),$B$427=1),$Y$672,HLOOKUP(INDIRECT(ADDRESS(2,COLUMN())),OFFSET($AM$2,0,0,ROW()-1,33),ROW()-1,FALSE))</f>
        <v/>
      </c>
      <c r="Z269" t="str">
        <f ca="1">IF(AND(ISNUMBER($Z$672),$B$427=1),$Z$672,HLOOKUP(INDIRECT(ADDRESS(2,COLUMN())),OFFSET($AM$2,0,0,ROW()-1,33),ROW()-1,FALSE))</f>
        <v/>
      </c>
      <c r="AA269" t="str">
        <f ca="1">IF(AND(ISNUMBER($AA$672),$B$427=1),$AA$672,HLOOKUP(INDIRECT(ADDRESS(2,COLUMN())),OFFSET($AM$2,0,0,ROW()-1,33),ROW()-1,FALSE))</f>
        <v/>
      </c>
      <c r="AB269" t="str">
        <f ca="1">IF(AND(ISNUMBER($AB$672),$B$427=1),$AB$672,HLOOKUP(INDIRECT(ADDRESS(2,COLUMN())),OFFSET($AM$2,0,0,ROW()-1,33),ROW()-1,FALSE))</f>
        <v/>
      </c>
      <c r="AC269" t="str">
        <f ca="1">IF(AND(ISNUMBER($AC$672),$B$427=1),$AC$672,HLOOKUP(INDIRECT(ADDRESS(2,COLUMN())),OFFSET($AM$2,0,0,ROW()-1,33),ROW()-1,FALSE))</f>
        <v/>
      </c>
      <c r="AD269" t="str">
        <f ca="1">IF(AND(ISNUMBER($AD$672),$B$427=1),$AD$672,HLOOKUP(INDIRECT(ADDRESS(2,COLUMN())),OFFSET($AM$2,0,0,ROW()-1,33),ROW()-1,FALSE))</f>
        <v/>
      </c>
      <c r="AE269" t="str">
        <f ca="1">IF(AND(ISNUMBER($AE$672),$B$427=1),$AE$672,HLOOKUP(INDIRECT(ADDRESS(2,COLUMN())),OFFSET($AM$2,0,0,ROW()-1,33),ROW()-1,FALSE))</f>
        <v/>
      </c>
      <c r="AF269" t="str">
        <f ca="1">IF(AND(ISNUMBER($AF$672),$B$427=1),$AF$672,HLOOKUP(INDIRECT(ADDRESS(2,COLUMN())),OFFSET($AM$2,0,0,ROW()-1,33),ROW()-1,FALSE))</f>
        <v/>
      </c>
      <c r="AG269" t="str">
        <f ca="1">IF(AND(ISNUMBER($AG$672),$B$427=1),$AG$672,HLOOKUP(INDIRECT(ADDRESS(2,COLUMN())),OFFSET($AM$2,0,0,ROW()-1,33),ROW()-1,FALSE))</f>
        <v/>
      </c>
      <c r="AH269" t="str">
        <f ca="1">IF(AND(ISNUMBER($AH$672),$B$427=1),$AH$672,HLOOKUP(INDIRECT(ADDRESS(2,COLUMN())),OFFSET($AM$2,0,0,ROW()-1,33),ROW()-1,FALSE))</f>
        <v/>
      </c>
      <c r="AI269" t="str">
        <f ca="1">IF(AND(ISNUMBER($AI$672),$B$427=1),$AI$672,HLOOKUP(INDIRECT(ADDRESS(2,COLUMN())),OFFSET($AM$2,0,0,ROW()-1,33),ROW()-1,FALSE))</f>
        <v/>
      </c>
      <c r="AJ269" t="str">
        <f ca="1">IF(AND(ISNUMBER($AJ$672),$B$427=1),$AJ$672,HLOOKUP(INDIRECT(ADDRESS(2,COLUMN())),OFFSET($AM$2,0,0,ROW()-1,33),ROW()-1,FALSE))</f>
        <v/>
      </c>
      <c r="AK269" t="str">
        <f ca="1">IF(AND(ISNUMBER($AK$672),$B$427=1),$AK$672,HLOOKUP(INDIRECT(ADDRESS(2,COLUMN())),OFFSET($AM$2,0,0,ROW()-1,33),ROW()-1,FALSE))</f>
        <v/>
      </c>
      <c r="AL269" t="str">
        <f ca="1">IF(AND(ISNUMBER($AL$672),$B$427=1),$AL$672,HLOOKUP(INDIRECT(ADDRESS(2,COLUMN())),OFFSET($AM$2,0,0,ROW()-1,33),ROW()-1,FALSE))</f>
        <v/>
      </c>
      <c r="AM269">
        <f>0</f>
        <v>0</v>
      </c>
      <c r="AN269">
        <f>0.021252607</f>
        <v>2.1252607E-2</v>
      </c>
      <c r="AO269">
        <f>0.040788628</f>
        <v>4.0788628E-2</v>
      </c>
      <c r="AP269">
        <f>0.02567866</f>
        <v>2.5678659999999999E-2</v>
      </c>
      <c r="AQ269">
        <f>0.019163397</f>
        <v>1.9163396999999999E-2</v>
      </c>
      <c r="AR269">
        <f>0.019152617</f>
        <v>1.9152617E-2</v>
      </c>
      <c r="AS269">
        <f>0.020956268</f>
        <v>2.0956268E-2</v>
      </c>
      <c r="AT269">
        <f>0.101976879</f>
        <v>0.10197687900000001</v>
      </c>
      <c r="AU269">
        <f>0.106382949</f>
        <v>0.106382949</v>
      </c>
      <c r="AV269">
        <f>0.125228274</f>
        <v>0.125228274</v>
      </c>
      <c r="AW269">
        <f>0.129230909</f>
        <v>0.129230909</v>
      </c>
      <c r="AX269">
        <f>0.121409824</f>
        <v>0.121409824</v>
      </c>
      <c r="AY269">
        <f>0.111818965</f>
        <v>0.11181896500000001</v>
      </c>
      <c r="AZ269">
        <f>0.084247648</f>
        <v>8.4247647999999994E-2</v>
      </c>
      <c r="BA269">
        <f>0.040206906</f>
        <v>4.0206906000000001E-2</v>
      </c>
      <c r="BB269">
        <f>0.073519818</f>
        <v>7.3519818000000001E-2</v>
      </c>
      <c r="BC269">
        <f>0.049375536</f>
        <v>4.9375535999999998E-2</v>
      </c>
      <c r="BD269">
        <f>0.035059312</f>
        <v>3.5059312000000002E-2</v>
      </c>
      <c r="BE269">
        <f>0.032939872</f>
        <v>3.2939872000000002E-2</v>
      </c>
      <c r="BF269" t="str">
        <f>""</f>
        <v/>
      </c>
      <c r="BG269" t="str">
        <f>""</f>
        <v/>
      </c>
      <c r="BH269" t="str">
        <f>""</f>
        <v/>
      </c>
      <c r="BI269" t="str">
        <f>""</f>
        <v/>
      </c>
      <c r="BJ269" t="str">
        <f>""</f>
        <v/>
      </c>
      <c r="BK269" t="str">
        <f>""</f>
        <v/>
      </c>
      <c r="BL269" t="str">
        <f>""</f>
        <v/>
      </c>
      <c r="BM269" t="str">
        <f>""</f>
        <v/>
      </c>
      <c r="BN269" t="str">
        <f>""</f>
        <v/>
      </c>
      <c r="BO269" t="str">
        <f>""</f>
        <v/>
      </c>
      <c r="BP269" t="str">
        <f>""</f>
        <v/>
      </c>
      <c r="BQ269" t="str">
        <f>""</f>
        <v/>
      </c>
      <c r="BR269" t="str">
        <f>""</f>
        <v/>
      </c>
      <c r="BS269" t="str">
        <f>""</f>
        <v/>
      </c>
    </row>
    <row r="270" spans="1:71" x14ac:dyDescent="0.25">
      <c r="A270" t="str">
        <f>"        Comerica Inc"</f>
        <v xml:space="preserve">        Comerica Inc</v>
      </c>
      <c r="B270" t="str">
        <f>"CMA US Equity"</f>
        <v>CMA US Equity</v>
      </c>
      <c r="C270" t="str">
        <f t="shared" si="36"/>
        <v>F0122</v>
      </c>
      <c r="D270" t="str">
        <f t="shared" si="37"/>
        <v>FED_MARGIN_LOANS_%_TOT_LNS_LEAS</v>
      </c>
      <c r="E270" t="str">
        <f t="shared" si="38"/>
        <v>Dynamic</v>
      </c>
      <c r="F270" t="str">
        <f ca="1">IF(AND(ISNUMBER($F$673),$B$427=1),$F$673,HLOOKUP(INDIRECT(ADDRESS(2,COLUMN())),OFFSET($AM$2,0,0,ROW()-1,33),ROW()-1,FALSE))</f>
        <v/>
      </c>
      <c r="G270">
        <f ca="1">IF(AND(ISNUMBER($G$673),$B$427=1),$G$673,HLOOKUP(INDIRECT(ADDRESS(2,COLUMN())),OFFSET($AM$2,0,0,ROW()-1,33),ROW()-1,FALSE))</f>
        <v>3.8208042999999997E-2</v>
      </c>
      <c r="H270">
        <f ca="1">IF(AND(ISNUMBER($H$673),$B$427=1),$H$673,HLOOKUP(INDIRECT(ADDRESS(2,COLUMN())),OFFSET($AM$2,0,0,ROW()-1,33),ROW()-1,FALSE))</f>
        <v>6.3666835000000005E-2</v>
      </c>
      <c r="I270">
        <f ca="1">IF(AND(ISNUMBER($I$673),$B$427=1),$I$673,HLOOKUP(INDIRECT(ADDRESS(2,COLUMN())),OFFSET($AM$2,0,0,ROW()-1,33),ROW()-1,FALSE))</f>
        <v>1.0143839999999999E-2</v>
      </c>
      <c r="J270">
        <f ca="1">IF(AND(ISNUMBER($J$673),$B$427=1),$J$673,HLOOKUP(INDIRECT(ADDRESS(2,COLUMN())),OFFSET($AM$2,0,0,ROW()-1,33),ROW()-1,FALSE))</f>
        <v>1.7209729E-2</v>
      </c>
      <c r="K270">
        <f ca="1">IF(AND(ISNUMBER($K$673),$B$427=1),$K$673,HLOOKUP(INDIRECT(ADDRESS(2,COLUMN())),OFFSET($AM$2,0,0,ROW()-1,33),ROW()-1,FALSE))</f>
        <v>2.1835795000000002E-2</v>
      </c>
      <c r="L270">
        <f ca="1">IF(AND(ISNUMBER($L$673),$B$427=1),$L$673,HLOOKUP(INDIRECT(ADDRESS(2,COLUMN())),OFFSET($AM$2,0,0,ROW()-1,33),ROW()-1,FALSE))</f>
        <v>0</v>
      </c>
      <c r="M270">
        <f ca="1">IF(AND(ISNUMBER($M$673),$B$427=1),$M$673,HLOOKUP(INDIRECT(ADDRESS(2,COLUMN())),OFFSET($AM$2,0,0,ROW()-1,33),ROW()-1,FALSE))</f>
        <v>0</v>
      </c>
      <c r="N270">
        <f ca="1">IF(AND(ISNUMBER($N$673),$B$427=1),$N$673,HLOOKUP(INDIRECT(ADDRESS(2,COLUMN())),OFFSET($AM$2,0,0,ROW()-1,33),ROW()-1,FALSE))</f>
        <v>4.8012760000000002E-3</v>
      </c>
      <c r="O270">
        <f ca="1">IF(AND(ISNUMBER($O$673),$B$427=1),$O$673,HLOOKUP(INDIRECT(ADDRESS(2,COLUMN())),OFFSET($AM$2,0,0,ROW()-1,33),ROW()-1,FALSE))</f>
        <v>1.0263885E-2</v>
      </c>
      <c r="P270">
        <f ca="1">IF(AND(ISNUMBER($P$673),$B$427=1),$P$673,HLOOKUP(INDIRECT(ADDRESS(2,COLUMN())),OFFSET($AM$2,0,0,ROW()-1,33),ROW()-1,FALSE))</f>
        <v>1.1317442E-2</v>
      </c>
      <c r="Q270">
        <f ca="1">IF(AND(ISNUMBER($Q$673),$B$427=1),$Q$673,HLOOKUP(INDIRECT(ADDRESS(2,COLUMN())),OFFSET($AM$2,0,0,ROW()-1,33),ROW()-1,FALSE))</f>
        <v>1.220482E-2</v>
      </c>
      <c r="R270">
        <f ca="1">IF(AND(ISNUMBER($R$673),$B$427=1),$R$673,HLOOKUP(INDIRECT(ADDRESS(2,COLUMN())),OFFSET($AM$2,0,0,ROW()-1,33),ROW()-1,FALSE))</f>
        <v>1.2160364E-2</v>
      </c>
      <c r="S270">
        <f ca="1">IF(AND(ISNUMBER($S$673),$B$427=1),$S$673,HLOOKUP(INDIRECT(ADDRESS(2,COLUMN())),OFFSET($AM$2,0,0,ROW()-1,33),ROW()-1,FALSE))</f>
        <v>1.3925498999999999E-2</v>
      </c>
      <c r="T270">
        <f ca="1">IF(AND(ISNUMBER($T$673),$B$427=1),$T$673,HLOOKUP(INDIRECT(ADDRESS(2,COLUMN())),OFFSET($AM$2,0,0,ROW()-1,33),ROW()-1,FALSE))</f>
        <v>3.1839417000000002E-2</v>
      </c>
      <c r="U270">
        <f ca="1">IF(AND(ISNUMBER($U$673),$B$427=1),$U$673,HLOOKUP(INDIRECT(ADDRESS(2,COLUMN())),OFFSET($AM$2,0,0,ROW()-1,33),ROW()-1,FALSE))</f>
        <v>5.9455237000000001E-2</v>
      </c>
      <c r="V270">
        <f ca="1">IF(AND(ISNUMBER($V$673),$B$427=1),$V$673,HLOOKUP(INDIRECT(ADDRESS(2,COLUMN())),OFFSET($AM$2,0,0,ROW()-1,33),ROW()-1,FALSE))</f>
        <v>6.7360612E-2</v>
      </c>
      <c r="W270">
        <f ca="1">IF(AND(ISNUMBER($W$673),$B$427=1),$W$673,HLOOKUP(INDIRECT(ADDRESS(2,COLUMN())),OFFSET($AM$2,0,0,ROW()-1,33),ROW()-1,FALSE))</f>
        <v>0.21482567799999999</v>
      </c>
      <c r="X270">
        <f ca="1">IF(AND(ISNUMBER($X$673),$B$427=1),$X$673,HLOOKUP(INDIRECT(ADDRESS(2,COLUMN())),OFFSET($AM$2,0,0,ROW()-1,33),ROW()-1,FALSE))</f>
        <v>0</v>
      </c>
      <c r="Y270" t="str">
        <f ca="1">IF(AND(ISNUMBER($Y$673),$B$427=1),$Y$673,HLOOKUP(INDIRECT(ADDRESS(2,COLUMN())),OFFSET($AM$2,0,0,ROW()-1,33),ROW()-1,FALSE))</f>
        <v/>
      </c>
      <c r="Z270" t="str">
        <f ca="1">IF(AND(ISNUMBER($Z$673),$B$427=1),$Z$673,HLOOKUP(INDIRECT(ADDRESS(2,COLUMN())),OFFSET($AM$2,0,0,ROW()-1,33),ROW()-1,FALSE))</f>
        <v/>
      </c>
      <c r="AA270" t="str">
        <f ca="1">IF(AND(ISNUMBER($AA$673),$B$427=1),$AA$673,HLOOKUP(INDIRECT(ADDRESS(2,COLUMN())),OFFSET($AM$2,0,0,ROW()-1,33),ROW()-1,FALSE))</f>
        <v/>
      </c>
      <c r="AB270" t="str">
        <f ca="1">IF(AND(ISNUMBER($AB$673),$B$427=1),$AB$673,HLOOKUP(INDIRECT(ADDRESS(2,COLUMN())),OFFSET($AM$2,0,0,ROW()-1,33),ROW()-1,FALSE))</f>
        <v/>
      </c>
      <c r="AC270" t="str">
        <f ca="1">IF(AND(ISNUMBER($AC$673),$B$427=1),$AC$673,HLOOKUP(INDIRECT(ADDRESS(2,COLUMN())),OFFSET($AM$2,0,0,ROW()-1,33),ROW()-1,FALSE))</f>
        <v/>
      </c>
      <c r="AD270" t="str">
        <f ca="1">IF(AND(ISNUMBER($AD$673),$B$427=1),$AD$673,HLOOKUP(INDIRECT(ADDRESS(2,COLUMN())),OFFSET($AM$2,0,0,ROW()-1,33),ROW()-1,FALSE))</f>
        <v/>
      </c>
      <c r="AE270" t="str">
        <f ca="1">IF(AND(ISNUMBER($AE$673),$B$427=1),$AE$673,HLOOKUP(INDIRECT(ADDRESS(2,COLUMN())),OFFSET($AM$2,0,0,ROW()-1,33),ROW()-1,FALSE))</f>
        <v/>
      </c>
      <c r="AF270" t="str">
        <f ca="1">IF(AND(ISNUMBER($AF$673),$B$427=1),$AF$673,HLOOKUP(INDIRECT(ADDRESS(2,COLUMN())),OFFSET($AM$2,0,0,ROW()-1,33),ROW()-1,FALSE))</f>
        <v/>
      </c>
      <c r="AG270" t="str">
        <f ca="1">IF(AND(ISNUMBER($AG$673),$B$427=1),$AG$673,HLOOKUP(INDIRECT(ADDRESS(2,COLUMN())),OFFSET($AM$2,0,0,ROW()-1,33),ROW()-1,FALSE))</f>
        <v/>
      </c>
      <c r="AH270" t="str">
        <f ca="1">IF(AND(ISNUMBER($AH$673),$B$427=1),$AH$673,HLOOKUP(INDIRECT(ADDRESS(2,COLUMN())),OFFSET($AM$2,0,0,ROW()-1,33),ROW()-1,FALSE))</f>
        <v/>
      </c>
      <c r="AI270" t="str">
        <f ca="1">IF(AND(ISNUMBER($AI$673),$B$427=1),$AI$673,HLOOKUP(INDIRECT(ADDRESS(2,COLUMN())),OFFSET($AM$2,0,0,ROW()-1,33),ROW()-1,FALSE))</f>
        <v/>
      </c>
      <c r="AJ270" t="str">
        <f ca="1">IF(AND(ISNUMBER($AJ$673),$B$427=1),$AJ$673,HLOOKUP(INDIRECT(ADDRESS(2,COLUMN())),OFFSET($AM$2,0,0,ROW()-1,33),ROW()-1,FALSE))</f>
        <v/>
      </c>
      <c r="AK270" t="str">
        <f ca="1">IF(AND(ISNUMBER($AK$673),$B$427=1),$AK$673,HLOOKUP(INDIRECT(ADDRESS(2,COLUMN())),OFFSET($AM$2,0,0,ROW()-1,33),ROW()-1,FALSE))</f>
        <v/>
      </c>
      <c r="AL270" t="str">
        <f ca="1">IF(AND(ISNUMBER($AL$673),$B$427=1),$AL$673,HLOOKUP(INDIRECT(ADDRESS(2,COLUMN())),OFFSET($AM$2,0,0,ROW()-1,33),ROW()-1,FALSE))</f>
        <v/>
      </c>
      <c r="AM270" t="str">
        <f>""</f>
        <v/>
      </c>
      <c r="AN270">
        <f>0.038208043</f>
        <v>3.8208042999999997E-2</v>
      </c>
      <c r="AO270">
        <f>0.063666835</f>
        <v>6.3666835000000005E-2</v>
      </c>
      <c r="AP270">
        <f>0.01014384</f>
        <v>1.0143839999999999E-2</v>
      </c>
      <c r="AQ270">
        <f>0.017209729</f>
        <v>1.7209729E-2</v>
      </c>
      <c r="AR270">
        <f>0.021835795</f>
        <v>2.1835795000000002E-2</v>
      </c>
      <c r="AS270">
        <f>0</f>
        <v>0</v>
      </c>
      <c r="AT270">
        <f>0</f>
        <v>0</v>
      </c>
      <c r="AU270">
        <f>0.004801276</f>
        <v>4.8012760000000002E-3</v>
      </c>
      <c r="AV270">
        <f>0.010263885</f>
        <v>1.0263885E-2</v>
      </c>
      <c r="AW270">
        <f>0.011317442</f>
        <v>1.1317442E-2</v>
      </c>
      <c r="AX270">
        <f>0.01220482</f>
        <v>1.220482E-2</v>
      </c>
      <c r="AY270">
        <f>0.012160364</f>
        <v>1.2160364E-2</v>
      </c>
      <c r="AZ270">
        <f>0.013925499</f>
        <v>1.3925498999999999E-2</v>
      </c>
      <c r="BA270">
        <f>0.031839417</f>
        <v>3.1839417000000002E-2</v>
      </c>
      <c r="BB270">
        <f>0.059455237</f>
        <v>5.9455237000000001E-2</v>
      </c>
      <c r="BC270">
        <f>0.067360612</f>
        <v>6.7360612E-2</v>
      </c>
      <c r="BD270">
        <f>0.214825678</f>
        <v>0.21482567799999999</v>
      </c>
      <c r="BE270">
        <f>0</f>
        <v>0</v>
      </c>
      <c r="BF270" t="str">
        <f>""</f>
        <v/>
      </c>
      <c r="BG270" t="str">
        <f>""</f>
        <v/>
      </c>
      <c r="BH270" t="str">
        <f>""</f>
        <v/>
      </c>
      <c r="BI270" t="str">
        <f>""</f>
        <v/>
      </c>
      <c r="BJ270" t="str">
        <f>""</f>
        <v/>
      </c>
      <c r="BK270" t="str">
        <f>""</f>
        <v/>
      </c>
      <c r="BL270" t="str">
        <f>""</f>
        <v/>
      </c>
      <c r="BM270" t="str">
        <f>""</f>
        <v/>
      </c>
      <c r="BN270" t="str">
        <f>""</f>
        <v/>
      </c>
      <c r="BO270" t="str">
        <f>""</f>
        <v/>
      </c>
      <c r="BP270" t="str">
        <f>""</f>
        <v/>
      </c>
      <c r="BQ270" t="str">
        <f>""</f>
        <v/>
      </c>
      <c r="BR270" t="str">
        <f>""</f>
        <v/>
      </c>
      <c r="BS270" t="str">
        <f>""</f>
        <v/>
      </c>
    </row>
    <row r="271" spans="1:71" x14ac:dyDescent="0.25">
      <c r="A271" t="str">
        <f>"        East West Bancorp Inc"</f>
        <v xml:space="preserve">        East West Bancorp Inc</v>
      </c>
      <c r="B271" t="str">
        <f>"EWBC US Equity"</f>
        <v>EWBC US Equity</v>
      </c>
      <c r="C271" t="str">
        <f t="shared" si="36"/>
        <v>F0122</v>
      </c>
      <c r="D271" t="str">
        <f t="shared" si="37"/>
        <v>FED_MARGIN_LOANS_%_TOT_LNS_LEAS</v>
      </c>
      <c r="E271" t="str">
        <f t="shared" si="38"/>
        <v>Dynamic</v>
      </c>
      <c r="F271" t="str">
        <f ca="1">IF(AND(ISNUMBER($F$674),$B$427=1),$F$674,HLOOKUP(INDIRECT(ADDRESS(2,COLUMN())),OFFSET($AM$2,0,0,ROW()-1,33),ROW()-1,FALSE))</f>
        <v/>
      </c>
      <c r="G271">
        <f ca="1">IF(AND(ISNUMBER($G$674),$B$427=1),$G$674,HLOOKUP(INDIRECT(ADDRESS(2,COLUMN())),OFFSET($AM$2,0,0,ROW()-1,33),ROW()-1,FALSE))</f>
        <v>0.262876153</v>
      </c>
      <c r="H271">
        <f ca="1">IF(AND(ISNUMBER($H$674),$B$427=1),$H$674,HLOOKUP(INDIRECT(ADDRESS(2,COLUMN())),OFFSET($AM$2,0,0,ROW()-1,33),ROW()-1,FALSE))</f>
        <v>0.45265187699999998</v>
      </c>
      <c r="I271">
        <f ca="1">IF(AND(ISNUMBER($I$674),$B$427=1),$I$674,HLOOKUP(INDIRECT(ADDRESS(2,COLUMN())),OFFSET($AM$2,0,0,ROW()-1,33),ROW()-1,FALSE))</f>
        <v>0.41490491400000001</v>
      </c>
      <c r="J271">
        <f ca="1">IF(AND(ISNUMBER($J$674),$B$427=1),$J$674,HLOOKUP(INDIRECT(ADDRESS(2,COLUMN())),OFFSET($AM$2,0,0,ROW()-1,33),ROW()-1,FALSE))</f>
        <v>3.1959480999999998E-2</v>
      </c>
      <c r="K271">
        <f ca="1">IF(AND(ISNUMBER($K$674),$B$427=1),$K$674,HLOOKUP(INDIRECT(ADDRESS(2,COLUMN())),OFFSET($AM$2,0,0,ROW()-1,33),ROW()-1,FALSE))</f>
        <v>8.5103146000000005E-2</v>
      </c>
      <c r="L271">
        <f ca="1">IF(AND(ISNUMBER($L$674),$B$427=1),$L$674,HLOOKUP(INDIRECT(ADDRESS(2,COLUMN())),OFFSET($AM$2,0,0,ROW()-1,33),ROW()-1,FALSE))</f>
        <v>8.6453855999999996E-2</v>
      </c>
      <c r="M271">
        <f ca="1">IF(AND(ISNUMBER($M$674),$B$427=1),$M$674,HLOOKUP(INDIRECT(ADDRESS(2,COLUMN())),OFFSET($AM$2,0,0,ROW()-1,33),ROW()-1,FALSE))</f>
        <v>2.8192063E-2</v>
      </c>
      <c r="N271">
        <f ca="1">IF(AND(ISNUMBER($N$674),$B$427=1),$N$674,HLOOKUP(INDIRECT(ADDRESS(2,COLUMN())),OFFSET($AM$2,0,0,ROW()-1,33),ROW()-1,FALSE))</f>
        <v>0</v>
      </c>
      <c r="O271">
        <f ca="1">IF(AND(ISNUMBER($O$674),$B$427=1),$O$674,HLOOKUP(INDIRECT(ADDRESS(2,COLUMN())),OFFSET($AM$2,0,0,ROW()-1,33),ROW()-1,FALSE))</f>
        <v>0</v>
      </c>
      <c r="P271">
        <f ca="1">IF(AND(ISNUMBER($P$674),$B$427=1),$P$674,HLOOKUP(INDIRECT(ADDRESS(2,COLUMN())),OFFSET($AM$2,0,0,ROW()-1,33),ROW()-1,FALSE))</f>
        <v>0</v>
      </c>
      <c r="Q271">
        <f ca="1">IF(AND(ISNUMBER($Q$674),$B$427=1),$Q$674,HLOOKUP(INDIRECT(ADDRESS(2,COLUMN())),OFFSET($AM$2,0,0,ROW()-1,33),ROW()-1,FALSE))</f>
        <v>0</v>
      </c>
      <c r="R271">
        <f ca="1">IF(AND(ISNUMBER($R$674),$B$427=1),$R$674,HLOOKUP(INDIRECT(ADDRESS(2,COLUMN())),OFFSET($AM$2,0,0,ROW()-1,33),ROW()-1,FALSE))</f>
        <v>0</v>
      </c>
      <c r="S271">
        <f ca="1">IF(AND(ISNUMBER($S$674),$B$427=1),$S$674,HLOOKUP(INDIRECT(ADDRESS(2,COLUMN())),OFFSET($AM$2,0,0,ROW()-1,33),ROW()-1,FALSE))</f>
        <v>0</v>
      </c>
      <c r="T271">
        <f ca="1">IF(AND(ISNUMBER($T$674),$B$427=1),$T$674,HLOOKUP(INDIRECT(ADDRESS(2,COLUMN())),OFFSET($AM$2,0,0,ROW()-1,33),ROW()-1,FALSE))</f>
        <v>0</v>
      </c>
      <c r="U271">
        <f ca="1">IF(AND(ISNUMBER($U$674),$B$427=1),$U$674,HLOOKUP(INDIRECT(ADDRESS(2,COLUMN())),OFFSET($AM$2,0,0,ROW()-1,33),ROW()-1,FALSE))</f>
        <v>0</v>
      </c>
      <c r="V271">
        <f ca="1">IF(AND(ISNUMBER($V$674),$B$427=1),$V$674,HLOOKUP(INDIRECT(ADDRESS(2,COLUMN())),OFFSET($AM$2,0,0,ROW()-1,33),ROW()-1,FALSE))</f>
        <v>0</v>
      </c>
      <c r="W271">
        <f ca="1">IF(AND(ISNUMBER($W$674),$B$427=1),$W$674,HLOOKUP(INDIRECT(ADDRESS(2,COLUMN())),OFFSET($AM$2,0,0,ROW()-1,33),ROW()-1,FALSE))</f>
        <v>0</v>
      </c>
      <c r="X271">
        <f ca="1">IF(AND(ISNUMBER($X$674),$B$427=1),$X$674,HLOOKUP(INDIRECT(ADDRESS(2,COLUMN())),OFFSET($AM$2,0,0,ROW()-1,33),ROW()-1,FALSE))</f>
        <v>0</v>
      </c>
      <c r="Y271" t="str">
        <f ca="1">IF(AND(ISNUMBER($Y$674),$B$427=1),$Y$674,HLOOKUP(INDIRECT(ADDRESS(2,COLUMN())),OFFSET($AM$2,0,0,ROW()-1,33),ROW()-1,FALSE))</f>
        <v/>
      </c>
      <c r="Z271" t="str">
        <f ca="1">IF(AND(ISNUMBER($Z$674),$B$427=1),$Z$674,HLOOKUP(INDIRECT(ADDRESS(2,COLUMN())),OFFSET($AM$2,0,0,ROW()-1,33),ROW()-1,FALSE))</f>
        <v/>
      </c>
      <c r="AA271" t="str">
        <f ca="1">IF(AND(ISNUMBER($AA$674),$B$427=1),$AA$674,HLOOKUP(INDIRECT(ADDRESS(2,COLUMN())),OFFSET($AM$2,0,0,ROW()-1,33),ROW()-1,FALSE))</f>
        <v/>
      </c>
      <c r="AB271" t="str">
        <f ca="1">IF(AND(ISNUMBER($AB$674),$B$427=1),$AB$674,HLOOKUP(INDIRECT(ADDRESS(2,COLUMN())),OFFSET($AM$2,0,0,ROW()-1,33),ROW()-1,FALSE))</f>
        <v/>
      </c>
      <c r="AC271" t="str">
        <f ca="1">IF(AND(ISNUMBER($AC$674),$B$427=1),$AC$674,HLOOKUP(INDIRECT(ADDRESS(2,COLUMN())),OFFSET($AM$2,0,0,ROW()-1,33),ROW()-1,FALSE))</f>
        <v/>
      </c>
      <c r="AD271" t="str">
        <f ca="1">IF(AND(ISNUMBER($AD$674),$B$427=1),$AD$674,HLOOKUP(INDIRECT(ADDRESS(2,COLUMN())),OFFSET($AM$2,0,0,ROW()-1,33),ROW()-1,FALSE))</f>
        <v/>
      </c>
      <c r="AE271" t="str">
        <f ca="1">IF(AND(ISNUMBER($AE$674),$B$427=1),$AE$674,HLOOKUP(INDIRECT(ADDRESS(2,COLUMN())),OFFSET($AM$2,0,0,ROW()-1,33),ROW()-1,FALSE))</f>
        <v/>
      </c>
      <c r="AF271" t="str">
        <f ca="1">IF(AND(ISNUMBER($AF$674),$B$427=1),$AF$674,HLOOKUP(INDIRECT(ADDRESS(2,COLUMN())),OFFSET($AM$2,0,0,ROW()-1,33),ROW()-1,FALSE))</f>
        <v/>
      </c>
      <c r="AG271" t="str">
        <f ca="1">IF(AND(ISNUMBER($AG$674),$B$427=1),$AG$674,HLOOKUP(INDIRECT(ADDRESS(2,COLUMN())),OFFSET($AM$2,0,0,ROW()-1,33),ROW()-1,FALSE))</f>
        <v/>
      </c>
      <c r="AH271" t="str">
        <f ca="1">IF(AND(ISNUMBER($AH$674),$B$427=1),$AH$674,HLOOKUP(INDIRECT(ADDRESS(2,COLUMN())),OFFSET($AM$2,0,0,ROW()-1,33),ROW()-1,FALSE))</f>
        <v/>
      </c>
      <c r="AI271" t="str">
        <f ca="1">IF(AND(ISNUMBER($AI$674),$B$427=1),$AI$674,HLOOKUP(INDIRECT(ADDRESS(2,COLUMN())),OFFSET($AM$2,0,0,ROW()-1,33),ROW()-1,FALSE))</f>
        <v/>
      </c>
      <c r="AJ271" t="str">
        <f ca="1">IF(AND(ISNUMBER($AJ$674),$B$427=1),$AJ$674,HLOOKUP(INDIRECT(ADDRESS(2,COLUMN())),OFFSET($AM$2,0,0,ROW()-1,33),ROW()-1,FALSE))</f>
        <v/>
      </c>
      <c r="AK271" t="str">
        <f ca="1">IF(AND(ISNUMBER($AK$674),$B$427=1),$AK$674,HLOOKUP(INDIRECT(ADDRESS(2,COLUMN())),OFFSET($AM$2,0,0,ROW()-1,33),ROW()-1,FALSE))</f>
        <v/>
      </c>
      <c r="AL271" t="str">
        <f ca="1">IF(AND(ISNUMBER($AL$674),$B$427=1),$AL$674,HLOOKUP(INDIRECT(ADDRESS(2,COLUMN())),OFFSET($AM$2,0,0,ROW()-1,33),ROW()-1,FALSE))</f>
        <v/>
      </c>
      <c r="AM271" t="str">
        <f>""</f>
        <v/>
      </c>
      <c r="AN271">
        <f>0.262876153</f>
        <v>0.262876153</v>
      </c>
      <c r="AO271">
        <f>0.452651877</f>
        <v>0.45265187699999998</v>
      </c>
      <c r="AP271">
        <f>0.414904914</f>
        <v>0.41490491400000001</v>
      </c>
      <c r="AQ271">
        <f>0.031959481</f>
        <v>3.1959480999999998E-2</v>
      </c>
      <c r="AR271">
        <f>0.085103146</f>
        <v>8.5103146000000005E-2</v>
      </c>
      <c r="AS271">
        <f>0.086453856</f>
        <v>8.6453855999999996E-2</v>
      </c>
      <c r="AT271">
        <f>0.028192063</f>
        <v>2.8192063E-2</v>
      </c>
      <c r="AU271">
        <f>0</f>
        <v>0</v>
      </c>
      <c r="AV271">
        <f>0</f>
        <v>0</v>
      </c>
      <c r="AW271">
        <f>0</f>
        <v>0</v>
      </c>
      <c r="AX271">
        <f>0</f>
        <v>0</v>
      </c>
      <c r="AY271">
        <f>0</f>
        <v>0</v>
      </c>
      <c r="AZ271">
        <f>0</f>
        <v>0</v>
      </c>
      <c r="BA271">
        <f>0</f>
        <v>0</v>
      </c>
      <c r="BB271">
        <f>0</f>
        <v>0</v>
      </c>
      <c r="BC271">
        <f>0</f>
        <v>0</v>
      </c>
      <c r="BD271">
        <f>0</f>
        <v>0</v>
      </c>
      <c r="BE271">
        <f>0</f>
        <v>0</v>
      </c>
      <c r="BF271" t="str">
        <f>""</f>
        <v/>
      </c>
      <c r="BG271" t="str">
        <f>""</f>
        <v/>
      </c>
      <c r="BH271" t="str">
        <f>""</f>
        <v/>
      </c>
      <c r="BI271" t="str">
        <f>""</f>
        <v/>
      </c>
      <c r="BJ271" t="str">
        <f>""</f>
        <v/>
      </c>
      <c r="BK271" t="str">
        <f>""</f>
        <v/>
      </c>
      <c r="BL271" t="str">
        <f>""</f>
        <v/>
      </c>
      <c r="BM271" t="str">
        <f>""</f>
        <v/>
      </c>
      <c r="BN271" t="str">
        <f>""</f>
        <v/>
      </c>
      <c r="BO271" t="str">
        <f>""</f>
        <v/>
      </c>
      <c r="BP271" t="str">
        <f>""</f>
        <v/>
      </c>
      <c r="BQ271" t="str">
        <f>""</f>
        <v/>
      </c>
      <c r="BR271" t="str">
        <f>""</f>
        <v/>
      </c>
      <c r="BS271" t="str">
        <f>""</f>
        <v/>
      </c>
    </row>
    <row r="272" spans="1:71" x14ac:dyDescent="0.25">
      <c r="A272" t="str">
        <f>"        Fifth Third Bancorp"</f>
        <v xml:space="preserve">        Fifth Third Bancorp</v>
      </c>
      <c r="B272" t="str">
        <f>"FITB US Equity"</f>
        <v>FITB US Equity</v>
      </c>
      <c r="C272" t="str">
        <f t="shared" si="36"/>
        <v>F0122</v>
      </c>
      <c r="D272" t="str">
        <f t="shared" si="37"/>
        <v>FED_MARGIN_LOANS_%_TOT_LNS_LEAS</v>
      </c>
      <c r="E272" t="str">
        <f t="shared" si="38"/>
        <v>Dynamic</v>
      </c>
      <c r="F272">
        <f ca="1">IF(AND(ISNUMBER($F$675),$B$427=1),$F$675,HLOOKUP(INDIRECT(ADDRESS(2,COLUMN())),OFFSET($AM$2,0,0,ROW()-1,33),ROW()-1,FALSE))</f>
        <v>0.26405161500000002</v>
      </c>
      <c r="G272">
        <f ca="1">IF(AND(ISNUMBER($G$675),$B$427=1),$G$675,HLOOKUP(INDIRECT(ADDRESS(2,COLUMN())),OFFSET($AM$2,0,0,ROW()-1,33),ROW()-1,FALSE))</f>
        <v>0.278032854</v>
      </c>
      <c r="H272">
        <f ca="1">IF(AND(ISNUMBER($H$675),$B$427=1),$H$675,HLOOKUP(INDIRECT(ADDRESS(2,COLUMN())),OFFSET($AM$2,0,0,ROW()-1,33),ROW()-1,FALSE))</f>
        <v>0.20202194500000001</v>
      </c>
      <c r="I272">
        <f ca="1">IF(AND(ISNUMBER($I$675),$B$427=1),$I$675,HLOOKUP(INDIRECT(ADDRESS(2,COLUMN())),OFFSET($AM$2,0,0,ROW()-1,33),ROW()-1,FALSE))</f>
        <v>0.20241056900000001</v>
      </c>
      <c r="J272">
        <f ca="1">IF(AND(ISNUMBER($J$675),$B$427=1),$J$675,HLOOKUP(INDIRECT(ADDRESS(2,COLUMN())),OFFSET($AM$2,0,0,ROW()-1,33),ROW()-1,FALSE))</f>
        <v>0.31297083599999997</v>
      </c>
      <c r="K272">
        <f ca="1">IF(AND(ISNUMBER($K$675),$B$427=1),$K$675,HLOOKUP(INDIRECT(ADDRESS(2,COLUMN())),OFFSET($AM$2,0,0,ROW()-1,33),ROW()-1,FALSE))</f>
        <v>0.254057747</v>
      </c>
      <c r="L272">
        <f ca="1">IF(AND(ISNUMBER($L$675),$B$427=1),$L$675,HLOOKUP(INDIRECT(ADDRESS(2,COLUMN())),OFFSET($AM$2,0,0,ROW()-1,33),ROW()-1,FALSE))</f>
        <v>0.32280938399999998</v>
      </c>
      <c r="M272">
        <f ca="1">IF(AND(ISNUMBER($M$675),$B$427=1),$M$675,HLOOKUP(INDIRECT(ADDRESS(2,COLUMN())),OFFSET($AM$2,0,0,ROW()-1,33),ROW()-1,FALSE))</f>
        <v>0.39841246699999999</v>
      </c>
      <c r="N272">
        <f ca="1">IF(AND(ISNUMBER($N$675),$B$427=1),$N$675,HLOOKUP(INDIRECT(ADDRESS(2,COLUMN())),OFFSET($AM$2,0,0,ROW()-1,33),ROW()-1,FALSE))</f>
        <v>0.48910800999999998</v>
      </c>
      <c r="O272">
        <f ca="1">IF(AND(ISNUMBER($O$675),$B$427=1),$O$675,HLOOKUP(INDIRECT(ADDRESS(2,COLUMN())),OFFSET($AM$2,0,0,ROW()-1,33),ROW()-1,FALSE))</f>
        <v>0.51403826600000002</v>
      </c>
      <c r="P272">
        <f ca="1">IF(AND(ISNUMBER($P$675),$B$427=1),$P$675,HLOOKUP(INDIRECT(ADDRESS(2,COLUMN())),OFFSET($AM$2,0,0,ROW()-1,33),ROW()-1,FALSE))</f>
        <v>0.32946373699999998</v>
      </c>
      <c r="Q272">
        <f ca="1">IF(AND(ISNUMBER($Q$675),$B$427=1),$Q$675,HLOOKUP(INDIRECT(ADDRESS(2,COLUMN())),OFFSET($AM$2,0,0,ROW()-1,33),ROW()-1,FALSE))</f>
        <v>0.36276867099999999</v>
      </c>
      <c r="R272">
        <f ca="1">IF(AND(ISNUMBER($R$675),$B$427=1),$R$675,HLOOKUP(INDIRECT(ADDRESS(2,COLUMN())),OFFSET($AM$2,0,0,ROW()-1,33),ROW()-1,FALSE))</f>
        <v>0.50166565299999999</v>
      </c>
      <c r="S272">
        <f ca="1">IF(AND(ISNUMBER($S$675),$B$427=1),$S$675,HLOOKUP(INDIRECT(ADDRESS(2,COLUMN())),OFFSET($AM$2,0,0,ROW()-1,33),ROW()-1,FALSE))</f>
        <v>0.33604790400000001</v>
      </c>
      <c r="T272">
        <f ca="1">IF(AND(ISNUMBER($T$675),$B$427=1),$T$675,HLOOKUP(INDIRECT(ADDRESS(2,COLUMN())),OFFSET($AM$2,0,0,ROW()-1,33),ROW()-1,FALSE))</f>
        <v>0.29432827700000003</v>
      </c>
      <c r="U272">
        <f ca="1">IF(AND(ISNUMBER($U$675),$B$427=1),$U$675,HLOOKUP(INDIRECT(ADDRESS(2,COLUMN())),OFFSET($AM$2,0,0,ROW()-1,33),ROW()-1,FALSE))</f>
        <v>0.13634070500000001</v>
      </c>
      <c r="V272">
        <f ca="1">IF(AND(ISNUMBER($V$675),$B$427=1),$V$675,HLOOKUP(INDIRECT(ADDRESS(2,COLUMN())),OFFSET($AM$2,0,0,ROW()-1,33),ROW()-1,FALSE))</f>
        <v>0.16409114499999999</v>
      </c>
      <c r="W272">
        <f ca="1">IF(AND(ISNUMBER($W$675),$B$427=1),$W$675,HLOOKUP(INDIRECT(ADDRESS(2,COLUMN())),OFFSET($AM$2,0,0,ROW()-1,33),ROW()-1,FALSE))</f>
        <v>0.17992537</v>
      </c>
      <c r="X272">
        <f ca="1">IF(AND(ISNUMBER($X$675),$B$427=1),$X$675,HLOOKUP(INDIRECT(ADDRESS(2,COLUMN())),OFFSET($AM$2,0,0,ROW()-1,33),ROW()-1,FALSE))</f>
        <v>0.213356028</v>
      </c>
      <c r="Y272" t="str">
        <f ca="1">IF(AND(ISNUMBER($Y$675),$B$427=1),$Y$675,HLOOKUP(INDIRECT(ADDRESS(2,COLUMN())),OFFSET($AM$2,0,0,ROW()-1,33),ROW()-1,FALSE))</f>
        <v/>
      </c>
      <c r="Z272" t="str">
        <f ca="1">IF(AND(ISNUMBER($Z$675),$B$427=1),$Z$675,HLOOKUP(INDIRECT(ADDRESS(2,COLUMN())),OFFSET($AM$2,0,0,ROW()-1,33),ROW()-1,FALSE))</f>
        <v/>
      </c>
      <c r="AA272" t="str">
        <f ca="1">IF(AND(ISNUMBER($AA$675),$B$427=1),$AA$675,HLOOKUP(INDIRECT(ADDRESS(2,COLUMN())),OFFSET($AM$2,0,0,ROW()-1,33),ROW()-1,FALSE))</f>
        <v/>
      </c>
      <c r="AB272" t="str">
        <f ca="1">IF(AND(ISNUMBER($AB$675),$B$427=1),$AB$675,HLOOKUP(INDIRECT(ADDRESS(2,COLUMN())),OFFSET($AM$2,0,0,ROW()-1,33),ROW()-1,FALSE))</f>
        <v/>
      </c>
      <c r="AC272" t="str">
        <f ca="1">IF(AND(ISNUMBER($AC$675),$B$427=1),$AC$675,HLOOKUP(INDIRECT(ADDRESS(2,COLUMN())),OFFSET($AM$2,0,0,ROW()-1,33),ROW()-1,FALSE))</f>
        <v/>
      </c>
      <c r="AD272" t="str">
        <f ca="1">IF(AND(ISNUMBER($AD$675),$B$427=1),$AD$675,HLOOKUP(INDIRECT(ADDRESS(2,COLUMN())),OFFSET($AM$2,0,0,ROW()-1,33),ROW()-1,FALSE))</f>
        <v/>
      </c>
      <c r="AE272" t="str">
        <f ca="1">IF(AND(ISNUMBER($AE$675),$B$427=1),$AE$675,HLOOKUP(INDIRECT(ADDRESS(2,COLUMN())),OFFSET($AM$2,0,0,ROW()-1,33),ROW()-1,FALSE))</f>
        <v/>
      </c>
      <c r="AF272" t="str">
        <f ca="1">IF(AND(ISNUMBER($AF$675),$B$427=1),$AF$675,HLOOKUP(INDIRECT(ADDRESS(2,COLUMN())),OFFSET($AM$2,0,0,ROW()-1,33),ROW()-1,FALSE))</f>
        <v/>
      </c>
      <c r="AG272" t="str">
        <f ca="1">IF(AND(ISNUMBER($AG$675),$B$427=1),$AG$675,HLOOKUP(INDIRECT(ADDRESS(2,COLUMN())),OFFSET($AM$2,0,0,ROW()-1,33),ROW()-1,FALSE))</f>
        <v/>
      </c>
      <c r="AH272" t="str">
        <f ca="1">IF(AND(ISNUMBER($AH$675),$B$427=1),$AH$675,HLOOKUP(INDIRECT(ADDRESS(2,COLUMN())),OFFSET($AM$2,0,0,ROW()-1,33),ROW()-1,FALSE))</f>
        <v/>
      </c>
      <c r="AI272" t="str">
        <f ca="1">IF(AND(ISNUMBER($AI$675),$B$427=1),$AI$675,HLOOKUP(INDIRECT(ADDRESS(2,COLUMN())),OFFSET($AM$2,0,0,ROW()-1,33),ROW()-1,FALSE))</f>
        <v/>
      </c>
      <c r="AJ272" t="str">
        <f ca="1">IF(AND(ISNUMBER($AJ$675),$B$427=1),$AJ$675,HLOOKUP(INDIRECT(ADDRESS(2,COLUMN())),OFFSET($AM$2,0,0,ROW()-1,33),ROW()-1,FALSE))</f>
        <v/>
      </c>
      <c r="AK272" t="str">
        <f ca="1">IF(AND(ISNUMBER($AK$675),$B$427=1),$AK$675,HLOOKUP(INDIRECT(ADDRESS(2,COLUMN())),OFFSET($AM$2,0,0,ROW()-1,33),ROW()-1,FALSE))</f>
        <v/>
      </c>
      <c r="AL272" t="str">
        <f ca="1">IF(AND(ISNUMBER($AL$675),$B$427=1),$AL$675,HLOOKUP(INDIRECT(ADDRESS(2,COLUMN())),OFFSET($AM$2,0,0,ROW()-1,33),ROW()-1,FALSE))</f>
        <v/>
      </c>
      <c r="AM272">
        <f>0.264051615</f>
        <v>0.26405161500000002</v>
      </c>
      <c r="AN272">
        <f>0.278032854</f>
        <v>0.278032854</v>
      </c>
      <c r="AO272">
        <f>0.202021945</f>
        <v>0.20202194500000001</v>
      </c>
      <c r="AP272">
        <f>0.202410569</f>
        <v>0.20241056900000001</v>
      </c>
      <c r="AQ272">
        <f>0.312970836</f>
        <v>0.31297083599999997</v>
      </c>
      <c r="AR272">
        <f>0.254057747</f>
        <v>0.254057747</v>
      </c>
      <c r="AS272">
        <f>0.322809384</f>
        <v>0.32280938399999998</v>
      </c>
      <c r="AT272">
        <f>0.398412467</f>
        <v>0.39841246699999999</v>
      </c>
      <c r="AU272">
        <f>0.48910801</f>
        <v>0.48910800999999998</v>
      </c>
      <c r="AV272">
        <f>0.514038266</f>
        <v>0.51403826600000002</v>
      </c>
      <c r="AW272">
        <f>0.329463737</f>
        <v>0.32946373699999998</v>
      </c>
      <c r="AX272">
        <f>0.362768671</f>
        <v>0.36276867099999999</v>
      </c>
      <c r="AY272">
        <f>0.501665653</f>
        <v>0.50166565299999999</v>
      </c>
      <c r="AZ272">
        <f>0.336047904</f>
        <v>0.33604790400000001</v>
      </c>
      <c r="BA272">
        <f>0.294328277</f>
        <v>0.29432827700000003</v>
      </c>
      <c r="BB272">
        <f>0.136340705</f>
        <v>0.13634070500000001</v>
      </c>
      <c r="BC272">
        <f>0.164091145</f>
        <v>0.16409114499999999</v>
      </c>
      <c r="BD272">
        <f>0.17992537</f>
        <v>0.17992537</v>
      </c>
      <c r="BE272">
        <f>0.213356028</f>
        <v>0.213356028</v>
      </c>
      <c r="BF272" t="str">
        <f>""</f>
        <v/>
      </c>
      <c r="BG272" t="str">
        <f>""</f>
        <v/>
      </c>
      <c r="BH272" t="str">
        <f>""</f>
        <v/>
      </c>
      <c r="BI272" t="str">
        <f>""</f>
        <v/>
      </c>
      <c r="BJ272" t="str">
        <f>""</f>
        <v/>
      </c>
      <c r="BK272" t="str">
        <f>""</f>
        <v/>
      </c>
      <c r="BL272" t="str">
        <f>""</f>
        <v/>
      </c>
      <c r="BM272" t="str">
        <f>""</f>
        <v/>
      </c>
      <c r="BN272" t="str">
        <f>""</f>
        <v/>
      </c>
      <c r="BO272" t="str">
        <f>""</f>
        <v/>
      </c>
      <c r="BP272" t="str">
        <f>""</f>
        <v/>
      </c>
      <c r="BQ272" t="str">
        <f>""</f>
        <v/>
      </c>
      <c r="BR272" t="str">
        <f>""</f>
        <v/>
      </c>
      <c r="BS272" t="str">
        <f>""</f>
        <v/>
      </c>
    </row>
    <row r="273" spans="1:71" x14ac:dyDescent="0.25">
      <c r="A273" t="str">
        <f>"        First Citizens BancShares Inc/"</f>
        <v xml:space="preserve">        First Citizens BancShares Inc/</v>
      </c>
      <c r="B273" t="str">
        <f>"FCNCA US Equity"</f>
        <v>FCNCA US Equity</v>
      </c>
      <c r="C273" t="str">
        <f t="shared" si="36"/>
        <v>F0122</v>
      </c>
      <c r="D273" t="str">
        <f t="shared" si="37"/>
        <v>FED_MARGIN_LOANS_%_TOT_LNS_LEAS</v>
      </c>
      <c r="E273" t="str">
        <f t="shared" si="38"/>
        <v>Dynamic</v>
      </c>
      <c r="F273">
        <f ca="1">IF(AND(ISNUMBER($F$676),$B$427=1),$F$676,HLOOKUP(INDIRECT(ADDRESS(2,COLUMN())),OFFSET($AM$2,0,0,ROW()-1,33),ROW()-1,FALSE))</f>
        <v>4.6328304000000001E-2</v>
      </c>
      <c r="G273">
        <f ca="1">IF(AND(ISNUMBER($G$676),$B$427=1),$G$676,HLOOKUP(INDIRECT(ADDRESS(2,COLUMN())),OFFSET($AM$2,0,0,ROW()-1,33),ROW()-1,FALSE))</f>
        <v>18.04851721</v>
      </c>
      <c r="H273">
        <f ca="1">IF(AND(ISNUMBER($H$676),$B$427=1),$H$676,HLOOKUP(INDIRECT(ADDRESS(2,COLUMN())),OFFSET($AM$2,0,0,ROW()-1,33),ROW()-1,FALSE))</f>
        <v>3.9701777000000001E-2</v>
      </c>
      <c r="I273">
        <f ca="1">IF(AND(ISNUMBER($I$676),$B$427=1),$I$676,HLOOKUP(INDIRECT(ADDRESS(2,COLUMN())),OFFSET($AM$2,0,0,ROW()-1,33),ROW()-1,FALSE))</f>
        <v>0</v>
      </c>
      <c r="J273">
        <f ca="1">IF(AND(ISNUMBER($J$676),$B$427=1),$J$676,HLOOKUP(INDIRECT(ADDRESS(2,COLUMN())),OFFSET($AM$2,0,0,ROW()-1,33),ROW()-1,FALSE))</f>
        <v>0</v>
      </c>
      <c r="K273">
        <f ca="1">IF(AND(ISNUMBER($K$676),$B$427=1),$K$676,HLOOKUP(INDIRECT(ADDRESS(2,COLUMN())),OFFSET($AM$2,0,0,ROW()-1,33),ROW()-1,FALSE))</f>
        <v>0</v>
      </c>
      <c r="L273">
        <f ca="1">IF(AND(ISNUMBER($L$676),$B$427=1),$L$676,HLOOKUP(INDIRECT(ADDRESS(2,COLUMN())),OFFSET($AM$2,0,0,ROW()-1,33),ROW()-1,FALSE))</f>
        <v>0</v>
      </c>
      <c r="M273">
        <f ca="1">IF(AND(ISNUMBER($M$676),$B$427=1),$M$676,HLOOKUP(INDIRECT(ADDRESS(2,COLUMN())),OFFSET($AM$2,0,0,ROW()-1,33),ROW()-1,FALSE))</f>
        <v>0</v>
      </c>
      <c r="N273">
        <f ca="1">IF(AND(ISNUMBER($N$676),$B$427=1),$N$676,HLOOKUP(INDIRECT(ADDRESS(2,COLUMN())),OFFSET($AM$2,0,0,ROW()-1,33),ROW()-1,FALSE))</f>
        <v>0</v>
      </c>
      <c r="O273">
        <f ca="1">IF(AND(ISNUMBER($O$676),$B$427=1),$O$676,HLOOKUP(INDIRECT(ADDRESS(2,COLUMN())),OFFSET($AM$2,0,0,ROW()-1,33),ROW()-1,FALSE))</f>
        <v>1.512333E-3</v>
      </c>
      <c r="P273">
        <f ca="1">IF(AND(ISNUMBER($P$676),$B$427=1),$P$676,HLOOKUP(INDIRECT(ADDRESS(2,COLUMN())),OFFSET($AM$2,0,0,ROW()-1,33),ROW()-1,FALSE))</f>
        <v>1.667272E-3</v>
      </c>
      <c r="Q273">
        <f ca="1">IF(AND(ISNUMBER($Q$676),$B$427=1),$Q$676,HLOOKUP(INDIRECT(ADDRESS(2,COLUMN())),OFFSET($AM$2,0,0,ROW()-1,33),ROW()-1,FALSE))</f>
        <v>0</v>
      </c>
      <c r="R273">
        <f ca="1">IF(AND(ISNUMBER($R$676),$B$427=1),$R$676,HLOOKUP(INDIRECT(ADDRESS(2,COLUMN())),OFFSET($AM$2,0,0,ROW()-1,33),ROW()-1,FALSE))</f>
        <v>3.7114899999999999E-5</v>
      </c>
      <c r="S273">
        <f ca="1">IF(AND(ISNUMBER($S$676),$B$427=1),$S$676,HLOOKUP(INDIRECT(ADDRESS(2,COLUMN())),OFFSET($AM$2,0,0,ROW()-1,33),ROW()-1,FALSE))</f>
        <v>3.6263049999999998E-3</v>
      </c>
      <c r="T273">
        <f ca="1">IF(AND(ISNUMBER($T$676),$B$427=1),$T$676,HLOOKUP(INDIRECT(ADDRESS(2,COLUMN())),OFFSET($AM$2,0,0,ROW()-1,33),ROW()-1,FALSE))</f>
        <v>5.4356789999999997E-3</v>
      </c>
      <c r="U273">
        <f ca="1">IF(AND(ISNUMBER($U$676),$B$427=1),$U$676,HLOOKUP(INDIRECT(ADDRESS(2,COLUMN())),OFFSET($AM$2,0,0,ROW()-1,33),ROW()-1,FALSE))</f>
        <v>2.2017167000000001E-2</v>
      </c>
      <c r="V273">
        <f ca="1">IF(AND(ISNUMBER($V$676),$B$427=1),$V$676,HLOOKUP(INDIRECT(ADDRESS(2,COLUMN())),OFFSET($AM$2,0,0,ROW()-1,33),ROW()-1,FALSE))</f>
        <v>0</v>
      </c>
      <c r="W273">
        <f ca="1">IF(AND(ISNUMBER($W$676),$B$427=1),$W$676,HLOOKUP(INDIRECT(ADDRESS(2,COLUMN())),OFFSET($AM$2,0,0,ROW()-1,33),ROW()-1,FALSE))</f>
        <v>0</v>
      </c>
      <c r="X273">
        <f ca="1">IF(AND(ISNUMBER($X$676),$B$427=1),$X$676,HLOOKUP(INDIRECT(ADDRESS(2,COLUMN())),OFFSET($AM$2,0,0,ROW()-1,33),ROW()-1,FALSE))</f>
        <v>0</v>
      </c>
      <c r="Y273" t="str">
        <f ca="1">IF(AND(ISNUMBER($Y$676),$B$427=1),$Y$676,HLOOKUP(INDIRECT(ADDRESS(2,COLUMN())),OFFSET($AM$2,0,0,ROW()-1,33),ROW()-1,FALSE))</f>
        <v/>
      </c>
      <c r="Z273" t="str">
        <f ca="1">IF(AND(ISNUMBER($Z$676),$B$427=1),$Z$676,HLOOKUP(INDIRECT(ADDRESS(2,COLUMN())),OFFSET($AM$2,0,0,ROW()-1,33),ROW()-1,FALSE))</f>
        <v/>
      </c>
      <c r="AA273" t="str">
        <f ca="1">IF(AND(ISNUMBER($AA$676),$B$427=1),$AA$676,HLOOKUP(INDIRECT(ADDRESS(2,COLUMN())),OFFSET($AM$2,0,0,ROW()-1,33),ROW()-1,FALSE))</f>
        <v/>
      </c>
      <c r="AB273" t="str">
        <f ca="1">IF(AND(ISNUMBER($AB$676),$B$427=1),$AB$676,HLOOKUP(INDIRECT(ADDRESS(2,COLUMN())),OFFSET($AM$2,0,0,ROW()-1,33),ROW()-1,FALSE))</f>
        <v/>
      </c>
      <c r="AC273" t="str">
        <f ca="1">IF(AND(ISNUMBER($AC$676),$B$427=1),$AC$676,HLOOKUP(INDIRECT(ADDRESS(2,COLUMN())),OFFSET($AM$2,0,0,ROW()-1,33),ROW()-1,FALSE))</f>
        <v/>
      </c>
      <c r="AD273" t="str">
        <f ca="1">IF(AND(ISNUMBER($AD$676),$B$427=1),$AD$676,HLOOKUP(INDIRECT(ADDRESS(2,COLUMN())),OFFSET($AM$2,0,0,ROW()-1,33),ROW()-1,FALSE))</f>
        <v/>
      </c>
      <c r="AE273" t="str">
        <f ca="1">IF(AND(ISNUMBER($AE$676),$B$427=1),$AE$676,HLOOKUP(INDIRECT(ADDRESS(2,COLUMN())),OFFSET($AM$2,0,0,ROW()-1,33),ROW()-1,FALSE))</f>
        <v/>
      </c>
      <c r="AF273" t="str">
        <f ca="1">IF(AND(ISNUMBER($AF$676),$B$427=1),$AF$676,HLOOKUP(INDIRECT(ADDRESS(2,COLUMN())),OFFSET($AM$2,0,0,ROW()-1,33),ROW()-1,FALSE))</f>
        <v/>
      </c>
      <c r="AG273" t="str">
        <f ca="1">IF(AND(ISNUMBER($AG$676),$B$427=1),$AG$676,HLOOKUP(INDIRECT(ADDRESS(2,COLUMN())),OFFSET($AM$2,0,0,ROW()-1,33),ROW()-1,FALSE))</f>
        <v/>
      </c>
      <c r="AH273" t="str">
        <f ca="1">IF(AND(ISNUMBER($AH$676),$B$427=1),$AH$676,HLOOKUP(INDIRECT(ADDRESS(2,COLUMN())),OFFSET($AM$2,0,0,ROW()-1,33),ROW()-1,FALSE))</f>
        <v/>
      </c>
      <c r="AI273" t="str">
        <f ca="1">IF(AND(ISNUMBER($AI$676),$B$427=1),$AI$676,HLOOKUP(INDIRECT(ADDRESS(2,COLUMN())),OFFSET($AM$2,0,0,ROW()-1,33),ROW()-1,FALSE))</f>
        <v/>
      </c>
      <c r="AJ273" t="str">
        <f ca="1">IF(AND(ISNUMBER($AJ$676),$B$427=1),$AJ$676,HLOOKUP(INDIRECT(ADDRESS(2,COLUMN())),OFFSET($AM$2,0,0,ROW()-1,33),ROW()-1,FALSE))</f>
        <v/>
      </c>
      <c r="AK273" t="str">
        <f ca="1">IF(AND(ISNUMBER($AK$676),$B$427=1),$AK$676,HLOOKUP(INDIRECT(ADDRESS(2,COLUMN())),OFFSET($AM$2,0,0,ROW()-1,33),ROW()-1,FALSE))</f>
        <v/>
      </c>
      <c r="AL273" t="str">
        <f ca="1">IF(AND(ISNUMBER($AL$676),$B$427=1),$AL$676,HLOOKUP(INDIRECT(ADDRESS(2,COLUMN())),OFFSET($AM$2,0,0,ROW()-1,33),ROW()-1,FALSE))</f>
        <v/>
      </c>
      <c r="AM273">
        <f>0.046328304</f>
        <v>4.6328304000000001E-2</v>
      </c>
      <c r="AN273">
        <f>18.04851721</f>
        <v>18.04851721</v>
      </c>
      <c r="AO273">
        <f>0.039701777</f>
        <v>3.9701777000000001E-2</v>
      </c>
      <c r="AP273">
        <f>0</f>
        <v>0</v>
      </c>
      <c r="AQ273">
        <f>0</f>
        <v>0</v>
      </c>
      <c r="AR273">
        <f>0</f>
        <v>0</v>
      </c>
      <c r="AS273">
        <f>0</f>
        <v>0</v>
      </c>
      <c r="AT273">
        <f>0</f>
        <v>0</v>
      </c>
      <c r="AU273">
        <f>0</f>
        <v>0</v>
      </c>
      <c r="AV273">
        <f>0.001512333</f>
        <v>1.512333E-3</v>
      </c>
      <c r="AW273">
        <f>0.001667272</f>
        <v>1.667272E-3</v>
      </c>
      <c r="AX273">
        <f>0</f>
        <v>0</v>
      </c>
      <c r="AY273">
        <f>0.0000371149</f>
        <v>3.7114899999999999E-5</v>
      </c>
      <c r="AZ273">
        <f>0.003626305</f>
        <v>3.6263049999999998E-3</v>
      </c>
      <c r="BA273">
        <f>0.005435679</f>
        <v>5.4356789999999997E-3</v>
      </c>
      <c r="BB273">
        <f>0.022017167</f>
        <v>2.2017167000000001E-2</v>
      </c>
      <c r="BC273">
        <f>0</f>
        <v>0</v>
      </c>
      <c r="BD273">
        <f>0</f>
        <v>0</v>
      </c>
      <c r="BE273">
        <f>0</f>
        <v>0</v>
      </c>
      <c r="BF273" t="str">
        <f>""</f>
        <v/>
      </c>
      <c r="BG273" t="str">
        <f>""</f>
        <v/>
      </c>
      <c r="BH273" t="str">
        <f>""</f>
        <v/>
      </c>
      <c r="BI273" t="str">
        <f>""</f>
        <v/>
      </c>
      <c r="BJ273" t="str">
        <f>""</f>
        <v/>
      </c>
      <c r="BK273" t="str">
        <f>""</f>
        <v/>
      </c>
      <c r="BL273" t="str">
        <f>""</f>
        <v/>
      </c>
      <c r="BM273" t="str">
        <f>""</f>
        <v/>
      </c>
      <c r="BN273" t="str">
        <f>""</f>
        <v/>
      </c>
      <c r="BO273" t="str">
        <f>""</f>
        <v/>
      </c>
      <c r="BP273" t="str">
        <f>""</f>
        <v/>
      </c>
      <c r="BQ273" t="str">
        <f>""</f>
        <v/>
      </c>
      <c r="BR273" t="str">
        <f>""</f>
        <v/>
      </c>
      <c r="BS273" t="str">
        <f>""</f>
        <v/>
      </c>
    </row>
    <row r="274" spans="1:71" x14ac:dyDescent="0.25">
      <c r="A274" t="str">
        <f>"        Flagstar Financial Inc"</f>
        <v xml:space="preserve">        Flagstar Financial Inc</v>
      </c>
      <c r="B274" t="str">
        <f>"FLG US Equity"</f>
        <v>FLG US Equity</v>
      </c>
      <c r="C274" t="str">
        <f t="shared" si="36"/>
        <v>F0122</v>
      </c>
      <c r="D274" t="str">
        <f t="shared" si="37"/>
        <v>FED_MARGIN_LOANS_%_TOT_LNS_LEAS</v>
      </c>
      <c r="E274" t="str">
        <f t="shared" si="38"/>
        <v>Dynamic</v>
      </c>
      <c r="F274">
        <f ca="1">IF(AND(ISNUMBER($F$677),$B$427=1),$F$677,HLOOKUP(INDIRECT(ADDRESS(2,COLUMN())),OFFSET($AM$2,0,0,ROW()-1,33),ROW()-1,FALSE))</f>
        <v>2.3333310000000001E-3</v>
      </c>
      <c r="G274">
        <f ca="1">IF(AND(ISNUMBER($G$677),$B$427=1),$G$677,HLOOKUP(INDIRECT(ADDRESS(2,COLUMN())),OFFSET($AM$2,0,0,ROW()-1,33),ROW()-1,FALSE))</f>
        <v>9.9241350000000006E-3</v>
      </c>
      <c r="H274">
        <f ca="1">IF(AND(ISNUMBER($H$677),$B$427=1),$H$677,HLOOKUP(INDIRECT(ADDRESS(2,COLUMN())),OFFSET($AM$2,0,0,ROW()-1,33),ROW()-1,FALSE))</f>
        <v>0</v>
      </c>
      <c r="I274">
        <f ca="1">IF(AND(ISNUMBER($I$677),$B$427=1),$I$677,HLOOKUP(INDIRECT(ADDRESS(2,COLUMN())),OFFSET($AM$2,0,0,ROW()-1,33),ROW()-1,FALSE))</f>
        <v>0</v>
      </c>
      <c r="J274">
        <f ca="1">IF(AND(ISNUMBER($J$677),$B$427=1),$J$677,HLOOKUP(INDIRECT(ADDRESS(2,COLUMN())),OFFSET($AM$2,0,0,ROW()-1,33),ROW()-1,FALSE))</f>
        <v>0</v>
      </c>
      <c r="K274">
        <f ca="1">IF(AND(ISNUMBER($K$677),$B$427=1),$K$677,HLOOKUP(INDIRECT(ADDRESS(2,COLUMN())),OFFSET($AM$2,0,0,ROW()-1,33),ROW()-1,FALSE))</f>
        <v>0</v>
      </c>
      <c r="L274">
        <f ca="1">IF(AND(ISNUMBER($L$677),$B$427=1),$L$677,HLOOKUP(INDIRECT(ADDRESS(2,COLUMN())),OFFSET($AM$2,0,0,ROW()-1,33),ROW()-1,FALSE))</f>
        <v>0</v>
      </c>
      <c r="M274">
        <f ca="1">IF(AND(ISNUMBER($M$677),$B$427=1),$M$677,HLOOKUP(INDIRECT(ADDRESS(2,COLUMN())),OFFSET($AM$2,0,0,ROW()-1,33),ROW()-1,FALSE))</f>
        <v>0</v>
      </c>
      <c r="N274">
        <f ca="1">IF(AND(ISNUMBER($N$677),$B$427=1),$N$677,HLOOKUP(INDIRECT(ADDRESS(2,COLUMN())),OFFSET($AM$2,0,0,ROW()-1,33),ROW()-1,FALSE))</f>
        <v>0</v>
      </c>
      <c r="O274">
        <f ca="1">IF(AND(ISNUMBER($O$677),$B$427=1),$O$677,HLOOKUP(INDIRECT(ADDRESS(2,COLUMN())),OFFSET($AM$2,0,0,ROW()-1,33),ROW()-1,FALSE))</f>
        <v>0</v>
      </c>
      <c r="P274">
        <f ca="1">IF(AND(ISNUMBER($P$677),$B$427=1),$P$677,HLOOKUP(INDIRECT(ADDRESS(2,COLUMN())),OFFSET($AM$2,0,0,ROW()-1,33),ROW()-1,FALSE))</f>
        <v>0</v>
      </c>
      <c r="Q274">
        <f ca="1">IF(AND(ISNUMBER($Q$677),$B$427=1),$Q$677,HLOOKUP(INDIRECT(ADDRESS(2,COLUMN())),OFFSET($AM$2,0,0,ROW()-1,33),ROW()-1,FALSE))</f>
        <v>0</v>
      </c>
      <c r="R274">
        <f ca="1">IF(AND(ISNUMBER($R$677),$B$427=1),$R$677,HLOOKUP(INDIRECT(ADDRESS(2,COLUMN())),OFFSET($AM$2,0,0,ROW()-1,33),ROW()-1,FALSE))</f>
        <v>0</v>
      </c>
      <c r="S274">
        <f ca="1">IF(AND(ISNUMBER($S$677),$B$427=1),$S$677,HLOOKUP(INDIRECT(ADDRESS(2,COLUMN())),OFFSET($AM$2,0,0,ROW()-1,33),ROW()-1,FALSE))</f>
        <v>0</v>
      </c>
      <c r="T274">
        <f ca="1">IF(AND(ISNUMBER($T$677),$B$427=1),$T$677,HLOOKUP(INDIRECT(ADDRESS(2,COLUMN())),OFFSET($AM$2,0,0,ROW()-1,33),ROW()-1,FALSE))</f>
        <v>0</v>
      </c>
      <c r="U274">
        <f ca="1">IF(AND(ISNUMBER($U$677),$B$427=1),$U$677,HLOOKUP(INDIRECT(ADDRESS(2,COLUMN())),OFFSET($AM$2,0,0,ROW()-1,33),ROW()-1,FALSE))</f>
        <v>0</v>
      </c>
      <c r="V274">
        <f ca="1">IF(AND(ISNUMBER($V$677),$B$427=1),$V$677,HLOOKUP(INDIRECT(ADDRESS(2,COLUMN())),OFFSET($AM$2,0,0,ROW()-1,33),ROW()-1,FALSE))</f>
        <v>0</v>
      </c>
      <c r="W274">
        <f ca="1">IF(AND(ISNUMBER($W$677),$B$427=1),$W$677,HLOOKUP(INDIRECT(ADDRESS(2,COLUMN())),OFFSET($AM$2,0,0,ROW()-1,33),ROW()-1,FALSE))</f>
        <v>0</v>
      </c>
      <c r="X274">
        <f ca="1">IF(AND(ISNUMBER($X$677),$B$427=1),$X$677,HLOOKUP(INDIRECT(ADDRESS(2,COLUMN())),OFFSET($AM$2,0,0,ROW()-1,33),ROW()-1,FALSE))</f>
        <v>0</v>
      </c>
      <c r="Y274" t="str">
        <f ca="1">IF(AND(ISNUMBER($Y$677),$B$427=1),$Y$677,HLOOKUP(INDIRECT(ADDRESS(2,COLUMN())),OFFSET($AM$2,0,0,ROW()-1,33),ROW()-1,FALSE))</f>
        <v/>
      </c>
      <c r="Z274" t="str">
        <f ca="1">IF(AND(ISNUMBER($Z$677),$B$427=1),$Z$677,HLOOKUP(INDIRECT(ADDRESS(2,COLUMN())),OFFSET($AM$2,0,0,ROW()-1,33),ROW()-1,FALSE))</f>
        <v/>
      </c>
      <c r="AA274" t="str">
        <f ca="1">IF(AND(ISNUMBER($AA$677),$B$427=1),$AA$677,HLOOKUP(INDIRECT(ADDRESS(2,COLUMN())),OFFSET($AM$2,0,0,ROW()-1,33),ROW()-1,FALSE))</f>
        <v/>
      </c>
      <c r="AB274" t="str">
        <f ca="1">IF(AND(ISNUMBER($AB$677),$B$427=1),$AB$677,HLOOKUP(INDIRECT(ADDRESS(2,COLUMN())),OFFSET($AM$2,0,0,ROW()-1,33),ROW()-1,FALSE))</f>
        <v/>
      </c>
      <c r="AC274" t="str">
        <f ca="1">IF(AND(ISNUMBER($AC$677),$B$427=1),$AC$677,HLOOKUP(INDIRECT(ADDRESS(2,COLUMN())),OFFSET($AM$2,0,0,ROW()-1,33),ROW()-1,FALSE))</f>
        <v/>
      </c>
      <c r="AD274" t="str">
        <f ca="1">IF(AND(ISNUMBER($AD$677),$B$427=1),$AD$677,HLOOKUP(INDIRECT(ADDRESS(2,COLUMN())),OFFSET($AM$2,0,0,ROW()-1,33),ROW()-1,FALSE))</f>
        <v/>
      </c>
      <c r="AE274" t="str">
        <f ca="1">IF(AND(ISNUMBER($AE$677),$B$427=1),$AE$677,HLOOKUP(INDIRECT(ADDRESS(2,COLUMN())),OFFSET($AM$2,0,0,ROW()-1,33),ROW()-1,FALSE))</f>
        <v/>
      </c>
      <c r="AF274" t="str">
        <f ca="1">IF(AND(ISNUMBER($AF$677),$B$427=1),$AF$677,HLOOKUP(INDIRECT(ADDRESS(2,COLUMN())),OFFSET($AM$2,0,0,ROW()-1,33),ROW()-1,FALSE))</f>
        <v/>
      </c>
      <c r="AG274" t="str">
        <f ca="1">IF(AND(ISNUMBER($AG$677),$B$427=1),$AG$677,HLOOKUP(INDIRECT(ADDRESS(2,COLUMN())),OFFSET($AM$2,0,0,ROW()-1,33),ROW()-1,FALSE))</f>
        <v/>
      </c>
      <c r="AH274" t="str">
        <f ca="1">IF(AND(ISNUMBER($AH$677),$B$427=1),$AH$677,HLOOKUP(INDIRECT(ADDRESS(2,COLUMN())),OFFSET($AM$2,0,0,ROW()-1,33),ROW()-1,FALSE))</f>
        <v/>
      </c>
      <c r="AI274" t="str">
        <f ca="1">IF(AND(ISNUMBER($AI$677),$B$427=1),$AI$677,HLOOKUP(INDIRECT(ADDRESS(2,COLUMN())),OFFSET($AM$2,0,0,ROW()-1,33),ROW()-1,FALSE))</f>
        <v/>
      </c>
      <c r="AJ274" t="str">
        <f ca="1">IF(AND(ISNUMBER($AJ$677),$B$427=1),$AJ$677,HLOOKUP(INDIRECT(ADDRESS(2,COLUMN())),OFFSET($AM$2,0,0,ROW()-1,33),ROW()-1,FALSE))</f>
        <v/>
      </c>
      <c r="AK274" t="str">
        <f ca="1">IF(AND(ISNUMBER($AK$677),$B$427=1),$AK$677,HLOOKUP(INDIRECT(ADDRESS(2,COLUMN())),OFFSET($AM$2,0,0,ROW()-1,33),ROW()-1,FALSE))</f>
        <v/>
      </c>
      <c r="AL274" t="str">
        <f ca="1">IF(AND(ISNUMBER($AL$677),$B$427=1),$AL$677,HLOOKUP(INDIRECT(ADDRESS(2,COLUMN())),OFFSET($AM$2,0,0,ROW()-1,33),ROW()-1,FALSE))</f>
        <v/>
      </c>
      <c r="AM274">
        <f>0.002333331</f>
        <v>2.3333310000000001E-3</v>
      </c>
      <c r="AN274">
        <f>0.009924135</f>
        <v>9.9241350000000006E-3</v>
      </c>
      <c r="AO274">
        <f>0</f>
        <v>0</v>
      </c>
      <c r="AP274">
        <f>0</f>
        <v>0</v>
      </c>
      <c r="AQ274">
        <f>0</f>
        <v>0</v>
      </c>
      <c r="AR274">
        <f>0</f>
        <v>0</v>
      </c>
      <c r="AS274">
        <f>0</f>
        <v>0</v>
      </c>
      <c r="AT274">
        <f>0</f>
        <v>0</v>
      </c>
      <c r="AU274">
        <f>0</f>
        <v>0</v>
      </c>
      <c r="AV274">
        <f>0</f>
        <v>0</v>
      </c>
      <c r="AW274">
        <f>0</f>
        <v>0</v>
      </c>
      <c r="AX274">
        <f>0</f>
        <v>0</v>
      </c>
      <c r="AY274">
        <f>0</f>
        <v>0</v>
      </c>
      <c r="AZ274">
        <f>0</f>
        <v>0</v>
      </c>
      <c r="BA274">
        <f>0</f>
        <v>0</v>
      </c>
      <c r="BB274">
        <f>0</f>
        <v>0</v>
      </c>
      <c r="BC274">
        <f>0</f>
        <v>0</v>
      </c>
      <c r="BD274">
        <f>0</f>
        <v>0</v>
      </c>
      <c r="BE274">
        <f>0</f>
        <v>0</v>
      </c>
      <c r="BF274" t="str">
        <f>""</f>
        <v/>
      </c>
      <c r="BG274" t="str">
        <f>""</f>
        <v/>
      </c>
      <c r="BH274" t="str">
        <f>""</f>
        <v/>
      </c>
      <c r="BI274" t="str">
        <f>""</f>
        <v/>
      </c>
      <c r="BJ274" t="str">
        <f>""</f>
        <v/>
      </c>
      <c r="BK274" t="str">
        <f>""</f>
        <v/>
      </c>
      <c r="BL274" t="str">
        <f>""</f>
        <v/>
      </c>
      <c r="BM274" t="str">
        <f>""</f>
        <v/>
      </c>
      <c r="BN274" t="str">
        <f>""</f>
        <v/>
      </c>
      <c r="BO274" t="str">
        <f>""</f>
        <v/>
      </c>
      <c r="BP274" t="str">
        <f>""</f>
        <v/>
      </c>
      <c r="BQ274" t="str">
        <f>""</f>
        <v/>
      </c>
      <c r="BR274" t="str">
        <f>""</f>
        <v/>
      </c>
      <c r="BS274" t="str">
        <f>""</f>
        <v/>
      </c>
    </row>
    <row r="275" spans="1:71" x14ac:dyDescent="0.25">
      <c r="A275" t="str">
        <f>"        Huntington Bancshares Inc/OH"</f>
        <v xml:space="preserve">        Huntington Bancshares Inc/OH</v>
      </c>
      <c r="B275" t="str">
        <f>"HBAN US Equity"</f>
        <v>HBAN US Equity</v>
      </c>
      <c r="C275" t="str">
        <f t="shared" si="36"/>
        <v>F0122</v>
      </c>
      <c r="D275" t="str">
        <f t="shared" si="37"/>
        <v>FED_MARGIN_LOANS_%_TOT_LNS_LEAS</v>
      </c>
      <c r="E275" t="str">
        <f t="shared" si="38"/>
        <v>Dynamic</v>
      </c>
      <c r="F275">
        <f ca="1">IF(AND(ISNUMBER($F$678),$B$427=1),$F$678,HLOOKUP(INDIRECT(ADDRESS(2,COLUMN())),OFFSET($AM$2,0,0,ROW()-1,33),ROW()-1,FALSE))</f>
        <v>4.4023644000000001E-2</v>
      </c>
      <c r="G275">
        <f ca="1">IF(AND(ISNUMBER($G$678),$B$427=1),$G$678,HLOOKUP(INDIRECT(ADDRESS(2,COLUMN())),OFFSET($AM$2,0,0,ROW()-1,33),ROW()-1,FALSE))</f>
        <v>6.0740521999999998E-2</v>
      </c>
      <c r="H275">
        <f ca="1">IF(AND(ISNUMBER($H$678),$B$427=1),$H$678,HLOOKUP(INDIRECT(ADDRESS(2,COLUMN())),OFFSET($AM$2,0,0,ROW()-1,33),ROW()-1,FALSE))</f>
        <v>5.4504253000000003E-2</v>
      </c>
      <c r="I275">
        <f ca="1">IF(AND(ISNUMBER($I$678),$B$427=1),$I$678,HLOOKUP(INDIRECT(ADDRESS(2,COLUMN())),OFFSET($AM$2,0,0,ROW()-1,33),ROW()-1,FALSE))</f>
        <v>3.4666467999999999E-2</v>
      </c>
      <c r="J275">
        <f ca="1">IF(AND(ISNUMBER($J$678),$B$427=1),$J$678,HLOOKUP(INDIRECT(ADDRESS(2,COLUMN())),OFFSET($AM$2,0,0,ROW()-1,33),ROW()-1,FALSE))</f>
        <v>2.9373937999999999E-2</v>
      </c>
      <c r="K275">
        <f ca="1">IF(AND(ISNUMBER($K$678),$B$427=1),$K$678,HLOOKUP(INDIRECT(ADDRESS(2,COLUMN())),OFFSET($AM$2,0,0,ROW()-1,33),ROW()-1,FALSE))</f>
        <v>4.4044835999999997E-2</v>
      </c>
      <c r="L275">
        <f ca="1">IF(AND(ISNUMBER($L$678),$B$427=1),$L$678,HLOOKUP(INDIRECT(ADDRESS(2,COLUMN())),OFFSET($AM$2,0,0,ROW()-1,33),ROW()-1,FALSE))</f>
        <v>0.125161731</v>
      </c>
      <c r="M275">
        <f ca="1">IF(AND(ISNUMBER($M$678),$B$427=1),$M$678,HLOOKUP(INDIRECT(ADDRESS(2,COLUMN())),OFFSET($AM$2,0,0,ROW()-1,33),ROW()-1,FALSE))</f>
        <v>0.16517675600000001</v>
      </c>
      <c r="N275">
        <f ca="1">IF(AND(ISNUMBER($N$678),$B$427=1),$N$678,HLOOKUP(INDIRECT(ADDRESS(2,COLUMN())),OFFSET($AM$2,0,0,ROW()-1,33),ROW()-1,FALSE))</f>
        <v>6.6536885000000004E-2</v>
      </c>
      <c r="O275">
        <f ca="1">IF(AND(ISNUMBER($O$678),$B$427=1),$O$678,HLOOKUP(INDIRECT(ADDRESS(2,COLUMN())),OFFSET($AM$2,0,0,ROW()-1,33),ROW()-1,FALSE))</f>
        <v>5.3741108000000003E-2</v>
      </c>
      <c r="P275">
        <f ca="1">IF(AND(ISNUMBER($P$678),$B$427=1),$P$678,HLOOKUP(INDIRECT(ADDRESS(2,COLUMN())),OFFSET($AM$2,0,0,ROW()-1,33),ROW()-1,FALSE))</f>
        <v>6.7345680000000005E-2</v>
      </c>
      <c r="Q275">
        <f ca="1">IF(AND(ISNUMBER($Q$678),$B$427=1),$Q$678,HLOOKUP(INDIRECT(ADDRESS(2,COLUMN())),OFFSET($AM$2,0,0,ROW()-1,33),ROW()-1,FALSE))</f>
        <v>7.7362440000000005E-2</v>
      </c>
      <c r="R275">
        <f ca="1">IF(AND(ISNUMBER($R$678),$B$427=1),$R$678,HLOOKUP(INDIRECT(ADDRESS(2,COLUMN())),OFFSET($AM$2,0,0,ROW()-1,33),ROW()-1,FALSE))</f>
        <v>0.110650992</v>
      </c>
      <c r="S275">
        <f ca="1">IF(AND(ISNUMBER($S$678),$B$427=1),$S$678,HLOOKUP(INDIRECT(ADDRESS(2,COLUMN())),OFFSET($AM$2,0,0,ROW()-1,33),ROW()-1,FALSE))</f>
        <v>3.3939942000000001E-2</v>
      </c>
      <c r="T275">
        <f ca="1">IF(AND(ISNUMBER($T$678),$B$427=1),$T$678,HLOOKUP(INDIRECT(ADDRESS(2,COLUMN())),OFFSET($AM$2,0,0,ROW()-1,33),ROW()-1,FALSE))</f>
        <v>4.8989528999999997E-2</v>
      </c>
      <c r="U275">
        <f ca="1">IF(AND(ISNUMBER($U$678),$B$427=1),$U$678,HLOOKUP(INDIRECT(ADDRESS(2,COLUMN())),OFFSET($AM$2,0,0,ROW()-1,33),ROW()-1,FALSE))</f>
        <v>1.259652E-3</v>
      </c>
      <c r="V275">
        <f ca="1">IF(AND(ISNUMBER($V$678),$B$427=1),$V$678,HLOOKUP(INDIRECT(ADDRESS(2,COLUMN())),OFFSET($AM$2,0,0,ROW()-1,33),ROW()-1,FALSE))</f>
        <v>0.12822183200000001</v>
      </c>
      <c r="W275">
        <f ca="1">IF(AND(ISNUMBER($W$678),$B$427=1),$W$678,HLOOKUP(INDIRECT(ADDRESS(2,COLUMN())),OFFSET($AM$2,0,0,ROW()-1,33),ROW()-1,FALSE))</f>
        <v>7.8782130000000002E-3</v>
      </c>
      <c r="X275">
        <f ca="1">IF(AND(ISNUMBER($X$678),$B$427=1),$X$678,HLOOKUP(INDIRECT(ADDRESS(2,COLUMN())),OFFSET($AM$2,0,0,ROW()-1,33),ROW()-1,FALSE))</f>
        <v>3.4959065999999997E-2</v>
      </c>
      <c r="Y275" t="str">
        <f ca="1">IF(AND(ISNUMBER($Y$678),$B$427=1),$Y$678,HLOOKUP(INDIRECT(ADDRESS(2,COLUMN())),OFFSET($AM$2,0,0,ROW()-1,33),ROW()-1,FALSE))</f>
        <v/>
      </c>
      <c r="Z275" t="str">
        <f ca="1">IF(AND(ISNUMBER($Z$678),$B$427=1),$Z$678,HLOOKUP(INDIRECT(ADDRESS(2,COLUMN())),OFFSET($AM$2,0,0,ROW()-1,33),ROW()-1,FALSE))</f>
        <v/>
      </c>
      <c r="AA275" t="str">
        <f ca="1">IF(AND(ISNUMBER($AA$678),$B$427=1),$AA$678,HLOOKUP(INDIRECT(ADDRESS(2,COLUMN())),OFFSET($AM$2,0,0,ROW()-1,33),ROW()-1,FALSE))</f>
        <v/>
      </c>
      <c r="AB275" t="str">
        <f ca="1">IF(AND(ISNUMBER($AB$678),$B$427=1),$AB$678,HLOOKUP(INDIRECT(ADDRESS(2,COLUMN())),OFFSET($AM$2,0,0,ROW()-1,33),ROW()-1,FALSE))</f>
        <v/>
      </c>
      <c r="AC275" t="str">
        <f ca="1">IF(AND(ISNUMBER($AC$678),$B$427=1),$AC$678,HLOOKUP(INDIRECT(ADDRESS(2,COLUMN())),OFFSET($AM$2,0,0,ROW()-1,33),ROW()-1,FALSE))</f>
        <v/>
      </c>
      <c r="AD275" t="str">
        <f ca="1">IF(AND(ISNUMBER($AD$678),$B$427=1),$AD$678,HLOOKUP(INDIRECT(ADDRESS(2,COLUMN())),OFFSET($AM$2,0,0,ROW()-1,33),ROW()-1,FALSE))</f>
        <v/>
      </c>
      <c r="AE275" t="str">
        <f ca="1">IF(AND(ISNUMBER($AE$678),$B$427=1),$AE$678,HLOOKUP(INDIRECT(ADDRESS(2,COLUMN())),OFFSET($AM$2,0,0,ROW()-1,33),ROW()-1,FALSE))</f>
        <v/>
      </c>
      <c r="AF275" t="str">
        <f ca="1">IF(AND(ISNUMBER($AF$678),$B$427=1),$AF$678,HLOOKUP(INDIRECT(ADDRESS(2,COLUMN())),OFFSET($AM$2,0,0,ROW()-1,33),ROW()-1,FALSE))</f>
        <v/>
      </c>
      <c r="AG275" t="str">
        <f ca="1">IF(AND(ISNUMBER($AG$678),$B$427=1),$AG$678,HLOOKUP(INDIRECT(ADDRESS(2,COLUMN())),OFFSET($AM$2,0,0,ROW()-1,33),ROW()-1,FALSE))</f>
        <v/>
      </c>
      <c r="AH275" t="str">
        <f ca="1">IF(AND(ISNUMBER($AH$678),$B$427=1),$AH$678,HLOOKUP(INDIRECT(ADDRESS(2,COLUMN())),OFFSET($AM$2,0,0,ROW()-1,33),ROW()-1,FALSE))</f>
        <v/>
      </c>
      <c r="AI275" t="str">
        <f ca="1">IF(AND(ISNUMBER($AI$678),$B$427=1),$AI$678,HLOOKUP(INDIRECT(ADDRESS(2,COLUMN())),OFFSET($AM$2,0,0,ROW()-1,33),ROW()-1,FALSE))</f>
        <v/>
      </c>
      <c r="AJ275" t="str">
        <f ca="1">IF(AND(ISNUMBER($AJ$678),$B$427=1),$AJ$678,HLOOKUP(INDIRECT(ADDRESS(2,COLUMN())),OFFSET($AM$2,0,0,ROW()-1,33),ROW()-1,FALSE))</f>
        <v/>
      </c>
      <c r="AK275" t="str">
        <f ca="1">IF(AND(ISNUMBER($AK$678),$B$427=1),$AK$678,HLOOKUP(INDIRECT(ADDRESS(2,COLUMN())),OFFSET($AM$2,0,0,ROW()-1,33),ROW()-1,FALSE))</f>
        <v/>
      </c>
      <c r="AL275" t="str">
        <f ca="1">IF(AND(ISNUMBER($AL$678),$B$427=1),$AL$678,HLOOKUP(INDIRECT(ADDRESS(2,COLUMN())),OFFSET($AM$2,0,0,ROW()-1,33),ROW()-1,FALSE))</f>
        <v/>
      </c>
      <c r="AM275">
        <f>0.044023644</f>
        <v>4.4023644000000001E-2</v>
      </c>
      <c r="AN275">
        <f>0.060740522</f>
        <v>6.0740521999999998E-2</v>
      </c>
      <c r="AO275">
        <f>0.054504253</f>
        <v>5.4504253000000003E-2</v>
      </c>
      <c r="AP275">
        <f>0.034666468</f>
        <v>3.4666467999999999E-2</v>
      </c>
      <c r="AQ275">
        <f>0.029373938</f>
        <v>2.9373937999999999E-2</v>
      </c>
      <c r="AR275">
        <f>0.044044836</f>
        <v>4.4044835999999997E-2</v>
      </c>
      <c r="AS275">
        <f>0.125161731</f>
        <v>0.125161731</v>
      </c>
      <c r="AT275">
        <f>0.165176756</f>
        <v>0.16517675600000001</v>
      </c>
      <c r="AU275">
        <f>0.066536885</f>
        <v>6.6536885000000004E-2</v>
      </c>
      <c r="AV275">
        <f>0.053741108</f>
        <v>5.3741108000000003E-2</v>
      </c>
      <c r="AW275">
        <f>0.06734568</f>
        <v>6.7345680000000005E-2</v>
      </c>
      <c r="AX275">
        <f>0.07736244</f>
        <v>7.7362440000000005E-2</v>
      </c>
      <c r="AY275">
        <f>0.110650992</f>
        <v>0.110650992</v>
      </c>
      <c r="AZ275">
        <f>0.033939942</f>
        <v>3.3939942000000001E-2</v>
      </c>
      <c r="BA275">
        <f>0.048989529</f>
        <v>4.8989528999999997E-2</v>
      </c>
      <c r="BB275">
        <f>0.001259652</f>
        <v>1.259652E-3</v>
      </c>
      <c r="BC275">
        <f>0.128221832</f>
        <v>0.12822183200000001</v>
      </c>
      <c r="BD275">
        <f>0.007878213</f>
        <v>7.8782130000000002E-3</v>
      </c>
      <c r="BE275">
        <f>0.034959066</f>
        <v>3.4959065999999997E-2</v>
      </c>
      <c r="BF275" t="str">
        <f>""</f>
        <v/>
      </c>
      <c r="BG275" t="str">
        <f>""</f>
        <v/>
      </c>
      <c r="BH275" t="str">
        <f>""</f>
        <v/>
      </c>
      <c r="BI275" t="str">
        <f>""</f>
        <v/>
      </c>
      <c r="BJ275" t="str">
        <f>""</f>
        <v/>
      </c>
      <c r="BK275" t="str">
        <f>""</f>
        <v/>
      </c>
      <c r="BL275" t="str">
        <f>""</f>
        <v/>
      </c>
      <c r="BM275" t="str">
        <f>""</f>
        <v/>
      </c>
      <c r="BN275" t="str">
        <f>""</f>
        <v/>
      </c>
      <c r="BO275" t="str">
        <f>""</f>
        <v/>
      </c>
      <c r="BP275" t="str">
        <f>""</f>
        <v/>
      </c>
      <c r="BQ275" t="str">
        <f>""</f>
        <v/>
      </c>
      <c r="BR275" t="str">
        <f>""</f>
        <v/>
      </c>
      <c r="BS275" t="str">
        <f>""</f>
        <v/>
      </c>
    </row>
    <row r="276" spans="1:71" x14ac:dyDescent="0.25">
      <c r="A276" t="str">
        <f>"        JPMorgan Chase &amp; Co"</f>
        <v xml:space="preserve">        JPMorgan Chase &amp; Co</v>
      </c>
      <c r="B276" t="str">
        <f>"JPM US Equity"</f>
        <v>JPM US Equity</v>
      </c>
      <c r="C276" t="str">
        <f t="shared" si="36"/>
        <v>F0122</v>
      </c>
      <c r="D276" t="str">
        <f t="shared" si="37"/>
        <v>FED_MARGIN_LOANS_%_TOT_LNS_LEAS</v>
      </c>
      <c r="E276" t="str">
        <f t="shared" si="38"/>
        <v>Dynamic</v>
      </c>
      <c r="F276">
        <f ca="1">IF(AND(ISNUMBER($F$679),$B$427=1),$F$679,HLOOKUP(INDIRECT(ADDRESS(2,COLUMN())),OFFSET($AM$2,0,0,ROW()-1,33),ROW()-1,FALSE))</f>
        <v>6.6093204099999996</v>
      </c>
      <c r="G276">
        <f ca="1">IF(AND(ISNUMBER($G$679),$B$427=1),$G$679,HLOOKUP(INDIRECT(ADDRESS(2,COLUMN())),OFFSET($AM$2,0,0,ROW()-1,33),ROW()-1,FALSE))</f>
        <v>5.9843815960000004</v>
      </c>
      <c r="H276">
        <f ca="1">IF(AND(ISNUMBER($H$679),$B$427=1),$H$679,HLOOKUP(INDIRECT(ADDRESS(2,COLUMN())),OFFSET($AM$2,0,0,ROW()-1,33),ROW()-1,FALSE))</f>
        <v>6.8048016420000002</v>
      </c>
      <c r="I276">
        <f ca="1">IF(AND(ISNUMBER($I$679),$B$427=1),$I$679,HLOOKUP(INDIRECT(ADDRESS(2,COLUMN())),OFFSET($AM$2,0,0,ROW()-1,33),ROW()-1,FALSE))</f>
        <v>7.611148869</v>
      </c>
      <c r="J276">
        <f ca="1">IF(AND(ISNUMBER($J$679),$B$427=1),$J$679,HLOOKUP(INDIRECT(ADDRESS(2,COLUMN())),OFFSET($AM$2,0,0,ROW()-1,33),ROW()-1,FALSE))</f>
        <v>6.4365845789999998</v>
      </c>
      <c r="K276">
        <f ca="1">IF(AND(ISNUMBER($K$679),$B$427=1),$K$679,HLOOKUP(INDIRECT(ADDRESS(2,COLUMN())),OFFSET($AM$2,0,0,ROW()-1,33),ROW()-1,FALSE))</f>
        <v>4.6311581019999997</v>
      </c>
      <c r="L276">
        <f ca="1">IF(AND(ISNUMBER($L$679),$B$427=1),$L$679,HLOOKUP(INDIRECT(ADDRESS(2,COLUMN())),OFFSET($AM$2,0,0,ROW()-1,33),ROW()-1,FALSE))</f>
        <v>4.1539666820000001</v>
      </c>
      <c r="M276">
        <f ca="1">IF(AND(ISNUMBER($M$679),$B$427=1),$M$679,HLOOKUP(INDIRECT(ADDRESS(2,COLUMN())),OFFSET($AM$2,0,0,ROW()-1,33),ROW()-1,FALSE))</f>
        <v>3.8434244780000002</v>
      </c>
      <c r="N276">
        <f ca="1">IF(AND(ISNUMBER($N$679),$B$427=1),$N$679,HLOOKUP(INDIRECT(ADDRESS(2,COLUMN())),OFFSET($AM$2,0,0,ROW()-1,33),ROW()-1,FALSE))</f>
        <v>2.840580219</v>
      </c>
      <c r="O276">
        <f ca="1">IF(AND(ISNUMBER($O$679),$B$427=1),$O$679,HLOOKUP(INDIRECT(ADDRESS(2,COLUMN())),OFFSET($AM$2,0,0,ROW()-1,33),ROW()-1,FALSE))</f>
        <v>2.39581913</v>
      </c>
      <c r="P276">
        <f ca="1">IF(AND(ISNUMBER($P$679),$B$427=1),$P$679,HLOOKUP(INDIRECT(ADDRESS(2,COLUMN())),OFFSET($AM$2,0,0,ROW()-1,33),ROW()-1,FALSE))</f>
        <v>4.2372568790000003</v>
      </c>
      <c r="Q276">
        <f ca="1">IF(AND(ISNUMBER($Q$679),$B$427=1),$Q$679,HLOOKUP(INDIRECT(ADDRESS(2,COLUMN())),OFFSET($AM$2,0,0,ROW()-1,33),ROW()-1,FALSE))</f>
        <v>4.0014168010000004</v>
      </c>
      <c r="R276">
        <f ca="1">IF(AND(ISNUMBER($R$679),$B$427=1),$R$679,HLOOKUP(INDIRECT(ADDRESS(2,COLUMN())),OFFSET($AM$2,0,0,ROW()-1,33),ROW()-1,FALSE))</f>
        <v>3.3785173120000001</v>
      </c>
      <c r="S276">
        <f ca="1">IF(AND(ISNUMBER($S$679),$B$427=1),$S$679,HLOOKUP(INDIRECT(ADDRESS(2,COLUMN())),OFFSET($AM$2,0,0,ROW()-1,33),ROW()-1,FALSE))</f>
        <v>2.6427415870000002</v>
      </c>
      <c r="T276">
        <f ca="1">IF(AND(ISNUMBER($T$679),$B$427=1),$T$679,HLOOKUP(INDIRECT(ADDRESS(2,COLUMN())),OFFSET($AM$2,0,0,ROW()-1,33),ROW()-1,FALSE))</f>
        <v>4.7578694830000003</v>
      </c>
      <c r="U276">
        <f ca="1">IF(AND(ISNUMBER($U$679),$B$427=1),$U$679,HLOOKUP(INDIRECT(ADDRESS(2,COLUMN())),OFFSET($AM$2,0,0,ROW()-1,33),ROW()-1,FALSE))</f>
        <v>2.9970114400000001</v>
      </c>
      <c r="V276">
        <f ca="1">IF(AND(ISNUMBER($V$679),$B$427=1),$V$679,HLOOKUP(INDIRECT(ADDRESS(2,COLUMN())),OFFSET($AM$2,0,0,ROW()-1,33),ROW()-1,FALSE))</f>
        <v>2.6894871949999999</v>
      </c>
      <c r="W276">
        <f ca="1">IF(AND(ISNUMBER($W$679),$B$427=1),$W$679,HLOOKUP(INDIRECT(ADDRESS(2,COLUMN())),OFFSET($AM$2,0,0,ROW()-1,33),ROW()-1,FALSE))</f>
        <v>0.86890935400000002</v>
      </c>
      <c r="X276">
        <f ca="1">IF(AND(ISNUMBER($X$679),$B$427=1),$X$679,HLOOKUP(INDIRECT(ADDRESS(2,COLUMN())),OFFSET($AM$2,0,0,ROW()-1,33),ROW()-1,FALSE))</f>
        <v>0.86850869399999997</v>
      </c>
      <c r="Y276" t="str">
        <f ca="1">IF(AND(ISNUMBER($Y$679),$B$427=1),$Y$679,HLOOKUP(INDIRECT(ADDRESS(2,COLUMN())),OFFSET($AM$2,0,0,ROW()-1,33),ROW()-1,FALSE))</f>
        <v/>
      </c>
      <c r="Z276" t="str">
        <f ca="1">IF(AND(ISNUMBER($Z$679),$B$427=1),$Z$679,HLOOKUP(INDIRECT(ADDRESS(2,COLUMN())),OFFSET($AM$2,0,0,ROW()-1,33),ROW()-1,FALSE))</f>
        <v/>
      </c>
      <c r="AA276" t="str">
        <f ca="1">IF(AND(ISNUMBER($AA$679),$B$427=1),$AA$679,HLOOKUP(INDIRECT(ADDRESS(2,COLUMN())),OFFSET($AM$2,0,0,ROW()-1,33),ROW()-1,FALSE))</f>
        <v/>
      </c>
      <c r="AB276" t="str">
        <f ca="1">IF(AND(ISNUMBER($AB$679),$B$427=1),$AB$679,HLOOKUP(INDIRECT(ADDRESS(2,COLUMN())),OFFSET($AM$2,0,0,ROW()-1,33),ROW()-1,FALSE))</f>
        <v/>
      </c>
      <c r="AC276" t="str">
        <f ca="1">IF(AND(ISNUMBER($AC$679),$B$427=1),$AC$679,HLOOKUP(INDIRECT(ADDRESS(2,COLUMN())),OFFSET($AM$2,0,0,ROW()-1,33),ROW()-1,FALSE))</f>
        <v/>
      </c>
      <c r="AD276" t="str">
        <f ca="1">IF(AND(ISNUMBER($AD$679),$B$427=1),$AD$679,HLOOKUP(INDIRECT(ADDRESS(2,COLUMN())),OFFSET($AM$2,0,0,ROW()-1,33),ROW()-1,FALSE))</f>
        <v/>
      </c>
      <c r="AE276" t="str">
        <f ca="1">IF(AND(ISNUMBER($AE$679),$B$427=1),$AE$679,HLOOKUP(INDIRECT(ADDRESS(2,COLUMN())),OFFSET($AM$2,0,0,ROW()-1,33),ROW()-1,FALSE))</f>
        <v/>
      </c>
      <c r="AF276" t="str">
        <f ca="1">IF(AND(ISNUMBER($AF$679),$B$427=1),$AF$679,HLOOKUP(INDIRECT(ADDRESS(2,COLUMN())),OFFSET($AM$2,0,0,ROW()-1,33),ROW()-1,FALSE))</f>
        <v/>
      </c>
      <c r="AG276" t="str">
        <f ca="1">IF(AND(ISNUMBER($AG$679),$B$427=1),$AG$679,HLOOKUP(INDIRECT(ADDRESS(2,COLUMN())),OFFSET($AM$2,0,0,ROW()-1,33),ROW()-1,FALSE))</f>
        <v/>
      </c>
      <c r="AH276" t="str">
        <f ca="1">IF(AND(ISNUMBER($AH$679),$B$427=1),$AH$679,HLOOKUP(INDIRECT(ADDRESS(2,COLUMN())),OFFSET($AM$2,0,0,ROW()-1,33),ROW()-1,FALSE))</f>
        <v/>
      </c>
      <c r="AI276" t="str">
        <f ca="1">IF(AND(ISNUMBER($AI$679),$B$427=1),$AI$679,HLOOKUP(INDIRECT(ADDRESS(2,COLUMN())),OFFSET($AM$2,0,0,ROW()-1,33),ROW()-1,FALSE))</f>
        <v/>
      </c>
      <c r="AJ276" t="str">
        <f ca="1">IF(AND(ISNUMBER($AJ$679),$B$427=1),$AJ$679,HLOOKUP(INDIRECT(ADDRESS(2,COLUMN())),OFFSET($AM$2,0,0,ROW()-1,33),ROW()-1,FALSE))</f>
        <v/>
      </c>
      <c r="AK276" t="str">
        <f ca="1">IF(AND(ISNUMBER($AK$679),$B$427=1),$AK$679,HLOOKUP(INDIRECT(ADDRESS(2,COLUMN())),OFFSET($AM$2,0,0,ROW()-1,33),ROW()-1,FALSE))</f>
        <v/>
      </c>
      <c r="AL276" t="str">
        <f ca="1">IF(AND(ISNUMBER($AL$679),$B$427=1),$AL$679,HLOOKUP(INDIRECT(ADDRESS(2,COLUMN())),OFFSET($AM$2,0,0,ROW()-1,33),ROW()-1,FALSE))</f>
        <v/>
      </c>
      <c r="AM276">
        <f>6.60932041</f>
        <v>6.6093204099999996</v>
      </c>
      <c r="AN276">
        <f>5.984381596</f>
        <v>5.9843815960000004</v>
      </c>
      <c r="AO276">
        <f>6.804801642</f>
        <v>6.8048016420000002</v>
      </c>
      <c r="AP276">
        <f>7.611148869</f>
        <v>7.611148869</v>
      </c>
      <c r="AQ276">
        <f>6.436584579</f>
        <v>6.4365845789999998</v>
      </c>
      <c r="AR276">
        <f>4.631158102</f>
        <v>4.6311581019999997</v>
      </c>
      <c r="AS276">
        <f>4.153966682</f>
        <v>4.1539666820000001</v>
      </c>
      <c r="AT276">
        <f>3.843424478</f>
        <v>3.8434244780000002</v>
      </c>
      <c r="AU276">
        <f>2.840580219</f>
        <v>2.840580219</v>
      </c>
      <c r="AV276">
        <f>2.39581913</f>
        <v>2.39581913</v>
      </c>
      <c r="AW276">
        <f>4.237256879</f>
        <v>4.2372568790000003</v>
      </c>
      <c r="AX276">
        <f>4.001416801</f>
        <v>4.0014168010000004</v>
      </c>
      <c r="AY276">
        <f>3.378517312</f>
        <v>3.3785173120000001</v>
      </c>
      <c r="AZ276">
        <f>2.642741587</f>
        <v>2.6427415870000002</v>
      </c>
      <c r="BA276">
        <f>4.757869483</f>
        <v>4.7578694830000003</v>
      </c>
      <c r="BB276">
        <f>2.99701144</f>
        <v>2.9970114400000001</v>
      </c>
      <c r="BC276">
        <f>2.689487195</f>
        <v>2.6894871949999999</v>
      </c>
      <c r="BD276">
        <f>0.868909354</f>
        <v>0.86890935400000002</v>
      </c>
      <c r="BE276">
        <f>0.868508694</f>
        <v>0.86850869399999997</v>
      </c>
      <c r="BF276" t="str">
        <f>""</f>
        <v/>
      </c>
      <c r="BG276" t="str">
        <f>""</f>
        <v/>
      </c>
      <c r="BH276" t="str">
        <f>""</f>
        <v/>
      </c>
      <c r="BI276" t="str">
        <f>""</f>
        <v/>
      </c>
      <c r="BJ276" t="str">
        <f>""</f>
        <v/>
      </c>
      <c r="BK276" t="str">
        <f>""</f>
        <v/>
      </c>
      <c r="BL276" t="str">
        <f>""</f>
        <v/>
      </c>
      <c r="BM276" t="str">
        <f>""</f>
        <v/>
      </c>
      <c r="BN276" t="str">
        <f>""</f>
        <v/>
      </c>
      <c r="BO276" t="str">
        <f>""</f>
        <v/>
      </c>
      <c r="BP276" t="str">
        <f>""</f>
        <v/>
      </c>
      <c r="BQ276" t="str">
        <f>""</f>
        <v/>
      </c>
      <c r="BR276" t="str">
        <f>""</f>
        <v/>
      </c>
      <c r="BS276" t="str">
        <f>""</f>
        <v/>
      </c>
    </row>
    <row r="277" spans="1:71" x14ac:dyDescent="0.25">
      <c r="A277" t="str">
        <f>"        KeyCorp"</f>
        <v xml:space="preserve">        KeyCorp</v>
      </c>
      <c r="B277" t="str">
        <f>"KEY US Equity"</f>
        <v>KEY US Equity</v>
      </c>
      <c r="C277" t="str">
        <f t="shared" si="36"/>
        <v>F0122</v>
      </c>
      <c r="D277" t="str">
        <f t="shared" si="37"/>
        <v>FED_MARGIN_LOANS_%_TOT_LNS_LEAS</v>
      </c>
      <c r="E277" t="str">
        <f t="shared" si="38"/>
        <v>Dynamic</v>
      </c>
      <c r="F277">
        <f ca="1">IF(AND(ISNUMBER($F$680),$B$427=1),$F$680,HLOOKUP(INDIRECT(ADDRESS(2,COLUMN())),OFFSET($AM$2,0,0,ROW()-1,33),ROW()-1,FALSE))</f>
        <v>2.0942090999999999E-2</v>
      </c>
      <c r="G277">
        <f ca="1">IF(AND(ISNUMBER($G$680),$B$427=1),$G$680,HLOOKUP(INDIRECT(ADDRESS(2,COLUMN())),OFFSET($AM$2,0,0,ROW()-1,33),ROW()-1,FALSE))</f>
        <v>4.3689601000000002E-2</v>
      </c>
      <c r="H277">
        <f ca="1">IF(AND(ISNUMBER($H$680),$B$427=1),$H$680,HLOOKUP(INDIRECT(ADDRESS(2,COLUMN())),OFFSET($AM$2,0,0,ROW()-1,33),ROW()-1,FALSE))</f>
        <v>6.1523416999999997E-2</v>
      </c>
      <c r="I277">
        <f ca="1">IF(AND(ISNUMBER($I$680),$B$427=1),$I$680,HLOOKUP(INDIRECT(ADDRESS(2,COLUMN())),OFFSET($AM$2,0,0,ROW()-1,33),ROW()-1,FALSE))</f>
        <v>5.8054587999999997E-2</v>
      </c>
      <c r="J277">
        <f ca="1">IF(AND(ISNUMBER($J$680),$B$427=1),$J$680,HLOOKUP(INDIRECT(ADDRESS(2,COLUMN())),OFFSET($AM$2,0,0,ROW()-1,33),ROW()-1,FALSE))</f>
        <v>7.0402081000000005E-2</v>
      </c>
      <c r="K277">
        <f ca="1">IF(AND(ISNUMBER($K$680),$B$427=1),$K$680,HLOOKUP(INDIRECT(ADDRESS(2,COLUMN())),OFFSET($AM$2,0,0,ROW()-1,33),ROW()-1,FALSE))</f>
        <v>7.0410244999999996E-2</v>
      </c>
      <c r="L277">
        <f ca="1">IF(AND(ISNUMBER($L$680),$B$427=1),$L$680,HLOOKUP(INDIRECT(ADDRESS(2,COLUMN())),OFFSET($AM$2,0,0,ROW()-1,33),ROW()-1,FALSE))</f>
        <v>4.7310379999999999E-2</v>
      </c>
      <c r="M277">
        <f ca="1">IF(AND(ISNUMBER($M$680),$B$427=1),$M$680,HLOOKUP(INDIRECT(ADDRESS(2,COLUMN())),OFFSET($AM$2,0,0,ROW()-1,33),ROW()-1,FALSE))</f>
        <v>8.0995463000000004E-2</v>
      </c>
      <c r="N277">
        <f ca="1">IF(AND(ISNUMBER($N$680),$B$427=1),$N$680,HLOOKUP(INDIRECT(ADDRESS(2,COLUMN())),OFFSET($AM$2,0,0,ROW()-1,33),ROW()-1,FALSE))</f>
        <v>0.121775855</v>
      </c>
      <c r="O277">
        <f ca="1">IF(AND(ISNUMBER($O$680),$B$427=1),$O$680,HLOOKUP(INDIRECT(ADDRESS(2,COLUMN())),OFFSET($AM$2,0,0,ROW()-1,33),ROW()-1,FALSE))</f>
        <v>0.153945112</v>
      </c>
      <c r="P277">
        <f ca="1">IF(AND(ISNUMBER($P$680),$B$427=1),$P$680,HLOOKUP(INDIRECT(ADDRESS(2,COLUMN())),OFFSET($AM$2,0,0,ROW()-1,33),ROW()-1,FALSE))</f>
        <v>0.176855067</v>
      </c>
      <c r="Q277">
        <f ca="1">IF(AND(ISNUMBER($Q$680),$B$427=1),$Q$680,HLOOKUP(INDIRECT(ADDRESS(2,COLUMN())),OFFSET($AM$2,0,0,ROW()-1,33),ROW()-1,FALSE))</f>
        <v>0.14780975199999999</v>
      </c>
      <c r="R277">
        <f ca="1">IF(AND(ISNUMBER($R$680),$B$427=1),$R$680,HLOOKUP(INDIRECT(ADDRESS(2,COLUMN())),OFFSET($AM$2,0,0,ROW()-1,33),ROW()-1,FALSE))</f>
        <v>0.124040943</v>
      </c>
      <c r="S277">
        <f ca="1">IF(AND(ISNUMBER($S$680),$B$427=1),$S$680,HLOOKUP(INDIRECT(ADDRESS(2,COLUMN())),OFFSET($AM$2,0,0,ROW()-1,33),ROW()-1,FALSE))</f>
        <v>0.29744894700000002</v>
      </c>
      <c r="T277">
        <f ca="1">IF(AND(ISNUMBER($T$680),$B$427=1),$T$680,HLOOKUP(INDIRECT(ADDRESS(2,COLUMN())),OFFSET($AM$2,0,0,ROW()-1,33),ROW()-1,FALSE))</f>
        <v>0.160296413</v>
      </c>
      <c r="U277">
        <f ca="1">IF(AND(ISNUMBER($U$680),$B$427=1),$U$680,HLOOKUP(INDIRECT(ADDRESS(2,COLUMN())),OFFSET($AM$2,0,0,ROW()-1,33),ROW()-1,FALSE))</f>
        <v>0.10013725</v>
      </c>
      <c r="V277">
        <f ca="1">IF(AND(ISNUMBER($V$680),$B$427=1),$V$680,HLOOKUP(INDIRECT(ADDRESS(2,COLUMN())),OFFSET($AM$2,0,0,ROW()-1,33),ROW()-1,FALSE))</f>
        <v>0.147536168</v>
      </c>
      <c r="W277">
        <f ca="1">IF(AND(ISNUMBER($W$680),$B$427=1),$W$680,HLOOKUP(INDIRECT(ADDRESS(2,COLUMN())),OFFSET($AM$2,0,0,ROW()-1,33),ROW()-1,FALSE))</f>
        <v>0.172966326</v>
      </c>
      <c r="X277">
        <f ca="1">IF(AND(ISNUMBER($X$680),$B$427=1),$X$680,HLOOKUP(INDIRECT(ADDRESS(2,COLUMN())),OFFSET($AM$2,0,0,ROW()-1,33),ROW()-1,FALSE))</f>
        <v>0.28286696099999997</v>
      </c>
      <c r="Y277" t="str">
        <f ca="1">IF(AND(ISNUMBER($Y$680),$B$427=1),$Y$680,HLOOKUP(INDIRECT(ADDRESS(2,COLUMN())),OFFSET($AM$2,0,0,ROW()-1,33),ROW()-1,FALSE))</f>
        <v/>
      </c>
      <c r="Z277" t="str">
        <f ca="1">IF(AND(ISNUMBER($Z$680),$B$427=1),$Z$680,HLOOKUP(INDIRECT(ADDRESS(2,COLUMN())),OFFSET($AM$2,0,0,ROW()-1,33),ROW()-1,FALSE))</f>
        <v/>
      </c>
      <c r="AA277" t="str">
        <f ca="1">IF(AND(ISNUMBER($AA$680),$B$427=1),$AA$680,HLOOKUP(INDIRECT(ADDRESS(2,COLUMN())),OFFSET($AM$2,0,0,ROW()-1,33),ROW()-1,FALSE))</f>
        <v/>
      </c>
      <c r="AB277" t="str">
        <f ca="1">IF(AND(ISNUMBER($AB$680),$B$427=1),$AB$680,HLOOKUP(INDIRECT(ADDRESS(2,COLUMN())),OFFSET($AM$2,0,0,ROW()-1,33),ROW()-1,FALSE))</f>
        <v/>
      </c>
      <c r="AC277" t="str">
        <f ca="1">IF(AND(ISNUMBER($AC$680),$B$427=1),$AC$680,HLOOKUP(INDIRECT(ADDRESS(2,COLUMN())),OFFSET($AM$2,0,0,ROW()-1,33),ROW()-1,FALSE))</f>
        <v/>
      </c>
      <c r="AD277" t="str">
        <f ca="1">IF(AND(ISNUMBER($AD$680),$B$427=1),$AD$680,HLOOKUP(INDIRECT(ADDRESS(2,COLUMN())),OFFSET($AM$2,0,0,ROW()-1,33),ROW()-1,FALSE))</f>
        <v/>
      </c>
      <c r="AE277" t="str">
        <f ca="1">IF(AND(ISNUMBER($AE$680),$B$427=1),$AE$680,HLOOKUP(INDIRECT(ADDRESS(2,COLUMN())),OFFSET($AM$2,0,0,ROW()-1,33),ROW()-1,FALSE))</f>
        <v/>
      </c>
      <c r="AF277" t="str">
        <f ca="1">IF(AND(ISNUMBER($AF$680),$B$427=1),$AF$680,HLOOKUP(INDIRECT(ADDRESS(2,COLUMN())),OFFSET($AM$2,0,0,ROW()-1,33),ROW()-1,FALSE))</f>
        <v/>
      </c>
      <c r="AG277" t="str">
        <f ca="1">IF(AND(ISNUMBER($AG$680),$B$427=1),$AG$680,HLOOKUP(INDIRECT(ADDRESS(2,COLUMN())),OFFSET($AM$2,0,0,ROW()-1,33),ROW()-1,FALSE))</f>
        <v/>
      </c>
      <c r="AH277" t="str">
        <f ca="1">IF(AND(ISNUMBER($AH$680),$B$427=1),$AH$680,HLOOKUP(INDIRECT(ADDRESS(2,COLUMN())),OFFSET($AM$2,0,0,ROW()-1,33),ROW()-1,FALSE))</f>
        <v/>
      </c>
      <c r="AI277" t="str">
        <f ca="1">IF(AND(ISNUMBER($AI$680),$B$427=1),$AI$680,HLOOKUP(INDIRECT(ADDRESS(2,COLUMN())),OFFSET($AM$2,0,0,ROW()-1,33),ROW()-1,FALSE))</f>
        <v/>
      </c>
      <c r="AJ277" t="str">
        <f ca="1">IF(AND(ISNUMBER($AJ$680),$B$427=1),$AJ$680,HLOOKUP(INDIRECT(ADDRESS(2,COLUMN())),OFFSET($AM$2,0,0,ROW()-1,33),ROW()-1,FALSE))</f>
        <v/>
      </c>
      <c r="AK277" t="str">
        <f ca="1">IF(AND(ISNUMBER($AK$680),$B$427=1),$AK$680,HLOOKUP(INDIRECT(ADDRESS(2,COLUMN())),OFFSET($AM$2,0,0,ROW()-1,33),ROW()-1,FALSE))</f>
        <v/>
      </c>
      <c r="AL277" t="str">
        <f ca="1">IF(AND(ISNUMBER($AL$680),$B$427=1),$AL$680,HLOOKUP(INDIRECT(ADDRESS(2,COLUMN())),OFFSET($AM$2,0,0,ROW()-1,33),ROW()-1,FALSE))</f>
        <v/>
      </c>
      <c r="AM277">
        <f>0.020942091</f>
        <v>2.0942090999999999E-2</v>
      </c>
      <c r="AN277">
        <f>0.043689601</f>
        <v>4.3689601000000002E-2</v>
      </c>
      <c r="AO277">
        <f>0.061523417</f>
        <v>6.1523416999999997E-2</v>
      </c>
      <c r="AP277">
        <f>0.058054588</f>
        <v>5.8054587999999997E-2</v>
      </c>
      <c r="AQ277">
        <f>0.070402081</f>
        <v>7.0402081000000005E-2</v>
      </c>
      <c r="AR277">
        <f>0.070410245</f>
        <v>7.0410244999999996E-2</v>
      </c>
      <c r="AS277">
        <f>0.04731038</f>
        <v>4.7310379999999999E-2</v>
      </c>
      <c r="AT277">
        <f>0.080995463</f>
        <v>8.0995463000000004E-2</v>
      </c>
      <c r="AU277">
        <f>0.121775855</f>
        <v>0.121775855</v>
      </c>
      <c r="AV277">
        <f>0.153945112</f>
        <v>0.153945112</v>
      </c>
      <c r="AW277">
        <f>0.176855067</f>
        <v>0.176855067</v>
      </c>
      <c r="AX277">
        <f>0.147809752</f>
        <v>0.14780975199999999</v>
      </c>
      <c r="AY277">
        <f>0.124040943</f>
        <v>0.124040943</v>
      </c>
      <c r="AZ277">
        <f>0.297448947</f>
        <v>0.29744894700000002</v>
      </c>
      <c r="BA277">
        <f>0.160296413</f>
        <v>0.160296413</v>
      </c>
      <c r="BB277">
        <f>0.10013725</f>
        <v>0.10013725</v>
      </c>
      <c r="BC277">
        <f>0.147536168</f>
        <v>0.147536168</v>
      </c>
      <c r="BD277">
        <f>0.172966326</f>
        <v>0.172966326</v>
      </c>
      <c r="BE277">
        <f>0.282866961</f>
        <v>0.28286696099999997</v>
      </c>
      <c r="BF277" t="str">
        <f>""</f>
        <v/>
      </c>
      <c r="BG277" t="str">
        <f>""</f>
        <v/>
      </c>
      <c r="BH277" t="str">
        <f>""</f>
        <v/>
      </c>
      <c r="BI277" t="str">
        <f>""</f>
        <v/>
      </c>
      <c r="BJ277" t="str">
        <f>""</f>
        <v/>
      </c>
      <c r="BK277" t="str">
        <f>""</f>
        <v/>
      </c>
      <c r="BL277" t="str">
        <f>""</f>
        <v/>
      </c>
      <c r="BM277" t="str">
        <f>""</f>
        <v/>
      </c>
      <c r="BN277" t="str">
        <f>""</f>
        <v/>
      </c>
      <c r="BO277" t="str">
        <f>""</f>
        <v/>
      </c>
      <c r="BP277" t="str">
        <f>""</f>
        <v/>
      </c>
      <c r="BQ277" t="str">
        <f>""</f>
        <v/>
      </c>
      <c r="BR277" t="str">
        <f>""</f>
        <v/>
      </c>
      <c r="BS277" t="str">
        <f>""</f>
        <v/>
      </c>
    </row>
    <row r="278" spans="1:71" x14ac:dyDescent="0.25">
      <c r="A278" t="str">
        <f>"        M&amp;T Bank Corp"</f>
        <v xml:space="preserve">        M&amp;T Bank Corp</v>
      </c>
      <c r="B278" t="str">
        <f>"MTB US Equity"</f>
        <v>MTB US Equity</v>
      </c>
      <c r="C278" t="str">
        <f t="shared" si="36"/>
        <v>F0122</v>
      </c>
      <c r="D278" t="str">
        <f t="shared" si="37"/>
        <v>FED_MARGIN_LOANS_%_TOT_LNS_LEAS</v>
      </c>
      <c r="E278" t="str">
        <f t="shared" si="38"/>
        <v>Dynamic</v>
      </c>
      <c r="F278">
        <f ca="1">IF(AND(ISNUMBER($F$681),$B$427=1),$F$681,HLOOKUP(INDIRECT(ADDRESS(2,COLUMN())),OFFSET($AM$2,0,0,ROW()-1,33),ROW()-1,FALSE))</f>
        <v>0.13605862499999999</v>
      </c>
      <c r="G278">
        <f ca="1">IF(AND(ISNUMBER($G$681),$B$427=1),$G$681,HLOOKUP(INDIRECT(ADDRESS(2,COLUMN())),OFFSET($AM$2,0,0,ROW()-1,33),ROW()-1,FALSE))</f>
        <v>0.12052515699999999</v>
      </c>
      <c r="H278">
        <f ca="1">IF(AND(ISNUMBER($H$681),$B$427=1),$H$681,HLOOKUP(INDIRECT(ADDRESS(2,COLUMN())),OFFSET($AM$2,0,0,ROW()-1,33),ROW()-1,FALSE))</f>
        <v>0.143843468</v>
      </c>
      <c r="I278">
        <f ca="1">IF(AND(ISNUMBER($I$681),$B$427=1),$I$681,HLOOKUP(INDIRECT(ADDRESS(2,COLUMN())),OFFSET($AM$2,0,0,ROW()-1,33),ROW()-1,FALSE))</f>
        <v>0.211873646</v>
      </c>
      <c r="J278">
        <f ca="1">IF(AND(ISNUMBER($J$681),$B$427=1),$J$681,HLOOKUP(INDIRECT(ADDRESS(2,COLUMN())),OFFSET($AM$2,0,0,ROW()-1,33),ROW()-1,FALSE))</f>
        <v>0.136537085</v>
      </c>
      <c r="K278">
        <f ca="1">IF(AND(ISNUMBER($K$681),$B$427=1),$K$681,HLOOKUP(INDIRECT(ADDRESS(2,COLUMN())),OFFSET($AM$2,0,0,ROW()-1,33),ROW()-1,FALSE))</f>
        <v>0.13176113</v>
      </c>
      <c r="L278">
        <f ca="1">IF(AND(ISNUMBER($L$681),$B$427=1),$L$681,HLOOKUP(INDIRECT(ADDRESS(2,COLUMN())),OFFSET($AM$2,0,0,ROW()-1,33),ROW()-1,FALSE))</f>
        <v>0.18182706600000001</v>
      </c>
      <c r="M278">
        <f ca="1">IF(AND(ISNUMBER($M$681),$B$427=1),$M$681,HLOOKUP(INDIRECT(ADDRESS(2,COLUMN())),OFFSET($AM$2,0,0,ROW()-1,33),ROW()-1,FALSE))</f>
        <v>0.28946351199999998</v>
      </c>
      <c r="N278">
        <f ca="1">IF(AND(ISNUMBER($N$681),$B$427=1),$N$681,HLOOKUP(INDIRECT(ADDRESS(2,COLUMN())),OFFSET($AM$2,0,0,ROW()-1,33),ROW()-1,FALSE))</f>
        <v>0.44544940399999999</v>
      </c>
      <c r="O278">
        <f ca="1">IF(AND(ISNUMBER($O$681),$B$427=1),$O$681,HLOOKUP(INDIRECT(ADDRESS(2,COLUMN())),OFFSET($AM$2,0,0,ROW()-1,33),ROW()-1,FALSE))</f>
        <v>0.11126821100000001</v>
      </c>
      <c r="P278">
        <f ca="1">IF(AND(ISNUMBER($P$681),$B$427=1),$P$681,HLOOKUP(INDIRECT(ADDRESS(2,COLUMN())),OFFSET($AM$2,0,0,ROW()-1,33),ROW()-1,FALSE))</f>
        <v>0.220312853</v>
      </c>
      <c r="Q278">
        <f ca="1">IF(AND(ISNUMBER($Q$681),$B$427=1),$Q$681,HLOOKUP(INDIRECT(ADDRESS(2,COLUMN())),OFFSET($AM$2,0,0,ROW()-1,33),ROW()-1,FALSE))</f>
        <v>0.45276525200000001</v>
      </c>
      <c r="R278">
        <f ca="1">IF(AND(ISNUMBER($R$681),$B$427=1),$R$681,HLOOKUP(INDIRECT(ADDRESS(2,COLUMN())),OFFSET($AM$2,0,0,ROW()-1,33),ROW()-1,FALSE))</f>
        <v>0.30173969099999998</v>
      </c>
      <c r="S278">
        <f ca="1">IF(AND(ISNUMBER($S$681),$B$427=1),$S$681,HLOOKUP(INDIRECT(ADDRESS(2,COLUMN())),OFFSET($AM$2,0,0,ROW()-1,33),ROW()-1,FALSE))</f>
        <v>0.209691143</v>
      </c>
      <c r="T278">
        <f ca="1">IF(AND(ISNUMBER($T$681),$B$427=1),$T$681,HLOOKUP(INDIRECT(ADDRESS(2,COLUMN())),OFFSET($AM$2,0,0,ROW()-1,33),ROW()-1,FALSE))</f>
        <v>0.218773157</v>
      </c>
      <c r="U278">
        <f ca="1">IF(AND(ISNUMBER($U$681),$B$427=1),$U$681,HLOOKUP(INDIRECT(ADDRESS(2,COLUMN())),OFFSET($AM$2,0,0,ROW()-1,33),ROW()-1,FALSE))</f>
        <v>0.144058094</v>
      </c>
      <c r="V278">
        <f ca="1">IF(AND(ISNUMBER($V$681),$B$427=1),$V$681,HLOOKUP(INDIRECT(ADDRESS(2,COLUMN())),OFFSET($AM$2,0,0,ROW()-1,33),ROW()-1,FALSE))</f>
        <v>0.124123317</v>
      </c>
      <c r="W278">
        <f ca="1">IF(AND(ISNUMBER($W$681),$B$427=1),$W$681,HLOOKUP(INDIRECT(ADDRESS(2,COLUMN())),OFFSET($AM$2,0,0,ROW()-1,33),ROW()-1,FALSE))</f>
        <v>0.14980354000000001</v>
      </c>
      <c r="X278">
        <f ca="1">IF(AND(ISNUMBER($X$681),$B$427=1),$X$681,HLOOKUP(INDIRECT(ADDRESS(2,COLUMN())),OFFSET($AM$2,0,0,ROW()-1,33),ROW()-1,FALSE))</f>
        <v>2.4606903999999999E-2</v>
      </c>
      <c r="Y278" t="str">
        <f ca="1">IF(AND(ISNUMBER($Y$681),$B$427=1),$Y$681,HLOOKUP(INDIRECT(ADDRESS(2,COLUMN())),OFFSET($AM$2,0,0,ROW()-1,33),ROW()-1,FALSE))</f>
        <v/>
      </c>
      <c r="Z278" t="str">
        <f ca="1">IF(AND(ISNUMBER($Z$681),$B$427=1),$Z$681,HLOOKUP(INDIRECT(ADDRESS(2,COLUMN())),OFFSET($AM$2,0,0,ROW()-1,33),ROW()-1,FALSE))</f>
        <v/>
      </c>
      <c r="AA278" t="str">
        <f ca="1">IF(AND(ISNUMBER($AA$681),$B$427=1),$AA$681,HLOOKUP(INDIRECT(ADDRESS(2,COLUMN())),OFFSET($AM$2,0,0,ROW()-1,33),ROW()-1,FALSE))</f>
        <v/>
      </c>
      <c r="AB278" t="str">
        <f ca="1">IF(AND(ISNUMBER($AB$681),$B$427=1),$AB$681,HLOOKUP(INDIRECT(ADDRESS(2,COLUMN())),OFFSET($AM$2,0,0,ROW()-1,33),ROW()-1,FALSE))</f>
        <v/>
      </c>
      <c r="AC278" t="str">
        <f ca="1">IF(AND(ISNUMBER($AC$681),$B$427=1),$AC$681,HLOOKUP(INDIRECT(ADDRESS(2,COLUMN())),OFFSET($AM$2,0,0,ROW()-1,33),ROW()-1,FALSE))</f>
        <v/>
      </c>
      <c r="AD278" t="str">
        <f ca="1">IF(AND(ISNUMBER($AD$681),$B$427=1),$AD$681,HLOOKUP(INDIRECT(ADDRESS(2,COLUMN())),OFFSET($AM$2,0,0,ROW()-1,33),ROW()-1,FALSE))</f>
        <v/>
      </c>
      <c r="AE278" t="str">
        <f ca="1">IF(AND(ISNUMBER($AE$681),$B$427=1),$AE$681,HLOOKUP(INDIRECT(ADDRESS(2,COLUMN())),OFFSET($AM$2,0,0,ROW()-1,33),ROW()-1,FALSE))</f>
        <v/>
      </c>
      <c r="AF278" t="str">
        <f ca="1">IF(AND(ISNUMBER($AF$681),$B$427=1),$AF$681,HLOOKUP(INDIRECT(ADDRESS(2,COLUMN())),OFFSET($AM$2,0,0,ROW()-1,33),ROW()-1,FALSE))</f>
        <v/>
      </c>
      <c r="AG278" t="str">
        <f ca="1">IF(AND(ISNUMBER($AG$681),$B$427=1),$AG$681,HLOOKUP(INDIRECT(ADDRESS(2,COLUMN())),OFFSET($AM$2,0,0,ROW()-1,33),ROW()-1,FALSE))</f>
        <v/>
      </c>
      <c r="AH278" t="str">
        <f ca="1">IF(AND(ISNUMBER($AH$681),$B$427=1),$AH$681,HLOOKUP(INDIRECT(ADDRESS(2,COLUMN())),OFFSET($AM$2,0,0,ROW()-1,33),ROW()-1,FALSE))</f>
        <v/>
      </c>
      <c r="AI278" t="str">
        <f ca="1">IF(AND(ISNUMBER($AI$681),$B$427=1),$AI$681,HLOOKUP(INDIRECT(ADDRESS(2,COLUMN())),OFFSET($AM$2,0,0,ROW()-1,33),ROW()-1,FALSE))</f>
        <v/>
      </c>
      <c r="AJ278" t="str">
        <f ca="1">IF(AND(ISNUMBER($AJ$681),$B$427=1),$AJ$681,HLOOKUP(INDIRECT(ADDRESS(2,COLUMN())),OFFSET($AM$2,0,0,ROW()-1,33),ROW()-1,FALSE))</f>
        <v/>
      </c>
      <c r="AK278" t="str">
        <f ca="1">IF(AND(ISNUMBER($AK$681),$B$427=1),$AK$681,HLOOKUP(INDIRECT(ADDRESS(2,COLUMN())),OFFSET($AM$2,0,0,ROW()-1,33),ROW()-1,FALSE))</f>
        <v/>
      </c>
      <c r="AL278" t="str">
        <f ca="1">IF(AND(ISNUMBER($AL$681),$B$427=1),$AL$681,HLOOKUP(INDIRECT(ADDRESS(2,COLUMN())),OFFSET($AM$2,0,0,ROW()-1,33),ROW()-1,FALSE))</f>
        <v/>
      </c>
      <c r="AM278">
        <f>0.136058625</f>
        <v>0.13605862499999999</v>
      </c>
      <c r="AN278">
        <f>0.120525157</f>
        <v>0.12052515699999999</v>
      </c>
      <c r="AO278">
        <f>0.143843468</f>
        <v>0.143843468</v>
      </c>
      <c r="AP278">
        <f>0.211873646</f>
        <v>0.211873646</v>
      </c>
      <c r="AQ278">
        <f>0.136537085</f>
        <v>0.136537085</v>
      </c>
      <c r="AR278">
        <f>0.13176113</f>
        <v>0.13176113</v>
      </c>
      <c r="AS278">
        <f>0.181827066</f>
        <v>0.18182706600000001</v>
      </c>
      <c r="AT278">
        <f>0.289463512</f>
        <v>0.28946351199999998</v>
      </c>
      <c r="AU278">
        <f>0.445449404</f>
        <v>0.44544940399999999</v>
      </c>
      <c r="AV278">
        <f>0.111268211</f>
        <v>0.11126821100000001</v>
      </c>
      <c r="AW278">
        <f>0.220312853</f>
        <v>0.220312853</v>
      </c>
      <c r="AX278">
        <f>0.452765252</f>
        <v>0.45276525200000001</v>
      </c>
      <c r="AY278">
        <f>0.301739691</f>
        <v>0.30173969099999998</v>
      </c>
      <c r="AZ278">
        <f>0.209691143</f>
        <v>0.209691143</v>
      </c>
      <c r="BA278">
        <f>0.218773157</f>
        <v>0.218773157</v>
      </c>
      <c r="BB278">
        <f>0.144058094</f>
        <v>0.144058094</v>
      </c>
      <c r="BC278">
        <f>0.124123317</f>
        <v>0.124123317</v>
      </c>
      <c r="BD278">
        <f>0.14980354</f>
        <v>0.14980354000000001</v>
      </c>
      <c r="BE278">
        <f>0.024606904</f>
        <v>2.4606903999999999E-2</v>
      </c>
      <c r="BF278" t="str">
        <f>""</f>
        <v/>
      </c>
      <c r="BG278" t="str">
        <f>""</f>
        <v/>
      </c>
      <c r="BH278" t="str">
        <f>""</f>
        <v/>
      </c>
      <c r="BI278" t="str">
        <f>""</f>
        <v/>
      </c>
      <c r="BJ278" t="str">
        <f>""</f>
        <v/>
      </c>
      <c r="BK278" t="str">
        <f>""</f>
        <v/>
      </c>
      <c r="BL278" t="str">
        <f>""</f>
        <v/>
      </c>
      <c r="BM278" t="str">
        <f>""</f>
        <v/>
      </c>
      <c r="BN278" t="str">
        <f>""</f>
        <v/>
      </c>
      <c r="BO278" t="str">
        <f>""</f>
        <v/>
      </c>
      <c r="BP278" t="str">
        <f>""</f>
        <v/>
      </c>
      <c r="BQ278" t="str">
        <f>""</f>
        <v/>
      </c>
      <c r="BR278" t="str">
        <f>""</f>
        <v/>
      </c>
      <c r="BS278" t="str">
        <f>""</f>
        <v/>
      </c>
    </row>
    <row r="279" spans="1:71" x14ac:dyDescent="0.25">
      <c r="A279" t="str">
        <f>"        PNC Financial Services Group I"</f>
        <v xml:space="preserve">        PNC Financial Services Group I</v>
      </c>
      <c r="B279" t="str">
        <f>"PNC US Equity"</f>
        <v>PNC US Equity</v>
      </c>
      <c r="C279" t="str">
        <f t="shared" si="36"/>
        <v>F0122</v>
      </c>
      <c r="D279" t="str">
        <f t="shared" si="37"/>
        <v>FED_MARGIN_LOANS_%_TOT_LNS_LEAS</v>
      </c>
      <c r="E279" t="str">
        <f t="shared" si="38"/>
        <v>Dynamic</v>
      </c>
      <c r="F279" t="str">
        <f ca="1">IF(AND(ISNUMBER($F$682),$B$427=1),$F$682,HLOOKUP(INDIRECT(ADDRESS(2,COLUMN())),OFFSET($AM$2,0,0,ROW()-1,33),ROW()-1,FALSE))</f>
        <v/>
      </c>
      <c r="G279">
        <f ca="1">IF(AND(ISNUMBER($G$682),$B$427=1),$G$682,HLOOKUP(INDIRECT(ADDRESS(2,COLUMN())),OFFSET($AM$2,0,0,ROW()-1,33),ROW()-1,FALSE))</f>
        <v>3.2168877999999998E-2</v>
      </c>
      <c r="H279">
        <f ca="1">IF(AND(ISNUMBER($H$682),$B$427=1),$H$682,HLOOKUP(INDIRECT(ADDRESS(2,COLUMN())),OFFSET($AM$2,0,0,ROW()-1,33),ROW()-1,FALSE))</f>
        <v>5.0328423999999997E-2</v>
      </c>
      <c r="I279">
        <f ca="1">IF(AND(ISNUMBER($I$682),$B$427=1),$I$682,HLOOKUP(INDIRECT(ADDRESS(2,COLUMN())),OFFSET($AM$2,0,0,ROW()-1,33),ROW()-1,FALSE))</f>
        <v>5.4928681E-2</v>
      </c>
      <c r="J279">
        <f ca="1">IF(AND(ISNUMBER($J$682),$B$427=1),$J$682,HLOOKUP(INDIRECT(ADDRESS(2,COLUMN())),OFFSET($AM$2,0,0,ROW()-1,33),ROW()-1,FALSE))</f>
        <v>7.6175715000000005E-2</v>
      </c>
      <c r="K279">
        <f ca="1">IF(AND(ISNUMBER($K$682),$B$427=1),$K$682,HLOOKUP(INDIRECT(ADDRESS(2,COLUMN())),OFFSET($AM$2,0,0,ROW()-1,33),ROW()-1,FALSE))</f>
        <v>4.1001101999999998E-2</v>
      </c>
      <c r="L279">
        <f ca="1">IF(AND(ISNUMBER($L$682),$B$427=1),$L$682,HLOOKUP(INDIRECT(ADDRESS(2,COLUMN())),OFFSET($AM$2,0,0,ROW()-1,33),ROW()-1,FALSE))</f>
        <v>4.3063966000000002E-2</v>
      </c>
      <c r="M279">
        <f ca="1">IF(AND(ISNUMBER($M$682),$B$427=1),$M$682,HLOOKUP(INDIRECT(ADDRESS(2,COLUMN())),OFFSET($AM$2,0,0,ROW()-1,33),ROW()-1,FALSE))</f>
        <v>4.4805744000000002E-2</v>
      </c>
      <c r="N279">
        <f ca="1">IF(AND(ISNUMBER($N$682),$B$427=1),$N$682,HLOOKUP(INDIRECT(ADDRESS(2,COLUMN())),OFFSET($AM$2,0,0,ROW()-1,33),ROW()-1,FALSE))</f>
        <v>4.8586861000000002E-2</v>
      </c>
      <c r="O279">
        <f ca="1">IF(AND(ISNUMBER($O$682),$B$427=1),$O$682,HLOOKUP(INDIRECT(ADDRESS(2,COLUMN())),OFFSET($AM$2,0,0,ROW()-1,33),ROW()-1,FALSE))</f>
        <v>0.11069306299999999</v>
      </c>
      <c r="P279">
        <f ca="1">IF(AND(ISNUMBER($P$682),$B$427=1),$P$682,HLOOKUP(INDIRECT(ADDRESS(2,COLUMN())),OFFSET($AM$2,0,0,ROW()-1,33),ROW()-1,FALSE))</f>
        <v>0.11343484400000001</v>
      </c>
      <c r="Q279">
        <f ca="1">IF(AND(ISNUMBER($Q$682),$B$427=1),$Q$682,HLOOKUP(INDIRECT(ADDRESS(2,COLUMN())),OFFSET($AM$2,0,0,ROW()-1,33),ROW()-1,FALSE))</f>
        <v>5.9262794000000001E-2</v>
      </c>
      <c r="R279">
        <f ca="1">IF(AND(ISNUMBER($R$682),$B$427=1),$R$682,HLOOKUP(INDIRECT(ADDRESS(2,COLUMN())),OFFSET($AM$2,0,0,ROW()-1,33),ROW()-1,FALSE))</f>
        <v>0.100777984</v>
      </c>
      <c r="S279">
        <f ca="1">IF(AND(ISNUMBER($S$682),$B$427=1),$S$682,HLOOKUP(INDIRECT(ADDRESS(2,COLUMN())),OFFSET($AM$2,0,0,ROW()-1,33),ROW()-1,FALSE))</f>
        <v>0.18716435000000001</v>
      </c>
      <c r="T279">
        <f ca="1">IF(AND(ISNUMBER($T$682),$B$427=1),$T$682,HLOOKUP(INDIRECT(ADDRESS(2,COLUMN())),OFFSET($AM$2,0,0,ROW()-1,33),ROW()-1,FALSE))</f>
        <v>5.6885361000000002E-2</v>
      </c>
      <c r="U279">
        <f ca="1">IF(AND(ISNUMBER($U$682),$B$427=1),$U$682,HLOOKUP(INDIRECT(ADDRESS(2,COLUMN())),OFFSET($AM$2,0,0,ROW()-1,33),ROW()-1,FALSE))</f>
        <v>8.4319176999999995E-2</v>
      </c>
      <c r="V279">
        <f ca="1">IF(AND(ISNUMBER($V$682),$B$427=1),$V$682,HLOOKUP(INDIRECT(ADDRESS(2,COLUMN())),OFFSET($AM$2,0,0,ROW()-1,33),ROW()-1,FALSE))</f>
        <v>9.2423738000000005E-2</v>
      </c>
      <c r="W279">
        <f ca="1">IF(AND(ISNUMBER($W$682),$B$427=1),$W$682,HLOOKUP(INDIRECT(ADDRESS(2,COLUMN())),OFFSET($AM$2,0,0,ROW()-1,33),ROW()-1,FALSE))</f>
        <v>0.33099641299999999</v>
      </c>
      <c r="X279">
        <f ca="1">IF(AND(ISNUMBER($X$682),$B$427=1),$X$682,HLOOKUP(INDIRECT(ADDRESS(2,COLUMN())),OFFSET($AM$2,0,0,ROW()-1,33),ROW()-1,FALSE))</f>
        <v>0.42185674699999998</v>
      </c>
      <c r="Y279" t="str">
        <f ca="1">IF(AND(ISNUMBER($Y$682),$B$427=1),$Y$682,HLOOKUP(INDIRECT(ADDRESS(2,COLUMN())),OFFSET($AM$2,0,0,ROW()-1,33),ROW()-1,FALSE))</f>
        <v/>
      </c>
      <c r="Z279" t="str">
        <f ca="1">IF(AND(ISNUMBER($Z$682),$B$427=1),$Z$682,HLOOKUP(INDIRECT(ADDRESS(2,COLUMN())),OFFSET($AM$2,0,0,ROW()-1,33),ROW()-1,FALSE))</f>
        <v/>
      </c>
      <c r="AA279" t="str">
        <f ca="1">IF(AND(ISNUMBER($AA$682),$B$427=1),$AA$682,HLOOKUP(INDIRECT(ADDRESS(2,COLUMN())),OFFSET($AM$2,0,0,ROW()-1,33),ROW()-1,FALSE))</f>
        <v/>
      </c>
      <c r="AB279" t="str">
        <f ca="1">IF(AND(ISNUMBER($AB$682),$B$427=1),$AB$682,HLOOKUP(INDIRECT(ADDRESS(2,COLUMN())),OFFSET($AM$2,0,0,ROW()-1,33),ROW()-1,FALSE))</f>
        <v/>
      </c>
      <c r="AC279" t="str">
        <f ca="1">IF(AND(ISNUMBER($AC$682),$B$427=1),$AC$682,HLOOKUP(INDIRECT(ADDRESS(2,COLUMN())),OFFSET($AM$2,0,0,ROW()-1,33),ROW()-1,FALSE))</f>
        <v/>
      </c>
      <c r="AD279" t="str">
        <f ca="1">IF(AND(ISNUMBER($AD$682),$B$427=1),$AD$682,HLOOKUP(INDIRECT(ADDRESS(2,COLUMN())),OFFSET($AM$2,0,0,ROW()-1,33),ROW()-1,FALSE))</f>
        <v/>
      </c>
      <c r="AE279" t="str">
        <f ca="1">IF(AND(ISNUMBER($AE$682),$B$427=1),$AE$682,HLOOKUP(INDIRECT(ADDRESS(2,COLUMN())),OFFSET($AM$2,0,0,ROW()-1,33),ROW()-1,FALSE))</f>
        <v/>
      </c>
      <c r="AF279" t="str">
        <f ca="1">IF(AND(ISNUMBER($AF$682),$B$427=1),$AF$682,HLOOKUP(INDIRECT(ADDRESS(2,COLUMN())),OFFSET($AM$2,0,0,ROW()-1,33),ROW()-1,FALSE))</f>
        <v/>
      </c>
      <c r="AG279" t="str">
        <f ca="1">IF(AND(ISNUMBER($AG$682),$B$427=1),$AG$682,HLOOKUP(INDIRECT(ADDRESS(2,COLUMN())),OFFSET($AM$2,0,0,ROW()-1,33),ROW()-1,FALSE))</f>
        <v/>
      </c>
      <c r="AH279" t="str">
        <f ca="1">IF(AND(ISNUMBER($AH$682),$B$427=1),$AH$682,HLOOKUP(INDIRECT(ADDRESS(2,COLUMN())),OFFSET($AM$2,0,0,ROW()-1,33),ROW()-1,FALSE))</f>
        <v/>
      </c>
      <c r="AI279" t="str">
        <f ca="1">IF(AND(ISNUMBER($AI$682),$B$427=1),$AI$682,HLOOKUP(INDIRECT(ADDRESS(2,COLUMN())),OFFSET($AM$2,0,0,ROW()-1,33),ROW()-1,FALSE))</f>
        <v/>
      </c>
      <c r="AJ279" t="str">
        <f ca="1">IF(AND(ISNUMBER($AJ$682),$B$427=1),$AJ$682,HLOOKUP(INDIRECT(ADDRESS(2,COLUMN())),OFFSET($AM$2,0,0,ROW()-1,33),ROW()-1,FALSE))</f>
        <v/>
      </c>
      <c r="AK279" t="str">
        <f ca="1">IF(AND(ISNUMBER($AK$682),$B$427=1),$AK$682,HLOOKUP(INDIRECT(ADDRESS(2,COLUMN())),OFFSET($AM$2,0,0,ROW()-1,33),ROW()-1,FALSE))</f>
        <v/>
      </c>
      <c r="AL279" t="str">
        <f ca="1">IF(AND(ISNUMBER($AL$682),$B$427=1),$AL$682,HLOOKUP(INDIRECT(ADDRESS(2,COLUMN())),OFFSET($AM$2,0,0,ROW()-1,33),ROW()-1,FALSE))</f>
        <v/>
      </c>
      <c r="AM279" t="str">
        <f>""</f>
        <v/>
      </c>
      <c r="AN279">
        <f>0.032168878</f>
        <v>3.2168877999999998E-2</v>
      </c>
      <c r="AO279">
        <f>0.050328424</f>
        <v>5.0328423999999997E-2</v>
      </c>
      <c r="AP279">
        <f>0.054928681</f>
        <v>5.4928681E-2</v>
      </c>
      <c r="AQ279">
        <f>0.076175715</f>
        <v>7.6175715000000005E-2</v>
      </c>
      <c r="AR279">
        <f>0.041001102</f>
        <v>4.1001101999999998E-2</v>
      </c>
      <c r="AS279">
        <f>0.043063966</f>
        <v>4.3063966000000002E-2</v>
      </c>
      <c r="AT279">
        <f>0.044805744</f>
        <v>4.4805744000000002E-2</v>
      </c>
      <c r="AU279">
        <f>0.048586861</f>
        <v>4.8586861000000002E-2</v>
      </c>
      <c r="AV279">
        <f>0.110693063</f>
        <v>0.11069306299999999</v>
      </c>
      <c r="AW279">
        <f>0.113434844</f>
        <v>0.11343484400000001</v>
      </c>
      <c r="AX279">
        <f>0.059262794</f>
        <v>5.9262794000000001E-2</v>
      </c>
      <c r="AY279">
        <f>0.100777984</f>
        <v>0.100777984</v>
      </c>
      <c r="AZ279">
        <f>0.18716435</f>
        <v>0.18716435000000001</v>
      </c>
      <c r="BA279">
        <f>0.056885361</f>
        <v>5.6885361000000002E-2</v>
      </c>
      <c r="BB279">
        <f>0.084319177</f>
        <v>8.4319176999999995E-2</v>
      </c>
      <c r="BC279">
        <f>0.092423738</f>
        <v>9.2423738000000005E-2</v>
      </c>
      <c r="BD279">
        <f>0.330996413</f>
        <v>0.33099641299999999</v>
      </c>
      <c r="BE279">
        <f>0.421856747</f>
        <v>0.42185674699999998</v>
      </c>
      <c r="BF279" t="str">
        <f>""</f>
        <v/>
      </c>
      <c r="BG279" t="str">
        <f>""</f>
        <v/>
      </c>
      <c r="BH279" t="str">
        <f>""</f>
        <v/>
      </c>
      <c r="BI279" t="str">
        <f>""</f>
        <v/>
      </c>
      <c r="BJ279" t="str">
        <f>""</f>
        <v/>
      </c>
      <c r="BK279" t="str">
        <f>""</f>
        <v/>
      </c>
      <c r="BL279" t="str">
        <f>""</f>
        <v/>
      </c>
      <c r="BM279" t="str">
        <f>""</f>
        <v/>
      </c>
      <c r="BN279" t="str">
        <f>""</f>
        <v/>
      </c>
      <c r="BO279" t="str">
        <f>""</f>
        <v/>
      </c>
      <c r="BP279" t="str">
        <f>""</f>
        <v/>
      </c>
      <c r="BQ279" t="str">
        <f>""</f>
        <v/>
      </c>
      <c r="BR279" t="str">
        <f>""</f>
        <v/>
      </c>
      <c r="BS279" t="str">
        <f>""</f>
        <v/>
      </c>
    </row>
    <row r="280" spans="1:71" x14ac:dyDescent="0.25">
      <c r="A280" t="str">
        <f>"        Regions Financial Corp"</f>
        <v xml:space="preserve">        Regions Financial Corp</v>
      </c>
      <c r="B280" t="str">
        <f>"RF US Equity"</f>
        <v>RF US Equity</v>
      </c>
      <c r="C280" t="str">
        <f t="shared" si="36"/>
        <v>F0122</v>
      </c>
      <c r="D280" t="str">
        <f t="shared" si="37"/>
        <v>FED_MARGIN_LOANS_%_TOT_LNS_LEAS</v>
      </c>
      <c r="E280" t="str">
        <f t="shared" si="38"/>
        <v>Dynamic</v>
      </c>
      <c r="F280" t="str">
        <f ca="1">IF(AND(ISNUMBER($F$683),$B$427=1),$F$683,HLOOKUP(INDIRECT(ADDRESS(2,COLUMN())),OFFSET($AM$2,0,0,ROW()-1,33),ROW()-1,FALSE))</f>
        <v/>
      </c>
      <c r="G280">
        <f ca="1">IF(AND(ISNUMBER($G$683),$B$427=1),$G$683,HLOOKUP(INDIRECT(ADDRESS(2,COLUMN())),OFFSET($AM$2,0,0,ROW()-1,33),ROW()-1,FALSE))</f>
        <v>0.103278589</v>
      </c>
      <c r="H280">
        <f ca="1">IF(AND(ISNUMBER($H$683),$B$427=1),$H$683,HLOOKUP(INDIRECT(ADDRESS(2,COLUMN())),OFFSET($AM$2,0,0,ROW()-1,33),ROW()-1,FALSE))</f>
        <v>0.16538773700000001</v>
      </c>
      <c r="I280">
        <f ca="1">IF(AND(ISNUMBER($I$683),$B$427=1),$I$683,HLOOKUP(INDIRECT(ADDRESS(2,COLUMN())),OFFSET($AM$2,0,0,ROW()-1,33),ROW()-1,FALSE))</f>
        <v>0.20388852599999999</v>
      </c>
      <c r="J280">
        <f ca="1">IF(AND(ISNUMBER($J$683),$B$427=1),$J$683,HLOOKUP(INDIRECT(ADDRESS(2,COLUMN())),OFFSET($AM$2,0,0,ROW()-1,33),ROW()-1,FALSE))</f>
        <v>0.144555092</v>
      </c>
      <c r="K280">
        <f ca="1">IF(AND(ISNUMBER($K$683),$B$427=1),$K$683,HLOOKUP(INDIRECT(ADDRESS(2,COLUMN())),OFFSET($AM$2,0,0,ROW()-1,33),ROW()-1,FALSE))</f>
        <v>0.107655502</v>
      </c>
      <c r="L280">
        <f ca="1">IF(AND(ISNUMBER($L$683),$B$427=1),$L$683,HLOOKUP(INDIRECT(ADDRESS(2,COLUMN())),OFFSET($AM$2,0,0,ROW()-1,33),ROW()-1,FALSE))</f>
        <v>0.106773276</v>
      </c>
      <c r="M280">
        <f ca="1">IF(AND(ISNUMBER($M$683),$B$427=1),$M$683,HLOOKUP(INDIRECT(ADDRESS(2,COLUMN())),OFFSET($AM$2,0,0,ROW()-1,33),ROW()-1,FALSE))</f>
        <v>7.2239172000000004E-2</v>
      </c>
      <c r="N280">
        <f ca="1">IF(AND(ISNUMBER($N$683),$B$427=1),$N$683,HLOOKUP(INDIRECT(ADDRESS(2,COLUMN())),OFFSET($AM$2,0,0,ROW()-1,33),ROW()-1,FALSE))</f>
        <v>0.14173418600000001</v>
      </c>
      <c r="O280">
        <f ca="1">IF(AND(ISNUMBER($O$683),$B$427=1),$O$683,HLOOKUP(INDIRECT(ADDRESS(2,COLUMN())),OFFSET($AM$2,0,0,ROW()-1,33),ROW()-1,FALSE))</f>
        <v>0.28245003299999999</v>
      </c>
      <c r="P280">
        <f ca="1">IF(AND(ISNUMBER($P$683),$B$427=1),$P$683,HLOOKUP(INDIRECT(ADDRESS(2,COLUMN())),OFFSET($AM$2,0,0,ROW()-1,33),ROW()-1,FALSE))</f>
        <v>0.46373408900000002</v>
      </c>
      <c r="Q280">
        <f ca="1">IF(AND(ISNUMBER($Q$683),$B$427=1),$Q$683,HLOOKUP(INDIRECT(ADDRESS(2,COLUMN())),OFFSET($AM$2,0,0,ROW()-1,33),ROW()-1,FALSE))</f>
        <v>0.61957784299999996</v>
      </c>
      <c r="R280">
        <f ca="1">IF(AND(ISNUMBER($R$683),$B$427=1),$R$683,HLOOKUP(INDIRECT(ADDRESS(2,COLUMN())),OFFSET($AM$2,0,0,ROW()-1,33),ROW()-1,FALSE))</f>
        <v>0.51116889499999996</v>
      </c>
      <c r="S280">
        <f ca="1">IF(AND(ISNUMBER($S$683),$B$427=1),$S$683,HLOOKUP(INDIRECT(ADDRESS(2,COLUMN())),OFFSET($AM$2,0,0,ROW()-1,33),ROW()-1,FALSE))</f>
        <v>0.51837002799999998</v>
      </c>
      <c r="T280">
        <f ca="1">IF(AND(ISNUMBER($T$683),$B$427=1),$T$683,HLOOKUP(INDIRECT(ADDRESS(2,COLUMN())),OFFSET($AM$2,0,0,ROW()-1,33),ROW()-1,FALSE))</f>
        <v>0.56031862399999999</v>
      </c>
      <c r="U280">
        <f ca="1">IF(AND(ISNUMBER($U$683),$B$427=1),$U$683,HLOOKUP(INDIRECT(ADDRESS(2,COLUMN())),OFFSET($AM$2,0,0,ROW()-1,33),ROW()-1,FALSE))</f>
        <v>0.49674036300000002</v>
      </c>
      <c r="V280">
        <f ca="1">IF(AND(ISNUMBER($V$683),$B$427=1),$V$683,HLOOKUP(INDIRECT(ADDRESS(2,COLUMN())),OFFSET($AM$2,0,0,ROW()-1,33),ROW()-1,FALSE))</f>
        <v>0.47908592</v>
      </c>
      <c r="W280">
        <f ca="1">IF(AND(ISNUMBER($W$683),$B$427=1),$W$683,HLOOKUP(INDIRECT(ADDRESS(2,COLUMN())),OFFSET($AM$2,0,0,ROW()-1,33),ROW()-1,FALSE))</f>
        <v>0.42728106500000002</v>
      </c>
      <c r="X280">
        <f ca="1">IF(AND(ISNUMBER($X$683),$B$427=1),$X$683,HLOOKUP(INDIRECT(ADDRESS(2,COLUMN())),OFFSET($AM$2,0,0,ROW()-1,33),ROW()-1,FALSE))</f>
        <v>0.35737664099999999</v>
      </c>
      <c r="Y280" t="str">
        <f ca="1">IF(AND(ISNUMBER($Y$683),$B$427=1),$Y$683,HLOOKUP(INDIRECT(ADDRESS(2,COLUMN())),OFFSET($AM$2,0,0,ROW()-1,33),ROW()-1,FALSE))</f>
        <v/>
      </c>
      <c r="Z280" t="str">
        <f ca="1">IF(AND(ISNUMBER($Z$683),$B$427=1),$Z$683,HLOOKUP(INDIRECT(ADDRESS(2,COLUMN())),OFFSET($AM$2,0,0,ROW()-1,33),ROW()-1,FALSE))</f>
        <v/>
      </c>
      <c r="AA280" t="str">
        <f ca="1">IF(AND(ISNUMBER($AA$683),$B$427=1),$AA$683,HLOOKUP(INDIRECT(ADDRESS(2,COLUMN())),OFFSET($AM$2,0,0,ROW()-1,33),ROW()-1,FALSE))</f>
        <v/>
      </c>
      <c r="AB280" t="str">
        <f ca="1">IF(AND(ISNUMBER($AB$683),$B$427=1),$AB$683,HLOOKUP(INDIRECT(ADDRESS(2,COLUMN())),OFFSET($AM$2,0,0,ROW()-1,33),ROW()-1,FALSE))</f>
        <v/>
      </c>
      <c r="AC280" t="str">
        <f ca="1">IF(AND(ISNUMBER($AC$683),$B$427=1),$AC$683,HLOOKUP(INDIRECT(ADDRESS(2,COLUMN())),OFFSET($AM$2,0,0,ROW()-1,33),ROW()-1,FALSE))</f>
        <v/>
      </c>
      <c r="AD280" t="str">
        <f ca="1">IF(AND(ISNUMBER($AD$683),$B$427=1),$AD$683,HLOOKUP(INDIRECT(ADDRESS(2,COLUMN())),OFFSET($AM$2,0,0,ROW()-1,33),ROW()-1,FALSE))</f>
        <v/>
      </c>
      <c r="AE280" t="str">
        <f ca="1">IF(AND(ISNUMBER($AE$683),$B$427=1),$AE$683,HLOOKUP(INDIRECT(ADDRESS(2,COLUMN())),OFFSET($AM$2,0,0,ROW()-1,33),ROW()-1,FALSE))</f>
        <v/>
      </c>
      <c r="AF280" t="str">
        <f ca="1">IF(AND(ISNUMBER($AF$683),$B$427=1),$AF$683,HLOOKUP(INDIRECT(ADDRESS(2,COLUMN())),OFFSET($AM$2,0,0,ROW()-1,33),ROW()-1,FALSE))</f>
        <v/>
      </c>
      <c r="AG280" t="str">
        <f ca="1">IF(AND(ISNUMBER($AG$683),$B$427=1),$AG$683,HLOOKUP(INDIRECT(ADDRESS(2,COLUMN())),OFFSET($AM$2,0,0,ROW()-1,33),ROW()-1,FALSE))</f>
        <v/>
      </c>
      <c r="AH280" t="str">
        <f ca="1">IF(AND(ISNUMBER($AH$683),$B$427=1),$AH$683,HLOOKUP(INDIRECT(ADDRESS(2,COLUMN())),OFFSET($AM$2,0,0,ROW()-1,33),ROW()-1,FALSE))</f>
        <v/>
      </c>
      <c r="AI280" t="str">
        <f ca="1">IF(AND(ISNUMBER($AI$683),$B$427=1),$AI$683,HLOOKUP(INDIRECT(ADDRESS(2,COLUMN())),OFFSET($AM$2,0,0,ROW()-1,33),ROW()-1,FALSE))</f>
        <v/>
      </c>
      <c r="AJ280" t="str">
        <f ca="1">IF(AND(ISNUMBER($AJ$683),$B$427=1),$AJ$683,HLOOKUP(INDIRECT(ADDRESS(2,COLUMN())),OFFSET($AM$2,0,0,ROW()-1,33),ROW()-1,FALSE))</f>
        <v/>
      </c>
      <c r="AK280" t="str">
        <f ca="1">IF(AND(ISNUMBER($AK$683),$B$427=1),$AK$683,HLOOKUP(INDIRECT(ADDRESS(2,COLUMN())),OFFSET($AM$2,0,0,ROW()-1,33),ROW()-1,FALSE))</f>
        <v/>
      </c>
      <c r="AL280" t="str">
        <f ca="1">IF(AND(ISNUMBER($AL$683),$B$427=1),$AL$683,HLOOKUP(INDIRECT(ADDRESS(2,COLUMN())),OFFSET($AM$2,0,0,ROW()-1,33),ROW()-1,FALSE))</f>
        <v/>
      </c>
      <c r="AM280" t="str">
        <f>""</f>
        <v/>
      </c>
      <c r="AN280">
        <f>0.103278589</f>
        <v>0.103278589</v>
      </c>
      <c r="AO280">
        <f>0.165387737</f>
        <v>0.16538773700000001</v>
      </c>
      <c r="AP280">
        <f>0.203888526</f>
        <v>0.20388852599999999</v>
      </c>
      <c r="AQ280">
        <f>0.144555092</f>
        <v>0.144555092</v>
      </c>
      <c r="AR280">
        <f>0.107655502</f>
        <v>0.107655502</v>
      </c>
      <c r="AS280">
        <f>0.106773276</f>
        <v>0.106773276</v>
      </c>
      <c r="AT280">
        <f>0.072239172</f>
        <v>7.2239172000000004E-2</v>
      </c>
      <c r="AU280">
        <f>0.141734186</f>
        <v>0.14173418600000001</v>
      </c>
      <c r="AV280">
        <f>0.282450033</f>
        <v>0.28245003299999999</v>
      </c>
      <c r="AW280">
        <f>0.463734089</f>
        <v>0.46373408900000002</v>
      </c>
      <c r="AX280">
        <f>0.619577843</f>
        <v>0.61957784299999996</v>
      </c>
      <c r="AY280">
        <f>0.511168895</f>
        <v>0.51116889499999996</v>
      </c>
      <c r="AZ280">
        <f>0.518370028</f>
        <v>0.51837002799999998</v>
      </c>
      <c r="BA280">
        <f>0.560318624</f>
        <v>0.56031862399999999</v>
      </c>
      <c r="BB280">
        <f>0.496740363</f>
        <v>0.49674036300000002</v>
      </c>
      <c r="BC280">
        <f>0.47908592</f>
        <v>0.47908592</v>
      </c>
      <c r="BD280">
        <f>0.427281065</f>
        <v>0.42728106500000002</v>
      </c>
      <c r="BE280">
        <f>0.357376641</f>
        <v>0.35737664099999999</v>
      </c>
      <c r="BF280" t="str">
        <f>""</f>
        <v/>
      </c>
      <c r="BG280" t="str">
        <f>""</f>
        <v/>
      </c>
      <c r="BH280" t="str">
        <f>""</f>
        <v/>
      </c>
      <c r="BI280" t="str">
        <f>""</f>
        <v/>
      </c>
      <c r="BJ280" t="str">
        <f>""</f>
        <v/>
      </c>
      <c r="BK280" t="str">
        <f>""</f>
        <v/>
      </c>
      <c r="BL280" t="str">
        <f>""</f>
        <v/>
      </c>
      <c r="BM280" t="str">
        <f>""</f>
        <v/>
      </c>
      <c r="BN280" t="str">
        <f>""</f>
        <v/>
      </c>
      <c r="BO280" t="str">
        <f>""</f>
        <v/>
      </c>
      <c r="BP280" t="str">
        <f>""</f>
        <v/>
      </c>
      <c r="BQ280" t="str">
        <f>""</f>
        <v/>
      </c>
      <c r="BR280" t="str">
        <f>""</f>
        <v/>
      </c>
      <c r="BS280" t="str">
        <f>""</f>
        <v/>
      </c>
    </row>
    <row r="281" spans="1:71" x14ac:dyDescent="0.25">
      <c r="A281" t="str">
        <f>"        Truist Financial Corp"</f>
        <v xml:space="preserve">        Truist Financial Corp</v>
      </c>
      <c r="B281" t="str">
        <f>"TFC US Equity"</f>
        <v>TFC US Equity</v>
      </c>
      <c r="C281" t="str">
        <f t="shared" si="36"/>
        <v>F0122</v>
      </c>
      <c r="D281" t="str">
        <f t="shared" si="37"/>
        <v>FED_MARGIN_LOANS_%_TOT_LNS_LEAS</v>
      </c>
      <c r="E281" t="str">
        <f t="shared" si="38"/>
        <v>Dynamic</v>
      </c>
      <c r="F281">
        <f ca="1">IF(AND(ISNUMBER($F$684),$B$427=1),$F$684,HLOOKUP(INDIRECT(ADDRESS(2,COLUMN())),OFFSET($AM$2,0,0,ROW()-1,33),ROW()-1,FALSE))</f>
        <v>0.21022123600000001</v>
      </c>
      <c r="G281">
        <f ca="1">IF(AND(ISNUMBER($G$684),$B$427=1),$G$684,HLOOKUP(INDIRECT(ADDRESS(2,COLUMN())),OFFSET($AM$2,0,0,ROW()-1,33),ROW()-1,FALSE))</f>
        <v>0.16691080999999999</v>
      </c>
      <c r="H281">
        <f ca="1">IF(AND(ISNUMBER($H$684),$B$427=1),$H$684,HLOOKUP(INDIRECT(ADDRESS(2,COLUMN())),OFFSET($AM$2,0,0,ROW()-1,33),ROW()-1,FALSE))</f>
        <v>0.15514529599999999</v>
      </c>
      <c r="I281">
        <f ca="1">IF(AND(ISNUMBER($I$684),$B$427=1),$I$684,HLOOKUP(INDIRECT(ADDRESS(2,COLUMN())),OFFSET($AM$2,0,0,ROW()-1,33),ROW()-1,FALSE))</f>
        <v>9.0376285000000001E-2</v>
      </c>
      <c r="J281">
        <f ca="1">IF(AND(ISNUMBER($J$684),$B$427=1),$J$684,HLOOKUP(INDIRECT(ADDRESS(2,COLUMN())),OFFSET($AM$2,0,0,ROW()-1,33),ROW()-1,FALSE))</f>
        <v>7.9792538999999996E-2</v>
      </c>
      <c r="K281">
        <f ca="1">IF(AND(ISNUMBER($K$684),$B$427=1),$K$684,HLOOKUP(INDIRECT(ADDRESS(2,COLUMN())),OFFSET($AM$2,0,0,ROW()-1,33),ROW()-1,FALSE))</f>
        <v>0.12231721399999999</v>
      </c>
      <c r="L281">
        <f ca="1">IF(AND(ISNUMBER($L$684),$B$427=1),$L$684,HLOOKUP(INDIRECT(ADDRESS(2,COLUMN())),OFFSET($AM$2,0,0,ROW()-1,33),ROW()-1,FALSE))</f>
        <v>0.47066352900000002</v>
      </c>
      <c r="M281">
        <f ca="1">IF(AND(ISNUMBER($M$684),$B$427=1),$M$684,HLOOKUP(INDIRECT(ADDRESS(2,COLUMN())),OFFSET($AM$2,0,0,ROW()-1,33),ROW()-1,FALSE))</f>
        <v>0.58563535899999997</v>
      </c>
      <c r="N281">
        <f ca="1">IF(AND(ISNUMBER($N$684),$B$427=1),$N$684,HLOOKUP(INDIRECT(ADDRESS(2,COLUMN())),OFFSET($AM$2,0,0,ROW()-1,33),ROW()-1,FALSE))</f>
        <v>0.59624987699999998</v>
      </c>
      <c r="O281">
        <f ca="1">IF(AND(ISNUMBER($O$684),$B$427=1),$O$684,HLOOKUP(INDIRECT(ADDRESS(2,COLUMN())),OFFSET($AM$2,0,0,ROW()-1,33),ROW()-1,FALSE))</f>
        <v>0.496801557</v>
      </c>
      <c r="P281">
        <f ca="1">IF(AND(ISNUMBER($P$684),$B$427=1),$P$684,HLOOKUP(INDIRECT(ADDRESS(2,COLUMN())),OFFSET($AM$2,0,0,ROW()-1,33),ROW()-1,FALSE))</f>
        <v>0.541885748</v>
      </c>
      <c r="Q281">
        <f ca="1">IF(AND(ISNUMBER($Q$684),$B$427=1),$Q$684,HLOOKUP(INDIRECT(ADDRESS(2,COLUMN())),OFFSET($AM$2,0,0,ROW()-1,33),ROW()-1,FALSE))</f>
        <v>0.45402595800000001</v>
      </c>
      <c r="R281">
        <f ca="1">IF(AND(ISNUMBER($R$684),$B$427=1),$R$684,HLOOKUP(INDIRECT(ADDRESS(2,COLUMN())),OFFSET($AM$2,0,0,ROW()-1,33),ROW()-1,FALSE))</f>
        <v>0.34690747199999999</v>
      </c>
      <c r="S281">
        <f ca="1">IF(AND(ISNUMBER($S$684),$B$427=1),$S$684,HLOOKUP(INDIRECT(ADDRESS(2,COLUMN())),OFFSET($AM$2,0,0,ROW()-1,33),ROW()-1,FALSE))</f>
        <v>0.33984035299999998</v>
      </c>
      <c r="T281">
        <f ca="1">IF(AND(ISNUMBER($T$684),$B$427=1),$T$684,HLOOKUP(INDIRECT(ADDRESS(2,COLUMN())),OFFSET($AM$2,0,0,ROW()-1,33),ROW()-1,FALSE))</f>
        <v>0.40296240700000002</v>
      </c>
      <c r="U281">
        <f ca="1">IF(AND(ISNUMBER($U$684),$B$427=1),$U$684,HLOOKUP(INDIRECT(ADDRESS(2,COLUMN())),OFFSET($AM$2,0,0,ROW()-1,33),ROW()-1,FALSE))</f>
        <v>0.44258315500000001</v>
      </c>
      <c r="V281">
        <f ca="1">IF(AND(ISNUMBER($V$684),$B$427=1),$V$684,HLOOKUP(INDIRECT(ADDRESS(2,COLUMN())),OFFSET($AM$2,0,0,ROW()-1,33),ROW()-1,FALSE))</f>
        <v>0.62442775399999995</v>
      </c>
      <c r="W281">
        <f ca="1">IF(AND(ISNUMBER($W$684),$B$427=1),$W$684,HLOOKUP(INDIRECT(ADDRESS(2,COLUMN())),OFFSET($AM$2,0,0,ROW()-1,33),ROW()-1,FALSE))</f>
        <v>0.33296688299999999</v>
      </c>
      <c r="X281">
        <f ca="1">IF(AND(ISNUMBER($X$684),$B$427=1),$X$684,HLOOKUP(INDIRECT(ADDRESS(2,COLUMN())),OFFSET($AM$2,0,0,ROW()-1,33),ROW()-1,FALSE))</f>
        <v>0.27806417500000002</v>
      </c>
      <c r="Y281" t="str">
        <f ca="1">IF(AND(ISNUMBER($Y$684),$B$427=1),$Y$684,HLOOKUP(INDIRECT(ADDRESS(2,COLUMN())),OFFSET($AM$2,0,0,ROW()-1,33),ROW()-1,FALSE))</f>
        <v/>
      </c>
      <c r="Z281" t="str">
        <f ca="1">IF(AND(ISNUMBER($Z$684),$B$427=1),$Z$684,HLOOKUP(INDIRECT(ADDRESS(2,COLUMN())),OFFSET($AM$2,0,0,ROW()-1,33),ROW()-1,FALSE))</f>
        <v/>
      </c>
      <c r="AA281" t="str">
        <f ca="1">IF(AND(ISNUMBER($AA$684),$B$427=1),$AA$684,HLOOKUP(INDIRECT(ADDRESS(2,COLUMN())),OFFSET($AM$2,0,0,ROW()-1,33),ROW()-1,FALSE))</f>
        <v/>
      </c>
      <c r="AB281" t="str">
        <f ca="1">IF(AND(ISNUMBER($AB$684),$B$427=1),$AB$684,HLOOKUP(INDIRECT(ADDRESS(2,COLUMN())),OFFSET($AM$2,0,0,ROW()-1,33),ROW()-1,FALSE))</f>
        <v/>
      </c>
      <c r="AC281" t="str">
        <f ca="1">IF(AND(ISNUMBER($AC$684),$B$427=1),$AC$684,HLOOKUP(INDIRECT(ADDRESS(2,COLUMN())),OFFSET($AM$2,0,0,ROW()-1,33),ROW()-1,FALSE))</f>
        <v/>
      </c>
      <c r="AD281" t="str">
        <f ca="1">IF(AND(ISNUMBER($AD$684),$B$427=1),$AD$684,HLOOKUP(INDIRECT(ADDRESS(2,COLUMN())),OFFSET($AM$2,0,0,ROW()-1,33),ROW()-1,FALSE))</f>
        <v/>
      </c>
      <c r="AE281" t="str">
        <f ca="1">IF(AND(ISNUMBER($AE$684),$B$427=1),$AE$684,HLOOKUP(INDIRECT(ADDRESS(2,COLUMN())),OFFSET($AM$2,0,0,ROW()-1,33),ROW()-1,FALSE))</f>
        <v/>
      </c>
      <c r="AF281" t="str">
        <f ca="1">IF(AND(ISNUMBER($AF$684),$B$427=1),$AF$684,HLOOKUP(INDIRECT(ADDRESS(2,COLUMN())),OFFSET($AM$2,0,0,ROW()-1,33),ROW()-1,FALSE))</f>
        <v/>
      </c>
      <c r="AG281" t="str">
        <f ca="1">IF(AND(ISNUMBER($AG$684),$B$427=1),$AG$684,HLOOKUP(INDIRECT(ADDRESS(2,COLUMN())),OFFSET($AM$2,0,0,ROW()-1,33),ROW()-1,FALSE))</f>
        <v/>
      </c>
      <c r="AH281" t="str">
        <f ca="1">IF(AND(ISNUMBER($AH$684),$B$427=1),$AH$684,HLOOKUP(INDIRECT(ADDRESS(2,COLUMN())),OFFSET($AM$2,0,0,ROW()-1,33),ROW()-1,FALSE))</f>
        <v/>
      </c>
      <c r="AI281" t="str">
        <f ca="1">IF(AND(ISNUMBER($AI$684),$B$427=1),$AI$684,HLOOKUP(INDIRECT(ADDRESS(2,COLUMN())),OFFSET($AM$2,0,0,ROW()-1,33),ROW()-1,FALSE))</f>
        <v/>
      </c>
      <c r="AJ281" t="str">
        <f ca="1">IF(AND(ISNUMBER($AJ$684),$B$427=1),$AJ$684,HLOOKUP(INDIRECT(ADDRESS(2,COLUMN())),OFFSET($AM$2,0,0,ROW()-1,33),ROW()-1,FALSE))</f>
        <v/>
      </c>
      <c r="AK281" t="str">
        <f ca="1">IF(AND(ISNUMBER($AK$684),$B$427=1),$AK$684,HLOOKUP(INDIRECT(ADDRESS(2,COLUMN())),OFFSET($AM$2,0,0,ROW()-1,33),ROW()-1,FALSE))</f>
        <v/>
      </c>
      <c r="AL281" t="str">
        <f ca="1">IF(AND(ISNUMBER($AL$684),$B$427=1),$AL$684,HLOOKUP(INDIRECT(ADDRESS(2,COLUMN())),OFFSET($AM$2,0,0,ROW()-1,33),ROW()-1,FALSE))</f>
        <v/>
      </c>
      <c r="AM281">
        <f>0.210221236</f>
        <v>0.21022123600000001</v>
      </c>
      <c r="AN281">
        <f>0.16691081</f>
        <v>0.16691080999999999</v>
      </c>
      <c r="AO281">
        <f>0.155145296</f>
        <v>0.15514529599999999</v>
      </c>
      <c r="AP281">
        <f>0.090376285</f>
        <v>9.0376285000000001E-2</v>
      </c>
      <c r="AQ281">
        <f>0.079792539</f>
        <v>7.9792538999999996E-2</v>
      </c>
      <c r="AR281">
        <f>0.122317214</f>
        <v>0.12231721399999999</v>
      </c>
      <c r="AS281">
        <f>0.470663529</f>
        <v>0.47066352900000002</v>
      </c>
      <c r="AT281">
        <f>0.585635359</f>
        <v>0.58563535899999997</v>
      </c>
      <c r="AU281">
        <f>0.596249877</f>
        <v>0.59624987699999998</v>
      </c>
      <c r="AV281">
        <f>0.496801557</f>
        <v>0.496801557</v>
      </c>
      <c r="AW281">
        <f>0.541885748</f>
        <v>0.541885748</v>
      </c>
      <c r="AX281">
        <f>0.454025958</f>
        <v>0.45402595800000001</v>
      </c>
      <c r="AY281">
        <f>0.346907472</f>
        <v>0.34690747199999999</v>
      </c>
      <c r="AZ281">
        <f>0.339840353</f>
        <v>0.33984035299999998</v>
      </c>
      <c r="BA281">
        <f>0.402962407</f>
        <v>0.40296240700000002</v>
      </c>
      <c r="BB281">
        <f>0.442583155</f>
        <v>0.44258315500000001</v>
      </c>
      <c r="BC281">
        <f>0.624427754</f>
        <v>0.62442775399999995</v>
      </c>
      <c r="BD281">
        <f>0.332966883</f>
        <v>0.33296688299999999</v>
      </c>
      <c r="BE281">
        <f>0.278064175</f>
        <v>0.27806417500000002</v>
      </c>
      <c r="BF281" t="str">
        <f>""</f>
        <v/>
      </c>
      <c r="BG281" t="str">
        <f>""</f>
        <v/>
      </c>
      <c r="BH281" t="str">
        <f>""</f>
        <v/>
      </c>
      <c r="BI281" t="str">
        <f>""</f>
        <v/>
      </c>
      <c r="BJ281" t="str">
        <f>""</f>
        <v/>
      </c>
      <c r="BK281" t="str">
        <f>""</f>
        <v/>
      </c>
      <c r="BL281" t="str">
        <f>""</f>
        <v/>
      </c>
      <c r="BM281" t="str">
        <f>""</f>
        <v/>
      </c>
      <c r="BN281" t="str">
        <f>""</f>
        <v/>
      </c>
      <c r="BO281" t="str">
        <f>""</f>
        <v/>
      </c>
      <c r="BP281" t="str">
        <f>""</f>
        <v/>
      </c>
      <c r="BQ281" t="str">
        <f>""</f>
        <v/>
      </c>
      <c r="BR281" t="str">
        <f>""</f>
        <v/>
      </c>
      <c r="BS281" t="str">
        <f>""</f>
        <v/>
      </c>
    </row>
    <row r="282" spans="1:71" x14ac:dyDescent="0.25">
      <c r="A282" t="str">
        <f>"        US Bancorp"</f>
        <v xml:space="preserve">        US Bancorp</v>
      </c>
      <c r="B282" t="str">
        <f>"USB US Equity"</f>
        <v>USB US Equity</v>
      </c>
      <c r="C282" t="str">
        <f t="shared" si="36"/>
        <v>F0122</v>
      </c>
      <c r="D282" t="str">
        <f t="shared" si="37"/>
        <v>FED_MARGIN_LOANS_%_TOT_LNS_LEAS</v>
      </c>
      <c r="E282" t="str">
        <f t="shared" si="38"/>
        <v>Dynamic</v>
      </c>
      <c r="F282">
        <f ca="1">IF(AND(ISNUMBER($F$685),$B$427=1),$F$685,HLOOKUP(INDIRECT(ADDRESS(2,COLUMN())),OFFSET($AM$2,0,0,ROW()-1,33),ROW()-1,FALSE))</f>
        <v>0.200049686</v>
      </c>
      <c r="G282">
        <f ca="1">IF(AND(ISNUMBER($G$685),$B$427=1),$G$685,HLOOKUP(INDIRECT(ADDRESS(2,COLUMN())),OFFSET($AM$2,0,0,ROW()-1,33),ROW()-1,FALSE))</f>
        <v>0.32204363400000002</v>
      </c>
      <c r="H282">
        <f ca="1">IF(AND(ISNUMBER($H$685),$B$427=1),$H$685,HLOOKUP(INDIRECT(ADDRESS(2,COLUMN())),OFFSET($AM$2,0,0,ROW()-1,33),ROW()-1,FALSE))</f>
        <v>0.37165770599999998</v>
      </c>
      <c r="I282">
        <f ca="1">IF(AND(ISNUMBER($I$685),$B$427=1),$I$685,HLOOKUP(INDIRECT(ADDRESS(2,COLUMN())),OFFSET($AM$2,0,0,ROW()-1,33),ROW()-1,FALSE))</f>
        <v>0.42213487700000002</v>
      </c>
      <c r="J282">
        <f ca="1">IF(AND(ISNUMBER($J$685),$B$427=1),$J$685,HLOOKUP(INDIRECT(ADDRESS(2,COLUMN())),OFFSET($AM$2,0,0,ROW()-1,33),ROW()-1,FALSE))</f>
        <v>0.44017646199999999</v>
      </c>
      <c r="K282">
        <f ca="1">IF(AND(ISNUMBER($K$685),$B$427=1),$K$685,HLOOKUP(INDIRECT(ADDRESS(2,COLUMN())),OFFSET($AM$2,0,0,ROW()-1,33),ROW()-1,FALSE))</f>
        <v>0.43754972199999997</v>
      </c>
      <c r="L282">
        <f ca="1">IF(AND(ISNUMBER($L$685),$B$427=1),$L$685,HLOOKUP(INDIRECT(ADDRESS(2,COLUMN())),OFFSET($AM$2,0,0,ROW()-1,33),ROW()-1,FALSE))</f>
        <v>0.41970537499999999</v>
      </c>
      <c r="M282">
        <f ca="1">IF(AND(ISNUMBER($M$685),$B$427=1),$M$685,HLOOKUP(INDIRECT(ADDRESS(2,COLUMN())),OFFSET($AM$2,0,0,ROW()-1,33),ROW()-1,FALSE))</f>
        <v>0.46678521499999998</v>
      </c>
      <c r="N282">
        <f ca="1">IF(AND(ISNUMBER($N$685),$B$427=1),$N$685,HLOOKUP(INDIRECT(ADDRESS(2,COLUMN())),OFFSET($AM$2,0,0,ROW()-1,33),ROW()-1,FALSE))</f>
        <v>0.48191206599999997</v>
      </c>
      <c r="O282">
        <f ca="1">IF(AND(ISNUMBER($O$685),$B$427=1),$O$685,HLOOKUP(INDIRECT(ADDRESS(2,COLUMN())),OFFSET($AM$2,0,0,ROW()-1,33),ROW()-1,FALSE))</f>
        <v>0.41102505299999997</v>
      </c>
      <c r="P282">
        <f ca="1">IF(AND(ISNUMBER($P$685),$B$427=1),$P$685,HLOOKUP(INDIRECT(ADDRESS(2,COLUMN())),OFFSET($AM$2,0,0,ROW()-1,33),ROW()-1,FALSE))</f>
        <v>0.396869582</v>
      </c>
      <c r="Q282">
        <f ca="1">IF(AND(ISNUMBER($Q$685),$B$427=1),$Q$685,HLOOKUP(INDIRECT(ADDRESS(2,COLUMN())),OFFSET($AM$2,0,0,ROW()-1,33),ROW()-1,FALSE))</f>
        <v>0.315318928</v>
      </c>
      <c r="R282">
        <f ca="1">IF(AND(ISNUMBER($R$685),$B$427=1),$R$685,HLOOKUP(INDIRECT(ADDRESS(2,COLUMN())),OFFSET($AM$2,0,0,ROW()-1,33),ROW()-1,FALSE))</f>
        <v>0.39560917299999998</v>
      </c>
      <c r="S282">
        <f ca="1">IF(AND(ISNUMBER($S$685),$B$427=1),$S$685,HLOOKUP(INDIRECT(ADDRESS(2,COLUMN())),OFFSET($AM$2,0,0,ROW()-1,33),ROW()-1,FALSE))</f>
        <v>0.33385400900000001</v>
      </c>
      <c r="T282">
        <f ca="1">IF(AND(ISNUMBER($T$685),$B$427=1),$T$685,HLOOKUP(INDIRECT(ADDRESS(2,COLUMN())),OFFSET($AM$2,0,0,ROW()-1,33),ROW()-1,FALSE))</f>
        <v>0.32279591699999999</v>
      </c>
      <c r="U282">
        <f ca="1">IF(AND(ISNUMBER($U$685),$B$427=1),$U$685,HLOOKUP(INDIRECT(ADDRESS(2,COLUMN())),OFFSET($AM$2,0,0,ROW()-1,33),ROW()-1,FALSE))</f>
        <v>0.20348123300000001</v>
      </c>
      <c r="V282">
        <f ca="1">IF(AND(ISNUMBER($V$685),$B$427=1),$V$685,HLOOKUP(INDIRECT(ADDRESS(2,COLUMN())),OFFSET($AM$2,0,0,ROW()-1,33),ROW()-1,FALSE))</f>
        <v>0.22533414800000001</v>
      </c>
      <c r="W282">
        <f ca="1">IF(AND(ISNUMBER($W$685),$B$427=1),$W$685,HLOOKUP(INDIRECT(ADDRESS(2,COLUMN())),OFFSET($AM$2,0,0,ROW()-1,33),ROW()-1,FALSE))</f>
        <v>0.35361748799999998</v>
      </c>
      <c r="X282">
        <f ca="1">IF(AND(ISNUMBER($X$685),$B$427=1),$X$685,HLOOKUP(INDIRECT(ADDRESS(2,COLUMN())),OFFSET($AM$2,0,0,ROW()-1,33),ROW()-1,FALSE))</f>
        <v>0.34524320200000003</v>
      </c>
      <c r="Y282" t="str">
        <f ca="1">IF(AND(ISNUMBER($Y$685),$B$427=1),$Y$685,HLOOKUP(INDIRECT(ADDRESS(2,COLUMN())),OFFSET($AM$2,0,0,ROW()-1,33),ROW()-1,FALSE))</f>
        <v/>
      </c>
      <c r="Z282" t="str">
        <f ca="1">IF(AND(ISNUMBER($Z$685),$B$427=1),$Z$685,HLOOKUP(INDIRECT(ADDRESS(2,COLUMN())),OFFSET($AM$2,0,0,ROW()-1,33),ROW()-1,FALSE))</f>
        <v/>
      </c>
      <c r="AA282" t="str">
        <f ca="1">IF(AND(ISNUMBER($AA$685),$B$427=1),$AA$685,HLOOKUP(INDIRECT(ADDRESS(2,COLUMN())),OFFSET($AM$2,0,0,ROW()-1,33),ROW()-1,FALSE))</f>
        <v/>
      </c>
      <c r="AB282" t="str">
        <f ca="1">IF(AND(ISNUMBER($AB$685),$B$427=1),$AB$685,HLOOKUP(INDIRECT(ADDRESS(2,COLUMN())),OFFSET($AM$2,0,0,ROW()-1,33),ROW()-1,FALSE))</f>
        <v/>
      </c>
      <c r="AC282" t="str">
        <f ca="1">IF(AND(ISNUMBER($AC$685),$B$427=1),$AC$685,HLOOKUP(INDIRECT(ADDRESS(2,COLUMN())),OFFSET($AM$2,0,0,ROW()-1,33),ROW()-1,FALSE))</f>
        <v/>
      </c>
      <c r="AD282" t="str">
        <f ca="1">IF(AND(ISNUMBER($AD$685),$B$427=1),$AD$685,HLOOKUP(INDIRECT(ADDRESS(2,COLUMN())),OFFSET($AM$2,0,0,ROW()-1,33),ROW()-1,FALSE))</f>
        <v/>
      </c>
      <c r="AE282" t="str">
        <f ca="1">IF(AND(ISNUMBER($AE$685),$B$427=1),$AE$685,HLOOKUP(INDIRECT(ADDRESS(2,COLUMN())),OFFSET($AM$2,0,0,ROW()-1,33),ROW()-1,FALSE))</f>
        <v/>
      </c>
      <c r="AF282" t="str">
        <f ca="1">IF(AND(ISNUMBER($AF$685),$B$427=1),$AF$685,HLOOKUP(INDIRECT(ADDRESS(2,COLUMN())),OFFSET($AM$2,0,0,ROW()-1,33),ROW()-1,FALSE))</f>
        <v/>
      </c>
      <c r="AG282" t="str">
        <f ca="1">IF(AND(ISNUMBER($AG$685),$B$427=1),$AG$685,HLOOKUP(INDIRECT(ADDRESS(2,COLUMN())),OFFSET($AM$2,0,0,ROW()-1,33),ROW()-1,FALSE))</f>
        <v/>
      </c>
      <c r="AH282" t="str">
        <f ca="1">IF(AND(ISNUMBER($AH$685),$B$427=1),$AH$685,HLOOKUP(INDIRECT(ADDRESS(2,COLUMN())),OFFSET($AM$2,0,0,ROW()-1,33),ROW()-1,FALSE))</f>
        <v/>
      </c>
      <c r="AI282" t="str">
        <f ca="1">IF(AND(ISNUMBER($AI$685),$B$427=1),$AI$685,HLOOKUP(INDIRECT(ADDRESS(2,COLUMN())),OFFSET($AM$2,0,0,ROW()-1,33),ROW()-1,FALSE))</f>
        <v/>
      </c>
      <c r="AJ282" t="str">
        <f ca="1">IF(AND(ISNUMBER($AJ$685),$B$427=1),$AJ$685,HLOOKUP(INDIRECT(ADDRESS(2,COLUMN())),OFFSET($AM$2,0,0,ROW()-1,33),ROW()-1,FALSE))</f>
        <v/>
      </c>
      <c r="AK282" t="str">
        <f ca="1">IF(AND(ISNUMBER($AK$685),$B$427=1),$AK$685,HLOOKUP(INDIRECT(ADDRESS(2,COLUMN())),OFFSET($AM$2,0,0,ROW()-1,33),ROW()-1,FALSE))</f>
        <v/>
      </c>
      <c r="AL282" t="str">
        <f ca="1">IF(AND(ISNUMBER($AL$685),$B$427=1),$AL$685,HLOOKUP(INDIRECT(ADDRESS(2,COLUMN())),OFFSET($AM$2,0,0,ROW()-1,33),ROW()-1,FALSE))</f>
        <v/>
      </c>
      <c r="AM282">
        <f>0.200049686</f>
        <v>0.200049686</v>
      </c>
      <c r="AN282">
        <f>0.322043634</f>
        <v>0.32204363400000002</v>
      </c>
      <c r="AO282">
        <f>0.371657706</f>
        <v>0.37165770599999998</v>
      </c>
      <c r="AP282">
        <f>0.422134877</f>
        <v>0.42213487700000002</v>
      </c>
      <c r="AQ282">
        <f>0.440176462</f>
        <v>0.44017646199999999</v>
      </c>
      <c r="AR282">
        <f>0.437549722</f>
        <v>0.43754972199999997</v>
      </c>
      <c r="AS282">
        <f>0.419705375</f>
        <v>0.41970537499999999</v>
      </c>
      <c r="AT282">
        <f>0.466785215</f>
        <v>0.46678521499999998</v>
      </c>
      <c r="AU282">
        <f>0.481912066</f>
        <v>0.48191206599999997</v>
      </c>
      <c r="AV282">
        <f>0.411025053</f>
        <v>0.41102505299999997</v>
      </c>
      <c r="AW282">
        <f>0.396869582</f>
        <v>0.396869582</v>
      </c>
      <c r="AX282">
        <f>0.315318928</f>
        <v>0.315318928</v>
      </c>
      <c r="AY282">
        <f>0.395609173</f>
        <v>0.39560917299999998</v>
      </c>
      <c r="AZ282">
        <f>0.333854009</f>
        <v>0.33385400900000001</v>
      </c>
      <c r="BA282">
        <f>0.322795917</f>
        <v>0.32279591699999999</v>
      </c>
      <c r="BB282">
        <f>0.203481233</f>
        <v>0.20348123300000001</v>
      </c>
      <c r="BC282">
        <f>0.225334148</f>
        <v>0.22533414800000001</v>
      </c>
      <c r="BD282">
        <f>0.353617488</f>
        <v>0.35361748799999998</v>
      </c>
      <c r="BE282">
        <f>0.345243202</f>
        <v>0.34524320200000003</v>
      </c>
      <c r="BF282" t="str">
        <f>""</f>
        <v/>
      </c>
      <c r="BG282" t="str">
        <f>""</f>
        <v/>
      </c>
      <c r="BH282" t="str">
        <f>""</f>
        <v/>
      </c>
      <c r="BI282" t="str">
        <f>""</f>
        <v/>
      </c>
      <c r="BJ282" t="str">
        <f>""</f>
        <v/>
      </c>
      <c r="BK282" t="str">
        <f>""</f>
        <v/>
      </c>
      <c r="BL282" t="str">
        <f>""</f>
        <v/>
      </c>
      <c r="BM282" t="str">
        <f>""</f>
        <v/>
      </c>
      <c r="BN282" t="str">
        <f>""</f>
        <v/>
      </c>
      <c r="BO282" t="str">
        <f>""</f>
        <v/>
      </c>
      <c r="BP282" t="str">
        <f>""</f>
        <v/>
      </c>
      <c r="BQ282" t="str">
        <f>""</f>
        <v/>
      </c>
      <c r="BR282" t="str">
        <f>""</f>
        <v/>
      </c>
      <c r="BS282" t="str">
        <f>""</f>
        <v/>
      </c>
    </row>
    <row r="283" spans="1:71" x14ac:dyDescent="0.25">
      <c r="A283" t="str">
        <f>"        Wells Fargo &amp; Co"</f>
        <v xml:space="preserve">        Wells Fargo &amp; Co</v>
      </c>
      <c r="B283" t="str">
        <f>"WFC US Equity"</f>
        <v>WFC US Equity</v>
      </c>
      <c r="C283" t="str">
        <f t="shared" si="36"/>
        <v>F0122</v>
      </c>
      <c r="D283" t="str">
        <f t="shared" si="37"/>
        <v>FED_MARGIN_LOANS_%_TOT_LNS_LEAS</v>
      </c>
      <c r="E283" t="str">
        <f t="shared" si="38"/>
        <v>Dynamic</v>
      </c>
      <c r="F283">
        <f ca="1">IF(AND(ISNUMBER($F$686),$B$427=1),$F$686,HLOOKUP(INDIRECT(ADDRESS(2,COLUMN())),OFFSET($AM$2,0,0,ROW()-1,33),ROW()-1,FALSE))</f>
        <v>1.78803563</v>
      </c>
      <c r="G283">
        <f ca="1">IF(AND(ISNUMBER($G$686),$B$427=1),$G$686,HLOOKUP(INDIRECT(ADDRESS(2,COLUMN())),OFFSET($AM$2,0,0,ROW()-1,33),ROW()-1,FALSE))</f>
        <v>1.271832522</v>
      </c>
      <c r="H283">
        <f ca="1">IF(AND(ISNUMBER($H$686),$B$427=1),$H$686,HLOOKUP(INDIRECT(ADDRESS(2,COLUMN())),OFFSET($AM$2,0,0,ROW()-1,33),ROW()-1,FALSE))</f>
        <v>1.1584914959999999</v>
      </c>
      <c r="I283">
        <f ca="1">IF(AND(ISNUMBER($I$686),$B$427=1),$I$686,HLOOKUP(INDIRECT(ADDRESS(2,COLUMN())),OFFSET($AM$2,0,0,ROW()-1,33),ROW()-1,FALSE))</f>
        <v>1.49939596</v>
      </c>
      <c r="J283">
        <f ca="1">IF(AND(ISNUMBER($J$686),$B$427=1),$J$686,HLOOKUP(INDIRECT(ADDRESS(2,COLUMN())),OFFSET($AM$2,0,0,ROW()-1,33),ROW()-1,FALSE))</f>
        <v>1.489416423</v>
      </c>
      <c r="K283">
        <f ca="1">IF(AND(ISNUMBER($K$686),$B$427=1),$K$686,HLOOKUP(INDIRECT(ADDRESS(2,COLUMN())),OFFSET($AM$2,0,0,ROW()-1,33),ROW()-1,FALSE))</f>
        <v>1.1605876399999999</v>
      </c>
      <c r="L283">
        <f ca="1">IF(AND(ISNUMBER($L$686),$B$427=1),$L$686,HLOOKUP(INDIRECT(ADDRESS(2,COLUMN())),OFFSET($AM$2,0,0,ROW()-1,33),ROW()-1,FALSE))</f>
        <v>1.0180920440000001</v>
      </c>
      <c r="M283">
        <f ca="1">IF(AND(ISNUMBER($M$686),$B$427=1),$M$686,HLOOKUP(INDIRECT(ADDRESS(2,COLUMN())),OFFSET($AM$2,0,0,ROW()-1,33),ROW()-1,FALSE))</f>
        <v>1.046731316</v>
      </c>
      <c r="N283">
        <f ca="1">IF(AND(ISNUMBER($N$686),$B$427=1),$N$686,HLOOKUP(INDIRECT(ADDRESS(2,COLUMN())),OFFSET($AM$2,0,0,ROW()-1,33),ROW()-1,FALSE))</f>
        <v>0.95765058599999997</v>
      </c>
      <c r="O283">
        <f ca="1">IF(AND(ISNUMBER($O$686),$B$427=1),$O$686,HLOOKUP(INDIRECT(ADDRESS(2,COLUMN())),OFFSET($AM$2,0,0,ROW()-1,33),ROW()-1,FALSE))</f>
        <v>1.097199539</v>
      </c>
      <c r="P283">
        <f ca="1">IF(AND(ISNUMBER($P$686),$B$427=1),$P$686,HLOOKUP(INDIRECT(ADDRESS(2,COLUMN())),OFFSET($AM$2,0,0,ROW()-1,33),ROW()-1,FALSE))</f>
        <v>1.1005744900000001</v>
      </c>
      <c r="Q283">
        <f ca="1">IF(AND(ISNUMBER($Q$686),$B$427=1),$Q$686,HLOOKUP(INDIRECT(ADDRESS(2,COLUMN())),OFFSET($AM$2,0,0,ROW()-1,33),ROW()-1,FALSE))</f>
        <v>1.2669228610000001</v>
      </c>
      <c r="R283">
        <f ca="1">IF(AND(ISNUMBER($R$686),$B$427=1),$R$686,HLOOKUP(INDIRECT(ADDRESS(2,COLUMN())),OFFSET($AM$2,0,0,ROW()-1,33),ROW()-1,FALSE))</f>
        <v>1.7338287240000001</v>
      </c>
      <c r="S283">
        <f ca="1">IF(AND(ISNUMBER($S$686),$B$427=1),$S$686,HLOOKUP(INDIRECT(ADDRESS(2,COLUMN())),OFFSET($AM$2,0,0,ROW()-1,33),ROW()-1,FALSE))</f>
        <v>1.24834315</v>
      </c>
      <c r="T283">
        <f ca="1">IF(AND(ISNUMBER($T$686),$B$427=1),$T$686,HLOOKUP(INDIRECT(ADDRESS(2,COLUMN())),OFFSET($AM$2,0,0,ROW()-1,33),ROW()-1,FALSE))</f>
        <v>0.90741014600000003</v>
      </c>
      <c r="U283">
        <f ca="1">IF(AND(ISNUMBER($U$686),$B$427=1),$U$686,HLOOKUP(INDIRECT(ADDRESS(2,COLUMN())),OFFSET($AM$2,0,0,ROW()-1,33),ROW()-1,FALSE))</f>
        <v>0.79072302100000003</v>
      </c>
      <c r="V283">
        <f ca="1">IF(AND(ISNUMBER($V$686),$B$427=1),$V$686,HLOOKUP(INDIRECT(ADDRESS(2,COLUMN())),OFFSET($AM$2,0,0,ROW()-1,33),ROW()-1,FALSE))</f>
        <v>0.71816831199999998</v>
      </c>
      <c r="W283">
        <f ca="1">IF(AND(ISNUMBER($W$686),$B$427=1),$W$686,HLOOKUP(INDIRECT(ADDRESS(2,COLUMN())),OFFSET($AM$2,0,0,ROW()-1,33),ROW()-1,FALSE))</f>
        <v>0.22441323299999999</v>
      </c>
      <c r="X283">
        <f ca="1">IF(AND(ISNUMBER($X$686),$B$427=1),$X$686,HLOOKUP(INDIRECT(ADDRESS(2,COLUMN())),OFFSET($AM$2,0,0,ROW()-1,33),ROW()-1,FALSE))</f>
        <v>0.270754563</v>
      </c>
      <c r="Y283" t="str">
        <f ca="1">IF(AND(ISNUMBER($Y$686),$B$427=1),$Y$686,HLOOKUP(INDIRECT(ADDRESS(2,COLUMN())),OFFSET($AM$2,0,0,ROW()-1,33),ROW()-1,FALSE))</f>
        <v/>
      </c>
      <c r="Z283" t="str">
        <f ca="1">IF(AND(ISNUMBER($Z$686),$B$427=1),$Z$686,HLOOKUP(INDIRECT(ADDRESS(2,COLUMN())),OFFSET($AM$2,0,0,ROW()-1,33),ROW()-1,FALSE))</f>
        <v/>
      </c>
      <c r="AA283" t="str">
        <f ca="1">IF(AND(ISNUMBER($AA$686),$B$427=1),$AA$686,HLOOKUP(INDIRECT(ADDRESS(2,COLUMN())),OFFSET($AM$2,0,0,ROW()-1,33),ROW()-1,FALSE))</f>
        <v/>
      </c>
      <c r="AB283" t="str">
        <f ca="1">IF(AND(ISNUMBER($AB$686),$B$427=1),$AB$686,HLOOKUP(INDIRECT(ADDRESS(2,COLUMN())),OFFSET($AM$2,0,0,ROW()-1,33),ROW()-1,FALSE))</f>
        <v/>
      </c>
      <c r="AC283" t="str">
        <f ca="1">IF(AND(ISNUMBER($AC$686),$B$427=1),$AC$686,HLOOKUP(INDIRECT(ADDRESS(2,COLUMN())),OFFSET($AM$2,0,0,ROW()-1,33),ROW()-1,FALSE))</f>
        <v/>
      </c>
      <c r="AD283" t="str">
        <f ca="1">IF(AND(ISNUMBER($AD$686),$B$427=1),$AD$686,HLOOKUP(INDIRECT(ADDRESS(2,COLUMN())),OFFSET($AM$2,0,0,ROW()-1,33),ROW()-1,FALSE))</f>
        <v/>
      </c>
      <c r="AE283" t="str">
        <f ca="1">IF(AND(ISNUMBER($AE$686),$B$427=1),$AE$686,HLOOKUP(INDIRECT(ADDRESS(2,COLUMN())),OFFSET($AM$2,0,0,ROW()-1,33),ROW()-1,FALSE))</f>
        <v/>
      </c>
      <c r="AF283" t="str">
        <f ca="1">IF(AND(ISNUMBER($AF$686),$B$427=1),$AF$686,HLOOKUP(INDIRECT(ADDRESS(2,COLUMN())),OFFSET($AM$2,0,0,ROW()-1,33),ROW()-1,FALSE))</f>
        <v/>
      </c>
      <c r="AG283" t="str">
        <f ca="1">IF(AND(ISNUMBER($AG$686),$B$427=1),$AG$686,HLOOKUP(INDIRECT(ADDRESS(2,COLUMN())),OFFSET($AM$2,0,0,ROW()-1,33),ROW()-1,FALSE))</f>
        <v/>
      </c>
      <c r="AH283" t="str">
        <f ca="1">IF(AND(ISNUMBER($AH$686),$B$427=1),$AH$686,HLOOKUP(INDIRECT(ADDRESS(2,COLUMN())),OFFSET($AM$2,0,0,ROW()-1,33),ROW()-1,FALSE))</f>
        <v/>
      </c>
      <c r="AI283" t="str">
        <f ca="1">IF(AND(ISNUMBER($AI$686),$B$427=1),$AI$686,HLOOKUP(INDIRECT(ADDRESS(2,COLUMN())),OFFSET($AM$2,0,0,ROW()-1,33),ROW()-1,FALSE))</f>
        <v/>
      </c>
      <c r="AJ283" t="str">
        <f ca="1">IF(AND(ISNUMBER($AJ$686),$B$427=1),$AJ$686,HLOOKUP(INDIRECT(ADDRESS(2,COLUMN())),OFFSET($AM$2,0,0,ROW()-1,33),ROW()-1,FALSE))</f>
        <v/>
      </c>
      <c r="AK283" t="str">
        <f ca="1">IF(AND(ISNUMBER($AK$686),$B$427=1),$AK$686,HLOOKUP(INDIRECT(ADDRESS(2,COLUMN())),OFFSET($AM$2,0,0,ROW()-1,33),ROW()-1,FALSE))</f>
        <v/>
      </c>
      <c r="AL283" t="str">
        <f ca="1">IF(AND(ISNUMBER($AL$686),$B$427=1),$AL$686,HLOOKUP(INDIRECT(ADDRESS(2,COLUMN())),OFFSET($AM$2,0,0,ROW()-1,33),ROW()-1,FALSE))</f>
        <v/>
      </c>
      <c r="AM283">
        <f>1.78803563</f>
        <v>1.78803563</v>
      </c>
      <c r="AN283">
        <f>1.271832522</f>
        <v>1.271832522</v>
      </c>
      <c r="AO283">
        <f>1.158491496</f>
        <v>1.1584914959999999</v>
      </c>
      <c r="AP283">
        <f>1.49939596</f>
        <v>1.49939596</v>
      </c>
      <c r="AQ283">
        <f>1.489416423</f>
        <v>1.489416423</v>
      </c>
      <c r="AR283">
        <f>1.16058764</f>
        <v>1.1605876399999999</v>
      </c>
      <c r="AS283">
        <f>1.018092044</f>
        <v>1.0180920440000001</v>
      </c>
      <c r="AT283">
        <f>1.046731316</f>
        <v>1.046731316</v>
      </c>
      <c r="AU283">
        <f>0.957650586</f>
        <v>0.95765058599999997</v>
      </c>
      <c r="AV283">
        <f>1.097199539</f>
        <v>1.097199539</v>
      </c>
      <c r="AW283">
        <f>1.10057449</f>
        <v>1.1005744900000001</v>
      </c>
      <c r="AX283">
        <f>1.266922861</f>
        <v>1.2669228610000001</v>
      </c>
      <c r="AY283">
        <f>1.733828724</f>
        <v>1.7338287240000001</v>
      </c>
      <c r="AZ283">
        <f>1.24834315</f>
        <v>1.24834315</v>
      </c>
      <c r="BA283">
        <f>0.907410146</f>
        <v>0.90741014600000003</v>
      </c>
      <c r="BB283">
        <f>0.790723021</f>
        <v>0.79072302100000003</v>
      </c>
      <c r="BC283">
        <f>0.718168312</f>
        <v>0.71816831199999998</v>
      </c>
      <c r="BD283">
        <f>0.224413233</f>
        <v>0.22441323299999999</v>
      </c>
      <c r="BE283">
        <f>0.270754563</f>
        <v>0.270754563</v>
      </c>
      <c r="BF283" t="str">
        <f>""</f>
        <v/>
      </c>
      <c r="BG283" t="str">
        <f>""</f>
        <v/>
      </c>
      <c r="BH283" t="str">
        <f>""</f>
        <v/>
      </c>
      <c r="BI283" t="str">
        <f>""</f>
        <v/>
      </c>
      <c r="BJ283" t="str">
        <f>""</f>
        <v/>
      </c>
      <c r="BK283" t="str">
        <f>""</f>
        <v/>
      </c>
      <c r="BL283" t="str">
        <f>""</f>
        <v/>
      </c>
      <c r="BM283" t="str">
        <f>""</f>
        <v/>
      </c>
      <c r="BN283" t="str">
        <f>""</f>
        <v/>
      </c>
      <c r="BO283" t="str">
        <f>""</f>
        <v/>
      </c>
      <c r="BP283" t="str">
        <f>""</f>
        <v/>
      </c>
      <c r="BQ283" t="str">
        <f>""</f>
        <v/>
      </c>
      <c r="BR283" t="str">
        <f>""</f>
        <v/>
      </c>
      <c r="BS283" t="str">
        <f>""</f>
        <v/>
      </c>
    </row>
    <row r="284" spans="1:71" x14ac:dyDescent="0.25">
      <c r="A284" t="str">
        <f>"        Western Alliance Bancorp"</f>
        <v xml:space="preserve">        Western Alliance Bancorp</v>
      </c>
      <c r="B284" t="str">
        <f>"WAL US Equity"</f>
        <v>WAL US Equity</v>
      </c>
      <c r="C284" t="str">
        <f t="shared" si="36"/>
        <v>F0122</v>
      </c>
      <c r="D284" t="str">
        <f t="shared" si="37"/>
        <v>FED_MARGIN_LOANS_%_TOT_LNS_LEAS</v>
      </c>
      <c r="E284" t="str">
        <f t="shared" si="38"/>
        <v>Dynamic</v>
      </c>
      <c r="F284" t="str">
        <f ca="1">IF(AND(ISNUMBER($F$687),$B$427=1),$F$687,HLOOKUP(INDIRECT(ADDRESS(2,COLUMN())),OFFSET($AM$2,0,0,ROW()-1,33),ROW()-1,FALSE))</f>
        <v/>
      </c>
      <c r="G284">
        <f ca="1">IF(AND(ISNUMBER($G$687),$B$427=1),$G$687,HLOOKUP(INDIRECT(ADDRESS(2,COLUMN())),OFFSET($AM$2,0,0,ROW()-1,33),ROW()-1,FALSE))</f>
        <v>0.12854842899999999</v>
      </c>
      <c r="H284">
        <f ca="1">IF(AND(ISNUMBER($H$687),$B$427=1),$H$687,HLOOKUP(INDIRECT(ADDRESS(2,COLUMN())),OFFSET($AM$2,0,0,ROW()-1,33),ROW()-1,FALSE))</f>
        <v>0.12979570600000001</v>
      </c>
      <c r="I284">
        <f ca="1">IF(AND(ISNUMBER($I$687),$B$427=1),$I$687,HLOOKUP(INDIRECT(ADDRESS(2,COLUMN())),OFFSET($AM$2,0,0,ROW()-1,33),ROW()-1,FALSE))</f>
        <v>0.15595014800000001</v>
      </c>
      <c r="J284">
        <f ca="1">IF(AND(ISNUMBER($J$687),$B$427=1),$J$687,HLOOKUP(INDIRECT(ADDRESS(2,COLUMN())),OFFSET($AM$2,0,0,ROW()-1,33),ROW()-1,FALSE))</f>
        <v>0.271156438</v>
      </c>
      <c r="K284">
        <f ca="1">IF(AND(ISNUMBER($K$687),$B$427=1),$K$687,HLOOKUP(INDIRECT(ADDRESS(2,COLUMN())),OFFSET($AM$2,0,0,ROW()-1,33),ROW()-1,FALSE))</f>
        <v>0.31535798199999998</v>
      </c>
      <c r="L284">
        <f ca="1">IF(AND(ISNUMBER($L$687),$B$427=1),$L$687,HLOOKUP(INDIRECT(ADDRESS(2,COLUMN())),OFFSET($AM$2,0,0,ROW()-1,33),ROW()-1,FALSE))</f>
        <v>0.39056772099999998</v>
      </c>
      <c r="M284">
        <f ca="1">IF(AND(ISNUMBER($M$687),$B$427=1),$M$687,HLOOKUP(INDIRECT(ADDRESS(2,COLUMN())),OFFSET($AM$2,0,0,ROW()-1,33),ROW()-1,FALSE))</f>
        <v>0.197496544</v>
      </c>
      <c r="N284">
        <f ca="1">IF(AND(ISNUMBER($N$687),$B$427=1),$N$687,HLOOKUP(INDIRECT(ADDRESS(2,COLUMN())),OFFSET($AM$2,0,0,ROW()-1,33),ROW()-1,FALSE))</f>
        <v>0.23199567300000001</v>
      </c>
      <c r="O284">
        <f ca="1">IF(AND(ISNUMBER($O$687),$B$427=1),$O$687,HLOOKUP(INDIRECT(ADDRESS(2,COLUMN())),OFFSET($AM$2,0,0,ROW()-1,33),ROW()-1,FALSE))</f>
        <v>0.28161038900000002</v>
      </c>
      <c r="P284">
        <f ca="1">IF(AND(ISNUMBER($P$687),$B$427=1),$P$687,HLOOKUP(INDIRECT(ADDRESS(2,COLUMN())),OFFSET($AM$2,0,0,ROW()-1,33),ROW()-1,FALSE))</f>
        <v>0</v>
      </c>
      <c r="Q284">
        <f ca="1">IF(AND(ISNUMBER($Q$687),$B$427=1),$Q$687,HLOOKUP(INDIRECT(ADDRESS(2,COLUMN())),OFFSET($AM$2,0,0,ROW()-1,33),ROW()-1,FALSE))</f>
        <v>0</v>
      </c>
      <c r="R284">
        <f ca="1">IF(AND(ISNUMBER($R$687),$B$427=1),$R$687,HLOOKUP(INDIRECT(ADDRESS(2,COLUMN())),OFFSET($AM$2,0,0,ROW()-1,33),ROW()-1,FALSE))</f>
        <v>0</v>
      </c>
      <c r="S284">
        <f ca="1">IF(AND(ISNUMBER($S$687),$B$427=1),$S$687,HLOOKUP(INDIRECT(ADDRESS(2,COLUMN())),OFFSET($AM$2,0,0,ROW()-1,33),ROW()-1,FALSE))</f>
        <v>0</v>
      </c>
      <c r="T284">
        <f ca="1">IF(AND(ISNUMBER($T$687),$B$427=1),$T$687,HLOOKUP(INDIRECT(ADDRESS(2,COLUMN())),OFFSET($AM$2,0,0,ROW()-1,33),ROW()-1,FALSE))</f>
        <v>0</v>
      </c>
      <c r="U284">
        <f ca="1">IF(AND(ISNUMBER($U$687),$B$427=1),$U$687,HLOOKUP(INDIRECT(ADDRESS(2,COLUMN())),OFFSET($AM$2,0,0,ROW()-1,33),ROW()-1,FALSE))</f>
        <v>0</v>
      </c>
      <c r="V284">
        <f ca="1">IF(AND(ISNUMBER($V$687),$B$427=1),$V$687,HLOOKUP(INDIRECT(ADDRESS(2,COLUMN())),OFFSET($AM$2,0,0,ROW()-1,33),ROW()-1,FALSE))</f>
        <v>1.1692829999999999E-3</v>
      </c>
      <c r="W284">
        <f ca="1">IF(AND(ISNUMBER($W$687),$B$427=1),$W$687,HLOOKUP(INDIRECT(ADDRESS(2,COLUMN())),OFFSET($AM$2,0,0,ROW()-1,33),ROW()-1,FALSE))</f>
        <v>0</v>
      </c>
      <c r="X284">
        <f ca="1">IF(AND(ISNUMBER($X$687),$B$427=1),$X$687,HLOOKUP(INDIRECT(ADDRESS(2,COLUMN())),OFFSET($AM$2,0,0,ROW()-1,33),ROW()-1,FALSE))</f>
        <v>0</v>
      </c>
      <c r="Y284" t="str">
        <f ca="1">IF(AND(ISNUMBER($Y$687),$B$427=1),$Y$687,HLOOKUP(INDIRECT(ADDRESS(2,COLUMN())),OFFSET($AM$2,0,0,ROW()-1,33),ROW()-1,FALSE))</f>
        <v/>
      </c>
      <c r="Z284" t="str">
        <f ca="1">IF(AND(ISNUMBER($Z$687),$B$427=1),$Z$687,HLOOKUP(INDIRECT(ADDRESS(2,COLUMN())),OFFSET($AM$2,0,0,ROW()-1,33),ROW()-1,FALSE))</f>
        <v/>
      </c>
      <c r="AA284" t="str">
        <f ca="1">IF(AND(ISNUMBER($AA$687),$B$427=1),$AA$687,HLOOKUP(INDIRECT(ADDRESS(2,COLUMN())),OFFSET($AM$2,0,0,ROW()-1,33),ROW()-1,FALSE))</f>
        <v/>
      </c>
      <c r="AB284" t="str">
        <f ca="1">IF(AND(ISNUMBER($AB$687),$B$427=1),$AB$687,HLOOKUP(INDIRECT(ADDRESS(2,COLUMN())),OFFSET($AM$2,0,0,ROW()-1,33),ROW()-1,FALSE))</f>
        <v/>
      </c>
      <c r="AC284" t="str">
        <f ca="1">IF(AND(ISNUMBER($AC$687),$B$427=1),$AC$687,HLOOKUP(INDIRECT(ADDRESS(2,COLUMN())),OFFSET($AM$2,0,0,ROW()-1,33),ROW()-1,FALSE))</f>
        <v/>
      </c>
      <c r="AD284" t="str">
        <f ca="1">IF(AND(ISNUMBER($AD$687),$B$427=1),$AD$687,HLOOKUP(INDIRECT(ADDRESS(2,COLUMN())),OFFSET($AM$2,0,0,ROW()-1,33),ROW()-1,FALSE))</f>
        <v/>
      </c>
      <c r="AE284" t="str">
        <f ca="1">IF(AND(ISNUMBER($AE$687),$B$427=1),$AE$687,HLOOKUP(INDIRECT(ADDRESS(2,COLUMN())),OFFSET($AM$2,0,0,ROW()-1,33),ROW()-1,FALSE))</f>
        <v/>
      </c>
      <c r="AF284" t="str">
        <f ca="1">IF(AND(ISNUMBER($AF$687),$B$427=1),$AF$687,HLOOKUP(INDIRECT(ADDRESS(2,COLUMN())),OFFSET($AM$2,0,0,ROW()-1,33),ROW()-1,FALSE))</f>
        <v/>
      </c>
      <c r="AG284" t="str">
        <f ca="1">IF(AND(ISNUMBER($AG$687),$B$427=1),$AG$687,HLOOKUP(INDIRECT(ADDRESS(2,COLUMN())),OFFSET($AM$2,0,0,ROW()-1,33),ROW()-1,FALSE))</f>
        <v/>
      </c>
      <c r="AH284" t="str">
        <f ca="1">IF(AND(ISNUMBER($AH$687),$B$427=1),$AH$687,HLOOKUP(INDIRECT(ADDRESS(2,COLUMN())),OFFSET($AM$2,0,0,ROW()-1,33),ROW()-1,FALSE))</f>
        <v/>
      </c>
      <c r="AI284" t="str">
        <f ca="1">IF(AND(ISNUMBER($AI$687),$B$427=1),$AI$687,HLOOKUP(INDIRECT(ADDRESS(2,COLUMN())),OFFSET($AM$2,0,0,ROW()-1,33),ROW()-1,FALSE))</f>
        <v/>
      </c>
      <c r="AJ284" t="str">
        <f ca="1">IF(AND(ISNUMBER($AJ$687),$B$427=1),$AJ$687,HLOOKUP(INDIRECT(ADDRESS(2,COLUMN())),OFFSET($AM$2,0,0,ROW()-1,33),ROW()-1,FALSE))</f>
        <v/>
      </c>
      <c r="AK284" t="str">
        <f ca="1">IF(AND(ISNUMBER($AK$687),$B$427=1),$AK$687,HLOOKUP(INDIRECT(ADDRESS(2,COLUMN())),OFFSET($AM$2,0,0,ROW()-1,33),ROW()-1,FALSE))</f>
        <v/>
      </c>
      <c r="AL284" t="str">
        <f ca="1">IF(AND(ISNUMBER($AL$687),$B$427=1),$AL$687,HLOOKUP(INDIRECT(ADDRESS(2,COLUMN())),OFFSET($AM$2,0,0,ROW()-1,33),ROW()-1,FALSE))</f>
        <v/>
      </c>
      <c r="AM284" t="str">
        <f>""</f>
        <v/>
      </c>
      <c r="AN284">
        <f>0.128548429</f>
        <v>0.12854842899999999</v>
      </c>
      <c r="AO284">
        <f>0.129795706</f>
        <v>0.12979570600000001</v>
      </c>
      <c r="AP284">
        <f>0.155950148</f>
        <v>0.15595014800000001</v>
      </c>
      <c r="AQ284">
        <f>0.271156438</f>
        <v>0.271156438</v>
      </c>
      <c r="AR284">
        <f>0.315357982</f>
        <v>0.31535798199999998</v>
      </c>
      <c r="AS284">
        <f>0.390567721</f>
        <v>0.39056772099999998</v>
      </c>
      <c r="AT284">
        <f>0.197496544</f>
        <v>0.197496544</v>
      </c>
      <c r="AU284">
        <f>0.231995673</f>
        <v>0.23199567300000001</v>
      </c>
      <c r="AV284">
        <f>0.281610389</f>
        <v>0.28161038900000002</v>
      </c>
      <c r="AW284">
        <f>0</f>
        <v>0</v>
      </c>
      <c r="AX284">
        <f>0</f>
        <v>0</v>
      </c>
      <c r="AY284">
        <f>0</f>
        <v>0</v>
      </c>
      <c r="AZ284">
        <f>0</f>
        <v>0</v>
      </c>
      <c r="BA284">
        <f>0</f>
        <v>0</v>
      </c>
      <c r="BB284">
        <f>0</f>
        <v>0</v>
      </c>
      <c r="BC284">
        <f>0.001169283</f>
        <v>1.1692829999999999E-3</v>
      </c>
      <c r="BD284">
        <f>0</f>
        <v>0</v>
      </c>
      <c r="BE284">
        <f>0</f>
        <v>0</v>
      </c>
      <c r="BF284" t="str">
        <f>""</f>
        <v/>
      </c>
      <c r="BG284" t="str">
        <f>""</f>
        <v/>
      </c>
      <c r="BH284" t="str">
        <f>""</f>
        <v/>
      </c>
      <c r="BI284" t="str">
        <f>""</f>
        <v/>
      </c>
      <c r="BJ284" t="str">
        <f>""</f>
        <v/>
      </c>
      <c r="BK284" t="str">
        <f>""</f>
        <v/>
      </c>
      <c r="BL284" t="str">
        <f>""</f>
        <v/>
      </c>
      <c r="BM284" t="str">
        <f>""</f>
        <v/>
      </c>
      <c r="BN284" t="str">
        <f>""</f>
        <v/>
      </c>
      <c r="BO284" t="str">
        <f>""</f>
        <v/>
      </c>
      <c r="BP284" t="str">
        <f>""</f>
        <v/>
      </c>
      <c r="BQ284" t="str">
        <f>""</f>
        <v/>
      </c>
      <c r="BR284" t="str">
        <f>""</f>
        <v/>
      </c>
      <c r="BS284" t="str">
        <f>""</f>
        <v/>
      </c>
    </row>
    <row r="285" spans="1:71" x14ac:dyDescent="0.25">
      <c r="A285" t="str">
        <f>"        Zions Bancorp NA"</f>
        <v xml:space="preserve">        Zions Bancorp NA</v>
      </c>
      <c r="B285" t="str">
        <f>"ZION US Equity"</f>
        <v>ZION US Equity</v>
      </c>
      <c r="C285" t="str">
        <f t="shared" si="36"/>
        <v>F0122</v>
      </c>
      <c r="D285" t="str">
        <f t="shared" si="37"/>
        <v>FED_MARGIN_LOANS_%_TOT_LNS_LEAS</v>
      </c>
      <c r="E285" t="str">
        <f t="shared" si="38"/>
        <v>Dynamic</v>
      </c>
      <c r="F285" t="str">
        <f ca="1">IF(AND(ISNUMBER($F$688),$B$427=1),$F$688,HLOOKUP(INDIRECT(ADDRESS(2,COLUMN())),OFFSET($AM$2,0,0,ROW()-1,33),ROW()-1,FALSE))</f>
        <v/>
      </c>
      <c r="G285" t="str">
        <f ca="1">IF(AND(ISNUMBER($G$688),$B$427=1),$G$688,HLOOKUP(INDIRECT(ADDRESS(2,COLUMN())),OFFSET($AM$2,0,0,ROW()-1,33),ROW()-1,FALSE))</f>
        <v/>
      </c>
      <c r="H285" t="str">
        <f ca="1">IF(AND(ISNUMBER($H$688),$B$427=1),$H$688,HLOOKUP(INDIRECT(ADDRESS(2,COLUMN())),OFFSET($AM$2,0,0,ROW()-1,33),ROW()-1,FALSE))</f>
        <v/>
      </c>
      <c r="I285" t="str">
        <f ca="1">IF(AND(ISNUMBER($I$688),$B$427=1),$I$688,HLOOKUP(INDIRECT(ADDRESS(2,COLUMN())),OFFSET($AM$2,0,0,ROW()-1,33),ROW()-1,FALSE))</f>
        <v/>
      </c>
      <c r="J285" t="str">
        <f ca="1">IF(AND(ISNUMBER($J$688),$B$427=1),$J$688,HLOOKUP(INDIRECT(ADDRESS(2,COLUMN())),OFFSET($AM$2,0,0,ROW()-1,33),ROW()-1,FALSE))</f>
        <v/>
      </c>
      <c r="K285" t="str">
        <f ca="1">IF(AND(ISNUMBER($K$688),$B$427=1),$K$688,HLOOKUP(INDIRECT(ADDRESS(2,COLUMN())),OFFSET($AM$2,0,0,ROW()-1,33),ROW()-1,FALSE))</f>
        <v/>
      </c>
      <c r="L285" t="str">
        <f ca="1">IF(AND(ISNUMBER($L$688),$B$427=1),$L$688,HLOOKUP(INDIRECT(ADDRESS(2,COLUMN())),OFFSET($AM$2,0,0,ROW()-1,33),ROW()-1,FALSE))</f>
        <v/>
      </c>
      <c r="M285" t="str">
        <f ca="1">IF(AND(ISNUMBER($M$688),$B$427=1),$M$688,HLOOKUP(INDIRECT(ADDRESS(2,COLUMN())),OFFSET($AM$2,0,0,ROW()-1,33),ROW()-1,FALSE))</f>
        <v/>
      </c>
      <c r="N285" t="str">
        <f ca="1">IF(AND(ISNUMBER($N$688),$B$427=1),$N$688,HLOOKUP(INDIRECT(ADDRESS(2,COLUMN())),OFFSET($AM$2,0,0,ROW()-1,33),ROW()-1,FALSE))</f>
        <v/>
      </c>
      <c r="O285" t="str">
        <f ca="1">IF(AND(ISNUMBER($O$688),$B$427=1),$O$688,HLOOKUP(INDIRECT(ADDRESS(2,COLUMN())),OFFSET($AM$2,0,0,ROW()-1,33),ROW()-1,FALSE))</f>
        <v/>
      </c>
      <c r="P285" t="str">
        <f ca="1">IF(AND(ISNUMBER($P$688),$B$427=1),$P$688,HLOOKUP(INDIRECT(ADDRESS(2,COLUMN())),OFFSET($AM$2,0,0,ROW()-1,33),ROW()-1,FALSE))</f>
        <v/>
      </c>
      <c r="Q285" t="str">
        <f ca="1">IF(AND(ISNUMBER($Q$688),$B$427=1),$Q$688,HLOOKUP(INDIRECT(ADDRESS(2,COLUMN())),OFFSET($AM$2,0,0,ROW()-1,33),ROW()-1,FALSE))</f>
        <v/>
      </c>
      <c r="R285" t="str">
        <f ca="1">IF(AND(ISNUMBER($R$688),$B$427=1),$R$688,HLOOKUP(INDIRECT(ADDRESS(2,COLUMN())),OFFSET($AM$2,0,0,ROW()-1,33),ROW()-1,FALSE))</f>
        <v/>
      </c>
      <c r="S285" t="str">
        <f ca="1">IF(AND(ISNUMBER($S$688),$B$427=1),$S$688,HLOOKUP(INDIRECT(ADDRESS(2,COLUMN())),OFFSET($AM$2,0,0,ROW()-1,33),ROW()-1,FALSE))</f>
        <v/>
      </c>
      <c r="T285" t="str">
        <f ca="1">IF(AND(ISNUMBER($T$688),$B$427=1),$T$688,HLOOKUP(INDIRECT(ADDRESS(2,COLUMN())),OFFSET($AM$2,0,0,ROW()-1,33),ROW()-1,FALSE))</f>
        <v/>
      </c>
      <c r="U285" t="str">
        <f ca="1">IF(AND(ISNUMBER($U$688),$B$427=1),$U$688,HLOOKUP(INDIRECT(ADDRESS(2,COLUMN())),OFFSET($AM$2,0,0,ROW()-1,33),ROW()-1,FALSE))</f>
        <v/>
      </c>
      <c r="V285" t="str">
        <f ca="1">IF(AND(ISNUMBER($V$688),$B$427=1),$V$688,HLOOKUP(INDIRECT(ADDRESS(2,COLUMN())),OFFSET($AM$2,0,0,ROW()-1,33),ROW()-1,FALSE))</f>
        <v/>
      </c>
      <c r="W285" t="str">
        <f ca="1">IF(AND(ISNUMBER($W$688),$B$427=1),$W$688,HLOOKUP(INDIRECT(ADDRESS(2,COLUMN())),OFFSET($AM$2,0,0,ROW()-1,33),ROW()-1,FALSE))</f>
        <v/>
      </c>
      <c r="X285" t="str">
        <f ca="1">IF(AND(ISNUMBER($X$688),$B$427=1),$X$688,HLOOKUP(INDIRECT(ADDRESS(2,COLUMN())),OFFSET($AM$2,0,0,ROW()-1,33),ROW()-1,FALSE))</f>
        <v/>
      </c>
      <c r="Y285" t="str">
        <f ca="1">IF(AND(ISNUMBER($Y$688),$B$427=1),$Y$688,HLOOKUP(INDIRECT(ADDRESS(2,COLUMN())),OFFSET($AM$2,0,0,ROW()-1,33),ROW()-1,FALSE))</f>
        <v/>
      </c>
      <c r="Z285" t="str">
        <f ca="1">IF(AND(ISNUMBER($Z$688),$B$427=1),$Z$688,HLOOKUP(INDIRECT(ADDRESS(2,COLUMN())),OFFSET($AM$2,0,0,ROW()-1,33),ROW()-1,FALSE))</f>
        <v/>
      </c>
      <c r="AA285" t="str">
        <f ca="1">IF(AND(ISNUMBER($AA$688),$B$427=1),$AA$688,HLOOKUP(INDIRECT(ADDRESS(2,COLUMN())),OFFSET($AM$2,0,0,ROW()-1,33),ROW()-1,FALSE))</f>
        <v/>
      </c>
      <c r="AB285" t="str">
        <f ca="1">IF(AND(ISNUMBER($AB$688),$B$427=1),$AB$688,HLOOKUP(INDIRECT(ADDRESS(2,COLUMN())),OFFSET($AM$2,0,0,ROW()-1,33),ROW()-1,FALSE))</f>
        <v/>
      </c>
      <c r="AC285" t="str">
        <f ca="1">IF(AND(ISNUMBER($AC$688),$B$427=1),$AC$688,HLOOKUP(INDIRECT(ADDRESS(2,COLUMN())),OFFSET($AM$2,0,0,ROW()-1,33),ROW()-1,FALSE))</f>
        <v/>
      </c>
      <c r="AD285" t="str">
        <f ca="1">IF(AND(ISNUMBER($AD$688),$B$427=1),$AD$688,HLOOKUP(INDIRECT(ADDRESS(2,COLUMN())),OFFSET($AM$2,0,0,ROW()-1,33),ROW()-1,FALSE))</f>
        <v/>
      </c>
      <c r="AE285" t="str">
        <f ca="1">IF(AND(ISNUMBER($AE$688),$B$427=1),$AE$688,HLOOKUP(INDIRECT(ADDRESS(2,COLUMN())),OFFSET($AM$2,0,0,ROW()-1,33),ROW()-1,FALSE))</f>
        <v/>
      </c>
      <c r="AF285" t="str">
        <f ca="1">IF(AND(ISNUMBER($AF$688),$B$427=1),$AF$688,HLOOKUP(INDIRECT(ADDRESS(2,COLUMN())),OFFSET($AM$2,0,0,ROW()-1,33),ROW()-1,FALSE))</f>
        <v/>
      </c>
      <c r="AG285" t="str">
        <f ca="1">IF(AND(ISNUMBER($AG$688),$B$427=1),$AG$688,HLOOKUP(INDIRECT(ADDRESS(2,COLUMN())),OFFSET($AM$2,0,0,ROW()-1,33),ROW()-1,FALSE))</f>
        <v/>
      </c>
      <c r="AH285" t="str">
        <f ca="1">IF(AND(ISNUMBER($AH$688),$B$427=1),$AH$688,HLOOKUP(INDIRECT(ADDRESS(2,COLUMN())),OFFSET($AM$2,0,0,ROW()-1,33),ROW()-1,FALSE))</f>
        <v/>
      </c>
      <c r="AI285" t="str">
        <f ca="1">IF(AND(ISNUMBER($AI$688),$B$427=1),$AI$688,HLOOKUP(INDIRECT(ADDRESS(2,COLUMN())),OFFSET($AM$2,0,0,ROW()-1,33),ROW()-1,FALSE))</f>
        <v/>
      </c>
      <c r="AJ285" t="str">
        <f ca="1">IF(AND(ISNUMBER($AJ$688),$B$427=1),$AJ$688,HLOOKUP(INDIRECT(ADDRESS(2,COLUMN())),OFFSET($AM$2,0,0,ROW()-1,33),ROW()-1,FALSE))</f>
        <v/>
      </c>
      <c r="AK285" t="str">
        <f ca="1">IF(AND(ISNUMBER($AK$688),$B$427=1),$AK$688,HLOOKUP(INDIRECT(ADDRESS(2,COLUMN())),OFFSET($AM$2,0,0,ROW()-1,33),ROW()-1,FALSE))</f>
        <v/>
      </c>
      <c r="AL285" t="str">
        <f ca="1">IF(AND(ISNUMBER($AL$688),$B$427=1),$AL$688,HLOOKUP(INDIRECT(ADDRESS(2,COLUMN())),OFFSET($AM$2,0,0,ROW()-1,33),ROW()-1,FALSE))</f>
        <v/>
      </c>
      <c r="AM285" t="str">
        <f>""</f>
        <v/>
      </c>
      <c r="AN285" t="str">
        <f>""</f>
        <v/>
      </c>
      <c r="AO285" t="str">
        <f>""</f>
        <v/>
      </c>
      <c r="AP285" t="str">
        <f>""</f>
        <v/>
      </c>
      <c r="AQ285" t="str">
        <f>""</f>
        <v/>
      </c>
      <c r="AR285" t="str">
        <f>""</f>
        <v/>
      </c>
      <c r="AS285" t="str">
        <f>""</f>
        <v/>
      </c>
      <c r="AT285" t="str">
        <f>""</f>
        <v/>
      </c>
      <c r="AU285" t="str">
        <f>""</f>
        <v/>
      </c>
      <c r="AV285" t="str">
        <f>""</f>
        <v/>
      </c>
      <c r="AW285" t="str">
        <f>""</f>
        <v/>
      </c>
      <c r="AX285" t="str">
        <f>""</f>
        <v/>
      </c>
      <c r="AY285" t="str">
        <f>""</f>
        <v/>
      </c>
      <c r="AZ285" t="str">
        <f>""</f>
        <v/>
      </c>
      <c r="BA285" t="str">
        <f>""</f>
        <v/>
      </c>
      <c r="BB285" t="str">
        <f>""</f>
        <v/>
      </c>
      <c r="BC285" t="str">
        <f>""</f>
        <v/>
      </c>
      <c r="BD285" t="str">
        <f>""</f>
        <v/>
      </c>
      <c r="BE285" t="str">
        <f>""</f>
        <v/>
      </c>
      <c r="BF285" t="str">
        <f>""</f>
        <v/>
      </c>
      <c r="BG285" t="str">
        <f>""</f>
        <v/>
      </c>
      <c r="BH285" t="str">
        <f>""</f>
        <v/>
      </c>
      <c r="BI285" t="str">
        <f>""</f>
        <v/>
      </c>
      <c r="BJ285" t="str">
        <f>""</f>
        <v/>
      </c>
      <c r="BK285" t="str">
        <f>""</f>
        <v/>
      </c>
      <c r="BL285" t="str">
        <f>""</f>
        <v/>
      </c>
      <c r="BM285" t="str">
        <f>""</f>
        <v/>
      </c>
      <c r="BN285" t="str">
        <f>""</f>
        <v/>
      </c>
      <c r="BO285" t="str">
        <f>""</f>
        <v/>
      </c>
      <c r="BP285" t="str">
        <f>""</f>
        <v/>
      </c>
      <c r="BQ285" t="str">
        <f>""</f>
        <v/>
      </c>
      <c r="BR285" t="str">
        <f>""</f>
        <v/>
      </c>
      <c r="BS285" t="str">
        <f>""</f>
        <v/>
      </c>
    </row>
    <row r="286" spans="1:71" x14ac:dyDescent="0.25">
      <c r="A286" t="str">
        <f>"    Financial Services Companies"</f>
        <v xml:space="preserve">    Financial Services Companies</v>
      </c>
      <c r="B286" t="str">
        <f>""</f>
        <v/>
      </c>
      <c r="E286" t="str">
        <f>"Median"</f>
        <v>Median</v>
      </c>
      <c r="F286">
        <f ca="1">IF(ISERROR(IF(MEDIAN($F$287:$F$306) = 0, "", MEDIAN($F$287:$F$306))), "", (IF(MEDIAN($F$287:$F$306) = 0, "", MEDIAN($F$287:$F$306))))</f>
        <v>9.5629836565000002</v>
      </c>
      <c r="G286">
        <f ca="1">IF(ISERROR(IF(MEDIAN($G$287:$G$306) = 0, "", MEDIAN($G$287:$G$306))), "", (IF(MEDIAN($G$287:$G$306) = 0, "", MEDIAN($G$287:$G$306))))</f>
        <v>6.8381475949999997</v>
      </c>
      <c r="H286">
        <f ca="1">IF(ISERROR(IF(MEDIAN($H$287:$H$306) = 0, "", MEDIAN($H$287:$H$306))), "", (IF(MEDIAN($H$287:$H$306) = 0, "", MEDIAN($H$287:$H$306))))</f>
        <v>7.2991586120000003</v>
      </c>
      <c r="I286">
        <f ca="1">IF(ISERROR(IF(MEDIAN($I$287:$I$306) = 0, "", MEDIAN($I$287:$I$306))), "", (IF(MEDIAN($I$287:$I$306) = 0, "", MEDIAN($I$287:$I$306))))</f>
        <v>6.0171230539999998</v>
      </c>
      <c r="J286">
        <f ca="1">IF(ISERROR(IF(MEDIAN($J$287:$J$306) = 0, "", MEDIAN($J$287:$J$306))), "", (IF(MEDIAN($J$287:$J$306) = 0, "", MEDIAN($J$287:$J$306))))</f>
        <v>5.6372241760000001</v>
      </c>
      <c r="K286">
        <f ca="1">IF(ISERROR(IF(MEDIAN($K$287:$K$306) = 0, "", MEDIAN($K$287:$K$306))), "", (IF(MEDIAN($K$287:$K$306) = 0, "", MEDIAN($K$287:$K$306))))</f>
        <v>4.0743385390000002</v>
      </c>
      <c r="L286">
        <f ca="1">IF(ISERROR(IF(MEDIAN($L$287:$L$306) = 0, "", MEDIAN($L$287:$L$306))), "", (IF(MEDIAN($L$287:$L$306) = 0, "", MEDIAN($L$287:$L$306))))</f>
        <v>4.0559796029999999</v>
      </c>
      <c r="M286">
        <f ca="1">IF(ISERROR(IF(MEDIAN($M$287:$M$306) = 0, "", MEDIAN($M$287:$M$306))), "", (IF(MEDIAN($M$287:$M$306) = 0, "", MEDIAN($M$287:$M$306))))</f>
        <v>3.3743093919999998</v>
      </c>
      <c r="N286">
        <f ca="1">IF(ISERROR(IF(MEDIAN($N$287:$N$306) = 0, "", MEDIAN($N$287:$N$306))), "", (IF(MEDIAN($N$287:$N$306) = 0, "", MEDIAN($N$287:$N$306))))</f>
        <v>3.2834418849999998</v>
      </c>
      <c r="O286">
        <f ca="1">IF(ISERROR(IF(MEDIAN($O$287:$O$306) = 0, "", MEDIAN($O$287:$O$306))), "", (IF(MEDIAN($O$287:$O$306) = 0, "", MEDIAN($O$287:$O$306))))</f>
        <v>3.2834477909999999</v>
      </c>
      <c r="P286">
        <f ca="1">IF(ISERROR(IF(MEDIAN($P$287:$P$306) = 0, "", MEDIAN($P$287:$P$306))), "", (IF(MEDIAN($P$287:$P$306) = 0, "", MEDIAN($P$287:$P$306))))</f>
        <v>2.9958521560000002</v>
      </c>
      <c r="Q286">
        <f ca="1">IF(ISERROR(IF(MEDIAN($Q$287:$Q$306) = 0, "", MEDIAN($Q$287:$Q$306))), "", (IF(MEDIAN($Q$287:$Q$306) = 0, "", MEDIAN($Q$287:$Q$306))))</f>
        <v>1.876865155</v>
      </c>
      <c r="R286">
        <f ca="1">IF(ISERROR(IF(MEDIAN($R$287:$R$306) = 0, "", MEDIAN($R$287:$R$306))), "", (IF(MEDIAN($R$287:$R$306) = 0, "", MEDIAN($R$287:$R$306))))</f>
        <v>1.4995604339999999</v>
      </c>
      <c r="S286">
        <f ca="1">IF(ISERROR(IF(MEDIAN($S$287:$S$306) = 0, "", MEDIAN($S$287:$S$306))), "", (IF(MEDIAN($S$287:$S$306) = 0, "", MEDIAN($S$287:$S$306))))</f>
        <v>1.2140466679999999</v>
      </c>
      <c r="T286">
        <f ca="1">IF(ISERROR(IF(MEDIAN($T$287:$T$306) = 0, "", MEDIAN($T$287:$T$306))), "", (IF(MEDIAN($T$287:$T$306) = 0, "", MEDIAN($T$287:$T$306))))</f>
        <v>1.0455736689999999</v>
      </c>
      <c r="U286" t="str">
        <f ca="1">IF(ISERROR(IF(MEDIAN($U$287:$U$306) = 0, "", MEDIAN($U$287:$U$306))), "", (IF(MEDIAN($U$287:$U$306) = 0, "", MEDIAN($U$287:$U$306))))</f>
        <v/>
      </c>
      <c r="V286" t="str">
        <f ca="1">IF(ISERROR(IF(MEDIAN($V$287:$V$306) = 0, "", MEDIAN($V$287:$V$306))), "", (IF(MEDIAN($V$287:$V$306) = 0, "", MEDIAN($V$287:$V$306))))</f>
        <v/>
      </c>
      <c r="W286" t="str">
        <f ca="1">IF(ISERROR(IF(MEDIAN($W$287:$W$306) = 0, "", MEDIAN($W$287:$W$306))), "", (IF(MEDIAN($W$287:$W$306) = 0, "", MEDIAN($W$287:$W$306))))</f>
        <v/>
      </c>
      <c r="X286" t="str">
        <f ca="1">IF(ISERROR(IF(MEDIAN($X$287:$X$306) = 0, "", MEDIAN($X$287:$X$306))), "", (IF(MEDIAN($X$287:$X$306) = 0, "", MEDIAN($X$287:$X$306))))</f>
        <v/>
      </c>
      <c r="Y286" t="str">
        <f ca="1">IF(ISERROR(IF(MEDIAN($Y$287:$Y$306) = 0, "", MEDIAN($Y$287:$Y$306))), "", (IF(MEDIAN($Y$287:$Y$306) = 0, "", MEDIAN($Y$287:$Y$306))))</f>
        <v/>
      </c>
      <c r="Z286" t="str">
        <f ca="1">IF(ISERROR(IF(MEDIAN($Z$287:$Z$306) = 0, "", MEDIAN($Z$287:$Z$306))), "", (IF(MEDIAN($Z$287:$Z$306) = 0, "", MEDIAN($Z$287:$Z$306))))</f>
        <v/>
      </c>
      <c r="AA286" t="str">
        <f ca="1">IF(ISERROR(IF(MEDIAN($AA$287:$AA$306) = 0, "", MEDIAN($AA$287:$AA$306))), "", (IF(MEDIAN($AA$287:$AA$306) = 0, "", MEDIAN($AA$287:$AA$306))))</f>
        <v/>
      </c>
      <c r="AB286" t="str">
        <f ca="1">IF(ISERROR(IF(MEDIAN($AB$287:$AB$306) = 0, "", MEDIAN($AB$287:$AB$306))), "", (IF(MEDIAN($AB$287:$AB$306) = 0, "", MEDIAN($AB$287:$AB$306))))</f>
        <v/>
      </c>
      <c r="AC286" t="str">
        <f ca="1">IF(ISERROR(IF(MEDIAN($AC$287:$AC$306) = 0, "", MEDIAN($AC$287:$AC$306))), "", (IF(MEDIAN($AC$287:$AC$306) = 0, "", MEDIAN($AC$287:$AC$306))))</f>
        <v/>
      </c>
      <c r="AD286" t="str">
        <f ca="1">IF(ISERROR(IF(MEDIAN($AD$287:$AD$306) = 0, "", MEDIAN($AD$287:$AD$306))), "", (IF(MEDIAN($AD$287:$AD$306) = 0, "", MEDIAN($AD$287:$AD$306))))</f>
        <v/>
      </c>
      <c r="AE286" t="str">
        <f ca="1">IF(ISERROR(IF(MEDIAN($AE$287:$AE$306) = 0, "", MEDIAN($AE$287:$AE$306))), "", (IF(MEDIAN($AE$287:$AE$306) = 0, "", MEDIAN($AE$287:$AE$306))))</f>
        <v/>
      </c>
      <c r="AF286" t="str">
        <f ca="1">IF(ISERROR(IF(MEDIAN($AF$287:$AF$306) = 0, "", MEDIAN($AF$287:$AF$306))), "", (IF(MEDIAN($AF$287:$AF$306) = 0, "", MEDIAN($AF$287:$AF$306))))</f>
        <v/>
      </c>
      <c r="AG286" t="str">
        <f ca="1">IF(ISERROR(IF(MEDIAN($AG$287:$AG$306) = 0, "", MEDIAN($AG$287:$AG$306))), "", (IF(MEDIAN($AG$287:$AG$306) = 0, "", MEDIAN($AG$287:$AG$306))))</f>
        <v/>
      </c>
      <c r="AH286" t="str">
        <f ca="1">IF(ISERROR(IF(MEDIAN($AH$287:$AH$306) = 0, "", MEDIAN($AH$287:$AH$306))), "", (IF(MEDIAN($AH$287:$AH$306) = 0, "", MEDIAN($AH$287:$AH$306))))</f>
        <v/>
      </c>
      <c r="AI286" t="str">
        <f ca="1">IF(ISERROR(IF(MEDIAN($AI$287:$AI$306) = 0, "", MEDIAN($AI$287:$AI$306))), "", (IF(MEDIAN($AI$287:$AI$306) = 0, "", MEDIAN($AI$287:$AI$306))))</f>
        <v/>
      </c>
      <c r="AJ286" t="str">
        <f ca="1">IF(ISERROR(IF(MEDIAN($AJ$287:$AJ$306) = 0, "", MEDIAN($AJ$287:$AJ$306))), "", (IF(MEDIAN($AJ$287:$AJ$306) = 0, "", MEDIAN($AJ$287:$AJ$306))))</f>
        <v/>
      </c>
      <c r="AK286" t="str">
        <f ca="1">IF(ISERROR(IF(MEDIAN($AK$287:$AK$306) = 0, "", MEDIAN($AK$287:$AK$306))), "", (IF(MEDIAN($AK$287:$AK$306) = 0, "", MEDIAN($AK$287:$AK$306))))</f>
        <v/>
      </c>
      <c r="AL286" t="str">
        <f ca="1">IF(ISERROR(IF(MEDIAN($AL$287:$AL$306) = 0, "", MEDIAN($AL$287:$AL$306))), "", (IF(MEDIAN($AL$287:$AL$306) = 0, "", MEDIAN($AL$287:$AL$306))))</f>
        <v/>
      </c>
      <c r="AM286">
        <f>9.562983656</f>
        <v>9.5629836560000001</v>
      </c>
      <c r="AN286">
        <f>6.838147595</f>
        <v>6.8381475949999997</v>
      </c>
      <c r="AO286">
        <f>7.299158612</f>
        <v>7.2991586120000003</v>
      </c>
      <c r="AP286">
        <f>6.017123054</f>
        <v>6.0171230539999998</v>
      </c>
      <c r="AQ286">
        <f>5.637224176</f>
        <v>5.6372241760000001</v>
      </c>
      <c r="AR286">
        <f>4.074338539</f>
        <v>4.0743385390000002</v>
      </c>
      <c r="AS286">
        <f>4.055979603</f>
        <v>4.0559796029999999</v>
      </c>
      <c r="AT286">
        <f>3.374309392</f>
        <v>3.3743093919999998</v>
      </c>
      <c r="AU286">
        <f>3.283441885</f>
        <v>3.2834418849999998</v>
      </c>
      <c r="AV286">
        <f>3.283447791</f>
        <v>3.2834477909999999</v>
      </c>
      <c r="AW286">
        <f>2.995852156</f>
        <v>2.9958521560000002</v>
      </c>
      <c r="AX286">
        <f>1.876865155</f>
        <v>1.876865155</v>
      </c>
      <c r="AY286">
        <f>1.499560434</f>
        <v>1.4995604339999999</v>
      </c>
      <c r="AZ286">
        <f>1.214046668</f>
        <v>1.2140466679999999</v>
      </c>
      <c r="BA286">
        <f>1.045573669</f>
        <v>1.0455736689999999</v>
      </c>
      <c r="BB286" t="str">
        <f>""</f>
        <v/>
      </c>
      <c r="BC286" t="str">
        <f>""</f>
        <v/>
      </c>
      <c r="BD286" t="str">
        <f>""</f>
        <v/>
      </c>
      <c r="BE286" t="str">
        <f>""</f>
        <v/>
      </c>
      <c r="BF286" t="str">
        <f>""</f>
        <v/>
      </c>
      <c r="BG286" t="str">
        <f>""</f>
        <v/>
      </c>
      <c r="BH286" t="str">
        <f>""</f>
        <v/>
      </c>
      <c r="BI286" t="str">
        <f>""</f>
        <v/>
      </c>
      <c r="BJ286" t="str">
        <f>""</f>
        <v/>
      </c>
      <c r="BK286" t="str">
        <f>""</f>
        <v/>
      </c>
      <c r="BL286" t="str">
        <f>""</f>
        <v/>
      </c>
      <c r="BM286" t="str">
        <f>""</f>
        <v/>
      </c>
      <c r="BN286" t="str">
        <f>""</f>
        <v/>
      </c>
      <c r="BO286" t="str">
        <f>""</f>
        <v/>
      </c>
      <c r="BP286" t="str">
        <f>""</f>
        <v/>
      </c>
      <c r="BQ286" t="str">
        <f>""</f>
        <v/>
      </c>
      <c r="BR286" t="str">
        <f>""</f>
        <v/>
      </c>
      <c r="BS286" t="str">
        <f>""</f>
        <v/>
      </c>
    </row>
    <row r="287" spans="1:71" x14ac:dyDescent="0.25">
      <c r="A287" t="str">
        <f>"        Bank of America Corp"</f>
        <v xml:space="preserve">        Bank of America Corp</v>
      </c>
      <c r="B287" t="str">
        <f>"BAC US Equity"</f>
        <v>BAC US Equity</v>
      </c>
      <c r="C287" t="str">
        <f t="shared" ref="C287:C306" si="39">"F0123"</f>
        <v>F0123</v>
      </c>
      <c r="D287" t="str">
        <f t="shared" ref="D287:D306" si="40">"FED_FINL_SRVC_LNS_%_TOT_LNS_LEAS"</f>
        <v>FED_FINL_SRVC_LNS_%_TOT_LNS_LEAS</v>
      </c>
      <c r="E287" t="str">
        <f t="shared" ref="E287:E306" si="41">"Dynamic"</f>
        <v>Dynamic</v>
      </c>
      <c r="F287">
        <f ca="1">IF(AND(ISNUMBER($F$689),$B$427=1),$F$689,HLOOKUP(INDIRECT(ADDRESS(2,COLUMN())),OFFSET($AM$2,0,0,ROW()-1,33),ROW()-1,FALSE))</f>
        <v>10.23949657</v>
      </c>
      <c r="G287">
        <f ca="1">IF(AND(ISNUMBER($G$689),$B$427=1),$G$689,HLOOKUP(INDIRECT(ADDRESS(2,COLUMN())),OFFSET($AM$2,0,0,ROW()-1,33),ROW()-1,FALSE))</f>
        <v>8.9495344360000004</v>
      </c>
      <c r="H287">
        <f ca="1">IF(AND(ISNUMBER($H$689),$B$427=1),$H$689,HLOOKUP(INDIRECT(ADDRESS(2,COLUMN())),OFFSET($AM$2,0,0,ROW()-1,33),ROW()-1,FALSE))</f>
        <v>7.8171094170000002</v>
      </c>
      <c r="I287">
        <f ca="1">IF(AND(ISNUMBER($I$689),$B$427=1),$I$689,HLOOKUP(INDIRECT(ADDRESS(2,COLUMN())),OFFSET($AM$2,0,0,ROW()-1,33),ROW()-1,FALSE))</f>
        <v>7.6235418619999997</v>
      </c>
      <c r="J287">
        <f ca="1">IF(AND(ISNUMBER($J$689),$B$427=1),$J$689,HLOOKUP(INDIRECT(ADDRESS(2,COLUMN())),OFFSET($AM$2,0,0,ROW()-1,33),ROW()-1,FALSE))</f>
        <v>5.6372241760000001</v>
      </c>
      <c r="K287">
        <f ca="1">IF(AND(ISNUMBER($K$689),$B$427=1),$K$689,HLOOKUP(INDIRECT(ADDRESS(2,COLUMN())),OFFSET($AM$2,0,0,ROW()-1,33),ROW()-1,FALSE))</f>
        <v>4.7086651379999998</v>
      </c>
      <c r="L287">
        <f ca="1">IF(AND(ISNUMBER($L$689),$B$427=1),$L$689,HLOOKUP(INDIRECT(ADDRESS(2,COLUMN())),OFFSET($AM$2,0,0,ROW()-1,33),ROW()-1,FALSE))</f>
        <v>5.3243640220000001</v>
      </c>
      <c r="M287">
        <f ca="1">IF(AND(ISNUMBER($M$689),$B$427=1),$M$689,HLOOKUP(INDIRECT(ADDRESS(2,COLUMN())),OFFSET($AM$2,0,0,ROW()-1,33),ROW()-1,FALSE))</f>
        <v>4.4889463740000002</v>
      </c>
      <c r="N287">
        <f ca="1">IF(AND(ISNUMBER($N$689),$B$427=1),$N$689,HLOOKUP(INDIRECT(ADDRESS(2,COLUMN())),OFFSET($AM$2,0,0,ROW()-1,33),ROW()-1,FALSE))</f>
        <v>4.3352686609999997</v>
      </c>
      <c r="O287">
        <f ca="1">IF(AND(ISNUMBER($O$689),$B$427=1),$O$689,HLOOKUP(INDIRECT(ADDRESS(2,COLUMN())),OFFSET($AM$2,0,0,ROW()-1,33),ROW()-1,FALSE))</f>
        <v>4.588884663</v>
      </c>
      <c r="P287">
        <f ca="1">IF(AND(ISNUMBER($P$689),$B$427=1),$P$689,HLOOKUP(INDIRECT(ADDRESS(2,COLUMN())),OFFSET($AM$2,0,0,ROW()-1,33),ROW()-1,FALSE))</f>
        <v>3.7173420369999999</v>
      </c>
      <c r="Q287">
        <f ca="1">IF(AND(ISNUMBER($Q$689),$B$427=1),$Q$689,HLOOKUP(INDIRECT(ADDRESS(2,COLUMN())),OFFSET($AM$2,0,0,ROW()-1,33),ROW()-1,FALSE))</f>
        <v>1.0364345909999999</v>
      </c>
      <c r="R287">
        <f ca="1">IF(AND(ISNUMBER($R$689),$B$427=1),$R$689,HLOOKUP(INDIRECT(ADDRESS(2,COLUMN())),OFFSET($AM$2,0,0,ROW()-1,33),ROW()-1,FALSE))</f>
        <v>0.45091293100000002</v>
      </c>
      <c r="S287">
        <f ca="1">IF(AND(ISNUMBER($S$689),$B$427=1),$S$689,HLOOKUP(INDIRECT(ADDRESS(2,COLUMN())),OFFSET($AM$2,0,0,ROW()-1,33),ROW()-1,FALSE))</f>
        <v>0.44243317900000001</v>
      </c>
      <c r="T287">
        <f ca="1">IF(AND(ISNUMBER($T$689),$B$427=1),$T$689,HLOOKUP(INDIRECT(ADDRESS(2,COLUMN())),OFFSET($AM$2,0,0,ROW()-1,33),ROW()-1,FALSE))</f>
        <v>0.40208874900000002</v>
      </c>
      <c r="U287" t="str">
        <f ca="1">IF(AND(ISNUMBER($U$689),$B$427=1),$U$689,HLOOKUP(INDIRECT(ADDRESS(2,COLUMN())),OFFSET($AM$2,0,0,ROW()-1,33),ROW()-1,FALSE))</f>
        <v/>
      </c>
      <c r="V287" t="str">
        <f ca="1">IF(AND(ISNUMBER($V$689),$B$427=1),$V$689,HLOOKUP(INDIRECT(ADDRESS(2,COLUMN())),OFFSET($AM$2,0,0,ROW()-1,33),ROW()-1,FALSE))</f>
        <v/>
      </c>
      <c r="W287" t="str">
        <f ca="1">IF(AND(ISNUMBER($W$689),$B$427=1),$W$689,HLOOKUP(INDIRECT(ADDRESS(2,COLUMN())),OFFSET($AM$2,0,0,ROW()-1,33),ROW()-1,FALSE))</f>
        <v/>
      </c>
      <c r="X287" t="str">
        <f ca="1">IF(AND(ISNUMBER($X$689),$B$427=1),$X$689,HLOOKUP(INDIRECT(ADDRESS(2,COLUMN())),OFFSET($AM$2,0,0,ROW()-1,33),ROW()-1,FALSE))</f>
        <v/>
      </c>
      <c r="Y287" t="str">
        <f ca="1">IF(AND(ISNUMBER($Y$689),$B$427=1),$Y$689,HLOOKUP(INDIRECT(ADDRESS(2,COLUMN())),OFFSET($AM$2,0,0,ROW()-1,33),ROW()-1,FALSE))</f>
        <v/>
      </c>
      <c r="Z287" t="str">
        <f ca="1">IF(AND(ISNUMBER($Z$689),$B$427=1),$Z$689,HLOOKUP(INDIRECT(ADDRESS(2,COLUMN())),OFFSET($AM$2,0,0,ROW()-1,33),ROW()-1,FALSE))</f>
        <v/>
      </c>
      <c r="AA287" t="str">
        <f ca="1">IF(AND(ISNUMBER($AA$689),$B$427=1),$AA$689,HLOOKUP(INDIRECT(ADDRESS(2,COLUMN())),OFFSET($AM$2,0,0,ROW()-1,33),ROW()-1,FALSE))</f>
        <v/>
      </c>
      <c r="AB287" t="str">
        <f ca="1">IF(AND(ISNUMBER($AB$689),$B$427=1),$AB$689,HLOOKUP(INDIRECT(ADDRESS(2,COLUMN())),OFFSET($AM$2,0,0,ROW()-1,33),ROW()-1,FALSE))</f>
        <v/>
      </c>
      <c r="AC287" t="str">
        <f ca="1">IF(AND(ISNUMBER($AC$689),$B$427=1),$AC$689,HLOOKUP(INDIRECT(ADDRESS(2,COLUMN())),OFFSET($AM$2,0,0,ROW()-1,33),ROW()-1,FALSE))</f>
        <v/>
      </c>
      <c r="AD287" t="str">
        <f ca="1">IF(AND(ISNUMBER($AD$689),$B$427=1),$AD$689,HLOOKUP(INDIRECT(ADDRESS(2,COLUMN())),OFFSET($AM$2,0,0,ROW()-1,33),ROW()-1,FALSE))</f>
        <v/>
      </c>
      <c r="AE287" t="str">
        <f ca="1">IF(AND(ISNUMBER($AE$689),$B$427=1),$AE$689,HLOOKUP(INDIRECT(ADDRESS(2,COLUMN())),OFFSET($AM$2,0,0,ROW()-1,33),ROW()-1,FALSE))</f>
        <v/>
      </c>
      <c r="AF287" t="str">
        <f ca="1">IF(AND(ISNUMBER($AF$689),$B$427=1),$AF$689,HLOOKUP(INDIRECT(ADDRESS(2,COLUMN())),OFFSET($AM$2,0,0,ROW()-1,33),ROW()-1,FALSE))</f>
        <v/>
      </c>
      <c r="AG287" t="str">
        <f ca="1">IF(AND(ISNUMBER($AG$689),$B$427=1),$AG$689,HLOOKUP(INDIRECT(ADDRESS(2,COLUMN())),OFFSET($AM$2,0,0,ROW()-1,33),ROW()-1,FALSE))</f>
        <v/>
      </c>
      <c r="AH287" t="str">
        <f ca="1">IF(AND(ISNUMBER($AH$689),$B$427=1),$AH$689,HLOOKUP(INDIRECT(ADDRESS(2,COLUMN())),OFFSET($AM$2,0,0,ROW()-1,33),ROW()-1,FALSE))</f>
        <v/>
      </c>
      <c r="AI287" t="str">
        <f ca="1">IF(AND(ISNUMBER($AI$689),$B$427=1),$AI$689,HLOOKUP(INDIRECT(ADDRESS(2,COLUMN())),OFFSET($AM$2,0,0,ROW()-1,33),ROW()-1,FALSE))</f>
        <v/>
      </c>
      <c r="AJ287" t="str">
        <f ca="1">IF(AND(ISNUMBER($AJ$689),$B$427=1),$AJ$689,HLOOKUP(INDIRECT(ADDRESS(2,COLUMN())),OFFSET($AM$2,0,0,ROW()-1,33),ROW()-1,FALSE))</f>
        <v/>
      </c>
      <c r="AK287" t="str">
        <f ca="1">IF(AND(ISNUMBER($AK$689),$B$427=1),$AK$689,HLOOKUP(INDIRECT(ADDRESS(2,COLUMN())),OFFSET($AM$2,0,0,ROW()-1,33),ROW()-1,FALSE))</f>
        <v/>
      </c>
      <c r="AL287" t="str">
        <f ca="1">IF(AND(ISNUMBER($AL$689),$B$427=1),$AL$689,HLOOKUP(INDIRECT(ADDRESS(2,COLUMN())),OFFSET($AM$2,0,0,ROW()-1,33),ROW()-1,FALSE))</f>
        <v/>
      </c>
      <c r="AM287">
        <f>10.23949657</f>
        <v>10.23949657</v>
      </c>
      <c r="AN287">
        <f>8.949534436</f>
        <v>8.9495344360000004</v>
      </c>
      <c r="AO287">
        <f>7.817109417</f>
        <v>7.8171094170000002</v>
      </c>
      <c r="AP287">
        <f>7.623541862</f>
        <v>7.6235418619999997</v>
      </c>
      <c r="AQ287">
        <f>5.637224176</f>
        <v>5.6372241760000001</v>
      </c>
      <c r="AR287">
        <f>4.708665138</f>
        <v>4.7086651379999998</v>
      </c>
      <c r="AS287">
        <f>5.324364022</f>
        <v>5.3243640220000001</v>
      </c>
      <c r="AT287">
        <f>4.488946374</f>
        <v>4.4889463740000002</v>
      </c>
      <c r="AU287">
        <f>4.335268661</f>
        <v>4.3352686609999997</v>
      </c>
      <c r="AV287">
        <f>4.588884663</f>
        <v>4.588884663</v>
      </c>
      <c r="AW287">
        <f>3.717342037</f>
        <v>3.7173420369999999</v>
      </c>
      <c r="AX287">
        <f>1.036434591</f>
        <v>1.0364345909999999</v>
      </c>
      <c r="AY287">
        <f>0.450912931</f>
        <v>0.45091293100000002</v>
      </c>
      <c r="AZ287">
        <f>0.442433179</f>
        <v>0.44243317900000001</v>
      </c>
      <c r="BA287">
        <f>0.402088749</f>
        <v>0.40208874900000002</v>
      </c>
      <c r="BB287" t="str">
        <f>""</f>
        <v/>
      </c>
      <c r="BC287" t="str">
        <f>""</f>
        <v/>
      </c>
      <c r="BD287" t="str">
        <f>""</f>
        <v/>
      </c>
      <c r="BE287" t="str">
        <f>""</f>
        <v/>
      </c>
      <c r="BF287" t="str">
        <f>""</f>
        <v/>
      </c>
      <c r="BG287" t="str">
        <f>""</f>
        <v/>
      </c>
      <c r="BH287" t="str">
        <f>""</f>
        <v/>
      </c>
      <c r="BI287" t="str">
        <f>""</f>
        <v/>
      </c>
      <c r="BJ287" t="str">
        <f>""</f>
        <v/>
      </c>
      <c r="BK287" t="str">
        <f>""</f>
        <v/>
      </c>
      <c r="BL287" t="str">
        <f>""</f>
        <v/>
      </c>
      <c r="BM287" t="str">
        <f>""</f>
        <v/>
      </c>
      <c r="BN287" t="str">
        <f>""</f>
        <v/>
      </c>
      <c r="BO287" t="str">
        <f>""</f>
        <v/>
      </c>
      <c r="BP287" t="str">
        <f>""</f>
        <v/>
      </c>
      <c r="BQ287" t="str">
        <f>""</f>
        <v/>
      </c>
      <c r="BR287" t="str">
        <f>""</f>
        <v/>
      </c>
      <c r="BS287" t="str">
        <f>""</f>
        <v/>
      </c>
    </row>
    <row r="288" spans="1:71" x14ac:dyDescent="0.25">
      <c r="A288" t="str">
        <f>"        Citigroup Inc"</f>
        <v xml:space="preserve">        Citigroup Inc</v>
      </c>
      <c r="B288" t="str">
        <f>"C US Equity"</f>
        <v>C US Equity</v>
      </c>
      <c r="C288" t="str">
        <f t="shared" si="39"/>
        <v>F0123</v>
      </c>
      <c r="D288" t="str">
        <f t="shared" si="40"/>
        <v>FED_FINL_SRVC_LNS_%_TOT_LNS_LEAS</v>
      </c>
      <c r="E288" t="str">
        <f t="shared" si="41"/>
        <v>Dynamic</v>
      </c>
      <c r="F288">
        <f ca="1">IF(AND(ISNUMBER($F$690),$B$427=1),$F$690,HLOOKUP(INDIRECT(ADDRESS(2,COLUMN())),OFFSET($AM$2,0,0,ROW()-1,33),ROW()-1,FALSE))</f>
        <v>14.839339519999999</v>
      </c>
      <c r="G288">
        <f ca="1">IF(AND(ISNUMBER($G$690),$B$427=1),$G$690,HLOOKUP(INDIRECT(ADDRESS(2,COLUMN())),OFFSET($AM$2,0,0,ROW()-1,33),ROW()-1,FALSE))</f>
        <v>14.94822274</v>
      </c>
      <c r="H288">
        <f ca="1">IF(AND(ISNUMBER($H$690),$B$427=1),$H$690,HLOOKUP(INDIRECT(ADDRESS(2,COLUMN())),OFFSET($AM$2,0,0,ROW()-1,33),ROW()-1,FALSE))</f>
        <v>11.91252804</v>
      </c>
      <c r="I288">
        <f ca="1">IF(AND(ISNUMBER($I$690),$B$427=1),$I$690,HLOOKUP(INDIRECT(ADDRESS(2,COLUMN())),OFFSET($AM$2,0,0,ROW()-1,33),ROW()-1,FALSE))</f>
        <v>13.274764230000001</v>
      </c>
      <c r="J288">
        <f ca="1">IF(AND(ISNUMBER($J$690),$B$427=1),$J$690,HLOOKUP(INDIRECT(ADDRESS(2,COLUMN())),OFFSET($AM$2,0,0,ROW()-1,33),ROW()-1,FALSE))</f>
        <v>11.732048580000001</v>
      </c>
      <c r="K288">
        <f ca="1">IF(AND(ISNUMBER($K$690),$B$427=1),$K$690,HLOOKUP(INDIRECT(ADDRESS(2,COLUMN())),OFFSET($AM$2,0,0,ROW()-1,33),ROW()-1,FALSE))</f>
        <v>10.707378500000001</v>
      </c>
      <c r="L288">
        <f ca="1">IF(AND(ISNUMBER($L$690),$B$427=1),$L$690,HLOOKUP(INDIRECT(ADDRESS(2,COLUMN())),OFFSET($AM$2,0,0,ROW()-1,33),ROW()-1,FALSE))</f>
        <v>9.4368458119999996</v>
      </c>
      <c r="M288">
        <f ca="1">IF(AND(ISNUMBER($M$690),$B$427=1),$M$690,HLOOKUP(INDIRECT(ADDRESS(2,COLUMN())),OFFSET($AM$2,0,0,ROW()-1,33),ROW()-1,FALSE))</f>
        <v>8.1177222170000007</v>
      </c>
      <c r="N288">
        <f ca="1">IF(AND(ISNUMBER($N$690),$B$427=1),$N$690,HLOOKUP(INDIRECT(ADDRESS(2,COLUMN())),OFFSET($AM$2,0,0,ROW()-1,33),ROW()-1,FALSE))</f>
        <v>7.6806005549999998</v>
      </c>
      <c r="O288">
        <f ca="1">IF(AND(ISNUMBER($O$690),$B$427=1),$O$690,HLOOKUP(INDIRECT(ADDRESS(2,COLUMN())),OFFSET($AM$2,0,0,ROW()-1,33),ROW()-1,FALSE))</f>
        <v>6.9059923569999997</v>
      </c>
      <c r="P288">
        <f ca="1">IF(AND(ISNUMBER($P$690),$B$427=1),$P$690,HLOOKUP(INDIRECT(ADDRESS(2,COLUMN())),OFFSET($AM$2,0,0,ROW()-1,33),ROW()-1,FALSE))</f>
        <v>6.6569373970000001</v>
      </c>
      <c r="Q288">
        <f ca="1">IF(AND(ISNUMBER($Q$690),$B$427=1),$Q$690,HLOOKUP(INDIRECT(ADDRESS(2,COLUMN())),OFFSET($AM$2,0,0,ROW()-1,33),ROW()-1,FALSE))</f>
        <v>5.2044730079999999</v>
      </c>
      <c r="R288">
        <f ca="1">IF(AND(ISNUMBER($R$690),$B$427=1),$R$690,HLOOKUP(INDIRECT(ADDRESS(2,COLUMN())),OFFSET($AM$2,0,0,ROW()-1,33),ROW()-1,FALSE))</f>
        <v>4.5629038299999998</v>
      </c>
      <c r="S288">
        <f ca="1">IF(AND(ISNUMBER($S$690),$B$427=1),$S$690,HLOOKUP(INDIRECT(ADDRESS(2,COLUMN())),OFFSET($AM$2,0,0,ROW()-1,33),ROW()-1,FALSE))</f>
        <v>3.3331809109999999</v>
      </c>
      <c r="T288">
        <f ca="1">IF(AND(ISNUMBER($T$690),$B$427=1),$T$690,HLOOKUP(INDIRECT(ADDRESS(2,COLUMN())),OFFSET($AM$2,0,0,ROW()-1,33),ROW()-1,FALSE))</f>
        <v>2.2486314080000001</v>
      </c>
      <c r="U288" t="str">
        <f ca="1">IF(AND(ISNUMBER($U$690),$B$427=1),$U$690,HLOOKUP(INDIRECT(ADDRESS(2,COLUMN())),OFFSET($AM$2,0,0,ROW()-1,33),ROW()-1,FALSE))</f>
        <v/>
      </c>
      <c r="V288" t="str">
        <f ca="1">IF(AND(ISNUMBER($V$690),$B$427=1),$V$690,HLOOKUP(INDIRECT(ADDRESS(2,COLUMN())),OFFSET($AM$2,0,0,ROW()-1,33),ROW()-1,FALSE))</f>
        <v/>
      </c>
      <c r="W288" t="str">
        <f ca="1">IF(AND(ISNUMBER($W$690),$B$427=1),$W$690,HLOOKUP(INDIRECT(ADDRESS(2,COLUMN())),OFFSET($AM$2,0,0,ROW()-1,33),ROW()-1,FALSE))</f>
        <v/>
      </c>
      <c r="X288" t="str">
        <f ca="1">IF(AND(ISNUMBER($X$690),$B$427=1),$X$690,HLOOKUP(INDIRECT(ADDRESS(2,COLUMN())),OFFSET($AM$2,0,0,ROW()-1,33),ROW()-1,FALSE))</f>
        <v/>
      </c>
      <c r="Y288" t="str">
        <f ca="1">IF(AND(ISNUMBER($Y$690),$B$427=1),$Y$690,HLOOKUP(INDIRECT(ADDRESS(2,COLUMN())),OFFSET($AM$2,0,0,ROW()-1,33),ROW()-1,FALSE))</f>
        <v/>
      </c>
      <c r="Z288" t="str">
        <f ca="1">IF(AND(ISNUMBER($Z$690),$B$427=1),$Z$690,HLOOKUP(INDIRECT(ADDRESS(2,COLUMN())),OFFSET($AM$2,0,0,ROW()-1,33),ROW()-1,FALSE))</f>
        <v/>
      </c>
      <c r="AA288" t="str">
        <f ca="1">IF(AND(ISNUMBER($AA$690),$B$427=1),$AA$690,HLOOKUP(INDIRECT(ADDRESS(2,COLUMN())),OFFSET($AM$2,0,0,ROW()-1,33),ROW()-1,FALSE))</f>
        <v/>
      </c>
      <c r="AB288" t="str">
        <f ca="1">IF(AND(ISNUMBER($AB$690),$B$427=1),$AB$690,HLOOKUP(INDIRECT(ADDRESS(2,COLUMN())),OFFSET($AM$2,0,0,ROW()-1,33),ROW()-1,FALSE))</f>
        <v/>
      </c>
      <c r="AC288" t="str">
        <f ca="1">IF(AND(ISNUMBER($AC$690),$B$427=1),$AC$690,HLOOKUP(INDIRECT(ADDRESS(2,COLUMN())),OFFSET($AM$2,0,0,ROW()-1,33),ROW()-1,FALSE))</f>
        <v/>
      </c>
      <c r="AD288" t="str">
        <f ca="1">IF(AND(ISNUMBER($AD$690),$B$427=1),$AD$690,HLOOKUP(INDIRECT(ADDRESS(2,COLUMN())),OFFSET($AM$2,0,0,ROW()-1,33),ROW()-1,FALSE))</f>
        <v/>
      </c>
      <c r="AE288" t="str">
        <f ca="1">IF(AND(ISNUMBER($AE$690),$B$427=1),$AE$690,HLOOKUP(INDIRECT(ADDRESS(2,COLUMN())),OFFSET($AM$2,0,0,ROW()-1,33),ROW()-1,FALSE))</f>
        <v/>
      </c>
      <c r="AF288" t="str">
        <f ca="1">IF(AND(ISNUMBER($AF$690),$B$427=1),$AF$690,HLOOKUP(INDIRECT(ADDRESS(2,COLUMN())),OFFSET($AM$2,0,0,ROW()-1,33),ROW()-1,FALSE))</f>
        <v/>
      </c>
      <c r="AG288" t="str">
        <f ca="1">IF(AND(ISNUMBER($AG$690),$B$427=1),$AG$690,HLOOKUP(INDIRECT(ADDRESS(2,COLUMN())),OFFSET($AM$2,0,0,ROW()-1,33),ROW()-1,FALSE))</f>
        <v/>
      </c>
      <c r="AH288" t="str">
        <f ca="1">IF(AND(ISNUMBER($AH$690),$B$427=1),$AH$690,HLOOKUP(INDIRECT(ADDRESS(2,COLUMN())),OFFSET($AM$2,0,0,ROW()-1,33),ROW()-1,FALSE))</f>
        <v/>
      </c>
      <c r="AI288" t="str">
        <f ca="1">IF(AND(ISNUMBER($AI$690),$B$427=1),$AI$690,HLOOKUP(INDIRECT(ADDRESS(2,COLUMN())),OFFSET($AM$2,0,0,ROW()-1,33),ROW()-1,FALSE))</f>
        <v/>
      </c>
      <c r="AJ288" t="str">
        <f ca="1">IF(AND(ISNUMBER($AJ$690),$B$427=1),$AJ$690,HLOOKUP(INDIRECT(ADDRESS(2,COLUMN())),OFFSET($AM$2,0,0,ROW()-1,33),ROW()-1,FALSE))</f>
        <v/>
      </c>
      <c r="AK288" t="str">
        <f ca="1">IF(AND(ISNUMBER($AK$690),$B$427=1),$AK$690,HLOOKUP(INDIRECT(ADDRESS(2,COLUMN())),OFFSET($AM$2,0,0,ROW()-1,33),ROW()-1,FALSE))</f>
        <v/>
      </c>
      <c r="AL288" t="str">
        <f ca="1">IF(AND(ISNUMBER($AL$690),$B$427=1),$AL$690,HLOOKUP(INDIRECT(ADDRESS(2,COLUMN())),OFFSET($AM$2,0,0,ROW()-1,33),ROW()-1,FALSE))</f>
        <v/>
      </c>
      <c r="AM288">
        <f>14.83933952</f>
        <v>14.839339519999999</v>
      </c>
      <c r="AN288">
        <f>14.94822274</f>
        <v>14.94822274</v>
      </c>
      <c r="AO288">
        <f>11.91252804</f>
        <v>11.91252804</v>
      </c>
      <c r="AP288">
        <f>13.27476423</f>
        <v>13.274764230000001</v>
      </c>
      <c r="AQ288">
        <f>11.73204858</f>
        <v>11.732048580000001</v>
      </c>
      <c r="AR288">
        <f>10.7073785</f>
        <v>10.707378500000001</v>
      </c>
      <c r="AS288">
        <f>9.436845812</f>
        <v>9.4368458119999996</v>
      </c>
      <c r="AT288">
        <f>8.117722217</f>
        <v>8.1177222170000007</v>
      </c>
      <c r="AU288">
        <f>7.680600555</f>
        <v>7.6806005549999998</v>
      </c>
      <c r="AV288">
        <f>6.905992357</f>
        <v>6.9059923569999997</v>
      </c>
      <c r="AW288">
        <f>6.656937397</f>
        <v>6.6569373970000001</v>
      </c>
      <c r="AX288">
        <f>5.204473008</f>
        <v>5.2044730079999999</v>
      </c>
      <c r="AY288">
        <f>4.56290383</f>
        <v>4.5629038299999998</v>
      </c>
      <c r="AZ288">
        <f>3.333180911</f>
        <v>3.3331809109999999</v>
      </c>
      <c r="BA288">
        <f>2.248631408</f>
        <v>2.2486314080000001</v>
      </c>
      <c r="BB288" t="str">
        <f>""</f>
        <v/>
      </c>
      <c r="BC288" t="str">
        <f>""</f>
        <v/>
      </c>
      <c r="BD288" t="str">
        <f>""</f>
        <v/>
      </c>
      <c r="BE288" t="str">
        <f>""</f>
        <v/>
      </c>
      <c r="BF288" t="str">
        <f>""</f>
        <v/>
      </c>
      <c r="BG288" t="str">
        <f>""</f>
        <v/>
      </c>
      <c r="BH288" t="str">
        <f>""</f>
        <v/>
      </c>
      <c r="BI288" t="str">
        <f>""</f>
        <v/>
      </c>
      <c r="BJ288" t="str">
        <f>""</f>
        <v/>
      </c>
      <c r="BK288" t="str">
        <f>""</f>
        <v/>
      </c>
      <c r="BL288" t="str">
        <f>""</f>
        <v/>
      </c>
      <c r="BM288" t="str">
        <f>""</f>
        <v/>
      </c>
      <c r="BN288" t="str">
        <f>""</f>
        <v/>
      </c>
      <c r="BO288" t="str">
        <f>""</f>
        <v/>
      </c>
      <c r="BP288" t="str">
        <f>""</f>
        <v/>
      </c>
      <c r="BQ288" t="str">
        <f>""</f>
        <v/>
      </c>
      <c r="BR288" t="str">
        <f>""</f>
        <v/>
      </c>
      <c r="BS288" t="str">
        <f>""</f>
        <v/>
      </c>
    </row>
    <row r="289" spans="1:71" x14ac:dyDescent="0.25">
      <c r="A289" t="str">
        <f>"        Citizens Financial Group Inc"</f>
        <v xml:space="preserve">        Citizens Financial Group Inc</v>
      </c>
      <c r="B289" t="str">
        <f>"CFG US Equity"</f>
        <v>CFG US Equity</v>
      </c>
      <c r="C289" t="str">
        <f t="shared" si="39"/>
        <v>F0123</v>
      </c>
      <c r="D289" t="str">
        <f t="shared" si="40"/>
        <v>FED_FINL_SRVC_LNS_%_TOT_LNS_LEAS</v>
      </c>
      <c r="E289" t="str">
        <f t="shared" si="41"/>
        <v>Dynamic</v>
      </c>
      <c r="F289">
        <f ca="1">IF(AND(ISNUMBER($F$691),$B$427=1),$F$691,HLOOKUP(INDIRECT(ADDRESS(2,COLUMN())),OFFSET($AM$2,0,0,ROW()-1,33),ROW()-1,FALSE))</f>
        <v>9.2130361670000003</v>
      </c>
      <c r="G289">
        <f ca="1">IF(AND(ISNUMBER($G$691),$B$427=1),$G$691,HLOOKUP(INDIRECT(ADDRESS(2,COLUMN())),OFFSET($AM$2,0,0,ROW()-1,33),ROW()-1,FALSE))</f>
        <v>1.5414086549999999</v>
      </c>
      <c r="H289">
        <f ca="1">IF(AND(ISNUMBER($H$691),$B$427=1),$H$691,HLOOKUP(INDIRECT(ADDRESS(2,COLUMN())),OFFSET($AM$2,0,0,ROW()-1,33),ROW()-1,FALSE))</f>
        <v>1.365921553</v>
      </c>
      <c r="I289">
        <f ca="1">IF(AND(ISNUMBER($I$691),$B$427=1),$I$691,HLOOKUP(INDIRECT(ADDRESS(2,COLUMN())),OFFSET($AM$2,0,0,ROW()-1,33),ROW()-1,FALSE))</f>
        <v>1.6233074830000001</v>
      </c>
      <c r="J289">
        <f ca="1">IF(AND(ISNUMBER($J$691),$B$427=1),$J$691,HLOOKUP(INDIRECT(ADDRESS(2,COLUMN())),OFFSET($AM$2,0,0,ROW()-1,33),ROW()-1,FALSE))</f>
        <v>1.626928613</v>
      </c>
      <c r="K289">
        <f ca="1">IF(AND(ISNUMBER($K$691),$B$427=1),$K$691,HLOOKUP(INDIRECT(ADDRESS(2,COLUMN())),OFFSET($AM$2,0,0,ROW()-1,33),ROW()-1,FALSE))</f>
        <v>2.0174977109999999</v>
      </c>
      <c r="L289">
        <f ca="1">IF(AND(ISNUMBER($L$691),$B$427=1),$L$691,HLOOKUP(INDIRECT(ADDRESS(2,COLUMN())),OFFSET($AM$2,0,0,ROW()-1,33),ROW()-1,FALSE))</f>
        <v>1.8584335750000001</v>
      </c>
      <c r="M289">
        <f ca="1">IF(AND(ISNUMBER($M$691),$B$427=1),$M$691,HLOOKUP(INDIRECT(ADDRESS(2,COLUMN())),OFFSET($AM$2,0,0,ROW()-1,33),ROW()-1,FALSE))</f>
        <v>2.0758350499999998</v>
      </c>
      <c r="N289">
        <f ca="1">IF(AND(ISNUMBER($N$691),$B$427=1),$N$691,HLOOKUP(INDIRECT(ADDRESS(2,COLUMN())),OFFSET($AM$2,0,0,ROW()-1,33),ROW()-1,FALSE))</f>
        <v>2.3714669989999999</v>
      </c>
      <c r="O289">
        <f ca="1">IF(AND(ISNUMBER($O$691),$B$427=1),$O$691,HLOOKUP(INDIRECT(ADDRESS(2,COLUMN())),OFFSET($AM$2,0,0,ROW()-1,33),ROW()-1,FALSE))</f>
        <v>2.5829211750000001</v>
      </c>
      <c r="P289">
        <f ca="1">IF(AND(ISNUMBER($P$691),$B$427=1),$P$691,HLOOKUP(INDIRECT(ADDRESS(2,COLUMN())),OFFSET($AM$2,0,0,ROW()-1,33),ROW()-1,FALSE))</f>
        <v>2.2413312209999998</v>
      </c>
      <c r="Q289">
        <f ca="1">IF(AND(ISNUMBER($Q$691),$B$427=1),$Q$691,HLOOKUP(INDIRECT(ADDRESS(2,COLUMN())),OFFSET($AM$2,0,0,ROW()-1,33),ROW()-1,FALSE))</f>
        <v>1.6693820029999999</v>
      </c>
      <c r="R289">
        <f ca="1">IF(AND(ISNUMBER($R$691),$B$427=1),$R$691,HLOOKUP(INDIRECT(ADDRESS(2,COLUMN())),OFFSET($AM$2,0,0,ROW()-1,33),ROW()-1,FALSE))</f>
        <v>1.2019617119999999</v>
      </c>
      <c r="S289">
        <f ca="1">IF(AND(ISNUMBER($S$691),$B$427=1),$S$691,HLOOKUP(INDIRECT(ADDRESS(2,COLUMN())),OFFSET($AM$2,0,0,ROW()-1,33),ROW()-1,FALSE))</f>
        <v>0.65421641799999997</v>
      </c>
      <c r="T289">
        <f ca="1">IF(AND(ISNUMBER($T$691),$B$427=1),$T$691,HLOOKUP(INDIRECT(ADDRESS(2,COLUMN())),OFFSET($AM$2,0,0,ROW()-1,33),ROW()-1,FALSE))</f>
        <v>0.62476674200000004</v>
      </c>
      <c r="U289" t="str">
        <f ca="1">IF(AND(ISNUMBER($U$691),$B$427=1),$U$691,HLOOKUP(INDIRECT(ADDRESS(2,COLUMN())),OFFSET($AM$2,0,0,ROW()-1,33),ROW()-1,FALSE))</f>
        <v/>
      </c>
      <c r="V289" t="str">
        <f ca="1">IF(AND(ISNUMBER($V$691),$B$427=1),$V$691,HLOOKUP(INDIRECT(ADDRESS(2,COLUMN())),OFFSET($AM$2,0,0,ROW()-1,33),ROW()-1,FALSE))</f>
        <v/>
      </c>
      <c r="W289" t="str">
        <f ca="1">IF(AND(ISNUMBER($W$691),$B$427=1),$W$691,HLOOKUP(INDIRECT(ADDRESS(2,COLUMN())),OFFSET($AM$2,0,0,ROW()-1,33),ROW()-1,FALSE))</f>
        <v/>
      </c>
      <c r="X289" t="str">
        <f ca="1">IF(AND(ISNUMBER($X$691),$B$427=1),$X$691,HLOOKUP(INDIRECT(ADDRESS(2,COLUMN())),OFFSET($AM$2,0,0,ROW()-1,33),ROW()-1,FALSE))</f>
        <v/>
      </c>
      <c r="Y289" t="str">
        <f ca="1">IF(AND(ISNUMBER($Y$691),$B$427=1),$Y$691,HLOOKUP(INDIRECT(ADDRESS(2,COLUMN())),OFFSET($AM$2,0,0,ROW()-1,33),ROW()-1,FALSE))</f>
        <v/>
      </c>
      <c r="Z289" t="str">
        <f ca="1">IF(AND(ISNUMBER($Z$691),$B$427=1),$Z$691,HLOOKUP(INDIRECT(ADDRESS(2,COLUMN())),OFFSET($AM$2,0,0,ROW()-1,33),ROW()-1,FALSE))</f>
        <v/>
      </c>
      <c r="AA289" t="str">
        <f ca="1">IF(AND(ISNUMBER($AA$691),$B$427=1),$AA$691,HLOOKUP(INDIRECT(ADDRESS(2,COLUMN())),OFFSET($AM$2,0,0,ROW()-1,33),ROW()-1,FALSE))</f>
        <v/>
      </c>
      <c r="AB289" t="str">
        <f ca="1">IF(AND(ISNUMBER($AB$691),$B$427=1),$AB$691,HLOOKUP(INDIRECT(ADDRESS(2,COLUMN())),OFFSET($AM$2,0,0,ROW()-1,33),ROW()-1,FALSE))</f>
        <v/>
      </c>
      <c r="AC289" t="str">
        <f ca="1">IF(AND(ISNUMBER($AC$691),$B$427=1),$AC$691,HLOOKUP(INDIRECT(ADDRESS(2,COLUMN())),OFFSET($AM$2,0,0,ROW()-1,33),ROW()-1,FALSE))</f>
        <v/>
      </c>
      <c r="AD289" t="str">
        <f ca="1">IF(AND(ISNUMBER($AD$691),$B$427=1),$AD$691,HLOOKUP(INDIRECT(ADDRESS(2,COLUMN())),OFFSET($AM$2,0,0,ROW()-1,33),ROW()-1,FALSE))</f>
        <v/>
      </c>
      <c r="AE289" t="str">
        <f ca="1">IF(AND(ISNUMBER($AE$691),$B$427=1),$AE$691,HLOOKUP(INDIRECT(ADDRESS(2,COLUMN())),OFFSET($AM$2,0,0,ROW()-1,33),ROW()-1,FALSE))</f>
        <v/>
      </c>
      <c r="AF289" t="str">
        <f ca="1">IF(AND(ISNUMBER($AF$691),$B$427=1),$AF$691,HLOOKUP(INDIRECT(ADDRESS(2,COLUMN())),OFFSET($AM$2,0,0,ROW()-1,33),ROW()-1,FALSE))</f>
        <v/>
      </c>
      <c r="AG289" t="str">
        <f ca="1">IF(AND(ISNUMBER($AG$691),$B$427=1),$AG$691,HLOOKUP(INDIRECT(ADDRESS(2,COLUMN())),OFFSET($AM$2,0,0,ROW()-1,33),ROW()-1,FALSE))</f>
        <v/>
      </c>
      <c r="AH289" t="str">
        <f ca="1">IF(AND(ISNUMBER($AH$691),$B$427=1),$AH$691,HLOOKUP(INDIRECT(ADDRESS(2,COLUMN())),OFFSET($AM$2,0,0,ROW()-1,33),ROW()-1,FALSE))</f>
        <v/>
      </c>
      <c r="AI289" t="str">
        <f ca="1">IF(AND(ISNUMBER($AI$691),$B$427=1),$AI$691,HLOOKUP(INDIRECT(ADDRESS(2,COLUMN())),OFFSET($AM$2,0,0,ROW()-1,33),ROW()-1,FALSE))</f>
        <v/>
      </c>
      <c r="AJ289" t="str">
        <f ca="1">IF(AND(ISNUMBER($AJ$691),$B$427=1),$AJ$691,HLOOKUP(INDIRECT(ADDRESS(2,COLUMN())),OFFSET($AM$2,0,0,ROW()-1,33),ROW()-1,FALSE))</f>
        <v/>
      </c>
      <c r="AK289" t="str">
        <f ca="1">IF(AND(ISNUMBER($AK$691),$B$427=1),$AK$691,HLOOKUP(INDIRECT(ADDRESS(2,COLUMN())),OFFSET($AM$2,0,0,ROW()-1,33),ROW()-1,FALSE))</f>
        <v/>
      </c>
      <c r="AL289" t="str">
        <f ca="1">IF(AND(ISNUMBER($AL$691),$B$427=1),$AL$691,HLOOKUP(INDIRECT(ADDRESS(2,COLUMN())),OFFSET($AM$2,0,0,ROW()-1,33),ROW()-1,FALSE))</f>
        <v/>
      </c>
      <c r="AM289">
        <f>9.213036167</f>
        <v>9.2130361670000003</v>
      </c>
      <c r="AN289">
        <f>1.541408655</f>
        <v>1.5414086549999999</v>
      </c>
      <c r="AO289">
        <f>1.365921553</f>
        <v>1.365921553</v>
      </c>
      <c r="AP289">
        <f>1.623307483</f>
        <v>1.6233074830000001</v>
      </c>
      <c r="AQ289">
        <f>1.626928613</f>
        <v>1.626928613</v>
      </c>
      <c r="AR289">
        <f>2.017497711</f>
        <v>2.0174977109999999</v>
      </c>
      <c r="AS289">
        <f>1.858433575</f>
        <v>1.8584335750000001</v>
      </c>
      <c r="AT289">
        <f>2.07583505</f>
        <v>2.0758350499999998</v>
      </c>
      <c r="AU289">
        <f>2.371466999</f>
        <v>2.3714669989999999</v>
      </c>
      <c r="AV289">
        <f>2.582921175</f>
        <v>2.5829211750000001</v>
      </c>
      <c r="AW289">
        <f>2.241331221</f>
        <v>2.2413312209999998</v>
      </c>
      <c r="AX289">
        <f>1.669382003</f>
        <v>1.6693820029999999</v>
      </c>
      <c r="AY289">
        <f>1.201961712</f>
        <v>1.2019617119999999</v>
      </c>
      <c r="AZ289">
        <f>0.654216418</f>
        <v>0.65421641799999997</v>
      </c>
      <c r="BA289">
        <f>0.624766742</f>
        <v>0.62476674200000004</v>
      </c>
      <c r="BB289" t="str">
        <f>""</f>
        <v/>
      </c>
      <c r="BC289" t="str">
        <f>""</f>
        <v/>
      </c>
      <c r="BD289" t="str">
        <f>""</f>
        <v/>
      </c>
      <c r="BE289" t="str">
        <f>""</f>
        <v/>
      </c>
      <c r="BF289" t="str">
        <f>""</f>
        <v/>
      </c>
      <c r="BG289" t="str">
        <f>""</f>
        <v/>
      </c>
      <c r="BH289" t="str">
        <f>""</f>
        <v/>
      </c>
      <c r="BI289" t="str">
        <f>""</f>
        <v/>
      </c>
      <c r="BJ289" t="str">
        <f>""</f>
        <v/>
      </c>
      <c r="BK289" t="str">
        <f>""</f>
        <v/>
      </c>
      <c r="BL289" t="str">
        <f>""</f>
        <v/>
      </c>
      <c r="BM289" t="str">
        <f>""</f>
        <v/>
      </c>
      <c r="BN289" t="str">
        <f>""</f>
        <v/>
      </c>
      <c r="BO289" t="str">
        <f>""</f>
        <v/>
      </c>
      <c r="BP289" t="str">
        <f>""</f>
        <v/>
      </c>
      <c r="BQ289" t="str">
        <f>""</f>
        <v/>
      </c>
      <c r="BR289" t="str">
        <f>""</f>
        <v/>
      </c>
      <c r="BS289" t="str">
        <f>""</f>
        <v/>
      </c>
    </row>
    <row r="290" spans="1:71" x14ac:dyDescent="0.25">
      <c r="A290" t="str">
        <f>"        Capital One Financial Corp"</f>
        <v xml:space="preserve">        Capital One Financial Corp</v>
      </c>
      <c r="B290" t="str">
        <f>"COF US Equity"</f>
        <v>COF US Equity</v>
      </c>
      <c r="C290" t="str">
        <f t="shared" si="39"/>
        <v>F0123</v>
      </c>
      <c r="D290" t="str">
        <f t="shared" si="40"/>
        <v>FED_FINL_SRVC_LNS_%_TOT_LNS_LEAS</v>
      </c>
      <c r="E290" t="str">
        <f t="shared" si="41"/>
        <v>Dynamic</v>
      </c>
      <c r="F290">
        <f ca="1">IF(AND(ISNUMBER($F$692),$B$427=1),$F$692,HLOOKUP(INDIRECT(ADDRESS(2,COLUMN())),OFFSET($AM$2,0,0,ROW()-1,33),ROW()-1,FALSE))</f>
        <v>6.6670817150000001</v>
      </c>
      <c r="G290">
        <f ca="1">IF(AND(ISNUMBER($G$692),$B$427=1),$G$692,HLOOKUP(INDIRECT(ADDRESS(2,COLUMN())),OFFSET($AM$2,0,0,ROW()-1,33),ROW()-1,FALSE))</f>
        <v>6.5667272749999999</v>
      </c>
      <c r="H290">
        <f ca="1">IF(AND(ISNUMBER($H$692),$B$427=1),$H$692,HLOOKUP(INDIRECT(ADDRESS(2,COLUMN())),OFFSET($AM$2,0,0,ROW()-1,33),ROW()-1,FALSE))</f>
        <v>6.8439546729999998</v>
      </c>
      <c r="I290">
        <f ca="1">IF(AND(ISNUMBER($I$692),$B$427=1),$I$692,HLOOKUP(INDIRECT(ADDRESS(2,COLUMN())),OFFSET($AM$2,0,0,ROW()-1,33),ROW()-1,FALSE))</f>
        <v>6.0171230539999998</v>
      </c>
      <c r="J290">
        <f ca="1">IF(AND(ISNUMBER($J$692),$B$427=1),$J$692,HLOOKUP(INDIRECT(ADDRESS(2,COLUMN())),OFFSET($AM$2,0,0,ROW()-1,33),ROW()-1,FALSE))</f>
        <v>4.8369631479999997</v>
      </c>
      <c r="K290">
        <f ca="1">IF(AND(ISNUMBER($K$692),$B$427=1),$K$692,HLOOKUP(INDIRECT(ADDRESS(2,COLUMN())),OFFSET($AM$2,0,0,ROW()-1,33),ROW()-1,FALSE))</f>
        <v>4.0743385390000002</v>
      </c>
      <c r="L290">
        <f ca="1">IF(AND(ISNUMBER($L$692),$B$427=1),$L$692,HLOOKUP(INDIRECT(ADDRESS(2,COLUMN())),OFFSET($AM$2,0,0,ROW()-1,33),ROW()-1,FALSE))</f>
        <v>4.454811072</v>
      </c>
      <c r="M290">
        <f ca="1">IF(AND(ISNUMBER($M$692),$B$427=1),$M$692,HLOOKUP(INDIRECT(ADDRESS(2,COLUMN())),OFFSET($AM$2,0,0,ROW()-1,33),ROW()-1,FALSE))</f>
        <v>3.9046434109999999</v>
      </c>
      <c r="N290">
        <f ca="1">IF(AND(ISNUMBER($N$692),$B$427=1),$N$692,HLOOKUP(INDIRECT(ADDRESS(2,COLUMN())),OFFSET($AM$2,0,0,ROW()-1,33),ROW()-1,FALSE))</f>
        <v>4.4037057700000002</v>
      </c>
      <c r="O290">
        <f ca="1">IF(AND(ISNUMBER($O$692),$B$427=1),$O$692,HLOOKUP(INDIRECT(ADDRESS(2,COLUMN())),OFFSET($AM$2,0,0,ROW()-1,33),ROW()-1,FALSE))</f>
        <v>4.5283660540000001</v>
      </c>
      <c r="P290">
        <f ca="1">IF(AND(ISNUMBER($P$692),$B$427=1),$P$692,HLOOKUP(INDIRECT(ADDRESS(2,COLUMN())),OFFSET($AM$2,0,0,ROW()-1,33),ROW()-1,FALSE))</f>
        <v>3.2997526599999998</v>
      </c>
      <c r="Q290">
        <f ca="1">IF(AND(ISNUMBER($Q$692),$B$427=1),$Q$692,HLOOKUP(INDIRECT(ADDRESS(2,COLUMN())),OFFSET($AM$2,0,0,ROW()-1,33),ROW()-1,FALSE))</f>
        <v>2.6224704980000002</v>
      </c>
      <c r="R290">
        <f ca="1">IF(AND(ISNUMBER($R$692),$B$427=1),$R$692,HLOOKUP(INDIRECT(ADDRESS(2,COLUMN())),OFFSET($AM$2,0,0,ROW()-1,33),ROW()-1,FALSE))</f>
        <v>1.791496108</v>
      </c>
      <c r="S290">
        <f ca="1">IF(AND(ISNUMBER($S$692),$B$427=1),$S$692,HLOOKUP(INDIRECT(ADDRESS(2,COLUMN())),OFFSET($AM$2,0,0,ROW()-1,33),ROW()-1,FALSE))</f>
        <v>1.1931515479999999</v>
      </c>
      <c r="T290">
        <f ca="1">IF(AND(ISNUMBER($T$692),$B$427=1),$T$692,HLOOKUP(INDIRECT(ADDRESS(2,COLUMN())),OFFSET($AM$2,0,0,ROW()-1,33),ROW()-1,FALSE))</f>
        <v>0.93634334799999996</v>
      </c>
      <c r="U290" t="str">
        <f ca="1">IF(AND(ISNUMBER($U$692),$B$427=1),$U$692,HLOOKUP(INDIRECT(ADDRESS(2,COLUMN())),OFFSET($AM$2,0,0,ROW()-1,33),ROW()-1,FALSE))</f>
        <v/>
      </c>
      <c r="V290" t="str">
        <f ca="1">IF(AND(ISNUMBER($V$692),$B$427=1),$V$692,HLOOKUP(INDIRECT(ADDRESS(2,COLUMN())),OFFSET($AM$2,0,0,ROW()-1,33),ROW()-1,FALSE))</f>
        <v/>
      </c>
      <c r="W290" t="str">
        <f ca="1">IF(AND(ISNUMBER($W$692),$B$427=1),$W$692,HLOOKUP(INDIRECT(ADDRESS(2,COLUMN())),OFFSET($AM$2,0,0,ROW()-1,33),ROW()-1,FALSE))</f>
        <v/>
      </c>
      <c r="X290" t="str">
        <f ca="1">IF(AND(ISNUMBER($X$692),$B$427=1),$X$692,HLOOKUP(INDIRECT(ADDRESS(2,COLUMN())),OFFSET($AM$2,0,0,ROW()-1,33),ROW()-1,FALSE))</f>
        <v/>
      </c>
      <c r="Y290" t="str">
        <f ca="1">IF(AND(ISNUMBER($Y$692),$B$427=1),$Y$692,HLOOKUP(INDIRECT(ADDRESS(2,COLUMN())),OFFSET($AM$2,0,0,ROW()-1,33),ROW()-1,FALSE))</f>
        <v/>
      </c>
      <c r="Z290" t="str">
        <f ca="1">IF(AND(ISNUMBER($Z$692),$B$427=1),$Z$692,HLOOKUP(INDIRECT(ADDRESS(2,COLUMN())),OFFSET($AM$2,0,0,ROW()-1,33),ROW()-1,FALSE))</f>
        <v/>
      </c>
      <c r="AA290" t="str">
        <f ca="1">IF(AND(ISNUMBER($AA$692),$B$427=1),$AA$692,HLOOKUP(INDIRECT(ADDRESS(2,COLUMN())),OFFSET($AM$2,0,0,ROW()-1,33),ROW()-1,FALSE))</f>
        <v/>
      </c>
      <c r="AB290" t="str">
        <f ca="1">IF(AND(ISNUMBER($AB$692),$B$427=1),$AB$692,HLOOKUP(INDIRECT(ADDRESS(2,COLUMN())),OFFSET($AM$2,0,0,ROW()-1,33),ROW()-1,FALSE))</f>
        <v/>
      </c>
      <c r="AC290" t="str">
        <f ca="1">IF(AND(ISNUMBER($AC$692),$B$427=1),$AC$692,HLOOKUP(INDIRECT(ADDRESS(2,COLUMN())),OFFSET($AM$2,0,0,ROW()-1,33),ROW()-1,FALSE))</f>
        <v/>
      </c>
      <c r="AD290" t="str">
        <f ca="1">IF(AND(ISNUMBER($AD$692),$B$427=1),$AD$692,HLOOKUP(INDIRECT(ADDRESS(2,COLUMN())),OFFSET($AM$2,0,0,ROW()-1,33),ROW()-1,FALSE))</f>
        <v/>
      </c>
      <c r="AE290" t="str">
        <f ca="1">IF(AND(ISNUMBER($AE$692),$B$427=1),$AE$692,HLOOKUP(INDIRECT(ADDRESS(2,COLUMN())),OFFSET($AM$2,0,0,ROW()-1,33),ROW()-1,FALSE))</f>
        <v/>
      </c>
      <c r="AF290" t="str">
        <f ca="1">IF(AND(ISNUMBER($AF$692),$B$427=1),$AF$692,HLOOKUP(INDIRECT(ADDRESS(2,COLUMN())),OFFSET($AM$2,0,0,ROW()-1,33),ROW()-1,FALSE))</f>
        <v/>
      </c>
      <c r="AG290" t="str">
        <f ca="1">IF(AND(ISNUMBER($AG$692),$B$427=1),$AG$692,HLOOKUP(INDIRECT(ADDRESS(2,COLUMN())),OFFSET($AM$2,0,0,ROW()-1,33),ROW()-1,FALSE))</f>
        <v/>
      </c>
      <c r="AH290" t="str">
        <f ca="1">IF(AND(ISNUMBER($AH$692),$B$427=1),$AH$692,HLOOKUP(INDIRECT(ADDRESS(2,COLUMN())),OFFSET($AM$2,0,0,ROW()-1,33),ROW()-1,FALSE))</f>
        <v/>
      </c>
      <c r="AI290" t="str">
        <f ca="1">IF(AND(ISNUMBER($AI$692),$B$427=1),$AI$692,HLOOKUP(INDIRECT(ADDRESS(2,COLUMN())),OFFSET($AM$2,0,0,ROW()-1,33),ROW()-1,FALSE))</f>
        <v/>
      </c>
      <c r="AJ290" t="str">
        <f ca="1">IF(AND(ISNUMBER($AJ$692),$B$427=1),$AJ$692,HLOOKUP(INDIRECT(ADDRESS(2,COLUMN())),OFFSET($AM$2,0,0,ROW()-1,33),ROW()-1,FALSE))</f>
        <v/>
      </c>
      <c r="AK290" t="str">
        <f ca="1">IF(AND(ISNUMBER($AK$692),$B$427=1),$AK$692,HLOOKUP(INDIRECT(ADDRESS(2,COLUMN())),OFFSET($AM$2,0,0,ROW()-1,33),ROW()-1,FALSE))</f>
        <v/>
      </c>
      <c r="AL290" t="str">
        <f ca="1">IF(AND(ISNUMBER($AL$692),$B$427=1),$AL$692,HLOOKUP(INDIRECT(ADDRESS(2,COLUMN())),OFFSET($AM$2,0,0,ROW()-1,33),ROW()-1,FALSE))</f>
        <v/>
      </c>
      <c r="AM290">
        <f>6.667081715</f>
        <v>6.6670817150000001</v>
      </c>
      <c r="AN290">
        <f>6.566727275</f>
        <v>6.5667272749999999</v>
      </c>
      <c r="AO290">
        <f>6.843954673</f>
        <v>6.8439546729999998</v>
      </c>
      <c r="AP290">
        <f>6.017123054</f>
        <v>6.0171230539999998</v>
      </c>
      <c r="AQ290">
        <f>4.836963148</f>
        <v>4.8369631479999997</v>
      </c>
      <c r="AR290">
        <f>4.074338539</f>
        <v>4.0743385390000002</v>
      </c>
      <c r="AS290">
        <f>4.454811072</f>
        <v>4.454811072</v>
      </c>
      <c r="AT290">
        <f>3.904643411</f>
        <v>3.9046434109999999</v>
      </c>
      <c r="AU290">
        <f>4.40370577</f>
        <v>4.4037057700000002</v>
      </c>
      <c r="AV290">
        <f>4.528366054</f>
        <v>4.5283660540000001</v>
      </c>
      <c r="AW290">
        <f>3.29975266</f>
        <v>3.2997526599999998</v>
      </c>
      <c r="AX290">
        <f>2.622470498</f>
        <v>2.6224704980000002</v>
      </c>
      <c r="AY290">
        <f>1.791496108</f>
        <v>1.791496108</v>
      </c>
      <c r="AZ290">
        <f>1.193151548</f>
        <v>1.1931515479999999</v>
      </c>
      <c r="BA290">
        <f>0.936343348</f>
        <v>0.93634334799999996</v>
      </c>
      <c r="BB290" t="str">
        <f>""</f>
        <v/>
      </c>
      <c r="BC290" t="str">
        <f>""</f>
        <v/>
      </c>
      <c r="BD290" t="str">
        <f>""</f>
        <v/>
      </c>
      <c r="BE290" t="str">
        <f>""</f>
        <v/>
      </c>
      <c r="BF290" t="str">
        <f>""</f>
        <v/>
      </c>
      <c r="BG290" t="str">
        <f>""</f>
        <v/>
      </c>
      <c r="BH290" t="str">
        <f>""</f>
        <v/>
      </c>
      <c r="BI290" t="str">
        <f>""</f>
        <v/>
      </c>
      <c r="BJ290" t="str">
        <f>""</f>
        <v/>
      </c>
      <c r="BK290" t="str">
        <f>""</f>
        <v/>
      </c>
      <c r="BL290" t="str">
        <f>""</f>
        <v/>
      </c>
      <c r="BM290" t="str">
        <f>""</f>
        <v/>
      </c>
      <c r="BN290" t="str">
        <f>""</f>
        <v/>
      </c>
      <c r="BO290" t="str">
        <f>""</f>
        <v/>
      </c>
      <c r="BP290" t="str">
        <f>""</f>
        <v/>
      </c>
      <c r="BQ290" t="str">
        <f>""</f>
        <v/>
      </c>
      <c r="BR290" t="str">
        <f>""</f>
        <v/>
      </c>
      <c r="BS290" t="str">
        <f>""</f>
        <v/>
      </c>
    </row>
    <row r="291" spans="1:71" x14ac:dyDescent="0.25">
      <c r="A291" t="str">
        <f>"        Comerica Inc"</f>
        <v xml:space="preserve">        Comerica Inc</v>
      </c>
      <c r="B291" t="str">
        <f>"CMA US Equity"</f>
        <v>CMA US Equity</v>
      </c>
      <c r="C291" t="str">
        <f t="shared" si="39"/>
        <v>F0123</v>
      </c>
      <c r="D291" t="str">
        <f t="shared" si="40"/>
        <v>FED_FINL_SRVC_LNS_%_TOT_LNS_LEAS</v>
      </c>
      <c r="E291" t="str">
        <f t="shared" si="41"/>
        <v>Dynamic</v>
      </c>
      <c r="F291" t="str">
        <f ca="1">IF(AND(ISNUMBER($F$693),$B$427=1),$F$693,HLOOKUP(INDIRECT(ADDRESS(2,COLUMN())),OFFSET($AM$2,0,0,ROW()-1,33),ROW()-1,FALSE))</f>
        <v/>
      </c>
      <c r="G291">
        <f ca="1">IF(AND(ISNUMBER($G$693),$B$427=1),$G$693,HLOOKUP(INDIRECT(ADDRESS(2,COLUMN())),OFFSET($AM$2,0,0,ROW()-1,33),ROW()-1,FALSE))</f>
        <v>6.7761963889999999</v>
      </c>
      <c r="H291">
        <f ca="1">IF(AND(ISNUMBER($H$693),$B$427=1),$H$693,HLOOKUP(INDIRECT(ADDRESS(2,COLUMN())),OFFSET($AM$2,0,0,ROW()-1,33),ROW()-1,FALSE))</f>
        <v>11.812070479999999</v>
      </c>
      <c r="I291">
        <f ca="1">IF(AND(ISNUMBER($I$693),$B$427=1),$I$693,HLOOKUP(INDIRECT(ADDRESS(2,COLUMN())),OFFSET($AM$2,0,0,ROW()-1,33),ROW()-1,FALSE))</f>
        <v>15.22996084</v>
      </c>
      <c r="J291">
        <f ca="1">IF(AND(ISNUMBER($J$693),$B$427=1),$J$693,HLOOKUP(INDIRECT(ADDRESS(2,COLUMN())),OFFSET($AM$2,0,0,ROW()-1,33),ROW()-1,FALSE))</f>
        <v>15.57671715</v>
      </c>
      <c r="K291">
        <f ca="1">IF(AND(ISNUMBER($K$693),$B$427=1),$K$693,HLOOKUP(INDIRECT(ADDRESS(2,COLUMN())),OFFSET($AM$2,0,0,ROW()-1,33),ROW()-1,FALSE))</f>
        <v>12.970462120000001</v>
      </c>
      <c r="L291">
        <f ca="1">IF(AND(ISNUMBER($L$693),$B$427=1),$L$693,HLOOKUP(INDIRECT(ADDRESS(2,COLUMN())),OFFSET($AM$2,0,0,ROW()-1,33),ROW()-1,FALSE))</f>
        <v>11.44940884</v>
      </c>
      <c r="M291">
        <f ca="1">IF(AND(ISNUMBER($M$693),$B$427=1),$M$693,HLOOKUP(INDIRECT(ADDRESS(2,COLUMN())),OFFSET($AM$2,0,0,ROW()-1,33),ROW()-1,FALSE))</f>
        <v>9.8091259869999998</v>
      </c>
      <c r="N291">
        <f ca="1">IF(AND(ISNUMBER($N$693),$B$427=1),$N$693,HLOOKUP(INDIRECT(ADDRESS(2,COLUMN())),OFFSET($AM$2,0,0,ROW()-1,33),ROW()-1,FALSE))</f>
        <v>10.21702541</v>
      </c>
      <c r="O291">
        <f ca="1">IF(AND(ISNUMBER($O$693),$B$427=1),$O$693,HLOOKUP(INDIRECT(ADDRESS(2,COLUMN())),OFFSET($AM$2,0,0,ROW()-1,33),ROW()-1,FALSE))</f>
        <v>10.0061064</v>
      </c>
      <c r="P291">
        <f ca="1">IF(AND(ISNUMBER($P$693),$B$427=1),$P$693,HLOOKUP(INDIRECT(ADDRESS(2,COLUMN())),OFFSET($AM$2,0,0,ROW()-1,33),ROW()-1,FALSE))</f>
        <v>7.5799064940000003</v>
      </c>
      <c r="Q291">
        <f ca="1">IF(AND(ISNUMBER($Q$693),$B$427=1),$Q$693,HLOOKUP(INDIRECT(ADDRESS(2,COLUMN())),OFFSET($AM$2,0,0,ROW()-1,33),ROW()-1,FALSE))</f>
        <v>6.1681622809999999</v>
      </c>
      <c r="R291">
        <f ca="1">IF(AND(ISNUMBER($R$693),$B$427=1),$R$693,HLOOKUP(INDIRECT(ADDRESS(2,COLUMN())),OFFSET($AM$2,0,0,ROW()-1,33),ROW()-1,FALSE))</f>
        <v>8.9354625680000002</v>
      </c>
      <c r="S291">
        <f ca="1">IF(AND(ISNUMBER($S$693),$B$427=1),$S$693,HLOOKUP(INDIRECT(ADDRESS(2,COLUMN())),OFFSET($AM$2,0,0,ROW()-1,33),ROW()-1,FALSE))</f>
        <v>5.5510601780000002</v>
      </c>
      <c r="T291">
        <f ca="1">IF(AND(ISNUMBER($T$693),$B$427=1),$T$693,HLOOKUP(INDIRECT(ADDRESS(2,COLUMN())),OFFSET($AM$2,0,0,ROW()-1,33),ROW()-1,FALSE))</f>
        <v>3.4429840820000002</v>
      </c>
      <c r="U291" t="str">
        <f ca="1">IF(AND(ISNUMBER($U$693),$B$427=1),$U$693,HLOOKUP(INDIRECT(ADDRESS(2,COLUMN())),OFFSET($AM$2,0,0,ROW()-1,33),ROW()-1,FALSE))</f>
        <v/>
      </c>
      <c r="V291" t="str">
        <f ca="1">IF(AND(ISNUMBER($V$693),$B$427=1),$V$693,HLOOKUP(INDIRECT(ADDRESS(2,COLUMN())),OFFSET($AM$2,0,0,ROW()-1,33),ROW()-1,FALSE))</f>
        <v/>
      </c>
      <c r="W291" t="str">
        <f ca="1">IF(AND(ISNUMBER($W$693),$B$427=1),$W$693,HLOOKUP(INDIRECT(ADDRESS(2,COLUMN())),OFFSET($AM$2,0,0,ROW()-1,33),ROW()-1,FALSE))</f>
        <v/>
      </c>
      <c r="X291" t="str">
        <f ca="1">IF(AND(ISNUMBER($X$693),$B$427=1),$X$693,HLOOKUP(INDIRECT(ADDRESS(2,COLUMN())),OFFSET($AM$2,0,0,ROW()-1,33),ROW()-1,FALSE))</f>
        <v/>
      </c>
      <c r="Y291" t="str">
        <f ca="1">IF(AND(ISNUMBER($Y$693),$B$427=1),$Y$693,HLOOKUP(INDIRECT(ADDRESS(2,COLUMN())),OFFSET($AM$2,0,0,ROW()-1,33),ROW()-1,FALSE))</f>
        <v/>
      </c>
      <c r="Z291" t="str">
        <f ca="1">IF(AND(ISNUMBER($Z$693),$B$427=1),$Z$693,HLOOKUP(INDIRECT(ADDRESS(2,COLUMN())),OFFSET($AM$2,0,0,ROW()-1,33),ROW()-1,FALSE))</f>
        <v/>
      </c>
      <c r="AA291" t="str">
        <f ca="1">IF(AND(ISNUMBER($AA$693),$B$427=1),$AA$693,HLOOKUP(INDIRECT(ADDRESS(2,COLUMN())),OFFSET($AM$2,0,0,ROW()-1,33),ROW()-1,FALSE))</f>
        <v/>
      </c>
      <c r="AB291" t="str">
        <f ca="1">IF(AND(ISNUMBER($AB$693),$B$427=1),$AB$693,HLOOKUP(INDIRECT(ADDRESS(2,COLUMN())),OFFSET($AM$2,0,0,ROW()-1,33),ROW()-1,FALSE))</f>
        <v/>
      </c>
      <c r="AC291" t="str">
        <f ca="1">IF(AND(ISNUMBER($AC$693),$B$427=1),$AC$693,HLOOKUP(INDIRECT(ADDRESS(2,COLUMN())),OFFSET($AM$2,0,0,ROW()-1,33),ROW()-1,FALSE))</f>
        <v/>
      </c>
      <c r="AD291" t="str">
        <f ca="1">IF(AND(ISNUMBER($AD$693),$B$427=1),$AD$693,HLOOKUP(INDIRECT(ADDRESS(2,COLUMN())),OFFSET($AM$2,0,0,ROW()-1,33),ROW()-1,FALSE))</f>
        <v/>
      </c>
      <c r="AE291" t="str">
        <f ca="1">IF(AND(ISNUMBER($AE$693),$B$427=1),$AE$693,HLOOKUP(INDIRECT(ADDRESS(2,COLUMN())),OFFSET($AM$2,0,0,ROW()-1,33),ROW()-1,FALSE))</f>
        <v/>
      </c>
      <c r="AF291" t="str">
        <f ca="1">IF(AND(ISNUMBER($AF$693),$B$427=1),$AF$693,HLOOKUP(INDIRECT(ADDRESS(2,COLUMN())),OFFSET($AM$2,0,0,ROW()-1,33),ROW()-1,FALSE))</f>
        <v/>
      </c>
      <c r="AG291" t="str">
        <f ca="1">IF(AND(ISNUMBER($AG$693),$B$427=1),$AG$693,HLOOKUP(INDIRECT(ADDRESS(2,COLUMN())),OFFSET($AM$2,0,0,ROW()-1,33),ROW()-1,FALSE))</f>
        <v/>
      </c>
      <c r="AH291" t="str">
        <f ca="1">IF(AND(ISNUMBER($AH$693),$B$427=1),$AH$693,HLOOKUP(INDIRECT(ADDRESS(2,COLUMN())),OFFSET($AM$2,0,0,ROW()-1,33),ROW()-1,FALSE))</f>
        <v/>
      </c>
      <c r="AI291" t="str">
        <f ca="1">IF(AND(ISNUMBER($AI$693),$B$427=1),$AI$693,HLOOKUP(INDIRECT(ADDRESS(2,COLUMN())),OFFSET($AM$2,0,0,ROW()-1,33),ROW()-1,FALSE))</f>
        <v/>
      </c>
      <c r="AJ291" t="str">
        <f ca="1">IF(AND(ISNUMBER($AJ$693),$B$427=1),$AJ$693,HLOOKUP(INDIRECT(ADDRESS(2,COLUMN())),OFFSET($AM$2,0,0,ROW()-1,33),ROW()-1,FALSE))</f>
        <v/>
      </c>
      <c r="AK291" t="str">
        <f ca="1">IF(AND(ISNUMBER($AK$693),$B$427=1),$AK$693,HLOOKUP(INDIRECT(ADDRESS(2,COLUMN())),OFFSET($AM$2,0,0,ROW()-1,33),ROW()-1,FALSE))</f>
        <v/>
      </c>
      <c r="AL291" t="str">
        <f ca="1">IF(AND(ISNUMBER($AL$693),$B$427=1),$AL$693,HLOOKUP(INDIRECT(ADDRESS(2,COLUMN())),OFFSET($AM$2,0,0,ROW()-1,33),ROW()-1,FALSE))</f>
        <v/>
      </c>
      <c r="AM291" t="str">
        <f>""</f>
        <v/>
      </c>
      <c r="AN291">
        <f>6.776196389</f>
        <v>6.7761963889999999</v>
      </c>
      <c r="AO291">
        <f>11.81207048</f>
        <v>11.812070479999999</v>
      </c>
      <c r="AP291">
        <f>15.22996084</f>
        <v>15.22996084</v>
      </c>
      <c r="AQ291">
        <f>15.57671715</f>
        <v>15.57671715</v>
      </c>
      <c r="AR291">
        <f>12.97046212</f>
        <v>12.970462120000001</v>
      </c>
      <c r="AS291">
        <f>11.44940884</f>
        <v>11.44940884</v>
      </c>
      <c r="AT291">
        <f>9.809125987</f>
        <v>9.8091259869999998</v>
      </c>
      <c r="AU291">
        <f>10.21702541</f>
        <v>10.21702541</v>
      </c>
      <c r="AV291">
        <f>10.0061064</f>
        <v>10.0061064</v>
      </c>
      <c r="AW291">
        <f>7.579906494</f>
        <v>7.5799064940000003</v>
      </c>
      <c r="AX291">
        <f>6.168162281</f>
        <v>6.1681622809999999</v>
      </c>
      <c r="AY291">
        <f>8.935462568</f>
        <v>8.9354625680000002</v>
      </c>
      <c r="AZ291">
        <f>5.551060178</f>
        <v>5.5510601780000002</v>
      </c>
      <c r="BA291">
        <f>3.442984082</f>
        <v>3.4429840820000002</v>
      </c>
      <c r="BB291" t="str">
        <f>""</f>
        <v/>
      </c>
      <c r="BC291" t="str">
        <f>""</f>
        <v/>
      </c>
      <c r="BD291" t="str">
        <f>""</f>
        <v/>
      </c>
      <c r="BE291" t="str">
        <f>""</f>
        <v/>
      </c>
      <c r="BF291" t="str">
        <f>""</f>
        <v/>
      </c>
      <c r="BG291" t="str">
        <f>""</f>
        <v/>
      </c>
      <c r="BH291" t="str">
        <f>""</f>
        <v/>
      </c>
      <c r="BI291" t="str">
        <f>""</f>
        <v/>
      </c>
      <c r="BJ291" t="str">
        <f>""</f>
        <v/>
      </c>
      <c r="BK291" t="str">
        <f>""</f>
        <v/>
      </c>
      <c r="BL291" t="str">
        <f>""</f>
        <v/>
      </c>
      <c r="BM291" t="str">
        <f>""</f>
        <v/>
      </c>
      <c r="BN291" t="str">
        <f>""</f>
        <v/>
      </c>
      <c r="BO291" t="str">
        <f>""</f>
        <v/>
      </c>
      <c r="BP291" t="str">
        <f>""</f>
        <v/>
      </c>
      <c r="BQ291" t="str">
        <f>""</f>
        <v/>
      </c>
      <c r="BR291" t="str">
        <f>""</f>
        <v/>
      </c>
      <c r="BS291" t="str">
        <f>""</f>
        <v/>
      </c>
    </row>
    <row r="292" spans="1:71" x14ac:dyDescent="0.25">
      <c r="A292" t="str">
        <f>"        East West Bancorp Inc"</f>
        <v xml:space="preserve">        East West Bancorp Inc</v>
      </c>
      <c r="B292" t="str">
        <f>"EWBC US Equity"</f>
        <v>EWBC US Equity</v>
      </c>
      <c r="C292" t="str">
        <f t="shared" si="39"/>
        <v>F0123</v>
      </c>
      <c r="D292" t="str">
        <f t="shared" si="40"/>
        <v>FED_FINL_SRVC_LNS_%_TOT_LNS_LEAS</v>
      </c>
      <c r="E292" t="str">
        <f t="shared" si="41"/>
        <v>Dynamic</v>
      </c>
      <c r="F292" t="str">
        <f ca="1">IF(AND(ISNUMBER($F$694),$B$427=1),$F$694,HLOOKUP(INDIRECT(ADDRESS(2,COLUMN())),OFFSET($AM$2,0,0,ROW()-1,33),ROW()-1,FALSE))</f>
        <v/>
      </c>
      <c r="G292">
        <f ca="1">IF(AND(ISNUMBER($G$694),$B$427=1),$G$694,HLOOKUP(INDIRECT(ADDRESS(2,COLUMN())),OFFSET($AM$2,0,0,ROW()-1,33),ROW()-1,FALSE))</f>
        <v>10.383029609999999</v>
      </c>
      <c r="H292">
        <f ca="1">IF(AND(ISNUMBER($H$694),$B$427=1),$H$694,HLOOKUP(INDIRECT(ADDRESS(2,COLUMN())),OFFSET($AM$2,0,0,ROW()-1,33),ROW()-1,FALSE))</f>
        <v>9.8198153319999992</v>
      </c>
      <c r="I292">
        <f ca="1">IF(AND(ISNUMBER($I$694),$B$427=1),$I$694,HLOOKUP(INDIRECT(ADDRESS(2,COLUMN())),OFFSET($AM$2,0,0,ROW()-1,33),ROW()-1,FALSE))</f>
        <v>7.4760987419999996</v>
      </c>
      <c r="J292">
        <f ca="1">IF(AND(ISNUMBER($J$694),$B$427=1),$J$694,HLOOKUP(INDIRECT(ADDRESS(2,COLUMN())),OFFSET($AM$2,0,0,ROW()-1,33),ROW()-1,FALSE))</f>
        <v>5.7077731600000003</v>
      </c>
      <c r="K292">
        <f ca="1">IF(AND(ISNUMBER($K$694),$B$427=1),$K$694,HLOOKUP(INDIRECT(ADDRESS(2,COLUMN())),OFFSET($AM$2,0,0,ROW()-1,33),ROW()-1,FALSE))</f>
        <v>3.790715729</v>
      </c>
      <c r="L292">
        <f ca="1">IF(AND(ISNUMBER($L$694),$B$427=1),$L$694,HLOOKUP(INDIRECT(ADDRESS(2,COLUMN())),OFFSET($AM$2,0,0,ROW()-1,33),ROW()-1,FALSE))</f>
        <v>4.0559796029999999</v>
      </c>
      <c r="M292">
        <f ca="1">IF(AND(ISNUMBER($M$694),$B$427=1),$M$694,HLOOKUP(INDIRECT(ADDRESS(2,COLUMN())),OFFSET($AM$2,0,0,ROW()-1,33),ROW()-1,FALSE))</f>
        <v>2.7454052949999999</v>
      </c>
      <c r="N292">
        <f ca="1">IF(AND(ISNUMBER($N$694),$B$427=1),$N$694,HLOOKUP(INDIRECT(ADDRESS(2,COLUMN())),OFFSET($AM$2,0,0,ROW()-1,33),ROW()-1,FALSE))</f>
        <v>2.2462336920000001</v>
      </c>
      <c r="O292">
        <f ca="1">IF(AND(ISNUMBER($O$694),$B$427=1),$O$694,HLOOKUP(INDIRECT(ADDRESS(2,COLUMN())),OFFSET($AM$2,0,0,ROW()-1,33),ROW()-1,FALSE))</f>
        <v>2.5279099629999999</v>
      </c>
      <c r="P292">
        <f ca="1">IF(AND(ISNUMBER($P$694),$B$427=1),$P$694,HLOOKUP(INDIRECT(ADDRESS(2,COLUMN())),OFFSET($AM$2,0,0,ROW()-1,33),ROW()-1,FALSE))</f>
        <v>2.3346235389999999</v>
      </c>
      <c r="Q292">
        <f ca="1">IF(AND(ISNUMBER($Q$694),$B$427=1),$Q$694,HLOOKUP(INDIRECT(ADDRESS(2,COLUMN())),OFFSET($AM$2,0,0,ROW()-1,33),ROW()-1,FALSE))</f>
        <v>0</v>
      </c>
      <c r="R292">
        <f ca="1">IF(AND(ISNUMBER($R$694),$B$427=1),$R$694,HLOOKUP(INDIRECT(ADDRESS(2,COLUMN())),OFFSET($AM$2,0,0,ROW()-1,33),ROW()-1,FALSE))</f>
        <v>0</v>
      </c>
      <c r="S292">
        <f ca="1">IF(AND(ISNUMBER($S$694),$B$427=1),$S$694,HLOOKUP(INDIRECT(ADDRESS(2,COLUMN())),OFFSET($AM$2,0,0,ROW()-1,33),ROW()-1,FALSE))</f>
        <v>0</v>
      </c>
      <c r="T292">
        <f ca="1">IF(AND(ISNUMBER($T$694),$B$427=1),$T$694,HLOOKUP(INDIRECT(ADDRESS(2,COLUMN())),OFFSET($AM$2,0,0,ROW()-1,33),ROW()-1,FALSE))</f>
        <v>0</v>
      </c>
      <c r="U292" t="str">
        <f ca="1">IF(AND(ISNUMBER($U$694),$B$427=1),$U$694,HLOOKUP(INDIRECT(ADDRESS(2,COLUMN())),OFFSET($AM$2,0,0,ROW()-1,33),ROW()-1,FALSE))</f>
        <v/>
      </c>
      <c r="V292" t="str">
        <f ca="1">IF(AND(ISNUMBER($V$694),$B$427=1),$V$694,HLOOKUP(INDIRECT(ADDRESS(2,COLUMN())),OFFSET($AM$2,0,0,ROW()-1,33),ROW()-1,FALSE))</f>
        <v/>
      </c>
      <c r="W292" t="str">
        <f ca="1">IF(AND(ISNUMBER($W$694),$B$427=1),$W$694,HLOOKUP(INDIRECT(ADDRESS(2,COLUMN())),OFFSET($AM$2,0,0,ROW()-1,33),ROW()-1,FALSE))</f>
        <v/>
      </c>
      <c r="X292" t="str">
        <f ca="1">IF(AND(ISNUMBER($X$694),$B$427=1),$X$694,HLOOKUP(INDIRECT(ADDRESS(2,COLUMN())),OFFSET($AM$2,0,0,ROW()-1,33),ROW()-1,FALSE))</f>
        <v/>
      </c>
      <c r="Y292" t="str">
        <f ca="1">IF(AND(ISNUMBER($Y$694),$B$427=1),$Y$694,HLOOKUP(INDIRECT(ADDRESS(2,COLUMN())),OFFSET($AM$2,0,0,ROW()-1,33),ROW()-1,FALSE))</f>
        <v/>
      </c>
      <c r="Z292" t="str">
        <f ca="1">IF(AND(ISNUMBER($Z$694),$B$427=1),$Z$694,HLOOKUP(INDIRECT(ADDRESS(2,COLUMN())),OFFSET($AM$2,0,0,ROW()-1,33),ROW()-1,FALSE))</f>
        <v/>
      </c>
      <c r="AA292" t="str">
        <f ca="1">IF(AND(ISNUMBER($AA$694),$B$427=1),$AA$694,HLOOKUP(INDIRECT(ADDRESS(2,COLUMN())),OFFSET($AM$2,0,0,ROW()-1,33),ROW()-1,FALSE))</f>
        <v/>
      </c>
      <c r="AB292" t="str">
        <f ca="1">IF(AND(ISNUMBER($AB$694),$B$427=1),$AB$694,HLOOKUP(INDIRECT(ADDRESS(2,COLUMN())),OFFSET($AM$2,0,0,ROW()-1,33),ROW()-1,FALSE))</f>
        <v/>
      </c>
      <c r="AC292" t="str">
        <f ca="1">IF(AND(ISNUMBER($AC$694),$B$427=1),$AC$694,HLOOKUP(INDIRECT(ADDRESS(2,COLUMN())),OFFSET($AM$2,0,0,ROW()-1,33),ROW()-1,FALSE))</f>
        <v/>
      </c>
      <c r="AD292" t="str">
        <f ca="1">IF(AND(ISNUMBER($AD$694),$B$427=1),$AD$694,HLOOKUP(INDIRECT(ADDRESS(2,COLUMN())),OFFSET($AM$2,0,0,ROW()-1,33),ROW()-1,FALSE))</f>
        <v/>
      </c>
      <c r="AE292" t="str">
        <f ca="1">IF(AND(ISNUMBER($AE$694),$B$427=1),$AE$694,HLOOKUP(INDIRECT(ADDRESS(2,COLUMN())),OFFSET($AM$2,0,0,ROW()-1,33),ROW()-1,FALSE))</f>
        <v/>
      </c>
      <c r="AF292" t="str">
        <f ca="1">IF(AND(ISNUMBER($AF$694),$B$427=1),$AF$694,HLOOKUP(INDIRECT(ADDRESS(2,COLUMN())),OFFSET($AM$2,0,0,ROW()-1,33),ROW()-1,FALSE))</f>
        <v/>
      </c>
      <c r="AG292" t="str">
        <f ca="1">IF(AND(ISNUMBER($AG$694),$B$427=1),$AG$694,HLOOKUP(INDIRECT(ADDRESS(2,COLUMN())),OFFSET($AM$2,0,0,ROW()-1,33),ROW()-1,FALSE))</f>
        <v/>
      </c>
      <c r="AH292" t="str">
        <f ca="1">IF(AND(ISNUMBER($AH$694),$B$427=1),$AH$694,HLOOKUP(INDIRECT(ADDRESS(2,COLUMN())),OFFSET($AM$2,0,0,ROW()-1,33),ROW()-1,FALSE))</f>
        <v/>
      </c>
      <c r="AI292" t="str">
        <f ca="1">IF(AND(ISNUMBER($AI$694),$B$427=1),$AI$694,HLOOKUP(INDIRECT(ADDRESS(2,COLUMN())),OFFSET($AM$2,0,0,ROW()-1,33),ROW()-1,FALSE))</f>
        <v/>
      </c>
      <c r="AJ292" t="str">
        <f ca="1">IF(AND(ISNUMBER($AJ$694),$B$427=1),$AJ$694,HLOOKUP(INDIRECT(ADDRESS(2,COLUMN())),OFFSET($AM$2,0,0,ROW()-1,33),ROW()-1,FALSE))</f>
        <v/>
      </c>
      <c r="AK292" t="str">
        <f ca="1">IF(AND(ISNUMBER($AK$694),$B$427=1),$AK$694,HLOOKUP(INDIRECT(ADDRESS(2,COLUMN())),OFFSET($AM$2,0,0,ROW()-1,33),ROW()-1,FALSE))</f>
        <v/>
      </c>
      <c r="AL292" t="str">
        <f ca="1">IF(AND(ISNUMBER($AL$694),$B$427=1),$AL$694,HLOOKUP(INDIRECT(ADDRESS(2,COLUMN())),OFFSET($AM$2,0,0,ROW()-1,33),ROW()-1,FALSE))</f>
        <v/>
      </c>
      <c r="AM292" t="str">
        <f>""</f>
        <v/>
      </c>
      <c r="AN292">
        <f>10.38302961</f>
        <v>10.383029609999999</v>
      </c>
      <c r="AO292">
        <f>9.819815332</f>
        <v>9.8198153319999992</v>
      </c>
      <c r="AP292">
        <f>7.476098742</f>
        <v>7.4760987419999996</v>
      </c>
      <c r="AQ292">
        <f>5.70777316</f>
        <v>5.7077731600000003</v>
      </c>
      <c r="AR292">
        <f>3.790715729</f>
        <v>3.790715729</v>
      </c>
      <c r="AS292">
        <f>4.055979603</f>
        <v>4.0559796029999999</v>
      </c>
      <c r="AT292">
        <f>2.745405295</f>
        <v>2.7454052949999999</v>
      </c>
      <c r="AU292">
        <f>2.246233692</f>
        <v>2.2462336920000001</v>
      </c>
      <c r="AV292">
        <f>2.527909963</f>
        <v>2.5279099629999999</v>
      </c>
      <c r="AW292">
        <f>2.334623539</f>
        <v>2.3346235389999999</v>
      </c>
      <c r="AX292">
        <f>0</f>
        <v>0</v>
      </c>
      <c r="AY292">
        <f>0</f>
        <v>0</v>
      </c>
      <c r="AZ292">
        <f>0</f>
        <v>0</v>
      </c>
      <c r="BA292">
        <f>0</f>
        <v>0</v>
      </c>
      <c r="BB292" t="str">
        <f>""</f>
        <v/>
      </c>
      <c r="BC292" t="str">
        <f>""</f>
        <v/>
      </c>
      <c r="BD292" t="str">
        <f>""</f>
        <v/>
      </c>
      <c r="BE292" t="str">
        <f>""</f>
        <v/>
      </c>
      <c r="BF292" t="str">
        <f>""</f>
        <v/>
      </c>
      <c r="BG292" t="str">
        <f>""</f>
        <v/>
      </c>
      <c r="BH292" t="str">
        <f>""</f>
        <v/>
      </c>
      <c r="BI292" t="str">
        <f>""</f>
        <v/>
      </c>
      <c r="BJ292" t="str">
        <f>""</f>
        <v/>
      </c>
      <c r="BK292" t="str">
        <f>""</f>
        <v/>
      </c>
      <c r="BL292" t="str">
        <f>""</f>
        <v/>
      </c>
      <c r="BM292" t="str">
        <f>""</f>
        <v/>
      </c>
      <c r="BN292" t="str">
        <f>""</f>
        <v/>
      </c>
      <c r="BO292" t="str">
        <f>""</f>
        <v/>
      </c>
      <c r="BP292" t="str">
        <f>""</f>
        <v/>
      </c>
      <c r="BQ292" t="str">
        <f>""</f>
        <v/>
      </c>
      <c r="BR292" t="str">
        <f>""</f>
        <v/>
      </c>
      <c r="BS292" t="str">
        <f>""</f>
        <v/>
      </c>
    </row>
    <row r="293" spans="1:71" x14ac:dyDescent="0.25">
      <c r="A293" t="str">
        <f>"        Fifth Third Bancorp"</f>
        <v xml:space="preserve">        Fifth Third Bancorp</v>
      </c>
      <c r="B293" t="str">
        <f>"FITB US Equity"</f>
        <v>FITB US Equity</v>
      </c>
      <c r="C293" t="str">
        <f t="shared" si="39"/>
        <v>F0123</v>
      </c>
      <c r="D293" t="str">
        <f t="shared" si="40"/>
        <v>FED_FINL_SRVC_LNS_%_TOT_LNS_LEAS</v>
      </c>
      <c r="E293" t="str">
        <f t="shared" si="41"/>
        <v>Dynamic</v>
      </c>
      <c r="F293">
        <f ca="1">IF(AND(ISNUMBER($F$695),$B$427=1),$F$695,HLOOKUP(INDIRECT(ADDRESS(2,COLUMN())),OFFSET($AM$2,0,0,ROW()-1,33),ROW()-1,FALSE))</f>
        <v>6.1064011760000003</v>
      </c>
      <c r="G293">
        <f ca="1">IF(AND(ISNUMBER($G$695),$B$427=1),$G$695,HLOOKUP(INDIRECT(ADDRESS(2,COLUMN())),OFFSET($AM$2,0,0,ROW()-1,33),ROW()-1,FALSE))</f>
        <v>5.6822433090000004</v>
      </c>
      <c r="H293">
        <f ca="1">IF(AND(ISNUMBER($H$695),$B$427=1),$H$695,HLOOKUP(INDIRECT(ADDRESS(2,COLUMN())),OFFSET($AM$2,0,0,ROW()-1,33),ROW()-1,FALSE))</f>
        <v>5.4315899329999997</v>
      </c>
      <c r="I293">
        <f ca="1">IF(AND(ISNUMBER($I$695),$B$427=1),$I$695,HLOOKUP(INDIRECT(ADDRESS(2,COLUMN())),OFFSET($AM$2,0,0,ROW()-1,33),ROW()-1,FALSE))</f>
        <v>5.514872961</v>
      </c>
      <c r="J293">
        <f ca="1">IF(AND(ISNUMBER($J$695),$B$427=1),$J$695,HLOOKUP(INDIRECT(ADDRESS(2,COLUMN())),OFFSET($AM$2,0,0,ROW()-1,33),ROW()-1,FALSE))</f>
        <v>2.0180991439999998</v>
      </c>
      <c r="K293">
        <f ca="1">IF(AND(ISNUMBER($K$695),$B$427=1),$K$695,HLOOKUP(INDIRECT(ADDRESS(2,COLUMN())),OFFSET($AM$2,0,0,ROW()-1,33),ROW()-1,FALSE))</f>
        <v>2.1461001300000002</v>
      </c>
      <c r="L293">
        <f ca="1">IF(AND(ISNUMBER($L$695),$B$427=1),$L$695,HLOOKUP(INDIRECT(ADDRESS(2,COLUMN())),OFFSET($AM$2,0,0,ROW()-1,33),ROW()-1,FALSE))</f>
        <v>3.7602251739999999</v>
      </c>
      <c r="M293">
        <f ca="1">IF(AND(ISNUMBER($M$695),$B$427=1),$M$695,HLOOKUP(INDIRECT(ADDRESS(2,COLUMN())),OFFSET($AM$2,0,0,ROW()-1,33),ROW()-1,FALSE))</f>
        <v>2.4191557079999999</v>
      </c>
      <c r="N293">
        <f ca="1">IF(AND(ISNUMBER($N$695),$B$427=1),$N$695,HLOOKUP(INDIRECT(ADDRESS(2,COLUMN())),OFFSET($AM$2,0,0,ROW()-1,33),ROW()-1,FALSE))</f>
        <v>2.46812275</v>
      </c>
      <c r="O293">
        <f ca="1">IF(AND(ISNUMBER($O$695),$B$427=1),$O$695,HLOOKUP(INDIRECT(ADDRESS(2,COLUMN())),OFFSET($AM$2,0,0,ROW()-1,33),ROW()-1,FALSE))</f>
        <v>2.7061363269999998</v>
      </c>
      <c r="P293">
        <f ca="1">IF(AND(ISNUMBER($P$695),$B$427=1),$P$695,HLOOKUP(INDIRECT(ADDRESS(2,COLUMN())),OFFSET($AM$2,0,0,ROW()-1,33),ROW()-1,FALSE))</f>
        <v>2.6672373779999998</v>
      </c>
      <c r="Q293">
        <f ca="1">IF(AND(ISNUMBER($Q$695),$B$427=1),$Q$695,HLOOKUP(INDIRECT(ADDRESS(2,COLUMN())),OFFSET($AM$2,0,0,ROW()-1,33),ROW()-1,FALSE))</f>
        <v>1.876865155</v>
      </c>
      <c r="R293">
        <f ca="1">IF(AND(ISNUMBER($R$695),$B$427=1),$R$695,HLOOKUP(INDIRECT(ADDRESS(2,COLUMN())),OFFSET($AM$2,0,0,ROW()-1,33),ROW()-1,FALSE))</f>
        <v>1.4565188440000001</v>
      </c>
      <c r="S293">
        <f ca="1">IF(AND(ISNUMBER($S$695),$B$427=1),$S$695,HLOOKUP(INDIRECT(ADDRESS(2,COLUMN())),OFFSET($AM$2,0,0,ROW()-1,33),ROW()-1,FALSE))</f>
        <v>1.37052431</v>
      </c>
      <c r="T293">
        <f ca="1">IF(AND(ISNUMBER($T$695),$B$427=1),$T$695,HLOOKUP(INDIRECT(ADDRESS(2,COLUMN())),OFFSET($AM$2,0,0,ROW()-1,33),ROW()-1,FALSE))</f>
        <v>1.3203772620000001</v>
      </c>
      <c r="U293" t="str">
        <f ca="1">IF(AND(ISNUMBER($U$695),$B$427=1),$U$695,HLOOKUP(INDIRECT(ADDRESS(2,COLUMN())),OFFSET($AM$2,0,0,ROW()-1,33),ROW()-1,FALSE))</f>
        <v/>
      </c>
      <c r="V293" t="str">
        <f ca="1">IF(AND(ISNUMBER($V$695),$B$427=1),$V$695,HLOOKUP(INDIRECT(ADDRESS(2,COLUMN())),OFFSET($AM$2,0,0,ROW()-1,33),ROW()-1,FALSE))</f>
        <v/>
      </c>
      <c r="W293" t="str">
        <f ca="1">IF(AND(ISNUMBER($W$695),$B$427=1),$W$695,HLOOKUP(INDIRECT(ADDRESS(2,COLUMN())),OFFSET($AM$2,0,0,ROW()-1,33),ROW()-1,FALSE))</f>
        <v/>
      </c>
      <c r="X293" t="str">
        <f ca="1">IF(AND(ISNUMBER($X$695),$B$427=1),$X$695,HLOOKUP(INDIRECT(ADDRESS(2,COLUMN())),OFFSET($AM$2,0,0,ROW()-1,33),ROW()-1,FALSE))</f>
        <v/>
      </c>
      <c r="Y293" t="str">
        <f ca="1">IF(AND(ISNUMBER($Y$695),$B$427=1),$Y$695,HLOOKUP(INDIRECT(ADDRESS(2,COLUMN())),OFFSET($AM$2,0,0,ROW()-1,33),ROW()-1,FALSE))</f>
        <v/>
      </c>
      <c r="Z293" t="str">
        <f ca="1">IF(AND(ISNUMBER($Z$695),$B$427=1),$Z$695,HLOOKUP(INDIRECT(ADDRESS(2,COLUMN())),OFFSET($AM$2,0,0,ROW()-1,33),ROW()-1,FALSE))</f>
        <v/>
      </c>
      <c r="AA293" t="str">
        <f ca="1">IF(AND(ISNUMBER($AA$695),$B$427=1),$AA$695,HLOOKUP(INDIRECT(ADDRESS(2,COLUMN())),OFFSET($AM$2,0,0,ROW()-1,33),ROW()-1,FALSE))</f>
        <v/>
      </c>
      <c r="AB293" t="str">
        <f ca="1">IF(AND(ISNUMBER($AB$695),$B$427=1),$AB$695,HLOOKUP(INDIRECT(ADDRESS(2,COLUMN())),OFFSET($AM$2,0,0,ROW()-1,33),ROW()-1,FALSE))</f>
        <v/>
      </c>
      <c r="AC293" t="str">
        <f ca="1">IF(AND(ISNUMBER($AC$695),$B$427=1),$AC$695,HLOOKUP(INDIRECT(ADDRESS(2,COLUMN())),OFFSET($AM$2,0,0,ROW()-1,33),ROW()-1,FALSE))</f>
        <v/>
      </c>
      <c r="AD293" t="str">
        <f ca="1">IF(AND(ISNUMBER($AD$695),$B$427=1),$AD$695,HLOOKUP(INDIRECT(ADDRESS(2,COLUMN())),OFFSET($AM$2,0,0,ROW()-1,33),ROW()-1,FALSE))</f>
        <v/>
      </c>
      <c r="AE293" t="str">
        <f ca="1">IF(AND(ISNUMBER($AE$695),$B$427=1),$AE$695,HLOOKUP(INDIRECT(ADDRESS(2,COLUMN())),OFFSET($AM$2,0,0,ROW()-1,33),ROW()-1,FALSE))</f>
        <v/>
      </c>
      <c r="AF293" t="str">
        <f ca="1">IF(AND(ISNUMBER($AF$695),$B$427=1),$AF$695,HLOOKUP(INDIRECT(ADDRESS(2,COLUMN())),OFFSET($AM$2,0,0,ROW()-1,33),ROW()-1,FALSE))</f>
        <v/>
      </c>
      <c r="AG293" t="str">
        <f ca="1">IF(AND(ISNUMBER($AG$695),$B$427=1),$AG$695,HLOOKUP(INDIRECT(ADDRESS(2,COLUMN())),OFFSET($AM$2,0,0,ROW()-1,33),ROW()-1,FALSE))</f>
        <v/>
      </c>
      <c r="AH293" t="str">
        <f ca="1">IF(AND(ISNUMBER($AH$695),$B$427=1),$AH$695,HLOOKUP(INDIRECT(ADDRESS(2,COLUMN())),OFFSET($AM$2,0,0,ROW()-1,33),ROW()-1,FALSE))</f>
        <v/>
      </c>
      <c r="AI293" t="str">
        <f ca="1">IF(AND(ISNUMBER($AI$695),$B$427=1),$AI$695,HLOOKUP(INDIRECT(ADDRESS(2,COLUMN())),OFFSET($AM$2,0,0,ROW()-1,33),ROW()-1,FALSE))</f>
        <v/>
      </c>
      <c r="AJ293" t="str">
        <f ca="1">IF(AND(ISNUMBER($AJ$695),$B$427=1),$AJ$695,HLOOKUP(INDIRECT(ADDRESS(2,COLUMN())),OFFSET($AM$2,0,0,ROW()-1,33),ROW()-1,FALSE))</f>
        <v/>
      </c>
      <c r="AK293" t="str">
        <f ca="1">IF(AND(ISNUMBER($AK$695),$B$427=1),$AK$695,HLOOKUP(INDIRECT(ADDRESS(2,COLUMN())),OFFSET($AM$2,0,0,ROW()-1,33),ROW()-1,FALSE))</f>
        <v/>
      </c>
      <c r="AL293" t="str">
        <f ca="1">IF(AND(ISNUMBER($AL$695),$B$427=1),$AL$695,HLOOKUP(INDIRECT(ADDRESS(2,COLUMN())),OFFSET($AM$2,0,0,ROW()-1,33),ROW()-1,FALSE))</f>
        <v/>
      </c>
      <c r="AM293">
        <f>6.106401176</f>
        <v>6.1064011760000003</v>
      </c>
      <c r="AN293">
        <f>5.682243309</f>
        <v>5.6822433090000004</v>
      </c>
      <c r="AO293">
        <f>5.431589933</f>
        <v>5.4315899329999997</v>
      </c>
      <c r="AP293">
        <f>5.514872961</f>
        <v>5.514872961</v>
      </c>
      <c r="AQ293">
        <f>2.018099144</f>
        <v>2.0180991439999998</v>
      </c>
      <c r="AR293">
        <f>2.14610013</f>
        <v>2.1461001300000002</v>
      </c>
      <c r="AS293">
        <f>3.760225174</f>
        <v>3.7602251739999999</v>
      </c>
      <c r="AT293">
        <f>2.419155708</f>
        <v>2.4191557079999999</v>
      </c>
      <c r="AU293">
        <f>2.46812275</f>
        <v>2.46812275</v>
      </c>
      <c r="AV293">
        <f>2.706136327</f>
        <v>2.7061363269999998</v>
      </c>
      <c r="AW293">
        <f>2.667237378</f>
        <v>2.6672373779999998</v>
      </c>
      <c r="AX293">
        <f>1.876865155</f>
        <v>1.876865155</v>
      </c>
      <c r="AY293">
        <f>1.456518844</f>
        <v>1.4565188440000001</v>
      </c>
      <c r="AZ293">
        <f>1.37052431</f>
        <v>1.37052431</v>
      </c>
      <c r="BA293">
        <f>1.320377262</f>
        <v>1.3203772620000001</v>
      </c>
      <c r="BB293" t="str">
        <f>""</f>
        <v/>
      </c>
      <c r="BC293" t="str">
        <f>""</f>
        <v/>
      </c>
      <c r="BD293" t="str">
        <f>""</f>
        <v/>
      </c>
      <c r="BE293" t="str">
        <f>""</f>
        <v/>
      </c>
      <c r="BF293" t="str">
        <f>""</f>
        <v/>
      </c>
      <c r="BG293" t="str">
        <f>""</f>
        <v/>
      </c>
      <c r="BH293" t="str">
        <f>""</f>
        <v/>
      </c>
      <c r="BI293" t="str">
        <f>""</f>
        <v/>
      </c>
      <c r="BJ293" t="str">
        <f>""</f>
        <v/>
      </c>
      <c r="BK293" t="str">
        <f>""</f>
        <v/>
      </c>
      <c r="BL293" t="str">
        <f>""</f>
        <v/>
      </c>
      <c r="BM293" t="str">
        <f>""</f>
        <v/>
      </c>
      <c r="BN293" t="str">
        <f>""</f>
        <v/>
      </c>
      <c r="BO293" t="str">
        <f>""</f>
        <v/>
      </c>
      <c r="BP293" t="str">
        <f>""</f>
        <v/>
      </c>
      <c r="BQ293" t="str">
        <f>""</f>
        <v/>
      </c>
      <c r="BR293" t="str">
        <f>""</f>
        <v/>
      </c>
      <c r="BS293" t="str">
        <f>""</f>
        <v/>
      </c>
    </row>
    <row r="294" spans="1:71" x14ac:dyDescent="0.25">
      <c r="A294" t="str">
        <f>"        First Citizens BancShares Inc/"</f>
        <v xml:space="preserve">        First Citizens BancShares Inc/</v>
      </c>
      <c r="B294" t="str">
        <f>"FCNCA US Equity"</f>
        <v>FCNCA US Equity</v>
      </c>
      <c r="C294" t="str">
        <f t="shared" si="39"/>
        <v>F0123</v>
      </c>
      <c r="D294" t="str">
        <f t="shared" si="40"/>
        <v>FED_FINL_SRVC_LNS_%_TOT_LNS_LEAS</v>
      </c>
      <c r="E294" t="str">
        <f t="shared" si="41"/>
        <v>Dynamic</v>
      </c>
      <c r="F294">
        <f ca="1">IF(AND(ISNUMBER($F$696),$B$427=1),$F$696,HLOOKUP(INDIRECT(ADDRESS(2,COLUMN())),OFFSET($AM$2,0,0,ROW()-1,33),ROW()-1,FALSE))</f>
        <v>20.76505848</v>
      </c>
      <c r="G294">
        <f ca="1">IF(AND(ISNUMBER($G$696),$B$427=1),$G$696,HLOOKUP(INDIRECT(ADDRESS(2,COLUMN())),OFFSET($AM$2,0,0,ROW()-1,33),ROW()-1,FALSE))</f>
        <v>2.218734607</v>
      </c>
      <c r="H294">
        <f ca="1">IF(AND(ISNUMBER($H$696),$B$427=1),$H$696,HLOOKUP(INDIRECT(ADDRESS(2,COLUMN())),OFFSET($AM$2,0,0,ROW()-1,33),ROW()-1,FALSE))</f>
        <v>3.0114465830000001</v>
      </c>
      <c r="I294">
        <f ca="1">IF(AND(ISNUMBER($I$696),$B$427=1),$I$696,HLOOKUP(INDIRECT(ADDRESS(2,COLUMN())),OFFSET($AM$2,0,0,ROW()-1,33),ROW()-1,FALSE))</f>
        <v>1.9935162999999999E-2</v>
      </c>
      <c r="J294">
        <f ca="1">IF(AND(ISNUMBER($J$696),$B$427=1),$J$696,HLOOKUP(INDIRECT(ADDRESS(2,COLUMN())),OFFSET($AM$2,0,0,ROW()-1,33),ROW()-1,FALSE))</f>
        <v>0</v>
      </c>
      <c r="K294">
        <f ca="1">IF(AND(ISNUMBER($K$696),$B$427=1),$K$696,HLOOKUP(INDIRECT(ADDRESS(2,COLUMN())),OFFSET($AM$2,0,0,ROW()-1,33),ROW()-1,FALSE))</f>
        <v>0</v>
      </c>
      <c r="L294">
        <f ca="1">IF(AND(ISNUMBER($L$696),$B$427=1),$L$696,HLOOKUP(INDIRECT(ADDRESS(2,COLUMN())),OFFSET($AM$2,0,0,ROW()-1,33),ROW()-1,FALSE))</f>
        <v>0</v>
      </c>
      <c r="M294">
        <f ca="1">IF(AND(ISNUMBER($M$696),$B$427=1),$M$696,HLOOKUP(INDIRECT(ADDRESS(2,COLUMN())),OFFSET($AM$2,0,0,ROW()-1,33),ROW()-1,FALSE))</f>
        <v>0</v>
      </c>
      <c r="N294">
        <f ca="1">IF(AND(ISNUMBER($N$696),$B$427=1),$N$696,HLOOKUP(INDIRECT(ADDRESS(2,COLUMN())),OFFSET($AM$2,0,0,ROW()-1,33),ROW()-1,FALSE))</f>
        <v>0</v>
      </c>
      <c r="O294">
        <f ca="1">IF(AND(ISNUMBER($O$696),$B$427=1),$O$696,HLOOKUP(INDIRECT(ADDRESS(2,COLUMN())),OFFSET($AM$2,0,0,ROW()-1,33),ROW()-1,FALSE))</f>
        <v>0</v>
      </c>
      <c r="P294">
        <f ca="1">IF(AND(ISNUMBER($P$696),$B$427=1),$P$696,HLOOKUP(INDIRECT(ADDRESS(2,COLUMN())),OFFSET($AM$2,0,0,ROW()-1,33),ROW()-1,FALSE))</f>
        <v>1.9433806000000001E-2</v>
      </c>
      <c r="Q294">
        <f ca="1">IF(AND(ISNUMBER($Q$696),$B$427=1),$Q$696,HLOOKUP(INDIRECT(ADDRESS(2,COLUMN())),OFFSET($AM$2,0,0,ROW()-1,33),ROW()-1,FALSE))</f>
        <v>0</v>
      </c>
      <c r="R294">
        <f ca="1">IF(AND(ISNUMBER($R$696),$B$427=1),$R$696,HLOOKUP(INDIRECT(ADDRESS(2,COLUMN())),OFFSET($AM$2,0,0,ROW()-1,33),ROW()-1,FALSE))</f>
        <v>0</v>
      </c>
      <c r="S294">
        <f ca="1">IF(AND(ISNUMBER($S$696),$B$427=1),$S$696,HLOOKUP(INDIRECT(ADDRESS(2,COLUMN())),OFFSET($AM$2,0,0,ROW()-1,33),ROW()-1,FALSE))</f>
        <v>0</v>
      </c>
      <c r="T294">
        <f ca="1">IF(AND(ISNUMBER($T$696),$B$427=1),$T$696,HLOOKUP(INDIRECT(ADDRESS(2,COLUMN())),OFFSET($AM$2,0,0,ROW()-1,33),ROW()-1,FALSE))</f>
        <v>0</v>
      </c>
      <c r="U294" t="str">
        <f ca="1">IF(AND(ISNUMBER($U$696),$B$427=1),$U$696,HLOOKUP(INDIRECT(ADDRESS(2,COLUMN())),OFFSET($AM$2,0,0,ROW()-1,33),ROW()-1,FALSE))</f>
        <v/>
      </c>
      <c r="V294" t="str">
        <f ca="1">IF(AND(ISNUMBER($V$696),$B$427=1),$V$696,HLOOKUP(INDIRECT(ADDRESS(2,COLUMN())),OFFSET($AM$2,0,0,ROW()-1,33),ROW()-1,FALSE))</f>
        <v/>
      </c>
      <c r="W294" t="str">
        <f ca="1">IF(AND(ISNUMBER($W$696),$B$427=1),$W$696,HLOOKUP(INDIRECT(ADDRESS(2,COLUMN())),OFFSET($AM$2,0,0,ROW()-1,33),ROW()-1,FALSE))</f>
        <v/>
      </c>
      <c r="X294" t="str">
        <f ca="1">IF(AND(ISNUMBER($X$696),$B$427=1),$X$696,HLOOKUP(INDIRECT(ADDRESS(2,COLUMN())),OFFSET($AM$2,0,0,ROW()-1,33),ROW()-1,FALSE))</f>
        <v/>
      </c>
      <c r="Y294" t="str">
        <f ca="1">IF(AND(ISNUMBER($Y$696),$B$427=1),$Y$696,HLOOKUP(INDIRECT(ADDRESS(2,COLUMN())),OFFSET($AM$2,0,0,ROW()-1,33),ROW()-1,FALSE))</f>
        <v/>
      </c>
      <c r="Z294" t="str">
        <f ca="1">IF(AND(ISNUMBER($Z$696),$B$427=1),$Z$696,HLOOKUP(INDIRECT(ADDRESS(2,COLUMN())),OFFSET($AM$2,0,0,ROW()-1,33),ROW()-1,FALSE))</f>
        <v/>
      </c>
      <c r="AA294" t="str">
        <f ca="1">IF(AND(ISNUMBER($AA$696),$B$427=1),$AA$696,HLOOKUP(INDIRECT(ADDRESS(2,COLUMN())),OFFSET($AM$2,0,0,ROW()-1,33),ROW()-1,FALSE))</f>
        <v/>
      </c>
      <c r="AB294" t="str">
        <f ca="1">IF(AND(ISNUMBER($AB$696),$B$427=1),$AB$696,HLOOKUP(INDIRECT(ADDRESS(2,COLUMN())),OFFSET($AM$2,0,0,ROW()-1,33),ROW()-1,FALSE))</f>
        <v/>
      </c>
      <c r="AC294" t="str">
        <f ca="1">IF(AND(ISNUMBER($AC$696),$B$427=1),$AC$696,HLOOKUP(INDIRECT(ADDRESS(2,COLUMN())),OFFSET($AM$2,0,0,ROW()-1,33),ROW()-1,FALSE))</f>
        <v/>
      </c>
      <c r="AD294" t="str">
        <f ca="1">IF(AND(ISNUMBER($AD$696),$B$427=1),$AD$696,HLOOKUP(INDIRECT(ADDRESS(2,COLUMN())),OFFSET($AM$2,0,0,ROW()-1,33),ROW()-1,FALSE))</f>
        <v/>
      </c>
      <c r="AE294" t="str">
        <f ca="1">IF(AND(ISNUMBER($AE$696),$B$427=1),$AE$696,HLOOKUP(INDIRECT(ADDRESS(2,COLUMN())),OFFSET($AM$2,0,0,ROW()-1,33),ROW()-1,FALSE))</f>
        <v/>
      </c>
      <c r="AF294" t="str">
        <f ca="1">IF(AND(ISNUMBER($AF$696),$B$427=1),$AF$696,HLOOKUP(INDIRECT(ADDRESS(2,COLUMN())),OFFSET($AM$2,0,0,ROW()-1,33),ROW()-1,FALSE))</f>
        <v/>
      </c>
      <c r="AG294" t="str">
        <f ca="1">IF(AND(ISNUMBER($AG$696),$B$427=1),$AG$696,HLOOKUP(INDIRECT(ADDRESS(2,COLUMN())),OFFSET($AM$2,0,0,ROW()-1,33),ROW()-1,FALSE))</f>
        <v/>
      </c>
      <c r="AH294" t="str">
        <f ca="1">IF(AND(ISNUMBER($AH$696),$B$427=1),$AH$696,HLOOKUP(INDIRECT(ADDRESS(2,COLUMN())),OFFSET($AM$2,0,0,ROW()-1,33),ROW()-1,FALSE))</f>
        <v/>
      </c>
      <c r="AI294" t="str">
        <f ca="1">IF(AND(ISNUMBER($AI$696),$B$427=1),$AI$696,HLOOKUP(INDIRECT(ADDRESS(2,COLUMN())),OFFSET($AM$2,0,0,ROW()-1,33),ROW()-1,FALSE))</f>
        <v/>
      </c>
      <c r="AJ294" t="str">
        <f ca="1">IF(AND(ISNUMBER($AJ$696),$B$427=1),$AJ$696,HLOOKUP(INDIRECT(ADDRESS(2,COLUMN())),OFFSET($AM$2,0,0,ROW()-1,33),ROW()-1,FALSE))</f>
        <v/>
      </c>
      <c r="AK294" t="str">
        <f ca="1">IF(AND(ISNUMBER($AK$696),$B$427=1),$AK$696,HLOOKUP(INDIRECT(ADDRESS(2,COLUMN())),OFFSET($AM$2,0,0,ROW()-1,33),ROW()-1,FALSE))</f>
        <v/>
      </c>
      <c r="AL294" t="str">
        <f ca="1">IF(AND(ISNUMBER($AL$696),$B$427=1),$AL$696,HLOOKUP(INDIRECT(ADDRESS(2,COLUMN())),OFFSET($AM$2,0,0,ROW()-1,33),ROW()-1,FALSE))</f>
        <v/>
      </c>
      <c r="AM294">
        <f>20.76505848</f>
        <v>20.76505848</v>
      </c>
      <c r="AN294">
        <f>2.218734607</f>
        <v>2.218734607</v>
      </c>
      <c r="AO294">
        <f>3.011446583</f>
        <v>3.0114465830000001</v>
      </c>
      <c r="AP294">
        <f>0.019935163</f>
        <v>1.9935162999999999E-2</v>
      </c>
      <c r="AQ294">
        <f>0</f>
        <v>0</v>
      </c>
      <c r="AR294">
        <f>0</f>
        <v>0</v>
      </c>
      <c r="AS294">
        <f>0</f>
        <v>0</v>
      </c>
      <c r="AT294">
        <f>0</f>
        <v>0</v>
      </c>
      <c r="AU294">
        <f>0</f>
        <v>0</v>
      </c>
      <c r="AV294">
        <f>0</f>
        <v>0</v>
      </c>
      <c r="AW294">
        <f>0.019433806</f>
        <v>1.9433806000000001E-2</v>
      </c>
      <c r="AX294">
        <f>0</f>
        <v>0</v>
      </c>
      <c r="AY294">
        <f>0</f>
        <v>0</v>
      </c>
      <c r="AZ294">
        <f>0</f>
        <v>0</v>
      </c>
      <c r="BA294">
        <f>0</f>
        <v>0</v>
      </c>
      <c r="BB294" t="str">
        <f>""</f>
        <v/>
      </c>
      <c r="BC294" t="str">
        <f>""</f>
        <v/>
      </c>
      <c r="BD294" t="str">
        <f>""</f>
        <v/>
      </c>
      <c r="BE294" t="str">
        <f>""</f>
        <v/>
      </c>
      <c r="BF294" t="str">
        <f>""</f>
        <v/>
      </c>
      <c r="BG294" t="str">
        <f>""</f>
        <v/>
      </c>
      <c r="BH294" t="str">
        <f>""</f>
        <v/>
      </c>
      <c r="BI294" t="str">
        <f>""</f>
        <v/>
      </c>
      <c r="BJ294" t="str">
        <f>""</f>
        <v/>
      </c>
      <c r="BK294" t="str">
        <f>""</f>
        <v/>
      </c>
      <c r="BL294" t="str">
        <f>""</f>
        <v/>
      </c>
      <c r="BM294" t="str">
        <f>""</f>
        <v/>
      </c>
      <c r="BN294" t="str">
        <f>""</f>
        <v/>
      </c>
      <c r="BO294" t="str">
        <f>""</f>
        <v/>
      </c>
      <c r="BP294" t="str">
        <f>""</f>
        <v/>
      </c>
      <c r="BQ294" t="str">
        <f>""</f>
        <v/>
      </c>
      <c r="BR294" t="str">
        <f>""</f>
        <v/>
      </c>
      <c r="BS294" t="str">
        <f>""</f>
        <v/>
      </c>
    </row>
    <row r="295" spans="1:71" x14ac:dyDescent="0.25">
      <c r="A295" t="str">
        <f>"        Flagstar Financial Inc"</f>
        <v xml:space="preserve">        Flagstar Financial Inc</v>
      </c>
      <c r="B295" t="str">
        <f>"FLG US Equity"</f>
        <v>FLG US Equity</v>
      </c>
      <c r="C295" t="str">
        <f t="shared" si="39"/>
        <v>F0123</v>
      </c>
      <c r="D295" t="str">
        <f t="shared" si="40"/>
        <v>FED_FINL_SRVC_LNS_%_TOT_LNS_LEAS</v>
      </c>
      <c r="E295" t="str">
        <f t="shared" si="41"/>
        <v>Dynamic</v>
      </c>
      <c r="F295" t="str">
        <f ca="1">IF(AND(ISNUMBER($F$697),$B$427=1),$F$697,HLOOKUP(INDIRECT(ADDRESS(2,COLUMN())),OFFSET($AM$2,0,0,ROW()-1,33),ROW()-1,FALSE))</f>
        <v/>
      </c>
      <c r="G295">
        <f ca="1">IF(AND(ISNUMBER($G$697),$B$427=1),$G$697,HLOOKUP(INDIRECT(ADDRESS(2,COLUMN())),OFFSET($AM$2,0,0,ROW()-1,33),ROW()-1,FALSE))</f>
        <v>10.547594670000001</v>
      </c>
      <c r="H295">
        <f ca="1">IF(AND(ISNUMBER($H$697),$B$427=1),$H$697,HLOOKUP(INDIRECT(ADDRESS(2,COLUMN())),OFFSET($AM$2,0,0,ROW()-1,33),ROW()-1,FALSE))</f>
        <v>7.777327798</v>
      </c>
      <c r="I295">
        <f ca="1">IF(AND(ISNUMBER($I$697),$B$427=1),$I$697,HLOOKUP(INDIRECT(ADDRESS(2,COLUMN())),OFFSET($AM$2,0,0,ROW()-1,33),ROW()-1,FALSE))</f>
        <v>0.42885749000000001</v>
      </c>
      <c r="J295">
        <f ca="1">IF(AND(ISNUMBER($J$697),$B$427=1),$J$697,HLOOKUP(INDIRECT(ADDRESS(2,COLUMN())),OFFSET($AM$2,0,0,ROW()-1,33),ROW()-1,FALSE))</f>
        <v>0</v>
      </c>
      <c r="K295">
        <f ca="1">IF(AND(ISNUMBER($K$697),$B$427=1),$K$697,HLOOKUP(INDIRECT(ADDRESS(2,COLUMN())),OFFSET($AM$2,0,0,ROW()-1,33),ROW()-1,FALSE))</f>
        <v>0</v>
      </c>
      <c r="L295">
        <f ca="1">IF(AND(ISNUMBER($L$697),$B$427=1),$L$697,HLOOKUP(INDIRECT(ADDRESS(2,COLUMN())),OFFSET($AM$2,0,0,ROW()-1,33),ROW()-1,FALSE))</f>
        <v>0</v>
      </c>
      <c r="M295">
        <f ca="1">IF(AND(ISNUMBER($M$697),$B$427=1),$M$697,HLOOKUP(INDIRECT(ADDRESS(2,COLUMN())),OFFSET($AM$2,0,0,ROW()-1,33),ROW()-1,FALSE))</f>
        <v>0</v>
      </c>
      <c r="N295">
        <f ca="1">IF(AND(ISNUMBER($N$697),$B$427=1),$N$697,HLOOKUP(INDIRECT(ADDRESS(2,COLUMN())),OFFSET($AM$2,0,0,ROW()-1,33),ROW()-1,FALSE))</f>
        <v>0</v>
      </c>
      <c r="O295">
        <f ca="1">IF(AND(ISNUMBER($O$697),$B$427=1),$O$697,HLOOKUP(INDIRECT(ADDRESS(2,COLUMN())),OFFSET($AM$2,0,0,ROW()-1,33),ROW()-1,FALSE))</f>
        <v>0</v>
      </c>
      <c r="P295">
        <f ca="1">IF(AND(ISNUMBER($P$697),$B$427=1),$P$697,HLOOKUP(INDIRECT(ADDRESS(2,COLUMN())),OFFSET($AM$2,0,0,ROW()-1,33),ROW()-1,FALSE))</f>
        <v>0</v>
      </c>
      <c r="Q295">
        <f ca="1">IF(AND(ISNUMBER($Q$697),$B$427=1),$Q$697,HLOOKUP(INDIRECT(ADDRESS(2,COLUMN())),OFFSET($AM$2,0,0,ROW()-1,33),ROW()-1,FALSE))</f>
        <v>0</v>
      </c>
      <c r="R295">
        <f ca="1">IF(AND(ISNUMBER($R$697),$B$427=1),$R$697,HLOOKUP(INDIRECT(ADDRESS(2,COLUMN())),OFFSET($AM$2,0,0,ROW()-1,33),ROW()-1,FALSE))</f>
        <v>0</v>
      </c>
      <c r="S295">
        <f ca="1">IF(AND(ISNUMBER($S$697),$B$427=1),$S$697,HLOOKUP(INDIRECT(ADDRESS(2,COLUMN())),OFFSET($AM$2,0,0,ROW()-1,33),ROW()-1,FALSE))</f>
        <v>0</v>
      </c>
      <c r="T295">
        <f ca="1">IF(AND(ISNUMBER($T$697),$B$427=1),$T$697,HLOOKUP(INDIRECT(ADDRESS(2,COLUMN())),OFFSET($AM$2,0,0,ROW()-1,33),ROW()-1,FALSE))</f>
        <v>0</v>
      </c>
      <c r="U295" t="str">
        <f ca="1">IF(AND(ISNUMBER($U$697),$B$427=1),$U$697,HLOOKUP(INDIRECT(ADDRESS(2,COLUMN())),OFFSET($AM$2,0,0,ROW()-1,33),ROW()-1,FALSE))</f>
        <v/>
      </c>
      <c r="V295" t="str">
        <f ca="1">IF(AND(ISNUMBER($V$697),$B$427=1),$V$697,HLOOKUP(INDIRECT(ADDRESS(2,COLUMN())),OFFSET($AM$2,0,0,ROW()-1,33),ROW()-1,FALSE))</f>
        <v/>
      </c>
      <c r="W295" t="str">
        <f ca="1">IF(AND(ISNUMBER($W$697),$B$427=1),$W$697,HLOOKUP(INDIRECT(ADDRESS(2,COLUMN())),OFFSET($AM$2,0,0,ROW()-1,33),ROW()-1,FALSE))</f>
        <v/>
      </c>
      <c r="X295" t="str">
        <f ca="1">IF(AND(ISNUMBER($X$697),$B$427=1),$X$697,HLOOKUP(INDIRECT(ADDRESS(2,COLUMN())),OFFSET($AM$2,0,0,ROW()-1,33),ROW()-1,FALSE))</f>
        <v/>
      </c>
      <c r="Y295" t="str">
        <f ca="1">IF(AND(ISNUMBER($Y$697),$B$427=1),$Y$697,HLOOKUP(INDIRECT(ADDRESS(2,COLUMN())),OFFSET($AM$2,0,0,ROW()-1,33),ROW()-1,FALSE))</f>
        <v/>
      </c>
      <c r="Z295" t="str">
        <f ca="1">IF(AND(ISNUMBER($Z$697),$B$427=1),$Z$697,HLOOKUP(INDIRECT(ADDRESS(2,COLUMN())),OFFSET($AM$2,0,0,ROW()-1,33),ROW()-1,FALSE))</f>
        <v/>
      </c>
      <c r="AA295" t="str">
        <f ca="1">IF(AND(ISNUMBER($AA$697),$B$427=1),$AA$697,HLOOKUP(INDIRECT(ADDRESS(2,COLUMN())),OFFSET($AM$2,0,0,ROW()-1,33),ROW()-1,FALSE))</f>
        <v/>
      </c>
      <c r="AB295" t="str">
        <f ca="1">IF(AND(ISNUMBER($AB$697),$B$427=1),$AB$697,HLOOKUP(INDIRECT(ADDRESS(2,COLUMN())),OFFSET($AM$2,0,0,ROW()-1,33),ROW()-1,FALSE))</f>
        <v/>
      </c>
      <c r="AC295" t="str">
        <f ca="1">IF(AND(ISNUMBER($AC$697),$B$427=1),$AC$697,HLOOKUP(INDIRECT(ADDRESS(2,COLUMN())),OFFSET($AM$2,0,0,ROW()-1,33),ROW()-1,FALSE))</f>
        <v/>
      </c>
      <c r="AD295" t="str">
        <f ca="1">IF(AND(ISNUMBER($AD$697),$B$427=1),$AD$697,HLOOKUP(INDIRECT(ADDRESS(2,COLUMN())),OFFSET($AM$2,0,0,ROW()-1,33),ROW()-1,FALSE))</f>
        <v/>
      </c>
      <c r="AE295" t="str">
        <f ca="1">IF(AND(ISNUMBER($AE$697),$B$427=1),$AE$697,HLOOKUP(INDIRECT(ADDRESS(2,COLUMN())),OFFSET($AM$2,0,0,ROW()-1,33),ROW()-1,FALSE))</f>
        <v/>
      </c>
      <c r="AF295" t="str">
        <f ca="1">IF(AND(ISNUMBER($AF$697),$B$427=1),$AF$697,HLOOKUP(INDIRECT(ADDRESS(2,COLUMN())),OFFSET($AM$2,0,0,ROW()-1,33),ROW()-1,FALSE))</f>
        <v/>
      </c>
      <c r="AG295" t="str">
        <f ca="1">IF(AND(ISNUMBER($AG$697),$B$427=1),$AG$697,HLOOKUP(INDIRECT(ADDRESS(2,COLUMN())),OFFSET($AM$2,0,0,ROW()-1,33),ROW()-1,FALSE))</f>
        <v/>
      </c>
      <c r="AH295" t="str">
        <f ca="1">IF(AND(ISNUMBER($AH$697),$B$427=1),$AH$697,HLOOKUP(INDIRECT(ADDRESS(2,COLUMN())),OFFSET($AM$2,0,0,ROW()-1,33),ROW()-1,FALSE))</f>
        <v/>
      </c>
      <c r="AI295" t="str">
        <f ca="1">IF(AND(ISNUMBER($AI$697),$B$427=1),$AI$697,HLOOKUP(INDIRECT(ADDRESS(2,COLUMN())),OFFSET($AM$2,0,0,ROW()-1,33),ROW()-1,FALSE))</f>
        <v/>
      </c>
      <c r="AJ295" t="str">
        <f ca="1">IF(AND(ISNUMBER($AJ$697),$B$427=1),$AJ$697,HLOOKUP(INDIRECT(ADDRESS(2,COLUMN())),OFFSET($AM$2,0,0,ROW()-1,33),ROW()-1,FALSE))</f>
        <v/>
      </c>
      <c r="AK295" t="str">
        <f ca="1">IF(AND(ISNUMBER($AK$697),$B$427=1),$AK$697,HLOOKUP(INDIRECT(ADDRESS(2,COLUMN())),OFFSET($AM$2,0,0,ROW()-1,33),ROW()-1,FALSE))</f>
        <v/>
      </c>
      <c r="AL295" t="str">
        <f ca="1">IF(AND(ISNUMBER($AL$697),$B$427=1),$AL$697,HLOOKUP(INDIRECT(ADDRESS(2,COLUMN())),OFFSET($AM$2,0,0,ROW()-1,33),ROW()-1,FALSE))</f>
        <v/>
      </c>
      <c r="AM295" t="str">
        <f>""</f>
        <v/>
      </c>
      <c r="AN295">
        <f>10.54759467</f>
        <v>10.547594670000001</v>
      </c>
      <c r="AO295">
        <f>7.777327798</f>
        <v>7.777327798</v>
      </c>
      <c r="AP295">
        <f>0.42885749</f>
        <v>0.42885749000000001</v>
      </c>
      <c r="AQ295">
        <f>0</f>
        <v>0</v>
      </c>
      <c r="AR295">
        <f>0</f>
        <v>0</v>
      </c>
      <c r="AS295">
        <f>0</f>
        <v>0</v>
      </c>
      <c r="AT295">
        <f>0</f>
        <v>0</v>
      </c>
      <c r="AU295">
        <f>0</f>
        <v>0</v>
      </c>
      <c r="AV295">
        <f>0</f>
        <v>0</v>
      </c>
      <c r="AW295">
        <f>0</f>
        <v>0</v>
      </c>
      <c r="AX295">
        <f>0</f>
        <v>0</v>
      </c>
      <c r="AY295">
        <f>0</f>
        <v>0</v>
      </c>
      <c r="AZ295">
        <f>0</f>
        <v>0</v>
      </c>
      <c r="BA295">
        <f>0</f>
        <v>0</v>
      </c>
      <c r="BB295" t="str">
        <f>""</f>
        <v/>
      </c>
      <c r="BC295" t="str">
        <f>""</f>
        <v/>
      </c>
      <c r="BD295" t="str">
        <f>""</f>
        <v/>
      </c>
      <c r="BE295" t="str">
        <f>""</f>
        <v/>
      </c>
      <c r="BF295" t="str">
        <f>""</f>
        <v/>
      </c>
      <c r="BG295" t="str">
        <f>""</f>
        <v/>
      </c>
      <c r="BH295" t="str">
        <f>""</f>
        <v/>
      </c>
      <c r="BI295" t="str">
        <f>""</f>
        <v/>
      </c>
      <c r="BJ295" t="str">
        <f>""</f>
        <v/>
      </c>
      <c r="BK295" t="str">
        <f>""</f>
        <v/>
      </c>
      <c r="BL295" t="str">
        <f>""</f>
        <v/>
      </c>
      <c r="BM295" t="str">
        <f>""</f>
        <v/>
      </c>
      <c r="BN295" t="str">
        <f>""</f>
        <v/>
      </c>
      <c r="BO295" t="str">
        <f>""</f>
        <v/>
      </c>
      <c r="BP295" t="str">
        <f>""</f>
        <v/>
      </c>
      <c r="BQ295" t="str">
        <f>""</f>
        <v/>
      </c>
      <c r="BR295" t="str">
        <f>""</f>
        <v/>
      </c>
      <c r="BS295" t="str">
        <f>""</f>
        <v/>
      </c>
    </row>
    <row r="296" spans="1:71" x14ac:dyDescent="0.25">
      <c r="A296" t="str">
        <f>"        Huntington Bancshares Inc/OH"</f>
        <v xml:space="preserve">        Huntington Bancshares Inc/OH</v>
      </c>
      <c r="B296" t="str">
        <f>"HBAN US Equity"</f>
        <v>HBAN US Equity</v>
      </c>
      <c r="C296" t="str">
        <f t="shared" si="39"/>
        <v>F0123</v>
      </c>
      <c r="D296" t="str">
        <f t="shared" si="40"/>
        <v>FED_FINL_SRVC_LNS_%_TOT_LNS_LEAS</v>
      </c>
      <c r="E296" t="str">
        <f t="shared" si="41"/>
        <v>Dynamic</v>
      </c>
      <c r="F296">
        <f ca="1">IF(AND(ISNUMBER($F$698),$B$427=1),$F$698,HLOOKUP(INDIRECT(ADDRESS(2,COLUMN())),OFFSET($AM$2,0,0,ROW()-1,33),ROW()-1,FALSE))</f>
        <v>6.9878102090000001</v>
      </c>
      <c r="G296">
        <f ca="1">IF(AND(ISNUMBER($G$698),$B$427=1),$G$698,HLOOKUP(INDIRECT(ADDRESS(2,COLUMN())),OFFSET($AM$2,0,0,ROW()-1,33),ROW()-1,FALSE))</f>
        <v>5.3947340449999999</v>
      </c>
      <c r="H296">
        <f ca="1">IF(AND(ISNUMBER($H$698),$B$427=1),$H$698,HLOOKUP(INDIRECT(ADDRESS(2,COLUMN())),OFFSET($AM$2,0,0,ROW()-1,33),ROW()-1,FALSE))</f>
        <v>5.1010709609999996</v>
      </c>
      <c r="I296">
        <f ca="1">IF(AND(ISNUMBER($I$698),$B$427=1),$I$698,HLOOKUP(INDIRECT(ADDRESS(2,COLUMN())),OFFSET($AM$2,0,0,ROW()-1,33),ROW()-1,FALSE))</f>
        <v>0.96366881999999998</v>
      </c>
      <c r="J296">
        <f ca="1">IF(AND(ISNUMBER($J$698),$B$427=1),$J$698,HLOOKUP(INDIRECT(ADDRESS(2,COLUMN())),OFFSET($AM$2,0,0,ROW()-1,33),ROW()-1,FALSE))</f>
        <v>0.91146679900000005</v>
      </c>
      <c r="K296">
        <f ca="1">IF(AND(ISNUMBER($K$698),$B$427=1),$K$698,HLOOKUP(INDIRECT(ADDRESS(2,COLUMN())),OFFSET($AM$2,0,0,ROW()-1,33),ROW()-1,FALSE))</f>
        <v>0.88930244599999997</v>
      </c>
      <c r="L296">
        <f ca="1">IF(AND(ISNUMBER($L$698),$B$427=1),$L$698,HLOOKUP(INDIRECT(ADDRESS(2,COLUMN())),OFFSET($AM$2,0,0,ROW()-1,33),ROW()-1,FALSE))</f>
        <v>0.940023355</v>
      </c>
      <c r="M296">
        <f ca="1">IF(AND(ISNUMBER($M$698),$B$427=1),$M$698,HLOOKUP(INDIRECT(ADDRESS(2,COLUMN())),OFFSET($AM$2,0,0,ROW()-1,33),ROW()-1,FALSE))</f>
        <v>0.75339959499999998</v>
      </c>
      <c r="N296">
        <f ca="1">IF(AND(ISNUMBER($N$698),$B$427=1),$N$698,HLOOKUP(INDIRECT(ADDRESS(2,COLUMN())),OFFSET($AM$2,0,0,ROW()-1,33),ROW()-1,FALSE))</f>
        <v>0.47444922699999997</v>
      </c>
      <c r="O296">
        <f ca="1">IF(AND(ISNUMBER($O$698),$B$427=1),$O$698,HLOOKUP(INDIRECT(ADDRESS(2,COLUMN())),OFFSET($AM$2,0,0,ROW()-1,33),ROW()-1,FALSE))</f>
        <v>0.80548476599999996</v>
      </c>
      <c r="P296">
        <f ca="1">IF(AND(ISNUMBER($P$698),$B$427=1),$P$698,HLOOKUP(INDIRECT(ADDRESS(2,COLUMN())),OFFSET($AM$2,0,0,ROW()-1,33),ROW()-1,FALSE))</f>
        <v>0.47156124300000002</v>
      </c>
      <c r="Q296">
        <f ca="1">IF(AND(ISNUMBER($Q$698),$B$427=1),$Q$698,HLOOKUP(INDIRECT(ADDRESS(2,COLUMN())),OFFSET($AM$2,0,0,ROW()-1,33),ROW()-1,FALSE))</f>
        <v>0.39117700300000002</v>
      </c>
      <c r="R296">
        <f ca="1">IF(AND(ISNUMBER($R$698),$B$427=1),$R$698,HLOOKUP(INDIRECT(ADDRESS(2,COLUMN())),OFFSET($AM$2,0,0,ROW()-1,33),ROW()-1,FALSE))</f>
        <v>0</v>
      </c>
      <c r="S296">
        <f ca="1">IF(AND(ISNUMBER($S$698),$B$427=1),$S$698,HLOOKUP(INDIRECT(ADDRESS(2,COLUMN())),OFFSET($AM$2,0,0,ROW()-1,33),ROW()-1,FALSE))</f>
        <v>0</v>
      </c>
      <c r="T296">
        <f ca="1">IF(AND(ISNUMBER($T$698),$B$427=1),$T$698,HLOOKUP(INDIRECT(ADDRESS(2,COLUMN())),OFFSET($AM$2,0,0,ROW()-1,33),ROW()-1,FALSE))</f>
        <v>0</v>
      </c>
      <c r="U296" t="str">
        <f ca="1">IF(AND(ISNUMBER($U$698),$B$427=1),$U$698,HLOOKUP(INDIRECT(ADDRESS(2,COLUMN())),OFFSET($AM$2,0,0,ROW()-1,33),ROW()-1,FALSE))</f>
        <v/>
      </c>
      <c r="V296" t="str">
        <f ca="1">IF(AND(ISNUMBER($V$698),$B$427=1),$V$698,HLOOKUP(INDIRECT(ADDRESS(2,COLUMN())),OFFSET($AM$2,0,0,ROW()-1,33),ROW()-1,FALSE))</f>
        <v/>
      </c>
      <c r="W296" t="str">
        <f ca="1">IF(AND(ISNUMBER($W$698),$B$427=1),$W$698,HLOOKUP(INDIRECT(ADDRESS(2,COLUMN())),OFFSET($AM$2,0,0,ROW()-1,33),ROW()-1,FALSE))</f>
        <v/>
      </c>
      <c r="X296" t="str">
        <f ca="1">IF(AND(ISNUMBER($X$698),$B$427=1),$X$698,HLOOKUP(INDIRECT(ADDRESS(2,COLUMN())),OFFSET($AM$2,0,0,ROW()-1,33),ROW()-1,FALSE))</f>
        <v/>
      </c>
      <c r="Y296" t="str">
        <f ca="1">IF(AND(ISNUMBER($Y$698),$B$427=1),$Y$698,HLOOKUP(INDIRECT(ADDRESS(2,COLUMN())),OFFSET($AM$2,0,0,ROW()-1,33),ROW()-1,FALSE))</f>
        <v/>
      </c>
      <c r="Z296" t="str">
        <f ca="1">IF(AND(ISNUMBER($Z$698),$B$427=1),$Z$698,HLOOKUP(INDIRECT(ADDRESS(2,COLUMN())),OFFSET($AM$2,0,0,ROW()-1,33),ROW()-1,FALSE))</f>
        <v/>
      </c>
      <c r="AA296" t="str">
        <f ca="1">IF(AND(ISNUMBER($AA$698),$B$427=1),$AA$698,HLOOKUP(INDIRECT(ADDRESS(2,COLUMN())),OFFSET($AM$2,0,0,ROW()-1,33),ROW()-1,FALSE))</f>
        <v/>
      </c>
      <c r="AB296" t="str">
        <f ca="1">IF(AND(ISNUMBER($AB$698),$B$427=1),$AB$698,HLOOKUP(INDIRECT(ADDRESS(2,COLUMN())),OFFSET($AM$2,0,0,ROW()-1,33),ROW()-1,FALSE))</f>
        <v/>
      </c>
      <c r="AC296" t="str">
        <f ca="1">IF(AND(ISNUMBER($AC$698),$B$427=1),$AC$698,HLOOKUP(INDIRECT(ADDRESS(2,COLUMN())),OFFSET($AM$2,0,0,ROW()-1,33),ROW()-1,FALSE))</f>
        <v/>
      </c>
      <c r="AD296" t="str">
        <f ca="1">IF(AND(ISNUMBER($AD$698),$B$427=1),$AD$698,HLOOKUP(INDIRECT(ADDRESS(2,COLUMN())),OFFSET($AM$2,0,0,ROW()-1,33),ROW()-1,FALSE))</f>
        <v/>
      </c>
      <c r="AE296" t="str">
        <f ca="1">IF(AND(ISNUMBER($AE$698),$B$427=1),$AE$698,HLOOKUP(INDIRECT(ADDRESS(2,COLUMN())),OFFSET($AM$2,0,0,ROW()-1,33),ROW()-1,FALSE))</f>
        <v/>
      </c>
      <c r="AF296" t="str">
        <f ca="1">IF(AND(ISNUMBER($AF$698),$B$427=1),$AF$698,HLOOKUP(INDIRECT(ADDRESS(2,COLUMN())),OFFSET($AM$2,0,0,ROW()-1,33),ROW()-1,FALSE))</f>
        <v/>
      </c>
      <c r="AG296" t="str">
        <f ca="1">IF(AND(ISNUMBER($AG$698),$B$427=1),$AG$698,HLOOKUP(INDIRECT(ADDRESS(2,COLUMN())),OFFSET($AM$2,0,0,ROW()-1,33),ROW()-1,FALSE))</f>
        <v/>
      </c>
      <c r="AH296" t="str">
        <f ca="1">IF(AND(ISNUMBER($AH$698),$B$427=1),$AH$698,HLOOKUP(INDIRECT(ADDRESS(2,COLUMN())),OFFSET($AM$2,0,0,ROW()-1,33),ROW()-1,FALSE))</f>
        <v/>
      </c>
      <c r="AI296" t="str">
        <f ca="1">IF(AND(ISNUMBER($AI$698),$B$427=1),$AI$698,HLOOKUP(INDIRECT(ADDRESS(2,COLUMN())),OFFSET($AM$2,0,0,ROW()-1,33),ROW()-1,FALSE))</f>
        <v/>
      </c>
      <c r="AJ296" t="str">
        <f ca="1">IF(AND(ISNUMBER($AJ$698),$B$427=1),$AJ$698,HLOOKUP(INDIRECT(ADDRESS(2,COLUMN())),OFFSET($AM$2,0,0,ROW()-1,33),ROW()-1,FALSE))</f>
        <v/>
      </c>
      <c r="AK296" t="str">
        <f ca="1">IF(AND(ISNUMBER($AK$698),$B$427=1),$AK$698,HLOOKUP(INDIRECT(ADDRESS(2,COLUMN())),OFFSET($AM$2,0,0,ROW()-1,33),ROW()-1,FALSE))</f>
        <v/>
      </c>
      <c r="AL296" t="str">
        <f ca="1">IF(AND(ISNUMBER($AL$698),$B$427=1),$AL$698,HLOOKUP(INDIRECT(ADDRESS(2,COLUMN())),OFFSET($AM$2,0,0,ROW()-1,33),ROW()-1,FALSE))</f>
        <v/>
      </c>
      <c r="AM296">
        <f>6.987810209</f>
        <v>6.9878102090000001</v>
      </c>
      <c r="AN296">
        <f>5.394734045</f>
        <v>5.3947340449999999</v>
      </c>
      <c r="AO296">
        <f>5.101070961</f>
        <v>5.1010709609999996</v>
      </c>
      <c r="AP296">
        <f>0.96366882</f>
        <v>0.96366881999999998</v>
      </c>
      <c r="AQ296">
        <f>0.911466799</f>
        <v>0.91146679900000005</v>
      </c>
      <c r="AR296">
        <f>0.889302446</f>
        <v>0.88930244599999997</v>
      </c>
      <c r="AS296">
        <f>0.940023355</f>
        <v>0.940023355</v>
      </c>
      <c r="AT296">
        <f>0.753399595</f>
        <v>0.75339959499999998</v>
      </c>
      <c r="AU296">
        <f>0.474449227</f>
        <v>0.47444922699999997</v>
      </c>
      <c r="AV296">
        <f>0.805484766</f>
        <v>0.80548476599999996</v>
      </c>
      <c r="AW296">
        <f>0.471561243</f>
        <v>0.47156124300000002</v>
      </c>
      <c r="AX296">
        <f>0.391177003</f>
        <v>0.39117700300000002</v>
      </c>
      <c r="AY296">
        <f>0</f>
        <v>0</v>
      </c>
      <c r="AZ296">
        <f>0</f>
        <v>0</v>
      </c>
      <c r="BA296">
        <f>0</f>
        <v>0</v>
      </c>
      <c r="BB296" t="str">
        <f>""</f>
        <v/>
      </c>
      <c r="BC296" t="str">
        <f>""</f>
        <v/>
      </c>
      <c r="BD296" t="str">
        <f>""</f>
        <v/>
      </c>
      <c r="BE296" t="str">
        <f>""</f>
        <v/>
      </c>
      <c r="BF296" t="str">
        <f>""</f>
        <v/>
      </c>
      <c r="BG296" t="str">
        <f>""</f>
        <v/>
      </c>
      <c r="BH296" t="str">
        <f>""</f>
        <v/>
      </c>
      <c r="BI296" t="str">
        <f>""</f>
        <v/>
      </c>
      <c r="BJ296" t="str">
        <f>""</f>
        <v/>
      </c>
      <c r="BK296" t="str">
        <f>""</f>
        <v/>
      </c>
      <c r="BL296" t="str">
        <f>""</f>
        <v/>
      </c>
      <c r="BM296" t="str">
        <f>""</f>
        <v/>
      </c>
      <c r="BN296" t="str">
        <f>""</f>
        <v/>
      </c>
      <c r="BO296" t="str">
        <f>""</f>
        <v/>
      </c>
      <c r="BP296" t="str">
        <f>""</f>
        <v/>
      </c>
      <c r="BQ296" t="str">
        <f>""</f>
        <v/>
      </c>
      <c r="BR296" t="str">
        <f>""</f>
        <v/>
      </c>
      <c r="BS296" t="str">
        <f>""</f>
        <v/>
      </c>
    </row>
    <row r="297" spans="1:71" x14ac:dyDescent="0.25">
      <c r="A297" t="str">
        <f>"        JPMorgan Chase &amp; Co"</f>
        <v xml:space="preserve">        JPMorgan Chase &amp; Co</v>
      </c>
      <c r="B297" t="str">
        <f>"JPM US Equity"</f>
        <v>JPM US Equity</v>
      </c>
      <c r="C297" t="str">
        <f t="shared" si="39"/>
        <v>F0123</v>
      </c>
      <c r="D297" t="str">
        <f t="shared" si="40"/>
        <v>FED_FINL_SRVC_LNS_%_TOT_LNS_LEAS</v>
      </c>
      <c r="E297" t="str">
        <f t="shared" si="41"/>
        <v>Dynamic</v>
      </c>
      <c r="F297">
        <f ca="1">IF(AND(ISNUMBER($F$699),$B$427=1),$F$699,HLOOKUP(INDIRECT(ADDRESS(2,COLUMN())),OFFSET($AM$2,0,0,ROW()-1,33),ROW()-1,FALSE))</f>
        <v>9.5279220129999995</v>
      </c>
      <c r="G297">
        <f ca="1">IF(AND(ISNUMBER($G$699),$B$427=1),$G$699,HLOOKUP(INDIRECT(ADDRESS(2,COLUMN())),OFFSET($AM$2,0,0,ROW()-1,33),ROW()-1,FALSE))</f>
        <v>8.9499244309999995</v>
      </c>
      <c r="H297">
        <f ca="1">IF(AND(ISNUMBER($H$699),$B$427=1),$H$699,HLOOKUP(INDIRECT(ADDRESS(2,COLUMN())),OFFSET($AM$2,0,0,ROW()-1,33),ROW()-1,FALSE))</f>
        <v>9.0652765399999993</v>
      </c>
      <c r="I297">
        <f ca="1">IF(AND(ISNUMBER($I$699),$B$427=1),$I$699,HLOOKUP(INDIRECT(ADDRESS(2,COLUMN())),OFFSET($AM$2,0,0,ROW()-1,33),ROW()-1,FALSE))</f>
        <v>9.4288495129999994</v>
      </c>
      <c r="J297">
        <f ca="1">IF(AND(ISNUMBER($J$699),$B$427=1),$J$699,HLOOKUP(INDIRECT(ADDRESS(2,COLUMN())),OFFSET($AM$2,0,0,ROW()-1,33),ROW()-1,FALSE))</f>
        <v>6.9141543570000001</v>
      </c>
      <c r="K297">
        <f ca="1">IF(AND(ISNUMBER($K$699),$B$427=1),$K$699,HLOOKUP(INDIRECT(ADDRESS(2,COLUMN())),OFFSET($AM$2,0,0,ROW()-1,33),ROW()-1,FALSE))</f>
        <v>5.1747982859999997</v>
      </c>
      <c r="L297">
        <f ca="1">IF(AND(ISNUMBER($L$699),$B$427=1),$L$699,HLOOKUP(INDIRECT(ADDRESS(2,COLUMN())),OFFSET($AM$2,0,0,ROW()-1,33),ROW()-1,FALSE))</f>
        <v>4.1207570230000004</v>
      </c>
      <c r="M297">
        <f ca="1">IF(AND(ISNUMBER($M$699),$B$427=1),$M$699,HLOOKUP(INDIRECT(ADDRESS(2,COLUMN())),OFFSET($AM$2,0,0,ROW()-1,33),ROW()-1,FALSE))</f>
        <v>3.5294707829999998</v>
      </c>
      <c r="N297">
        <f ca="1">IF(AND(ISNUMBER($N$699),$B$427=1),$N$699,HLOOKUP(INDIRECT(ADDRESS(2,COLUMN())),OFFSET($AM$2,0,0,ROW()-1,33),ROW()-1,FALSE))</f>
        <v>3.294752951</v>
      </c>
      <c r="O297">
        <f ca="1">IF(AND(ISNUMBER($O$699),$B$427=1),$O$699,HLOOKUP(INDIRECT(ADDRESS(2,COLUMN())),OFFSET($AM$2,0,0,ROW()-1,33),ROW()-1,FALSE))</f>
        <v>3.1718567069999999</v>
      </c>
      <c r="P297">
        <f ca="1">IF(AND(ISNUMBER($P$699),$B$427=1),$P$699,HLOOKUP(INDIRECT(ADDRESS(2,COLUMN())),OFFSET($AM$2,0,0,ROW()-1,33),ROW()-1,FALSE))</f>
        <v>3.2995585580000002</v>
      </c>
      <c r="Q297">
        <f ca="1">IF(AND(ISNUMBER($Q$699),$B$427=1),$Q$699,HLOOKUP(INDIRECT(ADDRESS(2,COLUMN())),OFFSET($AM$2,0,0,ROW()-1,33),ROW()-1,FALSE))</f>
        <v>3.154342416</v>
      </c>
      <c r="R297">
        <f ca="1">IF(AND(ISNUMBER($R$699),$B$427=1),$R$699,HLOOKUP(INDIRECT(ADDRESS(2,COLUMN())),OFFSET($AM$2,0,0,ROW()-1,33),ROW()-1,FALSE))</f>
        <v>5.2193558250000001</v>
      </c>
      <c r="S297">
        <f ca="1">IF(AND(ISNUMBER($S$699),$B$427=1),$S$699,HLOOKUP(INDIRECT(ADDRESS(2,COLUMN())),OFFSET($AM$2,0,0,ROW()-1,33),ROW()-1,FALSE))</f>
        <v>4.4425107060000002</v>
      </c>
      <c r="T297">
        <f ca="1">IF(AND(ISNUMBER($T$699),$B$427=1),$T$699,HLOOKUP(INDIRECT(ADDRESS(2,COLUMN())),OFFSET($AM$2,0,0,ROW()-1,33),ROW()-1,FALSE))</f>
        <v>3.513581925</v>
      </c>
      <c r="U297" t="str">
        <f ca="1">IF(AND(ISNUMBER($U$699),$B$427=1),$U$699,HLOOKUP(INDIRECT(ADDRESS(2,COLUMN())),OFFSET($AM$2,0,0,ROW()-1,33),ROW()-1,FALSE))</f>
        <v/>
      </c>
      <c r="V297" t="str">
        <f ca="1">IF(AND(ISNUMBER($V$699),$B$427=1),$V$699,HLOOKUP(INDIRECT(ADDRESS(2,COLUMN())),OFFSET($AM$2,0,0,ROW()-1,33),ROW()-1,FALSE))</f>
        <v/>
      </c>
      <c r="W297" t="str">
        <f ca="1">IF(AND(ISNUMBER($W$699),$B$427=1),$W$699,HLOOKUP(INDIRECT(ADDRESS(2,COLUMN())),OFFSET($AM$2,0,0,ROW()-1,33),ROW()-1,FALSE))</f>
        <v/>
      </c>
      <c r="X297" t="str">
        <f ca="1">IF(AND(ISNUMBER($X$699),$B$427=1),$X$699,HLOOKUP(INDIRECT(ADDRESS(2,COLUMN())),OFFSET($AM$2,0,0,ROW()-1,33),ROW()-1,FALSE))</f>
        <v/>
      </c>
      <c r="Y297" t="str">
        <f ca="1">IF(AND(ISNUMBER($Y$699),$B$427=1),$Y$699,HLOOKUP(INDIRECT(ADDRESS(2,COLUMN())),OFFSET($AM$2,0,0,ROW()-1,33),ROW()-1,FALSE))</f>
        <v/>
      </c>
      <c r="Z297" t="str">
        <f ca="1">IF(AND(ISNUMBER($Z$699),$B$427=1),$Z$699,HLOOKUP(INDIRECT(ADDRESS(2,COLUMN())),OFFSET($AM$2,0,0,ROW()-1,33),ROW()-1,FALSE))</f>
        <v/>
      </c>
      <c r="AA297" t="str">
        <f ca="1">IF(AND(ISNUMBER($AA$699),$B$427=1),$AA$699,HLOOKUP(INDIRECT(ADDRESS(2,COLUMN())),OFFSET($AM$2,0,0,ROW()-1,33),ROW()-1,FALSE))</f>
        <v/>
      </c>
      <c r="AB297" t="str">
        <f ca="1">IF(AND(ISNUMBER($AB$699),$B$427=1),$AB$699,HLOOKUP(INDIRECT(ADDRESS(2,COLUMN())),OFFSET($AM$2,0,0,ROW()-1,33),ROW()-1,FALSE))</f>
        <v/>
      </c>
      <c r="AC297" t="str">
        <f ca="1">IF(AND(ISNUMBER($AC$699),$B$427=1),$AC$699,HLOOKUP(INDIRECT(ADDRESS(2,COLUMN())),OFFSET($AM$2,0,0,ROW()-1,33),ROW()-1,FALSE))</f>
        <v/>
      </c>
      <c r="AD297" t="str">
        <f ca="1">IF(AND(ISNUMBER($AD$699),$B$427=1),$AD$699,HLOOKUP(INDIRECT(ADDRESS(2,COLUMN())),OFFSET($AM$2,0,0,ROW()-1,33),ROW()-1,FALSE))</f>
        <v/>
      </c>
      <c r="AE297" t="str">
        <f ca="1">IF(AND(ISNUMBER($AE$699),$B$427=1),$AE$699,HLOOKUP(INDIRECT(ADDRESS(2,COLUMN())),OFFSET($AM$2,0,0,ROW()-1,33),ROW()-1,FALSE))</f>
        <v/>
      </c>
      <c r="AF297" t="str">
        <f ca="1">IF(AND(ISNUMBER($AF$699),$B$427=1),$AF$699,HLOOKUP(INDIRECT(ADDRESS(2,COLUMN())),OFFSET($AM$2,0,0,ROW()-1,33),ROW()-1,FALSE))</f>
        <v/>
      </c>
      <c r="AG297" t="str">
        <f ca="1">IF(AND(ISNUMBER($AG$699),$B$427=1),$AG$699,HLOOKUP(INDIRECT(ADDRESS(2,COLUMN())),OFFSET($AM$2,0,0,ROW()-1,33),ROW()-1,FALSE))</f>
        <v/>
      </c>
      <c r="AH297" t="str">
        <f ca="1">IF(AND(ISNUMBER($AH$699),$B$427=1),$AH$699,HLOOKUP(INDIRECT(ADDRESS(2,COLUMN())),OFFSET($AM$2,0,0,ROW()-1,33),ROW()-1,FALSE))</f>
        <v/>
      </c>
      <c r="AI297" t="str">
        <f ca="1">IF(AND(ISNUMBER($AI$699),$B$427=1),$AI$699,HLOOKUP(INDIRECT(ADDRESS(2,COLUMN())),OFFSET($AM$2,0,0,ROW()-1,33),ROW()-1,FALSE))</f>
        <v/>
      </c>
      <c r="AJ297" t="str">
        <f ca="1">IF(AND(ISNUMBER($AJ$699),$B$427=1),$AJ$699,HLOOKUP(INDIRECT(ADDRESS(2,COLUMN())),OFFSET($AM$2,0,0,ROW()-1,33),ROW()-1,FALSE))</f>
        <v/>
      </c>
      <c r="AK297" t="str">
        <f ca="1">IF(AND(ISNUMBER($AK$699),$B$427=1),$AK$699,HLOOKUP(INDIRECT(ADDRESS(2,COLUMN())),OFFSET($AM$2,0,0,ROW()-1,33),ROW()-1,FALSE))</f>
        <v/>
      </c>
      <c r="AL297" t="str">
        <f ca="1">IF(AND(ISNUMBER($AL$699),$B$427=1),$AL$699,HLOOKUP(INDIRECT(ADDRESS(2,COLUMN())),OFFSET($AM$2,0,0,ROW()-1,33),ROW()-1,FALSE))</f>
        <v/>
      </c>
      <c r="AM297">
        <f>9.527922013</f>
        <v>9.5279220129999995</v>
      </c>
      <c r="AN297">
        <f>8.949924431</f>
        <v>8.9499244309999995</v>
      </c>
      <c r="AO297">
        <f>9.06527654</f>
        <v>9.0652765399999993</v>
      </c>
      <c r="AP297">
        <f>9.428849513</f>
        <v>9.4288495129999994</v>
      </c>
      <c r="AQ297">
        <f>6.914154357</f>
        <v>6.9141543570000001</v>
      </c>
      <c r="AR297">
        <f>5.174798286</f>
        <v>5.1747982859999997</v>
      </c>
      <c r="AS297">
        <f>4.120757023</f>
        <v>4.1207570230000004</v>
      </c>
      <c r="AT297">
        <f>3.529470783</f>
        <v>3.5294707829999998</v>
      </c>
      <c r="AU297">
        <f>3.294752951</f>
        <v>3.294752951</v>
      </c>
      <c r="AV297">
        <f>3.171856707</f>
        <v>3.1718567069999999</v>
      </c>
      <c r="AW297">
        <f>3.299558558</f>
        <v>3.2995585580000002</v>
      </c>
      <c r="AX297">
        <f>3.154342416</f>
        <v>3.154342416</v>
      </c>
      <c r="AY297">
        <f>5.219355825</f>
        <v>5.2193558250000001</v>
      </c>
      <c r="AZ297">
        <f>4.442510706</f>
        <v>4.4425107060000002</v>
      </c>
      <c r="BA297">
        <f>3.513581925</f>
        <v>3.513581925</v>
      </c>
      <c r="BB297" t="str">
        <f>""</f>
        <v/>
      </c>
      <c r="BC297" t="str">
        <f>""</f>
        <v/>
      </c>
      <c r="BD297" t="str">
        <f>""</f>
        <v/>
      </c>
      <c r="BE297" t="str">
        <f>""</f>
        <v/>
      </c>
      <c r="BF297" t="str">
        <f>""</f>
        <v/>
      </c>
      <c r="BG297" t="str">
        <f>""</f>
        <v/>
      </c>
      <c r="BH297" t="str">
        <f>""</f>
        <v/>
      </c>
      <c r="BI297" t="str">
        <f>""</f>
        <v/>
      </c>
      <c r="BJ297" t="str">
        <f>""</f>
        <v/>
      </c>
      <c r="BK297" t="str">
        <f>""</f>
        <v/>
      </c>
      <c r="BL297" t="str">
        <f>""</f>
        <v/>
      </c>
      <c r="BM297" t="str">
        <f>""</f>
        <v/>
      </c>
      <c r="BN297" t="str">
        <f>""</f>
        <v/>
      </c>
      <c r="BO297" t="str">
        <f>""</f>
        <v/>
      </c>
      <c r="BP297" t="str">
        <f>""</f>
        <v/>
      </c>
      <c r="BQ297" t="str">
        <f>""</f>
        <v/>
      </c>
      <c r="BR297" t="str">
        <f>""</f>
        <v/>
      </c>
      <c r="BS297" t="str">
        <f>""</f>
        <v/>
      </c>
    </row>
    <row r="298" spans="1:71" x14ac:dyDescent="0.25">
      <c r="A298" t="str">
        <f>"        KeyCorp"</f>
        <v xml:space="preserve">        KeyCorp</v>
      </c>
      <c r="B298" t="str">
        <f>"KEY US Equity"</f>
        <v>KEY US Equity</v>
      </c>
      <c r="C298" t="str">
        <f t="shared" si="39"/>
        <v>F0123</v>
      </c>
      <c r="D298" t="str">
        <f t="shared" si="40"/>
        <v>FED_FINL_SRVC_LNS_%_TOT_LNS_LEAS</v>
      </c>
      <c r="E298" t="str">
        <f t="shared" si="41"/>
        <v>Dynamic</v>
      </c>
      <c r="F298">
        <f ca="1">IF(AND(ISNUMBER($F$700),$B$427=1),$F$700,HLOOKUP(INDIRECT(ADDRESS(2,COLUMN())),OFFSET($AM$2,0,0,ROW()-1,33),ROW()-1,FALSE))</f>
        <v>16.62186123</v>
      </c>
      <c r="G298">
        <f ca="1">IF(AND(ISNUMBER($G$700),$B$427=1),$G$700,HLOOKUP(INDIRECT(ADDRESS(2,COLUMN())),OFFSET($AM$2,0,0,ROW()-1,33),ROW()-1,FALSE))</f>
        <v>5.3027076360000001</v>
      </c>
      <c r="H298">
        <f ca="1">IF(AND(ISNUMBER($H$700),$B$427=1),$H$700,HLOOKUP(INDIRECT(ADDRESS(2,COLUMN())),OFFSET($AM$2,0,0,ROW()-1,33),ROW()-1,FALSE))</f>
        <v>4.900164835</v>
      </c>
      <c r="I298">
        <f ca="1">IF(AND(ISNUMBER($I$700),$B$427=1),$I$700,HLOOKUP(INDIRECT(ADDRESS(2,COLUMN())),OFFSET($AM$2,0,0,ROW()-1,33),ROW()-1,FALSE))</f>
        <v>3.7000624860000002</v>
      </c>
      <c r="J298">
        <f ca="1">IF(AND(ISNUMBER($J$700),$B$427=1),$J$700,HLOOKUP(INDIRECT(ADDRESS(2,COLUMN())),OFFSET($AM$2,0,0,ROW()-1,33),ROW()-1,FALSE))</f>
        <v>3.8141680789999999</v>
      </c>
      <c r="K298">
        <f ca="1">IF(AND(ISNUMBER($K$700),$B$427=1),$K$700,HLOOKUP(INDIRECT(ADDRESS(2,COLUMN())),OFFSET($AM$2,0,0,ROW()-1,33),ROW()-1,FALSE))</f>
        <v>3.6299765599999998</v>
      </c>
      <c r="L298">
        <f ca="1">IF(AND(ISNUMBER($L$700),$B$427=1),$L$700,HLOOKUP(INDIRECT(ADDRESS(2,COLUMN())),OFFSET($AM$2,0,0,ROW()-1,33),ROW()-1,FALSE))</f>
        <v>3.1643617750000002</v>
      </c>
      <c r="M298">
        <f ca="1">IF(AND(ISNUMBER($M$700),$B$427=1),$M$700,HLOOKUP(INDIRECT(ADDRESS(2,COLUMN())),OFFSET($AM$2,0,0,ROW()-1,33),ROW()-1,FALSE))</f>
        <v>2.9360650179999999</v>
      </c>
      <c r="N298">
        <f ca="1">IF(AND(ISNUMBER($N$700),$B$427=1),$N$700,HLOOKUP(INDIRECT(ADDRESS(2,COLUMN())),OFFSET($AM$2,0,0,ROW()-1,33),ROW()-1,FALSE))</f>
        <v>2.4713082169999998</v>
      </c>
      <c r="O298">
        <f ca="1">IF(AND(ISNUMBER($O$700),$B$427=1),$O$700,HLOOKUP(INDIRECT(ADDRESS(2,COLUMN())),OFFSET($AM$2,0,0,ROW()-1,33),ROW()-1,FALSE))</f>
        <v>3.2834477909999999</v>
      </c>
      <c r="P298">
        <f ca="1">IF(AND(ISNUMBER($P$700),$B$427=1),$P$700,HLOOKUP(INDIRECT(ADDRESS(2,COLUMN())),OFFSET($AM$2,0,0,ROW()-1,33),ROW()-1,FALSE))</f>
        <v>1.7600620739999999</v>
      </c>
      <c r="Q298">
        <f ca="1">IF(AND(ISNUMBER($Q$700),$B$427=1),$Q$700,HLOOKUP(INDIRECT(ADDRESS(2,COLUMN())),OFFSET($AM$2,0,0,ROW()-1,33),ROW()-1,FALSE))</f>
        <v>1.525702592</v>
      </c>
      <c r="R298">
        <f ca="1">IF(AND(ISNUMBER($R$700),$B$427=1),$R$700,HLOOKUP(INDIRECT(ADDRESS(2,COLUMN())),OFFSET($AM$2,0,0,ROW()-1,33),ROW()-1,FALSE))</f>
        <v>1.4995604339999999</v>
      </c>
      <c r="S298">
        <f ca="1">IF(AND(ISNUMBER($S$700),$B$427=1),$S$700,HLOOKUP(INDIRECT(ADDRESS(2,COLUMN())),OFFSET($AM$2,0,0,ROW()-1,33),ROW()-1,FALSE))</f>
        <v>1.2473827040000001</v>
      </c>
      <c r="T298">
        <f ca="1">IF(AND(ISNUMBER($T$700),$B$427=1),$T$700,HLOOKUP(INDIRECT(ADDRESS(2,COLUMN())),OFFSET($AM$2,0,0,ROW()-1,33),ROW()-1,FALSE))</f>
        <v>1.08778101</v>
      </c>
      <c r="U298" t="str">
        <f ca="1">IF(AND(ISNUMBER($U$700),$B$427=1),$U$700,HLOOKUP(INDIRECT(ADDRESS(2,COLUMN())),OFFSET($AM$2,0,0,ROW()-1,33),ROW()-1,FALSE))</f>
        <v/>
      </c>
      <c r="V298" t="str">
        <f ca="1">IF(AND(ISNUMBER($V$700),$B$427=1),$V$700,HLOOKUP(INDIRECT(ADDRESS(2,COLUMN())),OFFSET($AM$2,0,0,ROW()-1,33),ROW()-1,FALSE))</f>
        <v/>
      </c>
      <c r="W298" t="str">
        <f ca="1">IF(AND(ISNUMBER($W$700),$B$427=1),$W$700,HLOOKUP(INDIRECT(ADDRESS(2,COLUMN())),OFFSET($AM$2,0,0,ROW()-1,33),ROW()-1,FALSE))</f>
        <v/>
      </c>
      <c r="X298" t="str">
        <f ca="1">IF(AND(ISNUMBER($X$700),$B$427=1),$X$700,HLOOKUP(INDIRECT(ADDRESS(2,COLUMN())),OFFSET($AM$2,0,0,ROW()-1,33),ROW()-1,FALSE))</f>
        <v/>
      </c>
      <c r="Y298" t="str">
        <f ca="1">IF(AND(ISNUMBER($Y$700),$B$427=1),$Y$700,HLOOKUP(INDIRECT(ADDRESS(2,COLUMN())),OFFSET($AM$2,0,0,ROW()-1,33),ROW()-1,FALSE))</f>
        <v/>
      </c>
      <c r="Z298" t="str">
        <f ca="1">IF(AND(ISNUMBER($Z$700),$B$427=1),$Z$700,HLOOKUP(INDIRECT(ADDRESS(2,COLUMN())),OFFSET($AM$2,0,0,ROW()-1,33),ROW()-1,FALSE))</f>
        <v/>
      </c>
      <c r="AA298" t="str">
        <f ca="1">IF(AND(ISNUMBER($AA$700),$B$427=1),$AA$700,HLOOKUP(INDIRECT(ADDRESS(2,COLUMN())),OFFSET($AM$2,0,0,ROW()-1,33),ROW()-1,FALSE))</f>
        <v/>
      </c>
      <c r="AB298" t="str">
        <f ca="1">IF(AND(ISNUMBER($AB$700),$B$427=1),$AB$700,HLOOKUP(INDIRECT(ADDRESS(2,COLUMN())),OFFSET($AM$2,0,0,ROW()-1,33),ROW()-1,FALSE))</f>
        <v/>
      </c>
      <c r="AC298" t="str">
        <f ca="1">IF(AND(ISNUMBER($AC$700),$B$427=1),$AC$700,HLOOKUP(INDIRECT(ADDRESS(2,COLUMN())),OFFSET($AM$2,0,0,ROW()-1,33),ROW()-1,FALSE))</f>
        <v/>
      </c>
      <c r="AD298" t="str">
        <f ca="1">IF(AND(ISNUMBER($AD$700),$B$427=1),$AD$700,HLOOKUP(INDIRECT(ADDRESS(2,COLUMN())),OFFSET($AM$2,0,0,ROW()-1,33),ROW()-1,FALSE))</f>
        <v/>
      </c>
      <c r="AE298" t="str">
        <f ca="1">IF(AND(ISNUMBER($AE$700),$B$427=1),$AE$700,HLOOKUP(INDIRECT(ADDRESS(2,COLUMN())),OFFSET($AM$2,0,0,ROW()-1,33),ROW()-1,FALSE))</f>
        <v/>
      </c>
      <c r="AF298" t="str">
        <f ca="1">IF(AND(ISNUMBER($AF$700),$B$427=1),$AF$700,HLOOKUP(INDIRECT(ADDRESS(2,COLUMN())),OFFSET($AM$2,0,0,ROW()-1,33),ROW()-1,FALSE))</f>
        <v/>
      </c>
      <c r="AG298" t="str">
        <f ca="1">IF(AND(ISNUMBER($AG$700),$B$427=1),$AG$700,HLOOKUP(INDIRECT(ADDRESS(2,COLUMN())),OFFSET($AM$2,0,0,ROW()-1,33),ROW()-1,FALSE))</f>
        <v/>
      </c>
      <c r="AH298" t="str">
        <f ca="1">IF(AND(ISNUMBER($AH$700),$B$427=1),$AH$700,HLOOKUP(INDIRECT(ADDRESS(2,COLUMN())),OFFSET($AM$2,0,0,ROW()-1,33),ROW()-1,FALSE))</f>
        <v/>
      </c>
      <c r="AI298" t="str">
        <f ca="1">IF(AND(ISNUMBER($AI$700),$B$427=1),$AI$700,HLOOKUP(INDIRECT(ADDRESS(2,COLUMN())),OFFSET($AM$2,0,0,ROW()-1,33),ROW()-1,FALSE))</f>
        <v/>
      </c>
      <c r="AJ298" t="str">
        <f ca="1">IF(AND(ISNUMBER($AJ$700),$B$427=1),$AJ$700,HLOOKUP(INDIRECT(ADDRESS(2,COLUMN())),OFFSET($AM$2,0,0,ROW()-1,33),ROW()-1,FALSE))</f>
        <v/>
      </c>
      <c r="AK298" t="str">
        <f ca="1">IF(AND(ISNUMBER($AK$700),$B$427=1),$AK$700,HLOOKUP(INDIRECT(ADDRESS(2,COLUMN())),OFFSET($AM$2,0,0,ROW()-1,33),ROW()-1,FALSE))</f>
        <v/>
      </c>
      <c r="AL298" t="str">
        <f ca="1">IF(AND(ISNUMBER($AL$700),$B$427=1),$AL$700,HLOOKUP(INDIRECT(ADDRESS(2,COLUMN())),OFFSET($AM$2,0,0,ROW()-1,33),ROW()-1,FALSE))</f>
        <v/>
      </c>
      <c r="AM298">
        <f>16.62186123</f>
        <v>16.62186123</v>
      </c>
      <c r="AN298">
        <f>5.302707636</f>
        <v>5.3027076360000001</v>
      </c>
      <c r="AO298">
        <f>4.900164835</f>
        <v>4.900164835</v>
      </c>
      <c r="AP298">
        <f>3.700062486</f>
        <v>3.7000624860000002</v>
      </c>
      <c r="AQ298">
        <f>3.814168079</f>
        <v>3.8141680789999999</v>
      </c>
      <c r="AR298">
        <f>3.62997656</f>
        <v>3.6299765599999998</v>
      </c>
      <c r="AS298">
        <f>3.164361775</f>
        <v>3.1643617750000002</v>
      </c>
      <c r="AT298">
        <f>2.936065018</f>
        <v>2.9360650179999999</v>
      </c>
      <c r="AU298">
        <f>2.471308217</f>
        <v>2.4713082169999998</v>
      </c>
      <c r="AV298">
        <f>3.283447791</f>
        <v>3.2834477909999999</v>
      </c>
      <c r="AW298">
        <f>1.760062074</f>
        <v>1.7600620739999999</v>
      </c>
      <c r="AX298">
        <f>1.525702592</f>
        <v>1.525702592</v>
      </c>
      <c r="AY298">
        <f>1.499560434</f>
        <v>1.4995604339999999</v>
      </c>
      <c r="AZ298">
        <f>1.247382704</f>
        <v>1.2473827040000001</v>
      </c>
      <c r="BA298">
        <f>1.08778101</f>
        <v>1.08778101</v>
      </c>
      <c r="BB298" t="str">
        <f>""</f>
        <v/>
      </c>
      <c r="BC298" t="str">
        <f>""</f>
        <v/>
      </c>
      <c r="BD298" t="str">
        <f>""</f>
        <v/>
      </c>
      <c r="BE298" t="str">
        <f>""</f>
        <v/>
      </c>
      <c r="BF298" t="str">
        <f>""</f>
        <v/>
      </c>
      <c r="BG298" t="str">
        <f>""</f>
        <v/>
      </c>
      <c r="BH298" t="str">
        <f>""</f>
        <v/>
      </c>
      <c r="BI298" t="str">
        <f>""</f>
        <v/>
      </c>
      <c r="BJ298" t="str">
        <f>""</f>
        <v/>
      </c>
      <c r="BK298" t="str">
        <f>""</f>
        <v/>
      </c>
      <c r="BL298" t="str">
        <f>""</f>
        <v/>
      </c>
      <c r="BM298" t="str">
        <f>""</f>
        <v/>
      </c>
      <c r="BN298" t="str">
        <f>""</f>
        <v/>
      </c>
      <c r="BO298" t="str">
        <f>""</f>
        <v/>
      </c>
      <c r="BP298" t="str">
        <f>""</f>
        <v/>
      </c>
      <c r="BQ298" t="str">
        <f>""</f>
        <v/>
      </c>
      <c r="BR298" t="str">
        <f>""</f>
        <v/>
      </c>
      <c r="BS298" t="str">
        <f>""</f>
        <v/>
      </c>
    </row>
    <row r="299" spans="1:71" x14ac:dyDescent="0.25">
      <c r="A299" t="str">
        <f>"        M&amp;T Bank Corp"</f>
        <v xml:space="preserve">        M&amp;T Bank Corp</v>
      </c>
      <c r="B299" t="str">
        <f>"MTB US Equity"</f>
        <v>MTB US Equity</v>
      </c>
      <c r="C299" t="str">
        <f t="shared" si="39"/>
        <v>F0123</v>
      </c>
      <c r="D299" t="str">
        <f t="shared" si="40"/>
        <v>FED_FINL_SRVC_LNS_%_TOT_LNS_LEAS</v>
      </c>
      <c r="E299" t="str">
        <f t="shared" si="41"/>
        <v>Dynamic</v>
      </c>
      <c r="F299">
        <f ca="1">IF(AND(ISNUMBER($F$701),$B$427=1),$F$701,HLOOKUP(INDIRECT(ADDRESS(2,COLUMN())),OFFSET($AM$2,0,0,ROW()-1,33),ROW()-1,FALSE))</f>
        <v>7.5739482850000002</v>
      </c>
      <c r="G299">
        <f ca="1">IF(AND(ISNUMBER($G$701),$B$427=1),$G$701,HLOOKUP(INDIRECT(ADDRESS(2,COLUMN())),OFFSET($AM$2,0,0,ROW()-1,33),ROW()-1,FALSE))</f>
        <v>6.8381475949999997</v>
      </c>
      <c r="H299">
        <f ca="1">IF(AND(ISNUMBER($H$701),$B$427=1),$H$701,HLOOKUP(INDIRECT(ADDRESS(2,COLUMN())),OFFSET($AM$2,0,0,ROW()-1,33),ROW()-1,FALSE))</f>
        <v>4.5723508329999998</v>
      </c>
      <c r="I299">
        <f ca="1">IF(AND(ISNUMBER($I$701),$B$427=1),$I$701,HLOOKUP(INDIRECT(ADDRESS(2,COLUMN())),OFFSET($AM$2,0,0,ROW()-1,33),ROW()-1,FALSE))</f>
        <v>2.3467457299999999</v>
      </c>
      <c r="J299">
        <f ca="1">IF(AND(ISNUMBER($J$701),$B$427=1),$J$701,HLOOKUP(INDIRECT(ADDRESS(2,COLUMN())),OFFSET($AM$2,0,0,ROW()-1,33),ROW()-1,FALSE))</f>
        <v>1.421713781</v>
      </c>
      <c r="K299">
        <f ca="1">IF(AND(ISNUMBER($K$701),$B$427=1),$K$701,HLOOKUP(INDIRECT(ADDRESS(2,COLUMN())),OFFSET($AM$2,0,0,ROW()-1,33),ROW()-1,FALSE))</f>
        <v>1.2340470690000001</v>
      </c>
      <c r="L299">
        <f ca="1">IF(AND(ISNUMBER($L$701),$B$427=1),$L$701,HLOOKUP(INDIRECT(ADDRESS(2,COLUMN())),OFFSET($AM$2,0,0,ROW()-1,33),ROW()-1,FALSE))</f>
        <v>1.34770824</v>
      </c>
      <c r="M299">
        <f ca="1">IF(AND(ISNUMBER($M$701),$B$427=1),$M$701,HLOOKUP(INDIRECT(ADDRESS(2,COLUMN())),OFFSET($AM$2,0,0,ROW()-1,33),ROW()-1,FALSE))</f>
        <v>1.262363721</v>
      </c>
      <c r="N299">
        <f ca="1">IF(AND(ISNUMBER($N$701),$B$427=1),$N$701,HLOOKUP(INDIRECT(ADDRESS(2,COLUMN())),OFFSET($AM$2,0,0,ROW()-1,33),ROW()-1,FALSE))</f>
        <v>1.094440962</v>
      </c>
      <c r="O299">
        <f ca="1">IF(AND(ISNUMBER($O$701),$B$427=1),$O$701,HLOOKUP(INDIRECT(ADDRESS(2,COLUMN())),OFFSET($AM$2,0,0,ROW()-1,33),ROW()-1,FALSE))</f>
        <v>0.80177279300000004</v>
      </c>
      <c r="P299">
        <f ca="1">IF(AND(ISNUMBER($P$701),$B$427=1),$P$701,HLOOKUP(INDIRECT(ADDRESS(2,COLUMN())),OFFSET($AM$2,0,0,ROW()-1,33),ROW()-1,FALSE))</f>
        <v>1.1502438589999999</v>
      </c>
      <c r="Q299">
        <f ca="1">IF(AND(ISNUMBER($Q$701),$B$427=1),$Q$701,HLOOKUP(INDIRECT(ADDRESS(2,COLUMN())),OFFSET($AM$2,0,0,ROW()-1,33),ROW()-1,FALSE))</f>
        <v>0.742891419</v>
      </c>
      <c r="R299">
        <f ca="1">IF(AND(ISNUMBER($R$701),$B$427=1),$R$701,HLOOKUP(INDIRECT(ADDRESS(2,COLUMN())),OFFSET($AM$2,0,0,ROW()-1,33),ROW()-1,FALSE))</f>
        <v>0.65889694200000004</v>
      </c>
      <c r="S299">
        <f ca="1">IF(AND(ISNUMBER($S$701),$B$427=1),$S$701,HLOOKUP(INDIRECT(ADDRESS(2,COLUMN())),OFFSET($AM$2,0,0,ROW()-1,33),ROW()-1,FALSE))</f>
        <v>0.63353129699999999</v>
      </c>
      <c r="T299">
        <f ca="1">IF(AND(ISNUMBER($T$701),$B$427=1),$T$701,HLOOKUP(INDIRECT(ADDRESS(2,COLUMN())),OFFSET($AM$2,0,0,ROW()-1,33),ROW()-1,FALSE))</f>
        <v>0.56817047399999998</v>
      </c>
      <c r="U299" t="str">
        <f ca="1">IF(AND(ISNUMBER($U$701),$B$427=1),$U$701,HLOOKUP(INDIRECT(ADDRESS(2,COLUMN())),OFFSET($AM$2,0,0,ROW()-1,33),ROW()-1,FALSE))</f>
        <v/>
      </c>
      <c r="V299" t="str">
        <f ca="1">IF(AND(ISNUMBER($V$701),$B$427=1),$V$701,HLOOKUP(INDIRECT(ADDRESS(2,COLUMN())),OFFSET($AM$2,0,0,ROW()-1,33),ROW()-1,FALSE))</f>
        <v/>
      </c>
      <c r="W299" t="str">
        <f ca="1">IF(AND(ISNUMBER($W$701),$B$427=1),$W$701,HLOOKUP(INDIRECT(ADDRESS(2,COLUMN())),OFFSET($AM$2,0,0,ROW()-1,33),ROW()-1,FALSE))</f>
        <v/>
      </c>
      <c r="X299" t="str">
        <f ca="1">IF(AND(ISNUMBER($X$701),$B$427=1),$X$701,HLOOKUP(INDIRECT(ADDRESS(2,COLUMN())),OFFSET($AM$2,0,0,ROW()-1,33),ROW()-1,FALSE))</f>
        <v/>
      </c>
      <c r="Y299" t="str">
        <f ca="1">IF(AND(ISNUMBER($Y$701),$B$427=1),$Y$701,HLOOKUP(INDIRECT(ADDRESS(2,COLUMN())),OFFSET($AM$2,0,0,ROW()-1,33),ROW()-1,FALSE))</f>
        <v/>
      </c>
      <c r="Z299" t="str">
        <f ca="1">IF(AND(ISNUMBER($Z$701),$B$427=1),$Z$701,HLOOKUP(INDIRECT(ADDRESS(2,COLUMN())),OFFSET($AM$2,0,0,ROW()-1,33),ROW()-1,FALSE))</f>
        <v/>
      </c>
      <c r="AA299" t="str">
        <f ca="1">IF(AND(ISNUMBER($AA$701),$B$427=1),$AA$701,HLOOKUP(INDIRECT(ADDRESS(2,COLUMN())),OFFSET($AM$2,0,0,ROW()-1,33),ROW()-1,FALSE))</f>
        <v/>
      </c>
      <c r="AB299" t="str">
        <f ca="1">IF(AND(ISNUMBER($AB$701),$B$427=1),$AB$701,HLOOKUP(INDIRECT(ADDRESS(2,COLUMN())),OFFSET($AM$2,0,0,ROW()-1,33),ROW()-1,FALSE))</f>
        <v/>
      </c>
      <c r="AC299" t="str">
        <f ca="1">IF(AND(ISNUMBER($AC$701),$B$427=1),$AC$701,HLOOKUP(INDIRECT(ADDRESS(2,COLUMN())),OFFSET($AM$2,0,0,ROW()-1,33),ROW()-1,FALSE))</f>
        <v/>
      </c>
      <c r="AD299" t="str">
        <f ca="1">IF(AND(ISNUMBER($AD$701),$B$427=1),$AD$701,HLOOKUP(INDIRECT(ADDRESS(2,COLUMN())),OFFSET($AM$2,0,0,ROW()-1,33),ROW()-1,FALSE))</f>
        <v/>
      </c>
      <c r="AE299" t="str">
        <f ca="1">IF(AND(ISNUMBER($AE$701),$B$427=1),$AE$701,HLOOKUP(INDIRECT(ADDRESS(2,COLUMN())),OFFSET($AM$2,0,0,ROW()-1,33),ROW()-1,FALSE))</f>
        <v/>
      </c>
      <c r="AF299" t="str">
        <f ca="1">IF(AND(ISNUMBER($AF$701),$B$427=1),$AF$701,HLOOKUP(INDIRECT(ADDRESS(2,COLUMN())),OFFSET($AM$2,0,0,ROW()-1,33),ROW()-1,FALSE))</f>
        <v/>
      </c>
      <c r="AG299" t="str">
        <f ca="1">IF(AND(ISNUMBER($AG$701),$B$427=1),$AG$701,HLOOKUP(INDIRECT(ADDRESS(2,COLUMN())),OFFSET($AM$2,0,0,ROW()-1,33),ROW()-1,FALSE))</f>
        <v/>
      </c>
      <c r="AH299" t="str">
        <f ca="1">IF(AND(ISNUMBER($AH$701),$B$427=1),$AH$701,HLOOKUP(INDIRECT(ADDRESS(2,COLUMN())),OFFSET($AM$2,0,0,ROW()-1,33),ROW()-1,FALSE))</f>
        <v/>
      </c>
      <c r="AI299" t="str">
        <f ca="1">IF(AND(ISNUMBER($AI$701),$B$427=1),$AI$701,HLOOKUP(INDIRECT(ADDRESS(2,COLUMN())),OFFSET($AM$2,0,0,ROW()-1,33),ROW()-1,FALSE))</f>
        <v/>
      </c>
      <c r="AJ299" t="str">
        <f ca="1">IF(AND(ISNUMBER($AJ$701),$B$427=1),$AJ$701,HLOOKUP(INDIRECT(ADDRESS(2,COLUMN())),OFFSET($AM$2,0,0,ROW()-1,33),ROW()-1,FALSE))</f>
        <v/>
      </c>
      <c r="AK299" t="str">
        <f ca="1">IF(AND(ISNUMBER($AK$701),$B$427=1),$AK$701,HLOOKUP(INDIRECT(ADDRESS(2,COLUMN())),OFFSET($AM$2,0,0,ROW()-1,33),ROW()-1,FALSE))</f>
        <v/>
      </c>
      <c r="AL299" t="str">
        <f ca="1">IF(AND(ISNUMBER($AL$701),$B$427=1),$AL$701,HLOOKUP(INDIRECT(ADDRESS(2,COLUMN())),OFFSET($AM$2,0,0,ROW()-1,33),ROW()-1,FALSE))</f>
        <v/>
      </c>
      <c r="AM299">
        <f>7.573948285</f>
        <v>7.5739482850000002</v>
      </c>
      <c r="AN299">
        <f>6.838147595</f>
        <v>6.8381475949999997</v>
      </c>
      <c r="AO299">
        <f>4.572350833</f>
        <v>4.5723508329999998</v>
      </c>
      <c r="AP299">
        <f>2.34674573</f>
        <v>2.3467457299999999</v>
      </c>
      <c r="AQ299">
        <f>1.421713781</f>
        <v>1.421713781</v>
      </c>
      <c r="AR299">
        <f>1.234047069</f>
        <v>1.2340470690000001</v>
      </c>
      <c r="AS299">
        <f>1.34770824</f>
        <v>1.34770824</v>
      </c>
      <c r="AT299">
        <f>1.262363721</f>
        <v>1.262363721</v>
      </c>
      <c r="AU299">
        <f>1.094440962</f>
        <v>1.094440962</v>
      </c>
      <c r="AV299">
        <f>0.801772793</f>
        <v>0.80177279300000004</v>
      </c>
      <c r="AW299">
        <f>1.150243859</f>
        <v>1.1502438589999999</v>
      </c>
      <c r="AX299">
        <f>0.742891419</f>
        <v>0.742891419</v>
      </c>
      <c r="AY299">
        <f>0.658896942</f>
        <v>0.65889694200000004</v>
      </c>
      <c r="AZ299">
        <f>0.633531297</f>
        <v>0.63353129699999999</v>
      </c>
      <c r="BA299">
        <f>0.568170474</f>
        <v>0.56817047399999998</v>
      </c>
      <c r="BB299" t="str">
        <f>""</f>
        <v/>
      </c>
      <c r="BC299" t="str">
        <f>""</f>
        <v/>
      </c>
      <c r="BD299" t="str">
        <f>""</f>
        <v/>
      </c>
      <c r="BE299" t="str">
        <f>""</f>
        <v/>
      </c>
      <c r="BF299" t="str">
        <f>""</f>
        <v/>
      </c>
      <c r="BG299" t="str">
        <f>""</f>
        <v/>
      </c>
      <c r="BH299" t="str">
        <f>""</f>
        <v/>
      </c>
      <c r="BI299" t="str">
        <f>""</f>
        <v/>
      </c>
      <c r="BJ299" t="str">
        <f>""</f>
        <v/>
      </c>
      <c r="BK299" t="str">
        <f>""</f>
        <v/>
      </c>
      <c r="BL299" t="str">
        <f>""</f>
        <v/>
      </c>
      <c r="BM299" t="str">
        <f>""</f>
        <v/>
      </c>
      <c r="BN299" t="str">
        <f>""</f>
        <v/>
      </c>
      <c r="BO299" t="str">
        <f>""</f>
        <v/>
      </c>
      <c r="BP299" t="str">
        <f>""</f>
        <v/>
      </c>
      <c r="BQ299" t="str">
        <f>""</f>
        <v/>
      </c>
      <c r="BR299" t="str">
        <f>""</f>
        <v/>
      </c>
      <c r="BS299" t="str">
        <f>""</f>
        <v/>
      </c>
    </row>
    <row r="300" spans="1:71" x14ac:dyDescent="0.25">
      <c r="A300" t="str">
        <f>"        PNC Financial Services Group I"</f>
        <v xml:space="preserve">        PNC Financial Services Group I</v>
      </c>
      <c r="B300" t="str">
        <f>"PNC US Equity"</f>
        <v>PNC US Equity</v>
      </c>
      <c r="C300" t="str">
        <f t="shared" si="39"/>
        <v>F0123</v>
      </c>
      <c r="D300" t="str">
        <f t="shared" si="40"/>
        <v>FED_FINL_SRVC_LNS_%_TOT_LNS_LEAS</v>
      </c>
      <c r="E300" t="str">
        <f t="shared" si="41"/>
        <v>Dynamic</v>
      </c>
      <c r="F300" t="str">
        <f ca="1">IF(AND(ISNUMBER($F$702),$B$427=1),$F$702,HLOOKUP(INDIRECT(ADDRESS(2,COLUMN())),OFFSET($AM$2,0,0,ROW()-1,33),ROW()-1,FALSE))</f>
        <v/>
      </c>
      <c r="G300">
        <f ca="1">IF(AND(ISNUMBER($G$702),$B$427=1),$G$702,HLOOKUP(INDIRECT(ADDRESS(2,COLUMN())),OFFSET($AM$2,0,0,ROW()-1,33),ROW()-1,FALSE))</f>
        <v>7.712811114</v>
      </c>
      <c r="H300">
        <f ca="1">IF(AND(ISNUMBER($H$702),$B$427=1),$H$702,HLOOKUP(INDIRECT(ADDRESS(2,COLUMN())),OFFSET($AM$2,0,0,ROW()-1,33),ROW()-1,FALSE))</f>
        <v>5.8817227880000003</v>
      </c>
      <c r="I300">
        <f ca="1">IF(AND(ISNUMBER($I$702),$B$427=1),$I$702,HLOOKUP(INDIRECT(ADDRESS(2,COLUMN())),OFFSET($AM$2,0,0,ROW()-1,33),ROW()-1,FALSE))</f>
        <v>5.7348350610000001</v>
      </c>
      <c r="J300">
        <f ca="1">IF(AND(ISNUMBER($J$702),$B$427=1),$J$702,HLOOKUP(INDIRECT(ADDRESS(2,COLUMN())),OFFSET($AM$2,0,0,ROW()-1,33),ROW()-1,FALSE))</f>
        <v>6.1892384900000001</v>
      </c>
      <c r="K300">
        <f ca="1">IF(AND(ISNUMBER($K$702),$B$427=1),$K$702,HLOOKUP(INDIRECT(ADDRESS(2,COLUMN())),OFFSET($AM$2,0,0,ROW()-1,33),ROW()-1,FALSE))</f>
        <v>5.2010105549999999</v>
      </c>
      <c r="L300">
        <f ca="1">IF(AND(ISNUMBER($L$702),$B$427=1),$L$702,HLOOKUP(INDIRECT(ADDRESS(2,COLUMN())),OFFSET($AM$2,0,0,ROW()-1,33),ROW()-1,FALSE))</f>
        <v>5.0460263550000004</v>
      </c>
      <c r="M300">
        <f ca="1">IF(AND(ISNUMBER($M$702),$B$427=1),$M$702,HLOOKUP(INDIRECT(ADDRESS(2,COLUMN())),OFFSET($AM$2,0,0,ROW()-1,33),ROW()-1,FALSE))</f>
        <v>4.729753766</v>
      </c>
      <c r="N300">
        <f ca="1">IF(AND(ISNUMBER($N$702),$B$427=1),$N$702,HLOOKUP(INDIRECT(ADDRESS(2,COLUMN())),OFFSET($AM$2,0,0,ROW()-1,33),ROW()-1,FALSE))</f>
        <v>4.0401886879999998</v>
      </c>
      <c r="O300">
        <f ca="1">IF(AND(ISNUMBER($O$702),$B$427=1),$O$702,HLOOKUP(INDIRECT(ADDRESS(2,COLUMN())),OFFSET($AM$2,0,0,ROW()-1,33),ROW()-1,FALSE))</f>
        <v>4.1929758189999999</v>
      </c>
      <c r="P300">
        <f ca="1">IF(AND(ISNUMBER($P$702),$B$427=1),$P$702,HLOOKUP(INDIRECT(ADDRESS(2,COLUMN())),OFFSET($AM$2,0,0,ROW()-1,33),ROW()-1,FALSE))</f>
        <v>3.3680766809999998</v>
      </c>
      <c r="Q300">
        <f ca="1">IF(AND(ISNUMBER($Q$702),$B$427=1),$Q$702,HLOOKUP(INDIRECT(ADDRESS(2,COLUMN())),OFFSET($AM$2,0,0,ROW()-1,33),ROW()-1,FALSE))</f>
        <v>2.3985145220000001</v>
      </c>
      <c r="R300">
        <f ca="1">IF(AND(ISNUMBER($R$702),$B$427=1),$R$702,HLOOKUP(INDIRECT(ADDRESS(2,COLUMN())),OFFSET($AM$2,0,0,ROW()-1,33),ROW()-1,FALSE))</f>
        <v>2.6947522230000001</v>
      </c>
      <c r="S300">
        <f ca="1">IF(AND(ISNUMBER($S$702),$B$427=1),$S$702,HLOOKUP(INDIRECT(ADDRESS(2,COLUMN())),OFFSET($AM$2,0,0,ROW()-1,33),ROW()-1,FALSE))</f>
        <v>1.936595716</v>
      </c>
      <c r="T300">
        <f ca="1">IF(AND(ISNUMBER($T$702),$B$427=1),$T$702,HLOOKUP(INDIRECT(ADDRESS(2,COLUMN())),OFFSET($AM$2,0,0,ROW()-1,33),ROW()-1,FALSE))</f>
        <v>1.2869693019999999</v>
      </c>
      <c r="U300" t="str">
        <f ca="1">IF(AND(ISNUMBER($U$702),$B$427=1),$U$702,HLOOKUP(INDIRECT(ADDRESS(2,COLUMN())),OFFSET($AM$2,0,0,ROW()-1,33),ROW()-1,FALSE))</f>
        <v/>
      </c>
      <c r="V300" t="str">
        <f ca="1">IF(AND(ISNUMBER($V$702),$B$427=1),$V$702,HLOOKUP(INDIRECT(ADDRESS(2,COLUMN())),OFFSET($AM$2,0,0,ROW()-1,33),ROW()-1,FALSE))</f>
        <v/>
      </c>
      <c r="W300" t="str">
        <f ca="1">IF(AND(ISNUMBER($W$702),$B$427=1),$W$702,HLOOKUP(INDIRECT(ADDRESS(2,COLUMN())),OFFSET($AM$2,0,0,ROW()-1,33),ROW()-1,FALSE))</f>
        <v/>
      </c>
      <c r="X300" t="str">
        <f ca="1">IF(AND(ISNUMBER($X$702),$B$427=1),$X$702,HLOOKUP(INDIRECT(ADDRESS(2,COLUMN())),OFFSET($AM$2,0,0,ROW()-1,33),ROW()-1,FALSE))</f>
        <v/>
      </c>
      <c r="Y300" t="str">
        <f ca="1">IF(AND(ISNUMBER($Y$702),$B$427=1),$Y$702,HLOOKUP(INDIRECT(ADDRESS(2,COLUMN())),OFFSET($AM$2,0,0,ROW()-1,33),ROW()-1,FALSE))</f>
        <v/>
      </c>
      <c r="Z300" t="str">
        <f ca="1">IF(AND(ISNUMBER($Z$702),$B$427=1),$Z$702,HLOOKUP(INDIRECT(ADDRESS(2,COLUMN())),OFFSET($AM$2,0,0,ROW()-1,33),ROW()-1,FALSE))</f>
        <v/>
      </c>
      <c r="AA300" t="str">
        <f ca="1">IF(AND(ISNUMBER($AA$702),$B$427=1),$AA$702,HLOOKUP(INDIRECT(ADDRESS(2,COLUMN())),OFFSET($AM$2,0,0,ROW()-1,33),ROW()-1,FALSE))</f>
        <v/>
      </c>
      <c r="AB300" t="str">
        <f ca="1">IF(AND(ISNUMBER($AB$702),$B$427=1),$AB$702,HLOOKUP(INDIRECT(ADDRESS(2,COLUMN())),OFFSET($AM$2,0,0,ROW()-1,33),ROW()-1,FALSE))</f>
        <v/>
      </c>
      <c r="AC300" t="str">
        <f ca="1">IF(AND(ISNUMBER($AC$702),$B$427=1),$AC$702,HLOOKUP(INDIRECT(ADDRESS(2,COLUMN())),OFFSET($AM$2,0,0,ROW()-1,33),ROW()-1,FALSE))</f>
        <v/>
      </c>
      <c r="AD300" t="str">
        <f ca="1">IF(AND(ISNUMBER($AD$702),$B$427=1),$AD$702,HLOOKUP(INDIRECT(ADDRESS(2,COLUMN())),OFFSET($AM$2,0,0,ROW()-1,33),ROW()-1,FALSE))</f>
        <v/>
      </c>
      <c r="AE300" t="str">
        <f ca="1">IF(AND(ISNUMBER($AE$702),$B$427=1),$AE$702,HLOOKUP(INDIRECT(ADDRESS(2,COLUMN())),OFFSET($AM$2,0,0,ROW()-1,33),ROW()-1,FALSE))</f>
        <v/>
      </c>
      <c r="AF300" t="str">
        <f ca="1">IF(AND(ISNUMBER($AF$702),$B$427=1),$AF$702,HLOOKUP(INDIRECT(ADDRESS(2,COLUMN())),OFFSET($AM$2,0,0,ROW()-1,33),ROW()-1,FALSE))</f>
        <v/>
      </c>
      <c r="AG300" t="str">
        <f ca="1">IF(AND(ISNUMBER($AG$702),$B$427=1),$AG$702,HLOOKUP(INDIRECT(ADDRESS(2,COLUMN())),OFFSET($AM$2,0,0,ROW()-1,33),ROW()-1,FALSE))</f>
        <v/>
      </c>
      <c r="AH300" t="str">
        <f ca="1">IF(AND(ISNUMBER($AH$702),$B$427=1),$AH$702,HLOOKUP(INDIRECT(ADDRESS(2,COLUMN())),OFFSET($AM$2,0,0,ROW()-1,33),ROW()-1,FALSE))</f>
        <v/>
      </c>
      <c r="AI300" t="str">
        <f ca="1">IF(AND(ISNUMBER($AI$702),$B$427=1),$AI$702,HLOOKUP(INDIRECT(ADDRESS(2,COLUMN())),OFFSET($AM$2,0,0,ROW()-1,33),ROW()-1,FALSE))</f>
        <v/>
      </c>
      <c r="AJ300" t="str">
        <f ca="1">IF(AND(ISNUMBER($AJ$702),$B$427=1),$AJ$702,HLOOKUP(INDIRECT(ADDRESS(2,COLUMN())),OFFSET($AM$2,0,0,ROW()-1,33),ROW()-1,FALSE))</f>
        <v/>
      </c>
      <c r="AK300" t="str">
        <f ca="1">IF(AND(ISNUMBER($AK$702),$B$427=1),$AK$702,HLOOKUP(INDIRECT(ADDRESS(2,COLUMN())),OFFSET($AM$2,0,0,ROW()-1,33),ROW()-1,FALSE))</f>
        <v/>
      </c>
      <c r="AL300" t="str">
        <f ca="1">IF(AND(ISNUMBER($AL$702),$B$427=1),$AL$702,HLOOKUP(INDIRECT(ADDRESS(2,COLUMN())),OFFSET($AM$2,0,0,ROW()-1,33),ROW()-1,FALSE))</f>
        <v/>
      </c>
      <c r="AM300" t="str">
        <f>""</f>
        <v/>
      </c>
      <c r="AN300">
        <f>7.712811114</f>
        <v>7.712811114</v>
      </c>
      <c r="AO300">
        <f>5.881722788</f>
        <v>5.8817227880000003</v>
      </c>
      <c r="AP300">
        <f>5.734835061</f>
        <v>5.7348350610000001</v>
      </c>
      <c r="AQ300">
        <f>6.18923849</f>
        <v>6.1892384900000001</v>
      </c>
      <c r="AR300">
        <f>5.201010555</f>
        <v>5.2010105549999999</v>
      </c>
      <c r="AS300">
        <f>5.046026355</f>
        <v>5.0460263550000004</v>
      </c>
      <c r="AT300">
        <f>4.729753766</f>
        <v>4.729753766</v>
      </c>
      <c r="AU300">
        <f>4.040188688</f>
        <v>4.0401886879999998</v>
      </c>
      <c r="AV300">
        <f>4.192975819</f>
        <v>4.1929758189999999</v>
      </c>
      <c r="AW300">
        <f>3.368076681</f>
        <v>3.3680766809999998</v>
      </c>
      <c r="AX300">
        <f>2.398514522</f>
        <v>2.3985145220000001</v>
      </c>
      <c r="AY300">
        <f>2.694752223</f>
        <v>2.6947522230000001</v>
      </c>
      <c r="AZ300">
        <f>1.936595716</f>
        <v>1.936595716</v>
      </c>
      <c r="BA300">
        <f>1.286969302</f>
        <v>1.2869693019999999</v>
      </c>
      <c r="BB300" t="str">
        <f>""</f>
        <v/>
      </c>
      <c r="BC300" t="str">
        <f>""</f>
        <v/>
      </c>
      <c r="BD300" t="str">
        <f>""</f>
        <v/>
      </c>
      <c r="BE300" t="str">
        <f>""</f>
        <v/>
      </c>
      <c r="BF300" t="str">
        <f>""</f>
        <v/>
      </c>
      <c r="BG300" t="str">
        <f>""</f>
        <v/>
      </c>
      <c r="BH300" t="str">
        <f>""</f>
        <v/>
      </c>
      <c r="BI300" t="str">
        <f>""</f>
        <v/>
      </c>
      <c r="BJ300" t="str">
        <f>""</f>
        <v/>
      </c>
      <c r="BK300" t="str">
        <f>""</f>
        <v/>
      </c>
      <c r="BL300" t="str">
        <f>""</f>
        <v/>
      </c>
      <c r="BM300" t="str">
        <f>""</f>
        <v/>
      </c>
      <c r="BN300" t="str">
        <f>""</f>
        <v/>
      </c>
      <c r="BO300" t="str">
        <f>""</f>
        <v/>
      </c>
      <c r="BP300" t="str">
        <f>""</f>
        <v/>
      </c>
      <c r="BQ300" t="str">
        <f>""</f>
        <v/>
      </c>
      <c r="BR300" t="str">
        <f>""</f>
        <v/>
      </c>
      <c r="BS300" t="str">
        <f>""</f>
        <v/>
      </c>
    </row>
    <row r="301" spans="1:71" x14ac:dyDescent="0.25">
      <c r="A301" t="str">
        <f>"        Regions Financial Corp"</f>
        <v xml:space="preserve">        Regions Financial Corp</v>
      </c>
      <c r="B301" t="str">
        <f>"RF US Equity"</f>
        <v>RF US Equity</v>
      </c>
      <c r="C301" t="str">
        <f t="shared" si="39"/>
        <v>F0123</v>
      </c>
      <c r="D301" t="str">
        <f t="shared" si="40"/>
        <v>FED_FINL_SRVC_LNS_%_TOT_LNS_LEAS</v>
      </c>
      <c r="E301" t="str">
        <f t="shared" si="41"/>
        <v>Dynamic</v>
      </c>
      <c r="F301" t="str">
        <f ca="1">IF(AND(ISNUMBER($F$703),$B$427=1),$F$703,HLOOKUP(INDIRECT(ADDRESS(2,COLUMN())),OFFSET($AM$2,0,0,ROW()-1,33),ROW()-1,FALSE))</f>
        <v/>
      </c>
      <c r="G301">
        <f ca="1">IF(AND(ISNUMBER($G$703),$B$427=1),$G$703,HLOOKUP(INDIRECT(ADDRESS(2,COLUMN())),OFFSET($AM$2,0,0,ROW()-1,33),ROW()-1,FALSE))</f>
        <v>8.4161924629999998</v>
      </c>
      <c r="H301">
        <f ca="1">IF(AND(ISNUMBER($H$703),$B$427=1),$H$703,HLOOKUP(INDIRECT(ADDRESS(2,COLUMN())),OFFSET($AM$2,0,0,ROW()-1,33),ROW()-1,FALSE))</f>
        <v>8.0598272160000004</v>
      </c>
      <c r="I301">
        <f ca="1">IF(AND(ISNUMBER($I$703),$B$427=1),$I$703,HLOOKUP(INDIRECT(ADDRESS(2,COLUMN())),OFFSET($AM$2,0,0,ROW()-1,33),ROW()-1,FALSE))</f>
        <v>6.6900218530000002</v>
      </c>
      <c r="J301">
        <f ca="1">IF(AND(ISNUMBER($J$703),$B$427=1),$J$703,HLOOKUP(INDIRECT(ADDRESS(2,COLUMN())),OFFSET($AM$2,0,0,ROW()-1,33),ROW()-1,FALSE))</f>
        <v>6.4705612410000004</v>
      </c>
      <c r="K301">
        <f ca="1">IF(AND(ISNUMBER($K$703),$B$427=1),$K$703,HLOOKUP(INDIRECT(ADDRESS(2,COLUMN())),OFFSET($AM$2,0,0,ROW()-1,33),ROW()-1,FALSE))</f>
        <v>7.4497607659999998</v>
      </c>
      <c r="L301">
        <f ca="1">IF(AND(ISNUMBER($L$703),$B$427=1),$L$703,HLOOKUP(INDIRECT(ADDRESS(2,COLUMN())),OFFSET($AM$2,0,0,ROW()-1,33),ROW()-1,FALSE))</f>
        <v>7.0112689909999997</v>
      </c>
      <c r="M301">
        <f ca="1">IF(AND(ISNUMBER($M$703),$B$427=1),$M$703,HLOOKUP(INDIRECT(ADDRESS(2,COLUMN())),OFFSET($AM$2,0,0,ROW()-1,33),ROW()-1,FALSE))</f>
        <v>6.8558841040000003</v>
      </c>
      <c r="N301">
        <f ca="1">IF(AND(ISNUMBER($N$703),$B$427=1),$N$703,HLOOKUP(INDIRECT(ADDRESS(2,COLUMN())),OFFSET($AM$2,0,0,ROW()-1,33),ROW()-1,FALSE))</f>
        <v>6.5320577770000003</v>
      </c>
      <c r="O301">
        <f ca="1">IF(AND(ISNUMBER($O$703),$B$427=1),$O$703,HLOOKUP(INDIRECT(ADDRESS(2,COLUMN())),OFFSET($AM$2,0,0,ROW()-1,33),ROW()-1,FALSE))</f>
        <v>6.4759194830000002</v>
      </c>
      <c r="P301">
        <f ca="1">IF(AND(ISNUMBER($P$703),$B$427=1),$P$703,HLOOKUP(INDIRECT(ADDRESS(2,COLUMN())),OFFSET($AM$2,0,0,ROW()-1,33),ROW()-1,FALSE))</f>
        <v>5.5831369789999998</v>
      </c>
      <c r="Q301">
        <f ca="1">IF(AND(ISNUMBER($Q$703),$B$427=1),$Q$703,HLOOKUP(INDIRECT(ADDRESS(2,COLUMN())),OFFSET($AM$2,0,0,ROW()-1,33),ROW()-1,FALSE))</f>
        <v>4.3094747780000002</v>
      </c>
      <c r="R301">
        <f ca="1">IF(AND(ISNUMBER($R$703),$B$427=1),$R$703,HLOOKUP(INDIRECT(ADDRESS(2,COLUMN())),OFFSET($AM$2,0,0,ROW()-1,33),ROW()-1,FALSE))</f>
        <v>3.0356155399999998</v>
      </c>
      <c r="S301">
        <f ca="1">IF(AND(ISNUMBER($S$703),$B$427=1),$S$703,HLOOKUP(INDIRECT(ADDRESS(2,COLUMN())),OFFSET($AM$2,0,0,ROW()-1,33),ROW()-1,FALSE))</f>
        <v>1.9896139639999999</v>
      </c>
      <c r="T301">
        <f ca="1">IF(AND(ISNUMBER($T$703),$B$427=1),$T$703,HLOOKUP(INDIRECT(ADDRESS(2,COLUMN())),OFFSET($AM$2,0,0,ROW()-1,33),ROW()-1,FALSE))</f>
        <v>1.5053923</v>
      </c>
      <c r="U301" t="str">
        <f ca="1">IF(AND(ISNUMBER($U$703),$B$427=1),$U$703,HLOOKUP(INDIRECT(ADDRESS(2,COLUMN())),OFFSET($AM$2,0,0,ROW()-1,33),ROW()-1,FALSE))</f>
        <v/>
      </c>
      <c r="V301" t="str">
        <f ca="1">IF(AND(ISNUMBER($V$703),$B$427=1),$V$703,HLOOKUP(INDIRECT(ADDRESS(2,COLUMN())),OFFSET($AM$2,0,0,ROW()-1,33),ROW()-1,FALSE))</f>
        <v/>
      </c>
      <c r="W301" t="str">
        <f ca="1">IF(AND(ISNUMBER($W$703),$B$427=1),$W$703,HLOOKUP(INDIRECT(ADDRESS(2,COLUMN())),OFFSET($AM$2,0,0,ROW()-1,33),ROW()-1,FALSE))</f>
        <v/>
      </c>
      <c r="X301" t="str">
        <f ca="1">IF(AND(ISNUMBER($X$703),$B$427=1),$X$703,HLOOKUP(INDIRECT(ADDRESS(2,COLUMN())),OFFSET($AM$2,0,0,ROW()-1,33),ROW()-1,FALSE))</f>
        <v/>
      </c>
      <c r="Y301" t="str">
        <f ca="1">IF(AND(ISNUMBER($Y$703),$B$427=1),$Y$703,HLOOKUP(INDIRECT(ADDRESS(2,COLUMN())),OFFSET($AM$2,0,0,ROW()-1,33),ROW()-1,FALSE))</f>
        <v/>
      </c>
      <c r="Z301" t="str">
        <f ca="1">IF(AND(ISNUMBER($Z$703),$B$427=1),$Z$703,HLOOKUP(INDIRECT(ADDRESS(2,COLUMN())),OFFSET($AM$2,0,0,ROW()-1,33),ROW()-1,FALSE))</f>
        <v/>
      </c>
      <c r="AA301" t="str">
        <f ca="1">IF(AND(ISNUMBER($AA$703),$B$427=1),$AA$703,HLOOKUP(INDIRECT(ADDRESS(2,COLUMN())),OFFSET($AM$2,0,0,ROW()-1,33),ROW()-1,FALSE))</f>
        <v/>
      </c>
      <c r="AB301" t="str">
        <f ca="1">IF(AND(ISNUMBER($AB$703),$B$427=1),$AB$703,HLOOKUP(INDIRECT(ADDRESS(2,COLUMN())),OFFSET($AM$2,0,0,ROW()-1,33),ROW()-1,FALSE))</f>
        <v/>
      </c>
      <c r="AC301" t="str">
        <f ca="1">IF(AND(ISNUMBER($AC$703),$B$427=1),$AC$703,HLOOKUP(INDIRECT(ADDRESS(2,COLUMN())),OFFSET($AM$2,0,0,ROW()-1,33),ROW()-1,FALSE))</f>
        <v/>
      </c>
      <c r="AD301" t="str">
        <f ca="1">IF(AND(ISNUMBER($AD$703),$B$427=1),$AD$703,HLOOKUP(INDIRECT(ADDRESS(2,COLUMN())),OFFSET($AM$2,0,0,ROW()-1,33),ROW()-1,FALSE))</f>
        <v/>
      </c>
      <c r="AE301" t="str">
        <f ca="1">IF(AND(ISNUMBER($AE$703),$B$427=1),$AE$703,HLOOKUP(INDIRECT(ADDRESS(2,COLUMN())),OFFSET($AM$2,0,0,ROW()-1,33),ROW()-1,FALSE))</f>
        <v/>
      </c>
      <c r="AF301" t="str">
        <f ca="1">IF(AND(ISNUMBER($AF$703),$B$427=1),$AF$703,HLOOKUP(INDIRECT(ADDRESS(2,COLUMN())),OFFSET($AM$2,0,0,ROW()-1,33),ROW()-1,FALSE))</f>
        <v/>
      </c>
      <c r="AG301" t="str">
        <f ca="1">IF(AND(ISNUMBER($AG$703),$B$427=1),$AG$703,HLOOKUP(INDIRECT(ADDRESS(2,COLUMN())),OFFSET($AM$2,0,0,ROW()-1,33),ROW()-1,FALSE))</f>
        <v/>
      </c>
      <c r="AH301" t="str">
        <f ca="1">IF(AND(ISNUMBER($AH$703),$B$427=1),$AH$703,HLOOKUP(INDIRECT(ADDRESS(2,COLUMN())),OFFSET($AM$2,0,0,ROW()-1,33),ROW()-1,FALSE))</f>
        <v/>
      </c>
      <c r="AI301" t="str">
        <f ca="1">IF(AND(ISNUMBER($AI$703),$B$427=1),$AI$703,HLOOKUP(INDIRECT(ADDRESS(2,COLUMN())),OFFSET($AM$2,0,0,ROW()-1,33),ROW()-1,FALSE))</f>
        <v/>
      </c>
      <c r="AJ301" t="str">
        <f ca="1">IF(AND(ISNUMBER($AJ$703),$B$427=1),$AJ$703,HLOOKUP(INDIRECT(ADDRESS(2,COLUMN())),OFFSET($AM$2,0,0,ROW()-1,33),ROW()-1,FALSE))</f>
        <v/>
      </c>
      <c r="AK301" t="str">
        <f ca="1">IF(AND(ISNUMBER($AK$703),$B$427=1),$AK$703,HLOOKUP(INDIRECT(ADDRESS(2,COLUMN())),OFFSET($AM$2,0,0,ROW()-1,33),ROW()-1,FALSE))</f>
        <v/>
      </c>
      <c r="AL301" t="str">
        <f ca="1">IF(AND(ISNUMBER($AL$703),$B$427=1),$AL$703,HLOOKUP(INDIRECT(ADDRESS(2,COLUMN())),OFFSET($AM$2,0,0,ROW()-1,33),ROW()-1,FALSE))</f>
        <v/>
      </c>
      <c r="AM301" t="str">
        <f>""</f>
        <v/>
      </c>
      <c r="AN301">
        <f>8.416192463</f>
        <v>8.4161924629999998</v>
      </c>
      <c r="AO301">
        <f>8.059827216</f>
        <v>8.0598272160000004</v>
      </c>
      <c r="AP301">
        <f>6.690021853</f>
        <v>6.6900218530000002</v>
      </c>
      <c r="AQ301">
        <f>6.470561241</f>
        <v>6.4705612410000004</v>
      </c>
      <c r="AR301">
        <f>7.449760766</f>
        <v>7.4497607659999998</v>
      </c>
      <c r="AS301">
        <f>7.011268991</f>
        <v>7.0112689909999997</v>
      </c>
      <c r="AT301">
        <f>6.855884104</f>
        <v>6.8558841040000003</v>
      </c>
      <c r="AU301">
        <f>6.532057777</f>
        <v>6.5320577770000003</v>
      </c>
      <c r="AV301">
        <f>6.475919483</f>
        <v>6.4759194830000002</v>
      </c>
      <c r="AW301">
        <f>5.583136979</f>
        <v>5.5831369789999998</v>
      </c>
      <c r="AX301">
        <f>4.309474778</f>
        <v>4.3094747780000002</v>
      </c>
      <c r="AY301">
        <f>3.03561554</f>
        <v>3.0356155399999998</v>
      </c>
      <c r="AZ301">
        <f>1.989613964</f>
        <v>1.9896139639999999</v>
      </c>
      <c r="BA301">
        <f>1.5053923</f>
        <v>1.5053923</v>
      </c>
      <c r="BB301" t="str">
        <f>""</f>
        <v/>
      </c>
      <c r="BC301" t="str">
        <f>""</f>
        <v/>
      </c>
      <c r="BD301" t="str">
        <f>""</f>
        <v/>
      </c>
      <c r="BE301" t="str">
        <f>""</f>
        <v/>
      </c>
      <c r="BF301" t="str">
        <f>""</f>
        <v/>
      </c>
      <c r="BG301" t="str">
        <f>""</f>
        <v/>
      </c>
      <c r="BH301" t="str">
        <f>""</f>
        <v/>
      </c>
      <c r="BI301" t="str">
        <f>""</f>
        <v/>
      </c>
      <c r="BJ301" t="str">
        <f>""</f>
        <v/>
      </c>
      <c r="BK301" t="str">
        <f>""</f>
        <v/>
      </c>
      <c r="BL301" t="str">
        <f>""</f>
        <v/>
      </c>
      <c r="BM301" t="str">
        <f>""</f>
        <v/>
      </c>
      <c r="BN301" t="str">
        <f>""</f>
        <v/>
      </c>
      <c r="BO301" t="str">
        <f>""</f>
        <v/>
      </c>
      <c r="BP301" t="str">
        <f>""</f>
        <v/>
      </c>
      <c r="BQ301" t="str">
        <f>""</f>
        <v/>
      </c>
      <c r="BR301" t="str">
        <f>""</f>
        <v/>
      </c>
      <c r="BS301" t="str">
        <f>""</f>
        <v/>
      </c>
    </row>
    <row r="302" spans="1:71" x14ac:dyDescent="0.25">
      <c r="A302" t="str">
        <f>"        Truist Financial Corp"</f>
        <v xml:space="preserve">        Truist Financial Corp</v>
      </c>
      <c r="B302" t="str">
        <f>"TFC US Equity"</f>
        <v>TFC US Equity</v>
      </c>
      <c r="C302" t="str">
        <f t="shared" si="39"/>
        <v>F0123</v>
      </c>
      <c r="D302" t="str">
        <f t="shared" si="40"/>
        <v>FED_FINL_SRVC_LNS_%_TOT_LNS_LEAS</v>
      </c>
      <c r="E302" t="str">
        <f t="shared" si="41"/>
        <v>Dynamic</v>
      </c>
      <c r="F302">
        <f ca="1">IF(AND(ISNUMBER($F$704),$B$427=1),$F$704,HLOOKUP(INDIRECT(ADDRESS(2,COLUMN())),OFFSET($AM$2,0,0,ROW()-1,33),ROW()-1,FALSE))</f>
        <v>9.5980453000000008</v>
      </c>
      <c r="G302">
        <f ca="1">IF(AND(ISNUMBER($G$704),$B$427=1),$G$704,HLOOKUP(INDIRECT(ADDRESS(2,COLUMN())),OFFSET($AM$2,0,0,ROW()-1,33),ROW()-1,FALSE))</f>
        <v>6.6202635470000004</v>
      </c>
      <c r="H302">
        <f ca="1">IF(AND(ISNUMBER($H$704),$B$427=1),$H$704,HLOOKUP(INDIRECT(ADDRESS(2,COLUMN())),OFFSET($AM$2,0,0,ROW()-1,33),ROW()-1,FALSE))</f>
        <v>7.2991586120000003</v>
      </c>
      <c r="I302">
        <f ca="1">IF(AND(ISNUMBER($I$704),$B$427=1),$I$704,HLOOKUP(INDIRECT(ADDRESS(2,COLUMN())),OFFSET($AM$2,0,0,ROW()-1,33),ROW()-1,FALSE))</f>
        <v>6.5424275889999999</v>
      </c>
      <c r="J302">
        <f ca="1">IF(AND(ISNUMBER($J$704),$B$427=1),$J$704,HLOOKUP(INDIRECT(ADDRESS(2,COLUMN())),OFFSET($AM$2,0,0,ROW()-1,33),ROW()-1,FALSE))</f>
        <v>5.9399659250000001</v>
      </c>
      <c r="K302">
        <f ca="1">IF(AND(ISNUMBER($K$704),$B$427=1),$K$704,HLOOKUP(INDIRECT(ADDRESS(2,COLUMN())),OFFSET($AM$2,0,0,ROW()-1,33),ROW()-1,FALSE))</f>
        <v>4.6613565210000001</v>
      </c>
      <c r="L302">
        <f ca="1">IF(AND(ISNUMBER($L$704),$B$427=1),$L$704,HLOOKUP(INDIRECT(ADDRESS(2,COLUMN())),OFFSET($AM$2,0,0,ROW()-1,33),ROW()-1,FALSE))</f>
        <v>3.4539769730000001</v>
      </c>
      <c r="M302">
        <f ca="1">IF(AND(ISNUMBER($M$704),$B$427=1),$M$704,HLOOKUP(INDIRECT(ADDRESS(2,COLUMN())),OFFSET($AM$2,0,0,ROW()-1,33),ROW()-1,FALSE))</f>
        <v>3.3743093919999998</v>
      </c>
      <c r="N302">
        <f ca="1">IF(AND(ISNUMBER($N$704),$B$427=1),$N$704,HLOOKUP(INDIRECT(ADDRESS(2,COLUMN())),OFFSET($AM$2,0,0,ROW()-1,33),ROW()-1,FALSE))</f>
        <v>3.2834418849999998</v>
      </c>
      <c r="O302">
        <f ca="1">IF(AND(ISNUMBER($O$704),$B$427=1),$O$704,HLOOKUP(INDIRECT(ADDRESS(2,COLUMN())),OFFSET($AM$2,0,0,ROW()-1,33),ROW()-1,FALSE))</f>
        <v>3.30696485</v>
      </c>
      <c r="P302">
        <f ca="1">IF(AND(ISNUMBER($P$704),$B$427=1),$P$704,HLOOKUP(INDIRECT(ADDRESS(2,COLUMN())),OFFSET($AM$2,0,0,ROW()-1,33),ROW()-1,FALSE))</f>
        <v>2.9958521560000002</v>
      </c>
      <c r="Q302">
        <f ca="1">IF(AND(ISNUMBER($Q$704),$B$427=1),$Q$704,HLOOKUP(INDIRECT(ADDRESS(2,COLUMN())),OFFSET($AM$2,0,0,ROW()-1,33),ROW()-1,FALSE))</f>
        <v>2.028307978</v>
      </c>
      <c r="R302">
        <f ca="1">IF(AND(ISNUMBER($R$704),$B$427=1),$R$704,HLOOKUP(INDIRECT(ADDRESS(2,COLUMN())),OFFSET($AM$2,0,0,ROW()-1,33),ROW()-1,FALSE))</f>
        <v>2.232686234</v>
      </c>
      <c r="S302">
        <f ca="1">IF(AND(ISNUMBER($S$704),$B$427=1),$S$704,HLOOKUP(INDIRECT(ADDRESS(2,COLUMN())),OFFSET($AM$2,0,0,ROW()-1,33),ROW()-1,FALSE))</f>
        <v>1.843058265</v>
      </c>
      <c r="T302">
        <f ca="1">IF(AND(ISNUMBER($T$704),$B$427=1),$T$704,HLOOKUP(INDIRECT(ADDRESS(2,COLUMN())),OFFSET($AM$2,0,0,ROW()-1,33),ROW()-1,FALSE))</f>
        <v>1.0455736689999999</v>
      </c>
      <c r="U302" t="str">
        <f ca="1">IF(AND(ISNUMBER($U$704),$B$427=1),$U$704,HLOOKUP(INDIRECT(ADDRESS(2,COLUMN())),OFFSET($AM$2,0,0,ROW()-1,33),ROW()-1,FALSE))</f>
        <v/>
      </c>
      <c r="V302" t="str">
        <f ca="1">IF(AND(ISNUMBER($V$704),$B$427=1),$V$704,HLOOKUP(INDIRECT(ADDRESS(2,COLUMN())),OFFSET($AM$2,0,0,ROW()-1,33),ROW()-1,FALSE))</f>
        <v/>
      </c>
      <c r="W302" t="str">
        <f ca="1">IF(AND(ISNUMBER($W$704),$B$427=1),$W$704,HLOOKUP(INDIRECT(ADDRESS(2,COLUMN())),OFFSET($AM$2,0,0,ROW()-1,33),ROW()-1,FALSE))</f>
        <v/>
      </c>
      <c r="X302" t="str">
        <f ca="1">IF(AND(ISNUMBER($X$704),$B$427=1),$X$704,HLOOKUP(INDIRECT(ADDRESS(2,COLUMN())),OFFSET($AM$2,0,0,ROW()-1,33),ROW()-1,FALSE))</f>
        <v/>
      </c>
      <c r="Y302" t="str">
        <f ca="1">IF(AND(ISNUMBER($Y$704),$B$427=1),$Y$704,HLOOKUP(INDIRECT(ADDRESS(2,COLUMN())),OFFSET($AM$2,0,0,ROW()-1,33),ROW()-1,FALSE))</f>
        <v/>
      </c>
      <c r="Z302" t="str">
        <f ca="1">IF(AND(ISNUMBER($Z$704),$B$427=1),$Z$704,HLOOKUP(INDIRECT(ADDRESS(2,COLUMN())),OFFSET($AM$2,0,0,ROW()-1,33),ROW()-1,FALSE))</f>
        <v/>
      </c>
      <c r="AA302" t="str">
        <f ca="1">IF(AND(ISNUMBER($AA$704),$B$427=1),$AA$704,HLOOKUP(INDIRECT(ADDRESS(2,COLUMN())),OFFSET($AM$2,0,0,ROW()-1,33),ROW()-1,FALSE))</f>
        <v/>
      </c>
      <c r="AB302" t="str">
        <f ca="1">IF(AND(ISNUMBER($AB$704),$B$427=1),$AB$704,HLOOKUP(INDIRECT(ADDRESS(2,COLUMN())),OFFSET($AM$2,0,0,ROW()-1,33),ROW()-1,FALSE))</f>
        <v/>
      </c>
      <c r="AC302" t="str">
        <f ca="1">IF(AND(ISNUMBER($AC$704),$B$427=1),$AC$704,HLOOKUP(INDIRECT(ADDRESS(2,COLUMN())),OFFSET($AM$2,0,0,ROW()-1,33),ROW()-1,FALSE))</f>
        <v/>
      </c>
      <c r="AD302" t="str">
        <f ca="1">IF(AND(ISNUMBER($AD$704),$B$427=1),$AD$704,HLOOKUP(INDIRECT(ADDRESS(2,COLUMN())),OFFSET($AM$2,0,0,ROW()-1,33),ROW()-1,FALSE))</f>
        <v/>
      </c>
      <c r="AE302" t="str">
        <f ca="1">IF(AND(ISNUMBER($AE$704),$B$427=1),$AE$704,HLOOKUP(INDIRECT(ADDRESS(2,COLUMN())),OFFSET($AM$2,0,0,ROW()-1,33),ROW()-1,FALSE))</f>
        <v/>
      </c>
      <c r="AF302" t="str">
        <f ca="1">IF(AND(ISNUMBER($AF$704),$B$427=1),$AF$704,HLOOKUP(INDIRECT(ADDRESS(2,COLUMN())),OFFSET($AM$2,0,0,ROW()-1,33),ROW()-1,FALSE))</f>
        <v/>
      </c>
      <c r="AG302" t="str">
        <f ca="1">IF(AND(ISNUMBER($AG$704),$B$427=1),$AG$704,HLOOKUP(INDIRECT(ADDRESS(2,COLUMN())),OFFSET($AM$2,0,0,ROW()-1,33),ROW()-1,FALSE))</f>
        <v/>
      </c>
      <c r="AH302" t="str">
        <f ca="1">IF(AND(ISNUMBER($AH$704),$B$427=1),$AH$704,HLOOKUP(INDIRECT(ADDRESS(2,COLUMN())),OFFSET($AM$2,0,0,ROW()-1,33),ROW()-1,FALSE))</f>
        <v/>
      </c>
      <c r="AI302" t="str">
        <f ca="1">IF(AND(ISNUMBER($AI$704),$B$427=1),$AI$704,HLOOKUP(INDIRECT(ADDRESS(2,COLUMN())),OFFSET($AM$2,0,0,ROW()-1,33),ROW()-1,FALSE))</f>
        <v/>
      </c>
      <c r="AJ302" t="str">
        <f ca="1">IF(AND(ISNUMBER($AJ$704),$B$427=1),$AJ$704,HLOOKUP(INDIRECT(ADDRESS(2,COLUMN())),OFFSET($AM$2,0,0,ROW()-1,33),ROW()-1,FALSE))</f>
        <v/>
      </c>
      <c r="AK302" t="str">
        <f ca="1">IF(AND(ISNUMBER($AK$704),$B$427=1),$AK$704,HLOOKUP(INDIRECT(ADDRESS(2,COLUMN())),OFFSET($AM$2,0,0,ROW()-1,33),ROW()-1,FALSE))</f>
        <v/>
      </c>
      <c r="AL302" t="str">
        <f ca="1">IF(AND(ISNUMBER($AL$704),$B$427=1),$AL$704,HLOOKUP(INDIRECT(ADDRESS(2,COLUMN())),OFFSET($AM$2,0,0,ROW()-1,33),ROW()-1,FALSE))</f>
        <v/>
      </c>
      <c r="AM302">
        <f>9.5980453</f>
        <v>9.5980453000000008</v>
      </c>
      <c r="AN302">
        <f>6.620263547</f>
        <v>6.6202635470000004</v>
      </c>
      <c r="AO302">
        <f>7.299158612</f>
        <v>7.2991586120000003</v>
      </c>
      <c r="AP302">
        <f>6.542427589</f>
        <v>6.5424275889999999</v>
      </c>
      <c r="AQ302">
        <f>5.939965925</f>
        <v>5.9399659250000001</v>
      </c>
      <c r="AR302">
        <f>4.661356521</f>
        <v>4.6613565210000001</v>
      </c>
      <c r="AS302">
        <f>3.453976973</f>
        <v>3.4539769730000001</v>
      </c>
      <c r="AT302">
        <f>3.374309392</f>
        <v>3.3743093919999998</v>
      </c>
      <c r="AU302">
        <f>3.283441885</f>
        <v>3.2834418849999998</v>
      </c>
      <c r="AV302">
        <f>3.30696485</f>
        <v>3.30696485</v>
      </c>
      <c r="AW302">
        <f>2.995852156</f>
        <v>2.9958521560000002</v>
      </c>
      <c r="AX302">
        <f>2.028307978</f>
        <v>2.028307978</v>
      </c>
      <c r="AY302">
        <f>2.232686234</f>
        <v>2.232686234</v>
      </c>
      <c r="AZ302">
        <f>1.843058265</f>
        <v>1.843058265</v>
      </c>
      <c r="BA302">
        <f>1.045573669</f>
        <v>1.0455736689999999</v>
      </c>
      <c r="BB302" t="str">
        <f>""</f>
        <v/>
      </c>
      <c r="BC302" t="str">
        <f>""</f>
        <v/>
      </c>
      <c r="BD302" t="str">
        <f>""</f>
        <v/>
      </c>
      <c r="BE302" t="str">
        <f>""</f>
        <v/>
      </c>
      <c r="BF302" t="str">
        <f>""</f>
        <v/>
      </c>
      <c r="BG302" t="str">
        <f>""</f>
        <v/>
      </c>
      <c r="BH302" t="str">
        <f>""</f>
        <v/>
      </c>
      <c r="BI302" t="str">
        <f>""</f>
        <v/>
      </c>
      <c r="BJ302" t="str">
        <f>""</f>
        <v/>
      </c>
      <c r="BK302" t="str">
        <f>""</f>
        <v/>
      </c>
      <c r="BL302" t="str">
        <f>""</f>
        <v/>
      </c>
      <c r="BM302" t="str">
        <f>""</f>
        <v/>
      </c>
      <c r="BN302" t="str">
        <f>""</f>
        <v/>
      </c>
      <c r="BO302" t="str">
        <f>""</f>
        <v/>
      </c>
      <c r="BP302" t="str">
        <f>""</f>
        <v/>
      </c>
      <c r="BQ302" t="str">
        <f>""</f>
        <v/>
      </c>
      <c r="BR302" t="str">
        <f>""</f>
        <v/>
      </c>
      <c r="BS302" t="str">
        <f>""</f>
        <v/>
      </c>
    </row>
    <row r="303" spans="1:71" x14ac:dyDescent="0.25">
      <c r="A303" t="str">
        <f>"        US Bancorp"</f>
        <v xml:space="preserve">        US Bancorp</v>
      </c>
      <c r="B303" t="str">
        <f>"USB US Equity"</f>
        <v>USB US Equity</v>
      </c>
      <c r="C303" t="str">
        <f t="shared" si="39"/>
        <v>F0123</v>
      </c>
      <c r="D303" t="str">
        <f t="shared" si="40"/>
        <v>FED_FINL_SRVC_LNS_%_TOT_LNS_LEAS</v>
      </c>
      <c r="E303" t="str">
        <f t="shared" si="41"/>
        <v>Dynamic</v>
      </c>
      <c r="F303">
        <f ca="1">IF(AND(ISNUMBER($F$705),$B$427=1),$F$705,HLOOKUP(INDIRECT(ADDRESS(2,COLUMN())),OFFSET($AM$2,0,0,ROW()-1,33),ROW()-1,FALSE))</f>
        <v>6.2744995489999997</v>
      </c>
      <c r="G303">
        <f ca="1">IF(AND(ISNUMBER($G$705),$B$427=1),$G$705,HLOOKUP(INDIRECT(ADDRESS(2,COLUMN())),OFFSET($AM$2,0,0,ROW()-1,33),ROW()-1,FALSE))</f>
        <v>3.5704028339999998</v>
      </c>
      <c r="H303">
        <f ca="1">IF(AND(ISNUMBER($H$705),$B$427=1),$H$705,HLOOKUP(INDIRECT(ADDRESS(2,COLUMN())),OFFSET($AM$2,0,0,ROW()-1,33),ROW()-1,FALSE))</f>
        <v>3.0862189529999999</v>
      </c>
      <c r="I303">
        <f ca="1">IF(AND(ISNUMBER($I$705),$B$427=1),$I$705,HLOOKUP(INDIRECT(ADDRESS(2,COLUMN())),OFFSET($AM$2,0,0,ROW()-1,33),ROW()-1,FALSE))</f>
        <v>3.2595066340000001</v>
      </c>
      <c r="J303">
        <f ca="1">IF(AND(ISNUMBER($J$705),$B$427=1),$J$705,HLOOKUP(INDIRECT(ADDRESS(2,COLUMN())),OFFSET($AM$2,0,0,ROW()-1,33),ROW()-1,FALSE))</f>
        <v>1.7336230859999999</v>
      </c>
      <c r="K303">
        <f ca="1">IF(AND(ISNUMBER($K$705),$B$427=1),$K$705,HLOOKUP(INDIRECT(ADDRESS(2,COLUMN())),OFFSET($AM$2,0,0,ROW()-1,33),ROW()-1,FALSE))</f>
        <v>1.6563908780000001</v>
      </c>
      <c r="L303">
        <f ca="1">IF(AND(ISNUMBER($L$705),$B$427=1),$L$705,HLOOKUP(INDIRECT(ADDRESS(2,COLUMN())),OFFSET($AM$2,0,0,ROW()-1,33),ROW()-1,FALSE))</f>
        <v>0.89412481700000002</v>
      </c>
      <c r="M303">
        <f ca="1">IF(AND(ISNUMBER($M$705),$B$427=1),$M$705,HLOOKUP(INDIRECT(ADDRESS(2,COLUMN())),OFFSET($AM$2,0,0,ROW()-1,33),ROW()-1,FALSE))</f>
        <v>0.89229010499999994</v>
      </c>
      <c r="N303">
        <f ca="1">IF(AND(ISNUMBER($N$705),$B$427=1),$N$705,HLOOKUP(INDIRECT(ADDRESS(2,COLUMN())),OFFSET($AM$2,0,0,ROW()-1,33),ROW()-1,FALSE))</f>
        <v>0.86571029700000002</v>
      </c>
      <c r="O303">
        <f ca="1">IF(AND(ISNUMBER($O$705),$B$427=1),$O$705,HLOOKUP(INDIRECT(ADDRESS(2,COLUMN())),OFFSET($AM$2,0,0,ROW()-1,33),ROW()-1,FALSE))</f>
        <v>0.89239204400000005</v>
      </c>
      <c r="P303">
        <f ca="1">IF(AND(ISNUMBER($P$705),$B$427=1),$P$705,HLOOKUP(INDIRECT(ADDRESS(2,COLUMN())),OFFSET($AM$2,0,0,ROW()-1,33),ROW()-1,FALSE))</f>
        <v>0.81362240900000005</v>
      </c>
      <c r="Q303">
        <f ca="1">IF(AND(ISNUMBER($Q$705),$B$427=1),$Q$705,HLOOKUP(INDIRECT(ADDRESS(2,COLUMN())),OFFSET($AM$2,0,0,ROW()-1,33),ROW()-1,FALSE))</f>
        <v>0.452927992</v>
      </c>
      <c r="R303">
        <f ca="1">IF(AND(ISNUMBER($R$705),$B$427=1),$R$705,HLOOKUP(INDIRECT(ADDRESS(2,COLUMN())),OFFSET($AM$2,0,0,ROW()-1,33),ROW()-1,FALSE))</f>
        <v>0.63123573499999996</v>
      </c>
      <c r="S303">
        <f ca="1">IF(AND(ISNUMBER($S$705),$B$427=1),$S$705,HLOOKUP(INDIRECT(ADDRESS(2,COLUMN())),OFFSET($AM$2,0,0,ROW()-1,33),ROW()-1,FALSE))</f>
        <v>0.53435292499999998</v>
      </c>
      <c r="T303">
        <f ca="1">IF(AND(ISNUMBER($T$705),$B$427=1),$T$705,HLOOKUP(INDIRECT(ADDRESS(2,COLUMN())),OFFSET($AM$2,0,0,ROW()-1,33),ROW()-1,FALSE))</f>
        <v>0.42116710699999999</v>
      </c>
      <c r="U303" t="str">
        <f ca="1">IF(AND(ISNUMBER($U$705),$B$427=1),$U$705,HLOOKUP(INDIRECT(ADDRESS(2,COLUMN())),OFFSET($AM$2,0,0,ROW()-1,33),ROW()-1,FALSE))</f>
        <v/>
      </c>
      <c r="V303" t="str">
        <f ca="1">IF(AND(ISNUMBER($V$705),$B$427=1),$V$705,HLOOKUP(INDIRECT(ADDRESS(2,COLUMN())),OFFSET($AM$2,0,0,ROW()-1,33),ROW()-1,FALSE))</f>
        <v/>
      </c>
      <c r="W303" t="str">
        <f ca="1">IF(AND(ISNUMBER($W$705),$B$427=1),$W$705,HLOOKUP(INDIRECT(ADDRESS(2,COLUMN())),OFFSET($AM$2,0,0,ROW()-1,33),ROW()-1,FALSE))</f>
        <v/>
      </c>
      <c r="X303" t="str">
        <f ca="1">IF(AND(ISNUMBER($X$705),$B$427=1),$X$705,HLOOKUP(INDIRECT(ADDRESS(2,COLUMN())),OFFSET($AM$2,0,0,ROW()-1,33),ROW()-1,FALSE))</f>
        <v/>
      </c>
      <c r="Y303" t="str">
        <f ca="1">IF(AND(ISNUMBER($Y$705),$B$427=1),$Y$705,HLOOKUP(INDIRECT(ADDRESS(2,COLUMN())),OFFSET($AM$2,0,0,ROW()-1,33),ROW()-1,FALSE))</f>
        <v/>
      </c>
      <c r="Z303" t="str">
        <f ca="1">IF(AND(ISNUMBER($Z$705),$B$427=1),$Z$705,HLOOKUP(INDIRECT(ADDRESS(2,COLUMN())),OFFSET($AM$2,0,0,ROW()-1,33),ROW()-1,FALSE))</f>
        <v/>
      </c>
      <c r="AA303" t="str">
        <f ca="1">IF(AND(ISNUMBER($AA$705),$B$427=1),$AA$705,HLOOKUP(INDIRECT(ADDRESS(2,COLUMN())),OFFSET($AM$2,0,0,ROW()-1,33),ROW()-1,FALSE))</f>
        <v/>
      </c>
      <c r="AB303" t="str">
        <f ca="1">IF(AND(ISNUMBER($AB$705),$B$427=1),$AB$705,HLOOKUP(INDIRECT(ADDRESS(2,COLUMN())),OFFSET($AM$2,0,0,ROW()-1,33),ROW()-1,FALSE))</f>
        <v/>
      </c>
      <c r="AC303" t="str">
        <f ca="1">IF(AND(ISNUMBER($AC$705),$B$427=1),$AC$705,HLOOKUP(INDIRECT(ADDRESS(2,COLUMN())),OFFSET($AM$2,0,0,ROW()-1,33),ROW()-1,FALSE))</f>
        <v/>
      </c>
      <c r="AD303" t="str">
        <f ca="1">IF(AND(ISNUMBER($AD$705),$B$427=1),$AD$705,HLOOKUP(INDIRECT(ADDRESS(2,COLUMN())),OFFSET($AM$2,0,0,ROW()-1,33),ROW()-1,FALSE))</f>
        <v/>
      </c>
      <c r="AE303" t="str">
        <f ca="1">IF(AND(ISNUMBER($AE$705),$B$427=1),$AE$705,HLOOKUP(INDIRECT(ADDRESS(2,COLUMN())),OFFSET($AM$2,0,0,ROW()-1,33),ROW()-1,FALSE))</f>
        <v/>
      </c>
      <c r="AF303" t="str">
        <f ca="1">IF(AND(ISNUMBER($AF$705),$B$427=1),$AF$705,HLOOKUP(INDIRECT(ADDRESS(2,COLUMN())),OFFSET($AM$2,0,0,ROW()-1,33),ROW()-1,FALSE))</f>
        <v/>
      </c>
      <c r="AG303" t="str">
        <f ca="1">IF(AND(ISNUMBER($AG$705),$B$427=1),$AG$705,HLOOKUP(INDIRECT(ADDRESS(2,COLUMN())),OFFSET($AM$2,0,0,ROW()-1,33),ROW()-1,FALSE))</f>
        <v/>
      </c>
      <c r="AH303" t="str">
        <f ca="1">IF(AND(ISNUMBER($AH$705),$B$427=1),$AH$705,HLOOKUP(INDIRECT(ADDRESS(2,COLUMN())),OFFSET($AM$2,0,0,ROW()-1,33),ROW()-1,FALSE))</f>
        <v/>
      </c>
      <c r="AI303" t="str">
        <f ca="1">IF(AND(ISNUMBER($AI$705),$B$427=1),$AI$705,HLOOKUP(INDIRECT(ADDRESS(2,COLUMN())),OFFSET($AM$2,0,0,ROW()-1,33),ROW()-1,FALSE))</f>
        <v/>
      </c>
      <c r="AJ303" t="str">
        <f ca="1">IF(AND(ISNUMBER($AJ$705),$B$427=1),$AJ$705,HLOOKUP(INDIRECT(ADDRESS(2,COLUMN())),OFFSET($AM$2,0,0,ROW()-1,33),ROW()-1,FALSE))</f>
        <v/>
      </c>
      <c r="AK303" t="str">
        <f ca="1">IF(AND(ISNUMBER($AK$705),$B$427=1),$AK$705,HLOOKUP(INDIRECT(ADDRESS(2,COLUMN())),OFFSET($AM$2,0,0,ROW()-1,33),ROW()-1,FALSE))</f>
        <v/>
      </c>
      <c r="AL303" t="str">
        <f ca="1">IF(AND(ISNUMBER($AL$705),$B$427=1),$AL$705,HLOOKUP(INDIRECT(ADDRESS(2,COLUMN())),OFFSET($AM$2,0,0,ROW()-1,33),ROW()-1,FALSE))</f>
        <v/>
      </c>
      <c r="AM303">
        <f>6.274499549</f>
        <v>6.2744995489999997</v>
      </c>
      <c r="AN303">
        <f>3.570402834</f>
        <v>3.5704028339999998</v>
      </c>
      <c r="AO303">
        <f>3.086218953</f>
        <v>3.0862189529999999</v>
      </c>
      <c r="AP303">
        <f>3.259506634</f>
        <v>3.2595066340000001</v>
      </c>
      <c r="AQ303">
        <f>1.733623086</f>
        <v>1.7336230859999999</v>
      </c>
      <c r="AR303">
        <f>1.656390878</f>
        <v>1.6563908780000001</v>
      </c>
      <c r="AS303">
        <f>0.894124817</f>
        <v>0.89412481700000002</v>
      </c>
      <c r="AT303">
        <f>0.892290105</f>
        <v>0.89229010499999994</v>
      </c>
      <c r="AU303">
        <f>0.865710297</f>
        <v>0.86571029700000002</v>
      </c>
      <c r="AV303">
        <f>0.892392044</f>
        <v>0.89239204400000005</v>
      </c>
      <c r="AW303">
        <f>0.813622409</f>
        <v>0.81362240900000005</v>
      </c>
      <c r="AX303">
        <f>0.452927992</f>
        <v>0.452927992</v>
      </c>
      <c r="AY303">
        <f>0.631235735</f>
        <v>0.63123573499999996</v>
      </c>
      <c r="AZ303">
        <f>0.534352925</f>
        <v>0.53435292499999998</v>
      </c>
      <c r="BA303">
        <f>0.421167107</f>
        <v>0.42116710699999999</v>
      </c>
      <c r="BB303" t="str">
        <f>""</f>
        <v/>
      </c>
      <c r="BC303" t="str">
        <f>""</f>
        <v/>
      </c>
      <c r="BD303" t="str">
        <f>""</f>
        <v/>
      </c>
      <c r="BE303" t="str">
        <f>""</f>
        <v/>
      </c>
      <c r="BF303" t="str">
        <f>""</f>
        <v/>
      </c>
      <c r="BG303" t="str">
        <f>""</f>
        <v/>
      </c>
      <c r="BH303" t="str">
        <f>""</f>
        <v/>
      </c>
      <c r="BI303" t="str">
        <f>""</f>
        <v/>
      </c>
      <c r="BJ303" t="str">
        <f>""</f>
        <v/>
      </c>
      <c r="BK303" t="str">
        <f>""</f>
        <v/>
      </c>
      <c r="BL303" t="str">
        <f>""</f>
        <v/>
      </c>
      <c r="BM303" t="str">
        <f>""</f>
        <v/>
      </c>
      <c r="BN303" t="str">
        <f>""</f>
        <v/>
      </c>
      <c r="BO303" t="str">
        <f>""</f>
        <v/>
      </c>
      <c r="BP303" t="str">
        <f>""</f>
        <v/>
      </c>
      <c r="BQ303" t="str">
        <f>""</f>
        <v/>
      </c>
      <c r="BR303" t="str">
        <f>""</f>
        <v/>
      </c>
      <c r="BS303" t="str">
        <f>""</f>
        <v/>
      </c>
    </row>
    <row r="304" spans="1:71" x14ac:dyDescent="0.25">
      <c r="A304" t="str">
        <f>"        Wells Fargo &amp; Co"</f>
        <v xml:space="preserve">        Wells Fargo &amp; Co</v>
      </c>
      <c r="B304" t="str">
        <f>"WFC US Equity"</f>
        <v>WFC US Equity</v>
      </c>
      <c r="C304" t="str">
        <f t="shared" si="39"/>
        <v>F0123</v>
      </c>
      <c r="D304" t="str">
        <f t="shared" si="40"/>
        <v>FED_FINL_SRVC_LNS_%_TOT_LNS_LEAS</v>
      </c>
      <c r="E304" t="str">
        <f t="shared" si="41"/>
        <v>Dynamic</v>
      </c>
      <c r="F304">
        <f ca="1">IF(AND(ISNUMBER($F$706),$B$427=1),$F$706,HLOOKUP(INDIRECT(ADDRESS(2,COLUMN())),OFFSET($AM$2,0,0,ROW()-1,33),ROW()-1,FALSE))</f>
        <v>17.29242816</v>
      </c>
      <c r="G304">
        <f ca="1">IF(AND(ISNUMBER($G$706),$B$427=1),$G$706,HLOOKUP(INDIRECT(ADDRESS(2,COLUMN())),OFFSET($AM$2,0,0,ROW()-1,33),ROW()-1,FALSE))</f>
        <v>16.215465649999999</v>
      </c>
      <c r="H304">
        <f ca="1">IF(AND(ISNUMBER($H$706),$B$427=1),$H$706,HLOOKUP(INDIRECT(ADDRESS(2,COLUMN())),OFFSET($AM$2,0,0,ROW()-1,33),ROW()-1,FALSE))</f>
        <v>16.00349035</v>
      </c>
      <c r="I304">
        <f ca="1">IF(AND(ISNUMBER($I$706),$B$427=1),$I$706,HLOOKUP(INDIRECT(ADDRESS(2,COLUMN())),OFFSET($AM$2,0,0,ROW()-1,33),ROW()-1,FALSE))</f>
        <v>15.5855476</v>
      </c>
      <c r="J304">
        <f ca="1">IF(AND(ISNUMBER($J$706),$B$427=1),$J$706,HLOOKUP(INDIRECT(ADDRESS(2,COLUMN())),OFFSET($AM$2,0,0,ROW()-1,33),ROW()-1,FALSE))</f>
        <v>12.78609374</v>
      </c>
      <c r="K304">
        <f ca="1">IF(AND(ISNUMBER($K$706),$B$427=1),$K$706,HLOOKUP(INDIRECT(ADDRESS(2,COLUMN())),OFFSET($AM$2,0,0,ROW()-1,33),ROW()-1,FALSE))</f>
        <v>11.84957335</v>
      </c>
      <c r="L304">
        <f ca="1">IF(AND(ISNUMBER($L$706),$B$427=1),$L$706,HLOOKUP(INDIRECT(ADDRESS(2,COLUMN())),OFFSET($AM$2,0,0,ROW()-1,33),ROW()-1,FALSE))</f>
        <v>10.87326034</v>
      </c>
      <c r="M304">
        <f ca="1">IF(AND(ISNUMBER($M$706),$B$427=1),$M$706,HLOOKUP(INDIRECT(ADDRESS(2,COLUMN())),OFFSET($AM$2,0,0,ROW()-1,33),ROW()-1,FALSE))</f>
        <v>9.1904304719999992</v>
      </c>
      <c r="N304">
        <f ca="1">IF(AND(ISNUMBER($N$706),$B$427=1),$N$706,HLOOKUP(INDIRECT(ADDRESS(2,COLUMN())),OFFSET($AM$2,0,0,ROW()-1,33),ROW()-1,FALSE))</f>
        <v>8.4601739120000001</v>
      </c>
      <c r="O304">
        <f ca="1">IF(AND(ISNUMBER($O$706),$B$427=1),$O$706,HLOOKUP(INDIRECT(ADDRESS(2,COLUMN())),OFFSET($AM$2,0,0,ROW()-1,33),ROW()-1,FALSE))</f>
        <v>7.974521363</v>
      </c>
      <c r="P304">
        <f ca="1">IF(AND(ISNUMBER($P$706),$B$427=1),$P$706,HLOOKUP(INDIRECT(ADDRESS(2,COLUMN())),OFFSET($AM$2,0,0,ROW()-1,33),ROW()-1,FALSE))</f>
        <v>6.2820331759999997</v>
      </c>
      <c r="Q304">
        <f ca="1">IF(AND(ISNUMBER($Q$706),$B$427=1),$Q$706,HLOOKUP(INDIRECT(ADDRESS(2,COLUMN())),OFFSET($AM$2,0,0,ROW()-1,33),ROW()-1,FALSE))</f>
        <v>4.5617318339999997</v>
      </c>
      <c r="R304">
        <f ca="1">IF(AND(ISNUMBER($R$706),$B$427=1),$R$706,HLOOKUP(INDIRECT(ADDRESS(2,COLUMN())),OFFSET($AM$2,0,0,ROW()-1,33),ROW()-1,FALSE))</f>
        <v>2.8459639810000001</v>
      </c>
      <c r="S304">
        <f ca="1">IF(AND(ISNUMBER($S$706),$B$427=1),$S$706,HLOOKUP(INDIRECT(ADDRESS(2,COLUMN())),OFFSET($AM$2,0,0,ROW()-1,33),ROW()-1,FALSE))</f>
        <v>1.2140466679999999</v>
      </c>
      <c r="T304">
        <f ca="1">IF(AND(ISNUMBER($T$706),$B$427=1),$T$706,HLOOKUP(INDIRECT(ADDRESS(2,COLUMN())),OFFSET($AM$2,0,0,ROW()-1,33),ROW()-1,FALSE))</f>
        <v>1.7534388400000001</v>
      </c>
      <c r="U304" t="str">
        <f ca="1">IF(AND(ISNUMBER($U$706),$B$427=1),$U$706,HLOOKUP(INDIRECT(ADDRESS(2,COLUMN())),OFFSET($AM$2,0,0,ROW()-1,33),ROW()-1,FALSE))</f>
        <v/>
      </c>
      <c r="V304" t="str">
        <f ca="1">IF(AND(ISNUMBER($V$706),$B$427=1),$V$706,HLOOKUP(INDIRECT(ADDRESS(2,COLUMN())),OFFSET($AM$2,0,0,ROW()-1,33),ROW()-1,FALSE))</f>
        <v/>
      </c>
      <c r="W304" t="str">
        <f ca="1">IF(AND(ISNUMBER($W$706),$B$427=1),$W$706,HLOOKUP(INDIRECT(ADDRESS(2,COLUMN())),OFFSET($AM$2,0,0,ROW()-1,33),ROW()-1,FALSE))</f>
        <v/>
      </c>
      <c r="X304" t="str">
        <f ca="1">IF(AND(ISNUMBER($X$706),$B$427=1),$X$706,HLOOKUP(INDIRECT(ADDRESS(2,COLUMN())),OFFSET($AM$2,0,0,ROW()-1,33),ROW()-1,FALSE))</f>
        <v/>
      </c>
      <c r="Y304" t="str">
        <f ca="1">IF(AND(ISNUMBER($Y$706),$B$427=1),$Y$706,HLOOKUP(INDIRECT(ADDRESS(2,COLUMN())),OFFSET($AM$2,0,0,ROW()-1,33),ROW()-1,FALSE))</f>
        <v/>
      </c>
      <c r="Z304" t="str">
        <f ca="1">IF(AND(ISNUMBER($Z$706),$B$427=1),$Z$706,HLOOKUP(INDIRECT(ADDRESS(2,COLUMN())),OFFSET($AM$2,0,0,ROW()-1,33),ROW()-1,FALSE))</f>
        <v/>
      </c>
      <c r="AA304" t="str">
        <f ca="1">IF(AND(ISNUMBER($AA$706),$B$427=1),$AA$706,HLOOKUP(INDIRECT(ADDRESS(2,COLUMN())),OFFSET($AM$2,0,0,ROW()-1,33),ROW()-1,FALSE))</f>
        <v/>
      </c>
      <c r="AB304" t="str">
        <f ca="1">IF(AND(ISNUMBER($AB$706),$B$427=1),$AB$706,HLOOKUP(INDIRECT(ADDRESS(2,COLUMN())),OFFSET($AM$2,0,0,ROW()-1,33),ROW()-1,FALSE))</f>
        <v/>
      </c>
      <c r="AC304" t="str">
        <f ca="1">IF(AND(ISNUMBER($AC$706),$B$427=1),$AC$706,HLOOKUP(INDIRECT(ADDRESS(2,COLUMN())),OFFSET($AM$2,0,0,ROW()-1,33),ROW()-1,FALSE))</f>
        <v/>
      </c>
      <c r="AD304" t="str">
        <f ca="1">IF(AND(ISNUMBER($AD$706),$B$427=1),$AD$706,HLOOKUP(INDIRECT(ADDRESS(2,COLUMN())),OFFSET($AM$2,0,0,ROW()-1,33),ROW()-1,FALSE))</f>
        <v/>
      </c>
      <c r="AE304" t="str">
        <f ca="1">IF(AND(ISNUMBER($AE$706),$B$427=1),$AE$706,HLOOKUP(INDIRECT(ADDRESS(2,COLUMN())),OFFSET($AM$2,0,0,ROW()-1,33),ROW()-1,FALSE))</f>
        <v/>
      </c>
      <c r="AF304" t="str">
        <f ca="1">IF(AND(ISNUMBER($AF$706),$B$427=1),$AF$706,HLOOKUP(INDIRECT(ADDRESS(2,COLUMN())),OFFSET($AM$2,0,0,ROW()-1,33),ROW()-1,FALSE))</f>
        <v/>
      </c>
      <c r="AG304" t="str">
        <f ca="1">IF(AND(ISNUMBER($AG$706),$B$427=1),$AG$706,HLOOKUP(INDIRECT(ADDRESS(2,COLUMN())),OFFSET($AM$2,0,0,ROW()-1,33),ROW()-1,FALSE))</f>
        <v/>
      </c>
      <c r="AH304" t="str">
        <f ca="1">IF(AND(ISNUMBER($AH$706),$B$427=1),$AH$706,HLOOKUP(INDIRECT(ADDRESS(2,COLUMN())),OFFSET($AM$2,0,0,ROW()-1,33),ROW()-1,FALSE))</f>
        <v/>
      </c>
      <c r="AI304" t="str">
        <f ca="1">IF(AND(ISNUMBER($AI$706),$B$427=1),$AI$706,HLOOKUP(INDIRECT(ADDRESS(2,COLUMN())),OFFSET($AM$2,0,0,ROW()-1,33),ROW()-1,FALSE))</f>
        <v/>
      </c>
      <c r="AJ304" t="str">
        <f ca="1">IF(AND(ISNUMBER($AJ$706),$B$427=1),$AJ$706,HLOOKUP(INDIRECT(ADDRESS(2,COLUMN())),OFFSET($AM$2,0,0,ROW()-1,33),ROW()-1,FALSE))</f>
        <v/>
      </c>
      <c r="AK304" t="str">
        <f ca="1">IF(AND(ISNUMBER($AK$706),$B$427=1),$AK$706,HLOOKUP(INDIRECT(ADDRESS(2,COLUMN())),OFFSET($AM$2,0,0,ROW()-1,33),ROW()-1,FALSE))</f>
        <v/>
      </c>
      <c r="AL304" t="str">
        <f ca="1">IF(AND(ISNUMBER($AL$706),$B$427=1),$AL$706,HLOOKUP(INDIRECT(ADDRESS(2,COLUMN())),OFFSET($AM$2,0,0,ROW()-1,33),ROW()-1,FALSE))</f>
        <v/>
      </c>
      <c r="AM304">
        <f>17.29242816</f>
        <v>17.29242816</v>
      </c>
      <c r="AN304">
        <f>16.21546565</f>
        <v>16.215465649999999</v>
      </c>
      <c r="AO304">
        <f>16.00349035</f>
        <v>16.00349035</v>
      </c>
      <c r="AP304">
        <f>15.5855476</f>
        <v>15.5855476</v>
      </c>
      <c r="AQ304">
        <f>12.78609374</f>
        <v>12.78609374</v>
      </c>
      <c r="AR304">
        <f>11.84957335</f>
        <v>11.84957335</v>
      </c>
      <c r="AS304">
        <f>10.87326034</f>
        <v>10.87326034</v>
      </c>
      <c r="AT304">
        <f>9.190430472</f>
        <v>9.1904304719999992</v>
      </c>
      <c r="AU304">
        <f>8.460173912</f>
        <v>8.4601739120000001</v>
      </c>
      <c r="AV304">
        <f>7.974521363</f>
        <v>7.974521363</v>
      </c>
      <c r="AW304">
        <f>6.282033176</f>
        <v>6.2820331759999997</v>
      </c>
      <c r="AX304">
        <f>4.561731834</f>
        <v>4.5617318339999997</v>
      </c>
      <c r="AY304">
        <f>2.845963981</f>
        <v>2.8459639810000001</v>
      </c>
      <c r="AZ304">
        <f>1.214046668</f>
        <v>1.2140466679999999</v>
      </c>
      <c r="BA304">
        <f>1.75343884</f>
        <v>1.7534388400000001</v>
      </c>
      <c r="BB304" t="str">
        <f>""</f>
        <v/>
      </c>
      <c r="BC304" t="str">
        <f>""</f>
        <v/>
      </c>
      <c r="BD304" t="str">
        <f>""</f>
        <v/>
      </c>
      <c r="BE304" t="str">
        <f>""</f>
        <v/>
      </c>
      <c r="BF304" t="str">
        <f>""</f>
        <v/>
      </c>
      <c r="BG304" t="str">
        <f>""</f>
        <v/>
      </c>
      <c r="BH304" t="str">
        <f>""</f>
        <v/>
      </c>
      <c r="BI304" t="str">
        <f>""</f>
        <v/>
      </c>
      <c r="BJ304" t="str">
        <f>""</f>
        <v/>
      </c>
      <c r="BK304" t="str">
        <f>""</f>
        <v/>
      </c>
      <c r="BL304" t="str">
        <f>""</f>
        <v/>
      </c>
      <c r="BM304" t="str">
        <f>""</f>
        <v/>
      </c>
      <c r="BN304" t="str">
        <f>""</f>
        <v/>
      </c>
      <c r="BO304" t="str">
        <f>""</f>
        <v/>
      </c>
      <c r="BP304" t="str">
        <f>""</f>
        <v/>
      </c>
      <c r="BQ304" t="str">
        <f>""</f>
        <v/>
      </c>
      <c r="BR304" t="str">
        <f>""</f>
        <v/>
      </c>
      <c r="BS304" t="str">
        <f>""</f>
        <v/>
      </c>
    </row>
    <row r="305" spans="1:71" x14ac:dyDescent="0.25">
      <c r="A305" t="str">
        <f>"        Western Alliance Bancorp"</f>
        <v xml:space="preserve">        Western Alliance Bancorp</v>
      </c>
      <c r="B305" t="str">
        <f>"WAL US Equity"</f>
        <v>WAL US Equity</v>
      </c>
      <c r="C305" t="str">
        <f t="shared" si="39"/>
        <v>F0123</v>
      </c>
      <c r="D305" t="str">
        <f t="shared" si="40"/>
        <v>FED_FINL_SRVC_LNS_%_TOT_LNS_LEAS</v>
      </c>
      <c r="E305" t="str">
        <f t="shared" si="41"/>
        <v>Dynamic</v>
      </c>
      <c r="F305">
        <f ca="1">IF(AND(ISNUMBER($F$707),$B$427=1),$F$707,HLOOKUP(INDIRECT(ADDRESS(2,COLUMN())),OFFSET($AM$2,0,0,ROW()-1,33),ROW()-1,FALSE))</f>
        <v>19.761674240000001</v>
      </c>
      <c r="G305">
        <f ca="1">IF(AND(ISNUMBER($G$707),$B$427=1),$G$707,HLOOKUP(INDIRECT(ADDRESS(2,COLUMN())),OFFSET($AM$2,0,0,ROW()-1,33),ROW()-1,FALSE))</f>
        <v>15.863834880000001</v>
      </c>
      <c r="H305">
        <f ca="1">IF(AND(ISNUMBER($H$707),$B$427=1),$H$707,HLOOKUP(INDIRECT(ADDRESS(2,COLUMN())),OFFSET($AM$2,0,0,ROW()-1,33),ROW()-1,FALSE))</f>
        <v>12.477352440000001</v>
      </c>
      <c r="I305">
        <f ca="1">IF(AND(ISNUMBER($I$707),$B$427=1),$I$707,HLOOKUP(INDIRECT(ADDRESS(2,COLUMN())),OFFSET($AM$2,0,0,ROW()-1,33),ROW()-1,FALSE))</f>
        <v>12.11347739</v>
      </c>
      <c r="J305">
        <f ca="1">IF(AND(ISNUMBER($J$707),$B$427=1),$J$707,HLOOKUP(INDIRECT(ADDRESS(2,COLUMN())),OFFSET($AM$2,0,0,ROW()-1,33),ROW()-1,FALSE))</f>
        <v>16.55648549</v>
      </c>
      <c r="K305">
        <f ca="1">IF(AND(ISNUMBER($K$707),$B$427=1),$K$707,HLOOKUP(INDIRECT(ADDRESS(2,COLUMN())),OFFSET($AM$2,0,0,ROW()-1,33),ROW()-1,FALSE))</f>
        <v>10.323871799999999</v>
      </c>
      <c r="L305">
        <f ca="1">IF(AND(ISNUMBER($L$707),$B$427=1),$L$707,HLOOKUP(INDIRECT(ADDRESS(2,COLUMN())),OFFSET($AM$2,0,0,ROW()-1,33),ROW()-1,FALSE))</f>
        <v>8.9056182019999994</v>
      </c>
      <c r="M305">
        <f ca="1">IF(AND(ISNUMBER($M$707),$B$427=1),$M$707,HLOOKUP(INDIRECT(ADDRESS(2,COLUMN())),OFFSET($AM$2,0,0,ROW()-1,33),ROW()-1,FALSE))</f>
        <v>7.2361183479999998</v>
      </c>
      <c r="N305">
        <f ca="1">IF(AND(ISNUMBER($N$707),$B$427=1),$N$707,HLOOKUP(INDIRECT(ADDRESS(2,COLUMN())),OFFSET($AM$2,0,0,ROW()-1,33),ROW()-1,FALSE))</f>
        <v>6.2276638960000001</v>
      </c>
      <c r="O305">
        <f ca="1">IF(AND(ISNUMBER($O$707),$B$427=1),$O$707,HLOOKUP(INDIRECT(ADDRESS(2,COLUMN())),OFFSET($AM$2,0,0,ROW()-1,33),ROW()-1,FALSE))</f>
        <v>4.0058947639999998</v>
      </c>
      <c r="P305">
        <f ca="1">IF(AND(ISNUMBER($P$707),$B$427=1),$P$707,HLOOKUP(INDIRECT(ADDRESS(2,COLUMN())),OFFSET($AM$2,0,0,ROW()-1,33),ROW()-1,FALSE))</f>
        <v>4.2775739990000003</v>
      </c>
      <c r="Q305">
        <f ca="1">IF(AND(ISNUMBER($Q$707),$B$427=1),$Q$707,HLOOKUP(INDIRECT(ADDRESS(2,COLUMN())),OFFSET($AM$2,0,0,ROW()-1,33),ROW()-1,FALSE))</f>
        <v>2.199441025</v>
      </c>
      <c r="R305">
        <f ca="1">IF(AND(ISNUMBER($R$707),$B$427=1),$R$707,HLOOKUP(INDIRECT(ADDRESS(2,COLUMN())),OFFSET($AM$2,0,0,ROW()-1,33),ROW()-1,FALSE))</f>
        <v>4.6370624859999996</v>
      </c>
      <c r="S305">
        <f ca="1">IF(AND(ISNUMBER($S$707),$B$427=1),$S$707,HLOOKUP(INDIRECT(ADDRESS(2,COLUMN())),OFFSET($AM$2,0,0,ROW()-1,33),ROW()-1,FALSE))</f>
        <v>3.8618915359999999</v>
      </c>
      <c r="T305">
        <f ca="1">IF(AND(ISNUMBER($T$707),$B$427=1),$T$707,HLOOKUP(INDIRECT(ADDRESS(2,COLUMN())),OFFSET($AM$2,0,0,ROW()-1,33),ROW()-1,FALSE))</f>
        <v>1.081528882</v>
      </c>
      <c r="U305" t="str">
        <f ca="1">IF(AND(ISNUMBER($U$707),$B$427=1),$U$707,HLOOKUP(INDIRECT(ADDRESS(2,COLUMN())),OFFSET($AM$2,0,0,ROW()-1,33),ROW()-1,FALSE))</f>
        <v/>
      </c>
      <c r="V305" t="str">
        <f ca="1">IF(AND(ISNUMBER($V$707),$B$427=1),$V$707,HLOOKUP(INDIRECT(ADDRESS(2,COLUMN())),OFFSET($AM$2,0,0,ROW()-1,33),ROW()-1,FALSE))</f>
        <v/>
      </c>
      <c r="W305" t="str">
        <f ca="1">IF(AND(ISNUMBER($W$707),$B$427=1),$W$707,HLOOKUP(INDIRECT(ADDRESS(2,COLUMN())),OFFSET($AM$2,0,0,ROW()-1,33),ROW()-1,FALSE))</f>
        <v/>
      </c>
      <c r="X305" t="str">
        <f ca="1">IF(AND(ISNUMBER($X$707),$B$427=1),$X$707,HLOOKUP(INDIRECT(ADDRESS(2,COLUMN())),OFFSET($AM$2,0,0,ROW()-1,33),ROW()-1,FALSE))</f>
        <v/>
      </c>
      <c r="Y305" t="str">
        <f ca="1">IF(AND(ISNUMBER($Y$707),$B$427=1),$Y$707,HLOOKUP(INDIRECT(ADDRESS(2,COLUMN())),OFFSET($AM$2,0,0,ROW()-1,33),ROW()-1,FALSE))</f>
        <v/>
      </c>
      <c r="Z305" t="str">
        <f ca="1">IF(AND(ISNUMBER($Z$707),$B$427=1),$Z$707,HLOOKUP(INDIRECT(ADDRESS(2,COLUMN())),OFFSET($AM$2,0,0,ROW()-1,33),ROW()-1,FALSE))</f>
        <v/>
      </c>
      <c r="AA305" t="str">
        <f ca="1">IF(AND(ISNUMBER($AA$707),$B$427=1),$AA$707,HLOOKUP(INDIRECT(ADDRESS(2,COLUMN())),OFFSET($AM$2,0,0,ROW()-1,33),ROW()-1,FALSE))</f>
        <v/>
      </c>
      <c r="AB305" t="str">
        <f ca="1">IF(AND(ISNUMBER($AB$707),$B$427=1),$AB$707,HLOOKUP(INDIRECT(ADDRESS(2,COLUMN())),OFFSET($AM$2,0,0,ROW()-1,33),ROW()-1,FALSE))</f>
        <v/>
      </c>
      <c r="AC305" t="str">
        <f ca="1">IF(AND(ISNUMBER($AC$707),$B$427=1),$AC$707,HLOOKUP(INDIRECT(ADDRESS(2,COLUMN())),OFFSET($AM$2,0,0,ROW()-1,33),ROW()-1,FALSE))</f>
        <v/>
      </c>
      <c r="AD305" t="str">
        <f ca="1">IF(AND(ISNUMBER($AD$707),$B$427=1),$AD$707,HLOOKUP(INDIRECT(ADDRESS(2,COLUMN())),OFFSET($AM$2,0,0,ROW()-1,33),ROW()-1,FALSE))</f>
        <v/>
      </c>
      <c r="AE305" t="str">
        <f ca="1">IF(AND(ISNUMBER($AE$707),$B$427=1),$AE$707,HLOOKUP(INDIRECT(ADDRESS(2,COLUMN())),OFFSET($AM$2,0,0,ROW()-1,33),ROW()-1,FALSE))</f>
        <v/>
      </c>
      <c r="AF305" t="str">
        <f ca="1">IF(AND(ISNUMBER($AF$707),$B$427=1),$AF$707,HLOOKUP(INDIRECT(ADDRESS(2,COLUMN())),OFFSET($AM$2,0,0,ROW()-1,33),ROW()-1,FALSE))</f>
        <v/>
      </c>
      <c r="AG305" t="str">
        <f ca="1">IF(AND(ISNUMBER($AG$707),$B$427=1),$AG$707,HLOOKUP(INDIRECT(ADDRESS(2,COLUMN())),OFFSET($AM$2,0,0,ROW()-1,33),ROW()-1,FALSE))</f>
        <v/>
      </c>
      <c r="AH305" t="str">
        <f ca="1">IF(AND(ISNUMBER($AH$707),$B$427=1),$AH$707,HLOOKUP(INDIRECT(ADDRESS(2,COLUMN())),OFFSET($AM$2,0,0,ROW()-1,33),ROW()-1,FALSE))</f>
        <v/>
      </c>
      <c r="AI305" t="str">
        <f ca="1">IF(AND(ISNUMBER($AI$707),$B$427=1),$AI$707,HLOOKUP(INDIRECT(ADDRESS(2,COLUMN())),OFFSET($AM$2,0,0,ROW()-1,33),ROW()-1,FALSE))</f>
        <v/>
      </c>
      <c r="AJ305" t="str">
        <f ca="1">IF(AND(ISNUMBER($AJ$707),$B$427=1),$AJ$707,HLOOKUP(INDIRECT(ADDRESS(2,COLUMN())),OFFSET($AM$2,0,0,ROW()-1,33),ROW()-1,FALSE))</f>
        <v/>
      </c>
      <c r="AK305" t="str">
        <f ca="1">IF(AND(ISNUMBER($AK$707),$B$427=1),$AK$707,HLOOKUP(INDIRECT(ADDRESS(2,COLUMN())),OFFSET($AM$2,0,0,ROW()-1,33),ROW()-1,FALSE))</f>
        <v/>
      </c>
      <c r="AL305" t="str">
        <f ca="1">IF(AND(ISNUMBER($AL$707),$B$427=1),$AL$707,HLOOKUP(INDIRECT(ADDRESS(2,COLUMN())),OFFSET($AM$2,0,0,ROW()-1,33),ROW()-1,FALSE))</f>
        <v/>
      </c>
      <c r="AM305">
        <f>19.76167424</f>
        <v>19.761674240000001</v>
      </c>
      <c r="AN305">
        <f>15.86383488</f>
        <v>15.863834880000001</v>
      </c>
      <c r="AO305">
        <f>12.47735244</f>
        <v>12.477352440000001</v>
      </c>
      <c r="AP305">
        <f>12.11347739</f>
        <v>12.11347739</v>
      </c>
      <c r="AQ305">
        <f>16.55648549</f>
        <v>16.55648549</v>
      </c>
      <c r="AR305">
        <f>10.3238718</f>
        <v>10.323871799999999</v>
      </c>
      <c r="AS305">
        <f>8.905618202</f>
        <v>8.9056182019999994</v>
      </c>
      <c r="AT305">
        <f>7.236118348</f>
        <v>7.2361183479999998</v>
      </c>
      <c r="AU305">
        <f>6.227663896</f>
        <v>6.2276638960000001</v>
      </c>
      <c r="AV305">
        <f>4.005894764</f>
        <v>4.0058947639999998</v>
      </c>
      <c r="AW305">
        <f>4.277573999</f>
        <v>4.2775739990000003</v>
      </c>
      <c r="AX305">
        <f>2.199441025</f>
        <v>2.199441025</v>
      </c>
      <c r="AY305">
        <f>4.637062486</f>
        <v>4.6370624859999996</v>
      </c>
      <c r="AZ305">
        <f>3.861891536</f>
        <v>3.8618915359999999</v>
      </c>
      <c r="BA305">
        <f>1.081528882</f>
        <v>1.081528882</v>
      </c>
      <c r="BB305" t="str">
        <f>""</f>
        <v/>
      </c>
      <c r="BC305" t="str">
        <f>""</f>
        <v/>
      </c>
      <c r="BD305" t="str">
        <f>""</f>
        <v/>
      </c>
      <c r="BE305" t="str">
        <f>""</f>
        <v/>
      </c>
      <c r="BF305" t="str">
        <f>""</f>
        <v/>
      </c>
      <c r="BG305" t="str">
        <f>""</f>
        <v/>
      </c>
      <c r="BH305" t="str">
        <f>""</f>
        <v/>
      </c>
      <c r="BI305" t="str">
        <f>""</f>
        <v/>
      </c>
      <c r="BJ305" t="str">
        <f>""</f>
        <v/>
      </c>
      <c r="BK305" t="str">
        <f>""</f>
        <v/>
      </c>
      <c r="BL305" t="str">
        <f>""</f>
        <v/>
      </c>
      <c r="BM305" t="str">
        <f>""</f>
        <v/>
      </c>
      <c r="BN305" t="str">
        <f>""</f>
        <v/>
      </c>
      <c r="BO305" t="str">
        <f>""</f>
        <v/>
      </c>
      <c r="BP305" t="str">
        <f>""</f>
        <v/>
      </c>
      <c r="BQ305" t="str">
        <f>""</f>
        <v/>
      </c>
      <c r="BR305" t="str">
        <f>""</f>
        <v/>
      </c>
      <c r="BS305" t="str">
        <f>""</f>
        <v/>
      </c>
    </row>
    <row r="306" spans="1:71" x14ac:dyDescent="0.25">
      <c r="A306" t="str">
        <f>"        Zions Bancorp NA"</f>
        <v xml:space="preserve">        Zions Bancorp NA</v>
      </c>
      <c r="B306" t="str">
        <f>"ZION US Equity"</f>
        <v>ZION US Equity</v>
      </c>
      <c r="C306" t="str">
        <f t="shared" si="39"/>
        <v>F0123</v>
      </c>
      <c r="D306" t="str">
        <f t="shared" si="40"/>
        <v>FED_FINL_SRVC_LNS_%_TOT_LNS_LEAS</v>
      </c>
      <c r="E306" t="str">
        <f t="shared" si="41"/>
        <v>Dynamic</v>
      </c>
      <c r="F306" t="str">
        <f ca="1">IF(AND(ISNUMBER($F$708),$B$427=1),$F$708,HLOOKUP(INDIRECT(ADDRESS(2,COLUMN())),OFFSET($AM$2,0,0,ROW()-1,33),ROW()-1,FALSE))</f>
        <v/>
      </c>
      <c r="G306" t="str">
        <f ca="1">IF(AND(ISNUMBER($G$708),$B$427=1),$G$708,HLOOKUP(INDIRECT(ADDRESS(2,COLUMN())),OFFSET($AM$2,0,0,ROW()-1,33),ROW()-1,FALSE))</f>
        <v/>
      </c>
      <c r="H306" t="str">
        <f ca="1">IF(AND(ISNUMBER($H$708),$B$427=1),$H$708,HLOOKUP(INDIRECT(ADDRESS(2,COLUMN())),OFFSET($AM$2,0,0,ROW()-1,33),ROW()-1,FALSE))</f>
        <v/>
      </c>
      <c r="I306" t="str">
        <f ca="1">IF(AND(ISNUMBER($I$708),$B$427=1),$I$708,HLOOKUP(INDIRECT(ADDRESS(2,COLUMN())),OFFSET($AM$2,0,0,ROW()-1,33),ROW()-1,FALSE))</f>
        <v/>
      </c>
      <c r="J306" t="str">
        <f ca="1">IF(AND(ISNUMBER($J$708),$B$427=1),$J$708,HLOOKUP(INDIRECT(ADDRESS(2,COLUMN())),OFFSET($AM$2,0,0,ROW()-1,33),ROW()-1,FALSE))</f>
        <v/>
      </c>
      <c r="K306" t="str">
        <f ca="1">IF(AND(ISNUMBER($K$708),$B$427=1),$K$708,HLOOKUP(INDIRECT(ADDRESS(2,COLUMN())),OFFSET($AM$2,0,0,ROW()-1,33),ROW()-1,FALSE))</f>
        <v/>
      </c>
      <c r="L306" t="str">
        <f ca="1">IF(AND(ISNUMBER($L$708),$B$427=1),$L$708,HLOOKUP(INDIRECT(ADDRESS(2,COLUMN())),OFFSET($AM$2,0,0,ROW()-1,33),ROW()-1,FALSE))</f>
        <v/>
      </c>
      <c r="M306" t="str">
        <f ca="1">IF(AND(ISNUMBER($M$708),$B$427=1),$M$708,HLOOKUP(INDIRECT(ADDRESS(2,COLUMN())),OFFSET($AM$2,0,0,ROW()-1,33),ROW()-1,FALSE))</f>
        <v/>
      </c>
      <c r="N306" t="str">
        <f ca="1">IF(AND(ISNUMBER($N$708),$B$427=1),$N$708,HLOOKUP(INDIRECT(ADDRESS(2,COLUMN())),OFFSET($AM$2,0,0,ROW()-1,33),ROW()-1,FALSE))</f>
        <v/>
      </c>
      <c r="O306" t="str">
        <f ca="1">IF(AND(ISNUMBER($O$708),$B$427=1),$O$708,HLOOKUP(INDIRECT(ADDRESS(2,COLUMN())),OFFSET($AM$2,0,0,ROW()-1,33),ROW()-1,FALSE))</f>
        <v/>
      </c>
      <c r="P306" t="str">
        <f ca="1">IF(AND(ISNUMBER($P$708),$B$427=1),$P$708,HLOOKUP(INDIRECT(ADDRESS(2,COLUMN())),OFFSET($AM$2,0,0,ROW()-1,33),ROW()-1,FALSE))</f>
        <v/>
      </c>
      <c r="Q306" t="str">
        <f ca="1">IF(AND(ISNUMBER($Q$708),$B$427=1),$Q$708,HLOOKUP(INDIRECT(ADDRESS(2,COLUMN())),OFFSET($AM$2,0,0,ROW()-1,33),ROW()-1,FALSE))</f>
        <v/>
      </c>
      <c r="R306" t="str">
        <f ca="1">IF(AND(ISNUMBER($R$708),$B$427=1),$R$708,HLOOKUP(INDIRECT(ADDRESS(2,COLUMN())),OFFSET($AM$2,0,0,ROW()-1,33),ROW()-1,FALSE))</f>
        <v/>
      </c>
      <c r="S306" t="str">
        <f ca="1">IF(AND(ISNUMBER($S$708),$B$427=1),$S$708,HLOOKUP(INDIRECT(ADDRESS(2,COLUMN())),OFFSET($AM$2,0,0,ROW()-1,33),ROW()-1,FALSE))</f>
        <v/>
      </c>
      <c r="T306" t="str">
        <f ca="1">IF(AND(ISNUMBER($T$708),$B$427=1),$T$708,HLOOKUP(INDIRECT(ADDRESS(2,COLUMN())),OFFSET($AM$2,0,0,ROW()-1,33),ROW()-1,FALSE))</f>
        <v/>
      </c>
      <c r="U306" t="str">
        <f ca="1">IF(AND(ISNUMBER($U$708),$B$427=1),$U$708,HLOOKUP(INDIRECT(ADDRESS(2,COLUMN())),OFFSET($AM$2,0,0,ROW()-1,33),ROW()-1,FALSE))</f>
        <v/>
      </c>
      <c r="V306" t="str">
        <f ca="1">IF(AND(ISNUMBER($V$708),$B$427=1),$V$708,HLOOKUP(INDIRECT(ADDRESS(2,COLUMN())),OFFSET($AM$2,0,0,ROW()-1,33),ROW()-1,FALSE))</f>
        <v/>
      </c>
      <c r="W306" t="str">
        <f ca="1">IF(AND(ISNUMBER($W$708),$B$427=1),$W$708,HLOOKUP(INDIRECT(ADDRESS(2,COLUMN())),OFFSET($AM$2,0,0,ROW()-1,33),ROW()-1,FALSE))</f>
        <v/>
      </c>
      <c r="X306" t="str">
        <f ca="1">IF(AND(ISNUMBER($X$708),$B$427=1),$X$708,HLOOKUP(INDIRECT(ADDRESS(2,COLUMN())),OFFSET($AM$2,0,0,ROW()-1,33),ROW()-1,FALSE))</f>
        <v/>
      </c>
      <c r="Y306" t="str">
        <f ca="1">IF(AND(ISNUMBER($Y$708),$B$427=1),$Y$708,HLOOKUP(INDIRECT(ADDRESS(2,COLUMN())),OFFSET($AM$2,0,0,ROW()-1,33),ROW()-1,FALSE))</f>
        <v/>
      </c>
      <c r="Z306" t="str">
        <f ca="1">IF(AND(ISNUMBER($Z$708),$B$427=1),$Z$708,HLOOKUP(INDIRECT(ADDRESS(2,COLUMN())),OFFSET($AM$2,0,0,ROW()-1,33),ROW()-1,FALSE))</f>
        <v/>
      </c>
      <c r="AA306" t="str">
        <f ca="1">IF(AND(ISNUMBER($AA$708),$B$427=1),$AA$708,HLOOKUP(INDIRECT(ADDRESS(2,COLUMN())),OFFSET($AM$2,0,0,ROW()-1,33),ROW()-1,FALSE))</f>
        <v/>
      </c>
      <c r="AB306" t="str">
        <f ca="1">IF(AND(ISNUMBER($AB$708),$B$427=1),$AB$708,HLOOKUP(INDIRECT(ADDRESS(2,COLUMN())),OFFSET($AM$2,0,0,ROW()-1,33),ROW()-1,FALSE))</f>
        <v/>
      </c>
      <c r="AC306" t="str">
        <f ca="1">IF(AND(ISNUMBER($AC$708),$B$427=1),$AC$708,HLOOKUP(INDIRECT(ADDRESS(2,COLUMN())),OFFSET($AM$2,0,0,ROW()-1,33),ROW()-1,FALSE))</f>
        <v/>
      </c>
      <c r="AD306" t="str">
        <f ca="1">IF(AND(ISNUMBER($AD$708),$B$427=1),$AD$708,HLOOKUP(INDIRECT(ADDRESS(2,COLUMN())),OFFSET($AM$2,0,0,ROW()-1,33),ROW()-1,FALSE))</f>
        <v/>
      </c>
      <c r="AE306" t="str">
        <f ca="1">IF(AND(ISNUMBER($AE$708),$B$427=1),$AE$708,HLOOKUP(INDIRECT(ADDRESS(2,COLUMN())),OFFSET($AM$2,0,0,ROW()-1,33),ROW()-1,FALSE))</f>
        <v/>
      </c>
      <c r="AF306" t="str">
        <f ca="1">IF(AND(ISNUMBER($AF$708),$B$427=1),$AF$708,HLOOKUP(INDIRECT(ADDRESS(2,COLUMN())),OFFSET($AM$2,0,0,ROW()-1,33),ROW()-1,FALSE))</f>
        <v/>
      </c>
      <c r="AG306" t="str">
        <f ca="1">IF(AND(ISNUMBER($AG$708),$B$427=1),$AG$708,HLOOKUP(INDIRECT(ADDRESS(2,COLUMN())),OFFSET($AM$2,0,0,ROW()-1,33),ROW()-1,FALSE))</f>
        <v/>
      </c>
      <c r="AH306" t="str">
        <f ca="1">IF(AND(ISNUMBER($AH$708),$B$427=1),$AH$708,HLOOKUP(INDIRECT(ADDRESS(2,COLUMN())),OFFSET($AM$2,0,0,ROW()-1,33),ROW()-1,FALSE))</f>
        <v/>
      </c>
      <c r="AI306" t="str">
        <f ca="1">IF(AND(ISNUMBER($AI$708),$B$427=1),$AI$708,HLOOKUP(INDIRECT(ADDRESS(2,COLUMN())),OFFSET($AM$2,0,0,ROW()-1,33),ROW()-1,FALSE))</f>
        <v/>
      </c>
      <c r="AJ306" t="str">
        <f ca="1">IF(AND(ISNUMBER($AJ$708),$B$427=1),$AJ$708,HLOOKUP(INDIRECT(ADDRESS(2,COLUMN())),OFFSET($AM$2,0,0,ROW()-1,33),ROW()-1,FALSE))</f>
        <v/>
      </c>
      <c r="AK306" t="str">
        <f ca="1">IF(AND(ISNUMBER($AK$708),$B$427=1),$AK$708,HLOOKUP(INDIRECT(ADDRESS(2,COLUMN())),OFFSET($AM$2,0,0,ROW()-1,33),ROW()-1,FALSE))</f>
        <v/>
      </c>
      <c r="AL306" t="str">
        <f ca="1">IF(AND(ISNUMBER($AL$708),$B$427=1),$AL$708,HLOOKUP(INDIRECT(ADDRESS(2,COLUMN())),OFFSET($AM$2,0,0,ROW()-1,33),ROW()-1,FALSE))</f>
        <v/>
      </c>
      <c r="AM306" t="str">
        <f>""</f>
        <v/>
      </c>
      <c r="AN306" t="str">
        <f>""</f>
        <v/>
      </c>
      <c r="AO306" t="str">
        <f>""</f>
        <v/>
      </c>
      <c r="AP306" t="str">
        <f>""</f>
        <v/>
      </c>
      <c r="AQ306" t="str">
        <f>""</f>
        <v/>
      </c>
      <c r="AR306" t="str">
        <f>""</f>
        <v/>
      </c>
      <c r="AS306" t="str">
        <f>""</f>
        <v/>
      </c>
      <c r="AT306" t="str">
        <f>""</f>
        <v/>
      </c>
      <c r="AU306" t="str">
        <f>""</f>
        <v/>
      </c>
      <c r="AV306" t="str">
        <f>""</f>
        <v/>
      </c>
      <c r="AW306" t="str">
        <f>""</f>
        <v/>
      </c>
      <c r="AX306" t="str">
        <f>""</f>
        <v/>
      </c>
      <c r="AY306" t="str">
        <f>""</f>
        <v/>
      </c>
      <c r="AZ306" t="str">
        <f>""</f>
        <v/>
      </c>
      <c r="BA306" t="str">
        <f>""</f>
        <v/>
      </c>
      <c r="BB306" t="str">
        <f>""</f>
        <v/>
      </c>
      <c r="BC306" t="str">
        <f>""</f>
        <v/>
      </c>
      <c r="BD306" t="str">
        <f>""</f>
        <v/>
      </c>
      <c r="BE306" t="str">
        <f>""</f>
        <v/>
      </c>
      <c r="BF306" t="str">
        <f>""</f>
        <v/>
      </c>
      <c r="BG306" t="str">
        <f>""</f>
        <v/>
      </c>
      <c r="BH306" t="str">
        <f>""</f>
        <v/>
      </c>
      <c r="BI306" t="str">
        <f>""</f>
        <v/>
      </c>
      <c r="BJ306" t="str">
        <f>""</f>
        <v/>
      </c>
      <c r="BK306" t="str">
        <f>""</f>
        <v/>
      </c>
      <c r="BL306" t="str">
        <f>""</f>
        <v/>
      </c>
      <c r="BM306" t="str">
        <f>""</f>
        <v/>
      </c>
      <c r="BN306" t="str">
        <f>""</f>
        <v/>
      </c>
      <c r="BO306" t="str">
        <f>""</f>
        <v/>
      </c>
      <c r="BP306" t="str">
        <f>""</f>
        <v/>
      </c>
      <c r="BQ306" t="str">
        <f>""</f>
        <v/>
      </c>
      <c r="BR306" t="str">
        <f>""</f>
        <v/>
      </c>
      <c r="BS306" t="str">
        <f>""</f>
        <v/>
      </c>
    </row>
    <row r="307" spans="1:71" x14ac:dyDescent="0.25">
      <c r="A307" t="str">
        <f>"    Bankers Acceptances: Foreign banks"</f>
        <v xml:space="preserve">    Bankers Acceptances: Foreign banks</v>
      </c>
      <c r="B307" t="str">
        <f>""</f>
        <v/>
      </c>
      <c r="E307" t="str">
        <f>"Median"</f>
        <v>Median</v>
      </c>
      <c r="F307">
        <f ca="1">IF(ISERROR(IF(MEDIAN($F$308:$F$327) = 0, "", MEDIAN($F$308:$F$327))), "", (IF(MEDIAN($F$308:$F$327) = 0, "", MEDIAN($F$308:$F$327))))</f>
        <v>9.8848080000000005E-2</v>
      </c>
      <c r="G307">
        <f ca="1">IF(ISERROR(IF(MEDIAN($G$308:$G$327) = 0, "", MEDIAN($G$308:$G$327))), "", (IF(MEDIAN($G$308:$G$327) = 0, "", MEDIAN($G$308:$G$327))))</f>
        <v>6.0752489999999996E-3</v>
      </c>
      <c r="H307">
        <f ca="1">IF(ISERROR(IF(MEDIAN($H$308:$H$327) = 0, "", MEDIAN($H$308:$H$327))), "", (IF(MEDIAN($H$308:$H$327) = 0, "", MEDIAN($H$308:$H$327))))</f>
        <v>1.7673591999999998E-2</v>
      </c>
      <c r="I307">
        <f ca="1">IF(ISERROR(IF(MEDIAN($I$308:$I$327) = 0, "", MEDIAN($I$308:$I$327))), "", (IF(MEDIAN($I$308:$I$327) = 0, "", MEDIAN($I$308:$I$327))))</f>
        <v>5.3157730000000002E-3</v>
      </c>
      <c r="J307">
        <f ca="1">IF(ISERROR(IF(MEDIAN($J$308:$J$327) = 0, "", MEDIAN($J$308:$J$327))), "", (IF(MEDIAN($J$308:$J$327) = 0, "", MEDIAN($J$308:$J$327))))</f>
        <v>6.4096359999999998E-3</v>
      </c>
      <c r="K307">
        <f ca="1">IF(ISERROR(IF(MEDIAN($K$308:$K$327) = 0, "", MEDIAN($K$308:$K$327))), "", (IF(MEDIAN($K$308:$K$327) = 0, "", MEDIAN($K$308:$K$327))))</f>
        <v>2.299981E-3</v>
      </c>
      <c r="L307" t="str">
        <f ca="1">IF(ISERROR(IF(MEDIAN($L$308:$L$327) = 0, "", MEDIAN($L$308:$L$327))), "", (IF(MEDIAN($L$308:$L$327) = 0, "", MEDIAN($L$308:$L$327))))</f>
        <v/>
      </c>
      <c r="M307">
        <f ca="1">IF(ISERROR(IF(MEDIAN($M$308:$M$327) = 0, "", MEDIAN($M$308:$M$327))), "", (IF(MEDIAN($M$308:$M$327) = 0, "", MEDIAN($M$308:$M$327))))</f>
        <v>2.1169399999999999E-3</v>
      </c>
      <c r="N307">
        <f ca="1">IF(ISERROR(IF(MEDIAN($N$308:$N$327) = 0, "", MEDIAN($N$308:$N$327))), "", (IF(MEDIAN($N$308:$N$327) = 0, "", MEDIAN($N$308:$N$327))))</f>
        <v>3.253134E-3</v>
      </c>
      <c r="O307">
        <f ca="1">IF(ISERROR(IF(MEDIAN($O$308:$O$327) = 0, "", MEDIAN($O$308:$O$327))), "", (IF(MEDIAN($O$308:$O$327) = 0, "", MEDIAN($O$308:$O$327))))</f>
        <v>3.2148005E-2</v>
      </c>
      <c r="P307">
        <f ca="1">IF(ISERROR(IF(MEDIAN($P$308:$P$327) = 0, "", MEDIAN($P$308:$P$327))), "", (IF(MEDIAN($P$308:$P$327) = 0, "", MEDIAN($P$308:$P$327))))</f>
        <v>5.2303835999999999E-2</v>
      </c>
      <c r="Q307">
        <f ca="1">IF(ISERROR(IF(MEDIAN($Q$308:$Q$327) = 0, "", MEDIAN($Q$308:$Q$327))), "", (IF(MEDIAN($Q$308:$Q$327) = 0, "", MEDIAN($Q$308:$Q$327))))</f>
        <v>1.8573002000000002E-2</v>
      </c>
      <c r="R307">
        <f ca="1">IF(ISERROR(IF(MEDIAN($R$308:$R$327) = 0, "", MEDIAN($R$308:$R$327))), "", (IF(MEDIAN($R$308:$R$327) = 0, "", MEDIAN($R$308:$R$327))))</f>
        <v>5.4296489999999999E-3</v>
      </c>
      <c r="S307">
        <f ca="1">IF(ISERROR(IF(MEDIAN($S$308:$S$327) = 0, "", MEDIAN($S$308:$S$327))), "", (IF(MEDIAN($S$308:$S$327) = 0, "", MEDIAN($S$308:$S$327))))</f>
        <v>5.4554355999999998E-2</v>
      </c>
      <c r="T307">
        <f ca="1">IF(ISERROR(IF(MEDIAN($T$308:$T$327) = 0, "", MEDIAN($T$308:$T$327))), "", (IF(MEDIAN($T$308:$T$327) = 0, "", MEDIAN($T$308:$T$327))))</f>
        <v>1.5470027000000001E-2</v>
      </c>
      <c r="U307">
        <f ca="1">IF(ISERROR(IF(MEDIAN($U$308:$U$327) = 0, "", MEDIAN($U$308:$U$327))), "", (IF(MEDIAN($U$308:$U$327) = 0, "", MEDIAN($U$308:$U$327))))</f>
        <v>1.5035560000000001E-3</v>
      </c>
      <c r="V307">
        <f ca="1">IF(ISERROR(IF(MEDIAN($V$308:$V$327) = 0, "", MEDIAN($V$308:$V$327))), "", (IF(MEDIAN($V$308:$V$327) = 0, "", MEDIAN($V$308:$V$327))))</f>
        <v>1.1205768E-2</v>
      </c>
      <c r="W307">
        <f ca="1">IF(ISERROR(IF(MEDIAN($W$308:$W$327) = 0, "", MEDIAN($W$308:$W$327))), "", (IF(MEDIAN($W$308:$W$327) = 0, "", MEDIAN($W$308:$W$327))))</f>
        <v>5.6305399999999999E-3</v>
      </c>
      <c r="X307">
        <f ca="1">IF(ISERROR(IF(MEDIAN($X$308:$X$327) = 0, "", MEDIAN($X$308:$X$327))), "", (IF(MEDIAN($X$308:$X$327) = 0, "", MEDIAN($X$308:$X$327))))</f>
        <v>1.0911745E-2</v>
      </c>
      <c r="Y307">
        <f ca="1">IF(ISERROR(IF(MEDIAN($Y$308:$Y$327) = 0, "", MEDIAN($Y$308:$Y$327))), "", (IF(MEDIAN($Y$308:$Y$327) = 0, "", MEDIAN($Y$308:$Y$327))))</f>
        <v>3.4913549999999998E-3</v>
      </c>
      <c r="Z307">
        <f ca="1">IF(ISERROR(IF(MEDIAN($Z$308:$Z$327) = 0, "", MEDIAN($Z$308:$Z$327))), "", (IF(MEDIAN($Z$308:$Z$327) = 0, "", MEDIAN($Z$308:$Z$327))))</f>
        <v>1.5233029999999999E-3</v>
      </c>
      <c r="AA307">
        <f ca="1">IF(ISERROR(IF(MEDIAN($AA$308:$AA$327) = 0, "", MEDIAN($AA$308:$AA$327))), "", (IF(MEDIAN($AA$308:$AA$327) = 0, "", MEDIAN($AA$308:$AA$327))))</f>
        <v>1.625711E-3</v>
      </c>
      <c r="AB307">
        <f ca="1">IF(ISERROR(IF(MEDIAN($AB$308:$AB$327) = 0, "", MEDIAN($AB$308:$AB$327))), "", (IF(MEDIAN($AB$308:$AB$327) = 0, "", MEDIAN($AB$308:$AB$327))))</f>
        <v>3.9463989999999997E-3</v>
      </c>
      <c r="AC307">
        <f ca="1">IF(ISERROR(IF(MEDIAN($AC$308:$AC$327) = 0, "", MEDIAN($AC$308:$AC$327))), "", (IF(MEDIAN($AC$308:$AC$327) = 0, "", MEDIAN($AC$308:$AC$327))))</f>
        <v>6.2579499999999995E-4</v>
      </c>
      <c r="AD307" t="str">
        <f ca="1">IF(ISERROR(IF(MEDIAN($AD$308:$AD$327) = 0, "", MEDIAN($AD$308:$AD$327))), "", (IF(MEDIAN($AD$308:$AD$327) = 0, "", MEDIAN($AD$308:$AD$327))))</f>
        <v/>
      </c>
      <c r="AE307" t="str">
        <f ca="1">IF(ISERROR(IF(MEDIAN($AE$308:$AE$327) = 0, "", MEDIAN($AE$308:$AE$327))), "", (IF(MEDIAN($AE$308:$AE$327) = 0, "", MEDIAN($AE$308:$AE$327))))</f>
        <v/>
      </c>
      <c r="AF307" t="str">
        <f ca="1">IF(ISERROR(IF(MEDIAN($AF$308:$AF$327) = 0, "", MEDIAN($AF$308:$AF$327))), "", (IF(MEDIAN($AF$308:$AF$327) = 0, "", MEDIAN($AF$308:$AF$327))))</f>
        <v/>
      </c>
      <c r="AG307" t="str">
        <f ca="1">IF(ISERROR(IF(MEDIAN($AG$308:$AG$327) = 0, "", MEDIAN($AG$308:$AG$327))), "", (IF(MEDIAN($AG$308:$AG$327) = 0, "", MEDIAN($AG$308:$AG$327))))</f>
        <v/>
      </c>
      <c r="AH307" t="str">
        <f ca="1">IF(ISERROR(IF(MEDIAN($AH$308:$AH$327) = 0, "", MEDIAN($AH$308:$AH$327))), "", (IF(MEDIAN($AH$308:$AH$327) = 0, "", MEDIAN($AH$308:$AH$327))))</f>
        <v/>
      </c>
      <c r="AI307" t="str">
        <f ca="1">IF(ISERROR(IF(MEDIAN($AI$308:$AI$327) = 0, "", MEDIAN($AI$308:$AI$327))), "", (IF(MEDIAN($AI$308:$AI$327) = 0, "", MEDIAN($AI$308:$AI$327))))</f>
        <v/>
      </c>
      <c r="AJ307" t="str">
        <f ca="1">IF(ISERROR(IF(MEDIAN($AJ$308:$AJ$327) = 0, "", MEDIAN($AJ$308:$AJ$327))), "", (IF(MEDIAN($AJ$308:$AJ$327) = 0, "", MEDIAN($AJ$308:$AJ$327))))</f>
        <v/>
      </c>
      <c r="AK307" t="str">
        <f ca="1">IF(ISERROR(IF(MEDIAN($AK$308:$AK$327) = 0, "", MEDIAN($AK$308:$AK$327))), "", (IF(MEDIAN($AK$308:$AK$327) = 0, "", MEDIAN($AK$308:$AK$327))))</f>
        <v/>
      </c>
      <c r="AL307" t="str">
        <f ca="1">IF(ISERROR(IF(MEDIAN($AL$308:$AL$327) = 0, "", MEDIAN($AL$308:$AL$327))), "", (IF(MEDIAN($AL$308:$AL$327) = 0, "", MEDIAN($AL$308:$AL$327))))</f>
        <v/>
      </c>
      <c r="AM307" t="str">
        <f>""</f>
        <v/>
      </c>
      <c r="AN307">
        <f>0.006075249</f>
        <v>6.0752489999999996E-3</v>
      </c>
      <c r="AO307">
        <f>0.017673592</f>
        <v>1.7673591999999998E-2</v>
      </c>
      <c r="AP307">
        <f>0.005315773</f>
        <v>5.3157730000000002E-3</v>
      </c>
      <c r="AQ307">
        <f>0.006409636</f>
        <v>6.4096359999999998E-3</v>
      </c>
      <c r="AR307">
        <f>0.002299981</f>
        <v>2.299981E-3</v>
      </c>
      <c r="AS307">
        <f>0</f>
        <v>0</v>
      </c>
      <c r="AT307">
        <f>0.00211694</f>
        <v>2.1169399999999999E-3</v>
      </c>
      <c r="AU307">
        <f>0.003253134</f>
        <v>3.253134E-3</v>
      </c>
      <c r="AV307">
        <f>0.032148005</f>
        <v>3.2148005E-2</v>
      </c>
      <c r="AW307">
        <f>0.052303836</f>
        <v>5.2303835999999999E-2</v>
      </c>
      <c r="AX307">
        <f>0.018573002</f>
        <v>1.8573002000000002E-2</v>
      </c>
      <c r="AY307">
        <f>0.005429649</f>
        <v>5.4296489999999999E-3</v>
      </c>
      <c r="AZ307">
        <f>0.054554356</f>
        <v>5.4554355999999998E-2</v>
      </c>
      <c r="BA307">
        <f>0.015470027</f>
        <v>1.5470027000000001E-2</v>
      </c>
      <c r="BB307">
        <f>0.001503556</f>
        <v>1.5035560000000001E-3</v>
      </c>
      <c r="BC307">
        <f>0.011205768</f>
        <v>1.1205768E-2</v>
      </c>
      <c r="BD307">
        <f>0.00563054</f>
        <v>5.6305399999999999E-3</v>
      </c>
      <c r="BE307">
        <f>0.010911745</f>
        <v>1.0911745E-2</v>
      </c>
      <c r="BF307">
        <f>0.003491355</f>
        <v>3.4913549999999998E-3</v>
      </c>
      <c r="BG307">
        <f>0.001523303</f>
        <v>1.5233029999999999E-3</v>
      </c>
      <c r="BH307">
        <f>0.001625711</f>
        <v>1.625711E-3</v>
      </c>
      <c r="BI307">
        <f>0.003946399</f>
        <v>3.9463989999999997E-3</v>
      </c>
      <c r="BJ307">
        <f>0.000625795</f>
        <v>6.2579499999999995E-4</v>
      </c>
      <c r="BK307" t="str">
        <f>""</f>
        <v/>
      </c>
      <c r="BL307" t="str">
        <f>""</f>
        <v/>
      </c>
      <c r="BM307" t="str">
        <f>""</f>
        <v/>
      </c>
      <c r="BN307" t="str">
        <f>""</f>
        <v/>
      </c>
      <c r="BO307" t="str">
        <f>""</f>
        <v/>
      </c>
      <c r="BP307" t="str">
        <f>""</f>
        <v/>
      </c>
      <c r="BQ307" t="str">
        <f>""</f>
        <v/>
      </c>
      <c r="BR307" t="str">
        <f>""</f>
        <v/>
      </c>
      <c r="BS307" t="str">
        <f>""</f>
        <v/>
      </c>
    </row>
    <row r="308" spans="1:71" x14ac:dyDescent="0.25">
      <c r="A308" t="str">
        <f>"        Bank of America Corp"</f>
        <v xml:space="preserve">        Bank of America Corp</v>
      </c>
      <c r="B308" t="str">
        <f>"BAC US Equity"</f>
        <v>BAC US Equity</v>
      </c>
      <c r="C308" t="str">
        <f t="shared" ref="C308:C327" si="42">"F0124"</f>
        <v>F0124</v>
      </c>
      <c r="D308" t="str">
        <f t="shared" ref="D308:D327" si="43">"FED_FOR_BANK_LNS_%_TOT_LNS_LEAS"</f>
        <v>FED_FOR_BANK_LNS_%_TOT_LNS_LEAS</v>
      </c>
      <c r="E308" t="str">
        <f t="shared" ref="E308:E327" si="44">"Dynamic"</f>
        <v>Dynamic</v>
      </c>
      <c r="F308">
        <f ca="1">IF(AND(ISNUMBER($F$709),$B$427=1),$F$709,HLOOKUP(INDIRECT(ADDRESS(2,COLUMN())),OFFSET($AM$2,0,0,ROW()-1,33),ROW()-1,FALSE))</f>
        <v>1.2918582919999999</v>
      </c>
      <c r="G308">
        <f ca="1">IF(AND(ISNUMBER($G$709),$B$427=1),$G$709,HLOOKUP(INDIRECT(ADDRESS(2,COLUMN())),OFFSET($AM$2,0,0,ROW()-1,33),ROW()-1,FALSE))</f>
        <v>1.144396193</v>
      </c>
      <c r="H308">
        <f ca="1">IF(AND(ISNUMBER($H$709),$B$427=1),$H$709,HLOOKUP(INDIRECT(ADDRESS(2,COLUMN())),OFFSET($AM$2,0,0,ROW()-1,33),ROW()-1,FALSE))</f>
        <v>1.0945228570000001</v>
      </c>
      <c r="I308">
        <f ca="1">IF(AND(ISNUMBER($I$709),$B$427=1),$I$709,HLOOKUP(INDIRECT(ADDRESS(2,COLUMN())),OFFSET($AM$2,0,0,ROW()-1,33),ROW()-1,FALSE))</f>
        <v>1.368352695</v>
      </c>
      <c r="J308">
        <f ca="1">IF(AND(ISNUMBER($J$709),$B$427=1),$J$709,HLOOKUP(INDIRECT(ADDRESS(2,COLUMN())),OFFSET($AM$2,0,0,ROW()-1,33),ROW()-1,FALSE))</f>
        <v>1.216740275</v>
      </c>
      <c r="K308">
        <f ca="1">IF(AND(ISNUMBER($K$709),$B$427=1),$K$709,HLOOKUP(INDIRECT(ADDRESS(2,COLUMN())),OFFSET($AM$2,0,0,ROW()-1,33),ROW()-1,FALSE))</f>
        <v>1.886849317</v>
      </c>
      <c r="L308">
        <f ca="1">IF(AND(ISNUMBER($L$709),$B$427=1),$L$709,HLOOKUP(INDIRECT(ADDRESS(2,COLUMN())),OFFSET($AM$2,0,0,ROW()-1,33),ROW()-1,FALSE))</f>
        <v>1.7512597160000001</v>
      </c>
      <c r="M308">
        <f ca="1">IF(AND(ISNUMBER($M$709),$B$427=1),$M$709,HLOOKUP(INDIRECT(ADDRESS(2,COLUMN())),OFFSET($AM$2,0,0,ROW()-1,33),ROW()-1,FALSE))</f>
        <v>2.0962137599999999</v>
      </c>
      <c r="N308">
        <f ca="1">IF(AND(ISNUMBER($N$709),$B$427=1),$N$709,HLOOKUP(INDIRECT(ADDRESS(2,COLUMN())),OFFSET($AM$2,0,0,ROW()-1,33),ROW()-1,FALSE))</f>
        <v>2.0383249870000002</v>
      </c>
      <c r="O308">
        <f ca="1">IF(AND(ISNUMBER($O$709),$B$427=1),$O$709,HLOOKUP(INDIRECT(ADDRESS(2,COLUMN())),OFFSET($AM$2,0,0,ROW()-1,33),ROW()-1,FALSE))</f>
        <v>2.0674474520000001</v>
      </c>
      <c r="P308">
        <f ca="1">IF(AND(ISNUMBER($P$709),$B$427=1),$P$709,HLOOKUP(INDIRECT(ADDRESS(2,COLUMN())),OFFSET($AM$2,0,0,ROW()-1,33),ROW()-1,FALSE))</f>
        <v>1.933070184</v>
      </c>
      <c r="Q308">
        <f ca="1">IF(AND(ISNUMBER($Q$709),$B$427=1),$Q$709,HLOOKUP(INDIRECT(ADDRESS(2,COLUMN())),OFFSET($AM$2,0,0,ROW()-1,33),ROW()-1,FALSE))</f>
        <v>1.8135284270000001</v>
      </c>
      <c r="R308">
        <f ca="1">IF(AND(ISNUMBER($R$709),$B$427=1),$R$709,HLOOKUP(INDIRECT(ADDRESS(2,COLUMN())),OFFSET($AM$2,0,0,ROW()-1,33),ROW()-1,FALSE))</f>
        <v>1.437094833</v>
      </c>
      <c r="S308">
        <f ca="1">IF(AND(ISNUMBER($S$709),$B$427=1),$S$709,HLOOKUP(INDIRECT(ADDRESS(2,COLUMN())),OFFSET($AM$2,0,0,ROW()-1,33),ROW()-1,FALSE))</f>
        <v>1.1732549299999999</v>
      </c>
      <c r="T308">
        <f ca="1">IF(AND(ISNUMBER($T$709),$B$427=1),$T$709,HLOOKUP(INDIRECT(ADDRESS(2,COLUMN())),OFFSET($AM$2,0,0,ROW()-1,33),ROW()-1,FALSE))</f>
        <v>0.69894275100000003</v>
      </c>
      <c r="U308">
        <f ca="1">IF(AND(ISNUMBER($U$709),$B$427=1),$U$709,HLOOKUP(INDIRECT(ADDRESS(2,COLUMN())),OFFSET($AM$2,0,0,ROW()-1,33),ROW()-1,FALSE))</f>
        <v>0.5395027</v>
      </c>
      <c r="V308">
        <f ca="1">IF(AND(ISNUMBER($V$709),$B$427=1),$V$709,HLOOKUP(INDIRECT(ADDRESS(2,COLUMN())),OFFSET($AM$2,0,0,ROW()-1,33),ROW()-1,FALSE))</f>
        <v>0.45220654799999999</v>
      </c>
      <c r="W308">
        <f ca="1">IF(AND(ISNUMBER($W$709),$B$427=1),$W$709,HLOOKUP(INDIRECT(ADDRESS(2,COLUMN())),OFFSET($AM$2,0,0,ROW()-1,33),ROW()-1,FALSE))</f>
        <v>0.51999672500000005</v>
      </c>
      <c r="X308">
        <f ca="1">IF(AND(ISNUMBER($X$709),$B$427=1),$X$709,HLOOKUP(INDIRECT(ADDRESS(2,COLUMN())),OFFSET($AM$2,0,0,ROW()-1,33),ROW()-1,FALSE))</f>
        <v>0.123685591</v>
      </c>
      <c r="Y308">
        <f ca="1">IF(AND(ISNUMBER($Y$709),$B$427=1),$Y$709,HLOOKUP(INDIRECT(ADDRESS(2,COLUMN())),OFFSET($AM$2,0,0,ROW()-1,33),ROW()-1,FALSE))</f>
        <v>0.110370808</v>
      </c>
      <c r="Z308">
        <f ca="1">IF(AND(ISNUMBER($Z$709),$B$427=1),$Z$709,HLOOKUP(INDIRECT(ADDRESS(2,COLUMN())),OFFSET($AM$2,0,0,ROW()-1,33),ROW()-1,FALSE))</f>
        <v>0.20598696699999999</v>
      </c>
      <c r="AA308">
        <f ca="1">IF(AND(ISNUMBER($AA$709),$B$427=1),$AA$709,HLOOKUP(INDIRECT(ADDRESS(2,COLUMN())),OFFSET($AM$2,0,0,ROW()-1,33),ROW()-1,FALSE))</f>
        <v>0.31662578800000002</v>
      </c>
      <c r="AB308">
        <f ca="1">IF(AND(ISNUMBER($AB$709),$B$427=1),$AB$709,HLOOKUP(INDIRECT(ADDRESS(2,COLUMN())),OFFSET($AM$2,0,0,ROW()-1,33),ROW()-1,FALSE))</f>
        <v>0.53395253899999995</v>
      </c>
      <c r="AC308">
        <f ca="1">IF(AND(ISNUMBER($AC$709),$B$427=1),$AC$709,HLOOKUP(INDIRECT(ADDRESS(2,COLUMN())),OFFSET($AM$2,0,0,ROW()-1,33),ROW()-1,FALSE))</f>
        <v>0.77015166000000002</v>
      </c>
      <c r="AD308" t="str">
        <f ca="1">IF(AND(ISNUMBER($AD$709),$B$427=1),$AD$709,HLOOKUP(INDIRECT(ADDRESS(2,COLUMN())),OFFSET($AM$2,0,0,ROW()-1,33),ROW()-1,FALSE))</f>
        <v/>
      </c>
      <c r="AE308" t="str">
        <f ca="1">IF(AND(ISNUMBER($AE$709),$B$427=1),$AE$709,HLOOKUP(INDIRECT(ADDRESS(2,COLUMN())),OFFSET($AM$2,0,0,ROW()-1,33),ROW()-1,FALSE))</f>
        <v/>
      </c>
      <c r="AF308" t="str">
        <f ca="1">IF(AND(ISNUMBER($AF$709),$B$427=1),$AF$709,HLOOKUP(INDIRECT(ADDRESS(2,COLUMN())),OFFSET($AM$2,0,0,ROW()-1,33),ROW()-1,FALSE))</f>
        <v/>
      </c>
      <c r="AG308" t="str">
        <f ca="1">IF(AND(ISNUMBER($AG$709),$B$427=1),$AG$709,HLOOKUP(INDIRECT(ADDRESS(2,COLUMN())),OFFSET($AM$2,0,0,ROW()-1,33),ROW()-1,FALSE))</f>
        <v/>
      </c>
      <c r="AH308" t="str">
        <f ca="1">IF(AND(ISNUMBER($AH$709),$B$427=1),$AH$709,HLOOKUP(INDIRECT(ADDRESS(2,COLUMN())),OFFSET($AM$2,0,0,ROW()-1,33),ROW()-1,FALSE))</f>
        <v/>
      </c>
      <c r="AI308" t="str">
        <f ca="1">IF(AND(ISNUMBER($AI$709),$B$427=1),$AI$709,HLOOKUP(INDIRECT(ADDRESS(2,COLUMN())),OFFSET($AM$2,0,0,ROW()-1,33),ROW()-1,FALSE))</f>
        <v/>
      </c>
      <c r="AJ308" t="str">
        <f ca="1">IF(AND(ISNUMBER($AJ$709),$B$427=1),$AJ$709,HLOOKUP(INDIRECT(ADDRESS(2,COLUMN())),OFFSET($AM$2,0,0,ROW()-1,33),ROW()-1,FALSE))</f>
        <v/>
      </c>
      <c r="AK308" t="str">
        <f ca="1">IF(AND(ISNUMBER($AK$709),$B$427=1),$AK$709,HLOOKUP(INDIRECT(ADDRESS(2,COLUMN())),OFFSET($AM$2,0,0,ROW()-1,33),ROW()-1,FALSE))</f>
        <v/>
      </c>
      <c r="AL308" t="str">
        <f ca="1">IF(AND(ISNUMBER($AL$709),$B$427=1),$AL$709,HLOOKUP(INDIRECT(ADDRESS(2,COLUMN())),OFFSET($AM$2,0,0,ROW()-1,33),ROW()-1,FALSE))</f>
        <v/>
      </c>
      <c r="AM308">
        <f>1.291858292</f>
        <v>1.2918582919999999</v>
      </c>
      <c r="AN308">
        <f>1.144396193</f>
        <v>1.144396193</v>
      </c>
      <c r="AO308">
        <f>1.094522857</f>
        <v>1.0945228570000001</v>
      </c>
      <c r="AP308">
        <f>1.368352695</f>
        <v>1.368352695</v>
      </c>
      <c r="AQ308">
        <f>1.216740275</f>
        <v>1.216740275</v>
      </c>
      <c r="AR308">
        <f>1.886849317</f>
        <v>1.886849317</v>
      </c>
      <c r="AS308">
        <f>1.751259716</f>
        <v>1.7512597160000001</v>
      </c>
      <c r="AT308">
        <f>2.09621376</f>
        <v>2.0962137599999999</v>
      </c>
      <c r="AU308">
        <f>2.038324987</f>
        <v>2.0383249870000002</v>
      </c>
      <c r="AV308">
        <f>2.067447452</f>
        <v>2.0674474520000001</v>
      </c>
      <c r="AW308">
        <f>1.933070184</f>
        <v>1.933070184</v>
      </c>
      <c r="AX308">
        <f>1.813528427</f>
        <v>1.8135284270000001</v>
      </c>
      <c r="AY308">
        <f>1.437094833</f>
        <v>1.437094833</v>
      </c>
      <c r="AZ308">
        <f>1.17325493</f>
        <v>1.1732549299999999</v>
      </c>
      <c r="BA308">
        <f>0.698942751</f>
        <v>0.69894275100000003</v>
      </c>
      <c r="BB308">
        <f>0.5395027</f>
        <v>0.5395027</v>
      </c>
      <c r="BC308">
        <f>0.452206548</f>
        <v>0.45220654799999999</v>
      </c>
      <c r="BD308">
        <f>0.519996725</f>
        <v>0.51999672500000005</v>
      </c>
      <c r="BE308">
        <f>0.123685591</f>
        <v>0.123685591</v>
      </c>
      <c r="BF308">
        <f>0.110370808</f>
        <v>0.110370808</v>
      </c>
      <c r="BG308">
        <f>0.205986967</f>
        <v>0.20598696699999999</v>
      </c>
      <c r="BH308">
        <f>0.316625788</f>
        <v>0.31662578800000002</v>
      </c>
      <c r="BI308">
        <f>0.533952539</f>
        <v>0.53395253899999995</v>
      </c>
      <c r="BJ308">
        <f>0.77015166</f>
        <v>0.77015166000000002</v>
      </c>
      <c r="BK308" t="str">
        <f>""</f>
        <v/>
      </c>
      <c r="BL308" t="str">
        <f>""</f>
        <v/>
      </c>
      <c r="BM308" t="str">
        <f>""</f>
        <v/>
      </c>
      <c r="BN308" t="str">
        <f>""</f>
        <v/>
      </c>
      <c r="BO308" t="str">
        <f>""</f>
        <v/>
      </c>
      <c r="BP308" t="str">
        <f>""</f>
        <v/>
      </c>
      <c r="BQ308" t="str">
        <f>""</f>
        <v/>
      </c>
      <c r="BR308" t="str">
        <f>""</f>
        <v/>
      </c>
      <c r="BS308" t="str">
        <f>""</f>
        <v/>
      </c>
    </row>
    <row r="309" spans="1:71" x14ac:dyDescent="0.25">
      <c r="A309" t="str">
        <f>"        Citigroup Inc"</f>
        <v xml:space="preserve">        Citigroup Inc</v>
      </c>
      <c r="B309" t="str">
        <f>"C US Equity"</f>
        <v>C US Equity</v>
      </c>
      <c r="C309" t="str">
        <f t="shared" si="42"/>
        <v>F0124</v>
      </c>
      <c r="D309" t="str">
        <f t="shared" si="43"/>
        <v>FED_FOR_BANK_LNS_%_TOT_LNS_LEAS</v>
      </c>
      <c r="E309" t="str">
        <f t="shared" si="44"/>
        <v>Dynamic</v>
      </c>
      <c r="F309">
        <f ca="1">IF(AND(ISNUMBER($F$710),$B$427=1),$F$710,HLOOKUP(INDIRECT(ADDRESS(2,COLUMN())),OFFSET($AM$2,0,0,ROW()-1,33),ROW()-1,FALSE))</f>
        <v>1.5525947980000001</v>
      </c>
      <c r="G309">
        <f ca="1">IF(AND(ISNUMBER($G$710),$B$427=1),$G$710,HLOOKUP(INDIRECT(ADDRESS(2,COLUMN())),OFFSET($AM$2,0,0,ROW()-1,33),ROW()-1,FALSE))</f>
        <v>1.693529982</v>
      </c>
      <c r="H309">
        <f ca="1">IF(AND(ISNUMBER($H$710),$B$427=1),$H$710,HLOOKUP(INDIRECT(ADDRESS(2,COLUMN())),OFFSET($AM$2,0,0,ROW()-1,33),ROW()-1,FALSE))</f>
        <v>1.5731976560000001</v>
      </c>
      <c r="I309">
        <f ca="1">IF(AND(ISNUMBER($I$710),$B$427=1),$I$710,HLOOKUP(INDIRECT(ADDRESS(2,COLUMN())),OFFSET($AM$2,0,0,ROW()-1,33),ROW()-1,FALSE))</f>
        <v>1.372757569</v>
      </c>
      <c r="J309">
        <f ca="1">IF(AND(ISNUMBER($J$710),$B$427=1),$J$710,HLOOKUP(INDIRECT(ADDRESS(2,COLUMN())),OFFSET($AM$2,0,0,ROW()-1,33),ROW()-1,FALSE))</f>
        <v>1.635734915</v>
      </c>
      <c r="K309">
        <f ca="1">IF(AND(ISNUMBER($K$710),$B$427=1),$K$710,HLOOKUP(INDIRECT(ADDRESS(2,COLUMN())),OFFSET($AM$2,0,0,ROW()-1,33),ROW()-1,FALSE))</f>
        <v>1.8819829969999999</v>
      </c>
      <c r="L309">
        <f ca="1">IF(AND(ISNUMBER($L$710),$B$427=1),$L$710,HLOOKUP(INDIRECT(ADDRESS(2,COLUMN())),OFFSET($AM$2,0,0,ROW()-1,33),ROW()-1,FALSE))</f>
        <v>2.34673715</v>
      </c>
      <c r="M309">
        <f ca="1">IF(AND(ISNUMBER($M$710),$B$427=1),$M$710,HLOOKUP(INDIRECT(ADDRESS(2,COLUMN())),OFFSET($AM$2,0,0,ROW()-1,33),ROW()-1,FALSE))</f>
        <v>2.7557568890000002</v>
      </c>
      <c r="N309">
        <f ca="1">IF(AND(ISNUMBER($N$710),$B$427=1),$N$710,HLOOKUP(INDIRECT(ADDRESS(2,COLUMN())),OFFSET($AM$2,0,0,ROW()-1,33),ROW()-1,FALSE))</f>
        <v>2.633184253</v>
      </c>
      <c r="O309">
        <f ca="1">IF(AND(ISNUMBER($O$710),$B$427=1),$O$710,HLOOKUP(INDIRECT(ADDRESS(2,COLUMN())),OFFSET($AM$2,0,0,ROW()-1,33),ROW()-1,FALSE))</f>
        <v>3.094960323</v>
      </c>
      <c r="P309">
        <f ca="1">IF(AND(ISNUMBER($P$710),$B$427=1),$P$710,HLOOKUP(INDIRECT(ADDRESS(2,COLUMN())),OFFSET($AM$2,0,0,ROW()-1,33),ROW()-1,FALSE))</f>
        <v>3.4816668810000002</v>
      </c>
      <c r="Q309">
        <f ca="1">IF(AND(ISNUMBER($Q$710),$B$427=1),$Q$710,HLOOKUP(INDIRECT(ADDRESS(2,COLUMN())),OFFSET($AM$2,0,0,ROW()-1,33),ROW()-1,FALSE))</f>
        <v>3.971819166</v>
      </c>
      <c r="R309">
        <f ca="1">IF(AND(ISNUMBER($R$710),$B$427=1),$R$710,HLOOKUP(INDIRECT(ADDRESS(2,COLUMN())),OFFSET($AM$2,0,0,ROW()-1,33),ROW()-1,FALSE))</f>
        <v>3.8397316510000001</v>
      </c>
      <c r="S309">
        <f ca="1">IF(AND(ISNUMBER($S$710),$B$427=1),$S$710,HLOOKUP(INDIRECT(ADDRESS(2,COLUMN())),OFFSET($AM$2,0,0,ROW()-1,33),ROW()-1,FALSE))</f>
        <v>3.7051896850000001</v>
      </c>
      <c r="T309">
        <f ca="1">IF(AND(ISNUMBER($T$710),$B$427=1),$T$710,HLOOKUP(INDIRECT(ADDRESS(2,COLUMN())),OFFSET($AM$2,0,0,ROW()-1,33),ROW()-1,FALSE))</f>
        <v>2.5574456090000002</v>
      </c>
      <c r="U309">
        <f ca="1">IF(AND(ISNUMBER($U$710),$B$427=1),$U$710,HLOOKUP(INDIRECT(ADDRESS(2,COLUMN())),OFFSET($AM$2,0,0,ROW()-1,33),ROW()-1,FALSE))</f>
        <v>1.3603536700000001</v>
      </c>
      <c r="V309">
        <f ca="1">IF(AND(ISNUMBER($V$710),$B$427=1),$V$710,HLOOKUP(INDIRECT(ADDRESS(2,COLUMN())),OFFSET($AM$2,0,0,ROW()-1,33),ROW()-1,FALSE))</f>
        <v>1.0563975779999999</v>
      </c>
      <c r="W309">
        <f ca="1">IF(AND(ISNUMBER($W$710),$B$427=1),$W$710,HLOOKUP(INDIRECT(ADDRESS(2,COLUMN())),OFFSET($AM$2,0,0,ROW()-1,33),ROW()-1,FALSE))</f>
        <v>0.86644333500000004</v>
      </c>
      <c r="X309">
        <f ca="1">IF(AND(ISNUMBER($X$710),$B$427=1),$X$710,HLOOKUP(INDIRECT(ADDRESS(2,COLUMN())),OFFSET($AM$2,0,0,ROW()-1,33),ROW()-1,FALSE))</f>
        <v>1.1447628350000001</v>
      </c>
      <c r="Y309">
        <f ca="1">IF(AND(ISNUMBER($Y$710),$B$427=1),$Y$710,HLOOKUP(INDIRECT(ADDRESS(2,COLUMN())),OFFSET($AM$2,0,0,ROW()-1,33),ROW()-1,FALSE))</f>
        <v>1.1392614830000001</v>
      </c>
      <c r="Z309">
        <f ca="1">IF(AND(ISNUMBER($Z$710),$B$427=1),$Z$710,HLOOKUP(INDIRECT(ADDRESS(2,COLUMN())),OFFSET($AM$2,0,0,ROW()-1,33),ROW()-1,FALSE))</f>
        <v>1.051670195</v>
      </c>
      <c r="AA309">
        <f ca="1">IF(AND(ISNUMBER($AA$710),$B$427=1),$AA$710,HLOOKUP(INDIRECT(ADDRESS(2,COLUMN())),OFFSET($AM$2,0,0,ROW()-1,33),ROW()-1,FALSE))</f>
        <v>1.1838248039999999</v>
      </c>
      <c r="AB309">
        <f ca="1">IF(AND(ISNUMBER($AB$710),$B$427=1),$AB$710,HLOOKUP(INDIRECT(ADDRESS(2,COLUMN())),OFFSET($AM$2,0,0,ROW()-1,33),ROW()-1,FALSE))</f>
        <v>1.2206891099999999</v>
      </c>
      <c r="AC309">
        <f ca="1">IF(AND(ISNUMBER($AC$710),$B$427=1),$AC$710,HLOOKUP(INDIRECT(ADDRESS(2,COLUMN())),OFFSET($AM$2,0,0,ROW()-1,33),ROW()-1,FALSE))</f>
        <v>1.372497452</v>
      </c>
      <c r="AD309" t="str">
        <f ca="1">IF(AND(ISNUMBER($AD$710),$B$427=1),$AD$710,HLOOKUP(INDIRECT(ADDRESS(2,COLUMN())),OFFSET($AM$2,0,0,ROW()-1,33),ROW()-1,FALSE))</f>
        <v/>
      </c>
      <c r="AE309" t="str">
        <f ca="1">IF(AND(ISNUMBER($AE$710),$B$427=1),$AE$710,HLOOKUP(INDIRECT(ADDRESS(2,COLUMN())),OFFSET($AM$2,0,0,ROW()-1,33),ROW()-1,FALSE))</f>
        <v/>
      </c>
      <c r="AF309" t="str">
        <f ca="1">IF(AND(ISNUMBER($AF$710),$B$427=1),$AF$710,HLOOKUP(INDIRECT(ADDRESS(2,COLUMN())),OFFSET($AM$2,0,0,ROW()-1,33),ROW()-1,FALSE))</f>
        <v/>
      </c>
      <c r="AG309" t="str">
        <f ca="1">IF(AND(ISNUMBER($AG$710),$B$427=1),$AG$710,HLOOKUP(INDIRECT(ADDRESS(2,COLUMN())),OFFSET($AM$2,0,0,ROW()-1,33),ROW()-1,FALSE))</f>
        <v/>
      </c>
      <c r="AH309" t="str">
        <f ca="1">IF(AND(ISNUMBER($AH$710),$B$427=1),$AH$710,HLOOKUP(INDIRECT(ADDRESS(2,COLUMN())),OFFSET($AM$2,0,0,ROW()-1,33),ROW()-1,FALSE))</f>
        <v/>
      </c>
      <c r="AI309" t="str">
        <f ca="1">IF(AND(ISNUMBER($AI$710),$B$427=1),$AI$710,HLOOKUP(INDIRECT(ADDRESS(2,COLUMN())),OFFSET($AM$2,0,0,ROW()-1,33),ROW()-1,FALSE))</f>
        <v/>
      </c>
      <c r="AJ309" t="str">
        <f ca="1">IF(AND(ISNUMBER($AJ$710),$B$427=1),$AJ$710,HLOOKUP(INDIRECT(ADDRESS(2,COLUMN())),OFFSET($AM$2,0,0,ROW()-1,33),ROW()-1,FALSE))</f>
        <v/>
      </c>
      <c r="AK309" t="str">
        <f ca="1">IF(AND(ISNUMBER($AK$710),$B$427=1),$AK$710,HLOOKUP(INDIRECT(ADDRESS(2,COLUMN())),OFFSET($AM$2,0,0,ROW()-1,33),ROW()-1,FALSE))</f>
        <v/>
      </c>
      <c r="AL309" t="str">
        <f ca="1">IF(AND(ISNUMBER($AL$710),$B$427=1),$AL$710,HLOOKUP(INDIRECT(ADDRESS(2,COLUMN())),OFFSET($AM$2,0,0,ROW()-1,33),ROW()-1,FALSE))</f>
        <v/>
      </c>
      <c r="AM309">
        <f>1.552594798</f>
        <v>1.5525947980000001</v>
      </c>
      <c r="AN309">
        <f>1.693529982</f>
        <v>1.693529982</v>
      </c>
      <c r="AO309">
        <f>1.573197656</f>
        <v>1.5731976560000001</v>
      </c>
      <c r="AP309">
        <f>1.372757569</f>
        <v>1.372757569</v>
      </c>
      <c r="AQ309">
        <f>1.635734915</f>
        <v>1.635734915</v>
      </c>
      <c r="AR309">
        <f>1.881982997</f>
        <v>1.8819829969999999</v>
      </c>
      <c r="AS309">
        <f>2.34673715</f>
        <v>2.34673715</v>
      </c>
      <c r="AT309">
        <f>2.755756889</f>
        <v>2.7557568890000002</v>
      </c>
      <c r="AU309">
        <f>2.633184253</f>
        <v>2.633184253</v>
      </c>
      <c r="AV309">
        <f>3.094960323</f>
        <v>3.094960323</v>
      </c>
      <c r="AW309">
        <f>3.481666881</f>
        <v>3.4816668810000002</v>
      </c>
      <c r="AX309">
        <f>3.971819166</f>
        <v>3.971819166</v>
      </c>
      <c r="AY309">
        <f>3.839731651</f>
        <v>3.8397316510000001</v>
      </c>
      <c r="AZ309">
        <f>3.705189685</f>
        <v>3.7051896850000001</v>
      </c>
      <c r="BA309">
        <f>2.557445609</f>
        <v>2.5574456090000002</v>
      </c>
      <c r="BB309">
        <f>1.36035367</f>
        <v>1.3603536700000001</v>
      </c>
      <c r="BC309">
        <f>1.056397578</f>
        <v>1.0563975779999999</v>
      </c>
      <c r="BD309">
        <f>0.866443335</f>
        <v>0.86644333500000004</v>
      </c>
      <c r="BE309">
        <f>1.144762835</f>
        <v>1.1447628350000001</v>
      </c>
      <c r="BF309">
        <f>1.139261483</f>
        <v>1.1392614830000001</v>
      </c>
      <c r="BG309">
        <f>1.051670195</f>
        <v>1.051670195</v>
      </c>
      <c r="BH309">
        <f>1.183824804</f>
        <v>1.1838248039999999</v>
      </c>
      <c r="BI309">
        <f>1.22068911</f>
        <v>1.2206891099999999</v>
      </c>
      <c r="BJ309">
        <f>1.372497452</f>
        <v>1.372497452</v>
      </c>
      <c r="BK309" t="str">
        <f>""</f>
        <v/>
      </c>
      <c r="BL309" t="str">
        <f>""</f>
        <v/>
      </c>
      <c r="BM309" t="str">
        <f>""</f>
        <v/>
      </c>
      <c r="BN309" t="str">
        <f>""</f>
        <v/>
      </c>
      <c r="BO309" t="str">
        <f>""</f>
        <v/>
      </c>
      <c r="BP309" t="str">
        <f>""</f>
        <v/>
      </c>
      <c r="BQ309" t="str">
        <f>""</f>
        <v/>
      </c>
      <c r="BR309" t="str">
        <f>""</f>
        <v/>
      </c>
      <c r="BS309" t="str">
        <f>""</f>
        <v/>
      </c>
    </row>
    <row r="310" spans="1:71" x14ac:dyDescent="0.25">
      <c r="A310" t="str">
        <f>"        Citizens Financial Group Inc"</f>
        <v xml:space="preserve">        Citizens Financial Group Inc</v>
      </c>
      <c r="B310" t="str">
        <f>"CFG US Equity"</f>
        <v>CFG US Equity</v>
      </c>
      <c r="C310" t="str">
        <f t="shared" si="42"/>
        <v>F0124</v>
      </c>
      <c r="D310" t="str">
        <f t="shared" si="43"/>
        <v>FED_FOR_BANK_LNS_%_TOT_LNS_LEAS</v>
      </c>
      <c r="E310" t="str">
        <f t="shared" si="44"/>
        <v>Dynamic</v>
      </c>
      <c r="F310">
        <f ca="1">IF(AND(ISNUMBER($F$711),$B$427=1),$F$711,HLOOKUP(INDIRECT(ADDRESS(2,COLUMN())),OFFSET($AM$2,0,0,ROW()-1,33),ROW()-1,FALSE))</f>
        <v>9.4533434999999999E-2</v>
      </c>
      <c r="G310">
        <f ca="1">IF(AND(ISNUMBER($G$711),$B$427=1),$G$711,HLOOKUP(INDIRECT(ADDRESS(2,COLUMN())),OFFSET($AM$2,0,0,ROW()-1,33),ROW()-1,FALSE))</f>
        <v>4.3476005999999998E-2</v>
      </c>
      <c r="H310">
        <f ca="1">IF(AND(ISNUMBER($H$711),$B$427=1),$H$711,HLOOKUP(INDIRECT(ADDRESS(2,COLUMN())),OFFSET($AM$2,0,0,ROW()-1,33),ROW()-1,FALSE))</f>
        <v>6.6229515000000003E-2</v>
      </c>
      <c r="I310">
        <f ca="1">IF(AND(ISNUMBER($I$711),$B$427=1),$I$711,HLOOKUP(INDIRECT(ADDRESS(2,COLUMN())),OFFSET($AM$2,0,0,ROW()-1,33),ROW()-1,FALSE))</f>
        <v>9.4556659000000001E-2</v>
      </c>
      <c r="J310">
        <f ca="1">IF(AND(ISNUMBER($J$711),$B$427=1),$J$711,HLOOKUP(INDIRECT(ADDRESS(2,COLUMN())),OFFSET($AM$2,0,0,ROW()-1,33),ROW()-1,FALSE))</f>
        <v>7.7315004000000007E-2</v>
      </c>
      <c r="K310">
        <f ca="1">IF(AND(ISNUMBER($K$711),$B$427=1),$K$711,HLOOKUP(INDIRECT(ADDRESS(2,COLUMN())),OFFSET($AM$2,0,0,ROW()-1,33),ROW()-1,FALSE))</f>
        <v>0.118740898</v>
      </c>
      <c r="L310">
        <f ca="1">IF(AND(ISNUMBER($L$711),$B$427=1),$L$711,HLOOKUP(INDIRECT(ADDRESS(2,COLUMN())),OFFSET($AM$2,0,0,ROW()-1,33),ROW()-1,FALSE))</f>
        <v>0</v>
      </c>
      <c r="M310">
        <f ca="1">IF(AND(ISNUMBER($M$711),$B$427=1),$M$711,HLOOKUP(INDIRECT(ADDRESS(2,COLUMN())),OFFSET($AM$2,0,0,ROW()-1,33),ROW()-1,FALSE))</f>
        <v>0</v>
      </c>
      <c r="N310">
        <f ca="1">IF(AND(ISNUMBER($N$711),$B$427=1),$N$711,HLOOKUP(INDIRECT(ADDRESS(2,COLUMN())),OFFSET($AM$2,0,0,ROW()-1,33),ROW()-1,FALSE))</f>
        <v>0</v>
      </c>
      <c r="O310">
        <f ca="1">IF(AND(ISNUMBER($O$711),$B$427=1),$O$711,HLOOKUP(INDIRECT(ADDRESS(2,COLUMN())),OFFSET($AM$2,0,0,ROW()-1,33),ROW()-1,FALSE))</f>
        <v>0</v>
      </c>
      <c r="P310">
        <f ca="1">IF(AND(ISNUMBER($P$711),$B$427=1),$P$711,HLOOKUP(INDIRECT(ADDRESS(2,COLUMN())),OFFSET($AM$2,0,0,ROW()-1,33),ROW()-1,FALSE))</f>
        <v>0</v>
      </c>
      <c r="Q310">
        <f ca="1">IF(AND(ISNUMBER($Q$711),$B$427=1),$Q$711,HLOOKUP(INDIRECT(ADDRESS(2,COLUMN())),OFFSET($AM$2,0,0,ROW()-1,33),ROW()-1,FALSE))</f>
        <v>0</v>
      </c>
      <c r="R310">
        <f ca="1">IF(AND(ISNUMBER($R$711),$B$427=1),$R$711,HLOOKUP(INDIRECT(ADDRESS(2,COLUMN())),OFFSET($AM$2,0,0,ROW()-1,33),ROW()-1,FALSE))</f>
        <v>0</v>
      </c>
      <c r="S310">
        <f ca="1">IF(AND(ISNUMBER($S$711),$B$427=1),$S$711,HLOOKUP(INDIRECT(ADDRESS(2,COLUMN())),OFFSET($AM$2,0,0,ROW()-1,33),ROW()-1,FALSE))</f>
        <v>0</v>
      </c>
      <c r="T310">
        <f ca="1">IF(AND(ISNUMBER($T$711),$B$427=1),$T$711,HLOOKUP(INDIRECT(ADDRESS(2,COLUMN())),OFFSET($AM$2,0,0,ROW()-1,33),ROW()-1,FALSE))</f>
        <v>0</v>
      </c>
      <c r="U310">
        <f ca="1">IF(AND(ISNUMBER($U$711),$B$427=1),$U$711,HLOOKUP(INDIRECT(ADDRESS(2,COLUMN())),OFFSET($AM$2,0,0,ROW()-1,33),ROW()-1,FALSE))</f>
        <v>0</v>
      </c>
      <c r="V310">
        <f ca="1">IF(AND(ISNUMBER($V$711),$B$427=1),$V$711,HLOOKUP(INDIRECT(ADDRESS(2,COLUMN())),OFFSET($AM$2,0,0,ROW()-1,33),ROW()-1,FALSE))</f>
        <v>0</v>
      </c>
      <c r="W310">
        <f ca="1">IF(AND(ISNUMBER($W$711),$B$427=1),$W$711,HLOOKUP(INDIRECT(ADDRESS(2,COLUMN())),OFFSET($AM$2,0,0,ROW()-1,33),ROW()-1,FALSE))</f>
        <v>0</v>
      </c>
      <c r="X310">
        <f ca="1">IF(AND(ISNUMBER($X$711),$B$427=1),$X$711,HLOOKUP(INDIRECT(ADDRESS(2,COLUMN())),OFFSET($AM$2,0,0,ROW()-1,33),ROW()-1,FALSE))</f>
        <v>0</v>
      </c>
      <c r="Y310">
        <f ca="1">IF(AND(ISNUMBER($Y$711),$B$427=1),$Y$711,HLOOKUP(INDIRECT(ADDRESS(2,COLUMN())),OFFSET($AM$2,0,0,ROW()-1,33),ROW()-1,FALSE))</f>
        <v>0</v>
      </c>
      <c r="Z310">
        <f ca="1">IF(AND(ISNUMBER($Z$711),$B$427=1),$Z$711,HLOOKUP(INDIRECT(ADDRESS(2,COLUMN())),OFFSET($AM$2,0,0,ROW()-1,33),ROW()-1,FALSE))</f>
        <v>0</v>
      </c>
      <c r="AA310">
        <f ca="1">IF(AND(ISNUMBER($AA$711),$B$427=1),$AA$711,HLOOKUP(INDIRECT(ADDRESS(2,COLUMN())),OFFSET($AM$2,0,0,ROW()-1,33),ROW()-1,FALSE))</f>
        <v>0</v>
      </c>
      <c r="AB310">
        <f ca="1">IF(AND(ISNUMBER($AB$711),$B$427=1),$AB$711,HLOOKUP(INDIRECT(ADDRESS(2,COLUMN())),OFFSET($AM$2,0,0,ROW()-1,33),ROW()-1,FALSE))</f>
        <v>0</v>
      </c>
      <c r="AC310">
        <f ca="1">IF(AND(ISNUMBER($AC$711),$B$427=1),$AC$711,HLOOKUP(INDIRECT(ADDRESS(2,COLUMN())),OFFSET($AM$2,0,0,ROW()-1,33),ROW()-1,FALSE))</f>
        <v>0</v>
      </c>
      <c r="AD310" t="str">
        <f ca="1">IF(AND(ISNUMBER($AD$711),$B$427=1),$AD$711,HLOOKUP(INDIRECT(ADDRESS(2,COLUMN())),OFFSET($AM$2,0,0,ROW()-1,33),ROW()-1,FALSE))</f>
        <v/>
      </c>
      <c r="AE310" t="str">
        <f ca="1">IF(AND(ISNUMBER($AE$711),$B$427=1),$AE$711,HLOOKUP(INDIRECT(ADDRESS(2,COLUMN())),OFFSET($AM$2,0,0,ROW()-1,33),ROW()-1,FALSE))</f>
        <v/>
      </c>
      <c r="AF310" t="str">
        <f ca="1">IF(AND(ISNUMBER($AF$711),$B$427=1),$AF$711,HLOOKUP(INDIRECT(ADDRESS(2,COLUMN())),OFFSET($AM$2,0,0,ROW()-1,33),ROW()-1,FALSE))</f>
        <v/>
      </c>
      <c r="AG310" t="str">
        <f ca="1">IF(AND(ISNUMBER($AG$711),$B$427=1),$AG$711,HLOOKUP(INDIRECT(ADDRESS(2,COLUMN())),OFFSET($AM$2,0,0,ROW()-1,33),ROW()-1,FALSE))</f>
        <v/>
      </c>
      <c r="AH310" t="str">
        <f ca="1">IF(AND(ISNUMBER($AH$711),$B$427=1),$AH$711,HLOOKUP(INDIRECT(ADDRESS(2,COLUMN())),OFFSET($AM$2,0,0,ROW()-1,33),ROW()-1,FALSE))</f>
        <v/>
      </c>
      <c r="AI310" t="str">
        <f ca="1">IF(AND(ISNUMBER($AI$711),$B$427=1),$AI$711,HLOOKUP(INDIRECT(ADDRESS(2,COLUMN())),OFFSET($AM$2,0,0,ROW()-1,33),ROW()-1,FALSE))</f>
        <v/>
      </c>
      <c r="AJ310" t="str">
        <f ca="1">IF(AND(ISNUMBER($AJ$711),$B$427=1),$AJ$711,HLOOKUP(INDIRECT(ADDRESS(2,COLUMN())),OFFSET($AM$2,0,0,ROW()-1,33),ROW()-1,FALSE))</f>
        <v/>
      </c>
      <c r="AK310" t="str">
        <f ca="1">IF(AND(ISNUMBER($AK$711),$B$427=1),$AK$711,HLOOKUP(INDIRECT(ADDRESS(2,COLUMN())),OFFSET($AM$2,0,0,ROW()-1,33),ROW()-1,FALSE))</f>
        <v/>
      </c>
      <c r="AL310" t="str">
        <f ca="1">IF(AND(ISNUMBER($AL$711),$B$427=1),$AL$711,HLOOKUP(INDIRECT(ADDRESS(2,COLUMN())),OFFSET($AM$2,0,0,ROW()-1,33),ROW()-1,FALSE))</f>
        <v/>
      </c>
      <c r="AM310">
        <f>0.094533435</f>
        <v>9.4533434999999999E-2</v>
      </c>
      <c r="AN310">
        <f>0.043476006</f>
        <v>4.3476005999999998E-2</v>
      </c>
      <c r="AO310">
        <f>0.066229515</f>
        <v>6.6229515000000003E-2</v>
      </c>
      <c r="AP310">
        <f>0.094556659</f>
        <v>9.4556659000000001E-2</v>
      </c>
      <c r="AQ310">
        <f>0.077315004</f>
        <v>7.7315004000000007E-2</v>
      </c>
      <c r="AR310">
        <f>0.118740898</f>
        <v>0.118740898</v>
      </c>
      <c r="AS310">
        <f>0</f>
        <v>0</v>
      </c>
      <c r="AT310">
        <f>0</f>
        <v>0</v>
      </c>
      <c r="AU310">
        <f>0</f>
        <v>0</v>
      </c>
      <c r="AV310">
        <f>0</f>
        <v>0</v>
      </c>
      <c r="AW310">
        <f>0</f>
        <v>0</v>
      </c>
      <c r="AX310">
        <f>0</f>
        <v>0</v>
      </c>
      <c r="AY310">
        <f>0</f>
        <v>0</v>
      </c>
      <c r="AZ310">
        <f>0</f>
        <v>0</v>
      </c>
      <c r="BA310">
        <f>0</f>
        <v>0</v>
      </c>
      <c r="BB310">
        <f>0</f>
        <v>0</v>
      </c>
      <c r="BC310">
        <f>0</f>
        <v>0</v>
      </c>
      <c r="BD310">
        <f>0</f>
        <v>0</v>
      </c>
      <c r="BE310">
        <f>0</f>
        <v>0</v>
      </c>
      <c r="BF310">
        <f>0</f>
        <v>0</v>
      </c>
      <c r="BG310">
        <f>0</f>
        <v>0</v>
      </c>
      <c r="BH310">
        <f>0</f>
        <v>0</v>
      </c>
      <c r="BI310">
        <f>0</f>
        <v>0</v>
      </c>
      <c r="BJ310">
        <f>0</f>
        <v>0</v>
      </c>
      <c r="BK310" t="str">
        <f>""</f>
        <v/>
      </c>
      <c r="BL310" t="str">
        <f>""</f>
        <v/>
      </c>
      <c r="BM310" t="str">
        <f>""</f>
        <v/>
      </c>
      <c r="BN310" t="str">
        <f>""</f>
        <v/>
      </c>
      <c r="BO310" t="str">
        <f>""</f>
        <v/>
      </c>
      <c r="BP310" t="str">
        <f>""</f>
        <v/>
      </c>
      <c r="BQ310" t="str">
        <f>""</f>
        <v/>
      </c>
      <c r="BR310" t="str">
        <f>""</f>
        <v/>
      </c>
      <c r="BS310" t="str">
        <f>""</f>
        <v/>
      </c>
    </row>
    <row r="311" spans="1:71" x14ac:dyDescent="0.25">
      <c r="A311" t="str">
        <f>"        Capital One Financial Corp"</f>
        <v xml:space="preserve">        Capital One Financial Corp</v>
      </c>
      <c r="B311" t="str">
        <f>"COF US Equity"</f>
        <v>COF US Equity</v>
      </c>
      <c r="C311" t="str">
        <f t="shared" si="42"/>
        <v>F0124</v>
      </c>
      <c r="D311" t="str">
        <f t="shared" si="43"/>
        <v>FED_FOR_BANK_LNS_%_TOT_LNS_LEAS</v>
      </c>
      <c r="E311" t="str">
        <f t="shared" si="44"/>
        <v>Dynamic</v>
      </c>
      <c r="F311">
        <f ca="1">IF(AND(ISNUMBER($F$712),$B$427=1),$F$712,HLOOKUP(INDIRECT(ADDRESS(2,COLUMN())),OFFSET($AM$2,0,0,ROW()-1,33),ROW()-1,FALSE))</f>
        <v>0</v>
      </c>
      <c r="G311">
        <f ca="1">IF(AND(ISNUMBER($G$712),$B$427=1),$G$712,HLOOKUP(INDIRECT(ADDRESS(2,COLUMN())),OFFSET($AM$2,0,0,ROW()-1,33),ROW()-1,FALSE))</f>
        <v>0</v>
      </c>
      <c r="H311">
        <f ca="1">IF(AND(ISNUMBER($H$712),$B$427=1),$H$712,HLOOKUP(INDIRECT(ADDRESS(2,COLUMN())),OFFSET($AM$2,0,0,ROW()-1,33),ROW()-1,FALSE))</f>
        <v>0</v>
      </c>
      <c r="I311">
        <f ca="1">IF(AND(ISNUMBER($I$712),$B$427=1),$I$712,HLOOKUP(INDIRECT(ADDRESS(2,COLUMN())),OFFSET($AM$2,0,0,ROW()-1,33),ROW()-1,FALSE))</f>
        <v>0</v>
      </c>
      <c r="J311">
        <f ca="1">IF(AND(ISNUMBER($J$712),$B$427=1),$J$712,HLOOKUP(INDIRECT(ADDRESS(2,COLUMN())),OFFSET($AM$2,0,0,ROW()-1,33),ROW()-1,FALSE))</f>
        <v>0</v>
      </c>
      <c r="K311">
        <f ca="1">IF(AND(ISNUMBER($K$712),$B$427=1),$K$712,HLOOKUP(INDIRECT(ADDRESS(2,COLUMN())),OFFSET($AM$2,0,0,ROW()-1,33),ROW()-1,FALSE))</f>
        <v>0</v>
      </c>
      <c r="L311">
        <f ca="1">IF(AND(ISNUMBER($L$712),$B$427=1),$L$712,HLOOKUP(INDIRECT(ADDRESS(2,COLUMN())),OFFSET($AM$2,0,0,ROW()-1,33),ROW()-1,FALSE))</f>
        <v>0</v>
      </c>
      <c r="M311">
        <f ca="1">IF(AND(ISNUMBER($M$712),$B$427=1),$M$712,HLOOKUP(INDIRECT(ADDRESS(2,COLUMN())),OFFSET($AM$2,0,0,ROW()-1,33),ROW()-1,FALSE))</f>
        <v>0</v>
      </c>
      <c r="N311">
        <f ca="1">IF(AND(ISNUMBER($N$712),$B$427=1),$N$712,HLOOKUP(INDIRECT(ADDRESS(2,COLUMN())),OFFSET($AM$2,0,0,ROW()-1,33),ROW()-1,FALSE))</f>
        <v>0</v>
      </c>
      <c r="O311">
        <f ca="1">IF(AND(ISNUMBER($O$712),$B$427=1),$O$712,HLOOKUP(INDIRECT(ADDRESS(2,COLUMN())),OFFSET($AM$2,0,0,ROW()-1,33),ROW()-1,FALSE))</f>
        <v>1.5953307999999999E-2</v>
      </c>
      <c r="P311">
        <f ca="1">IF(AND(ISNUMBER($P$712),$B$427=1),$P$712,HLOOKUP(INDIRECT(ADDRESS(2,COLUMN())),OFFSET($AM$2,0,0,ROW()-1,33),ROW()-1,FALSE))</f>
        <v>0</v>
      </c>
      <c r="Q311">
        <f ca="1">IF(AND(ISNUMBER($Q$712),$B$427=1),$Q$712,HLOOKUP(INDIRECT(ADDRESS(2,COLUMN())),OFFSET($AM$2,0,0,ROW()-1,33),ROW()-1,FALSE))</f>
        <v>0</v>
      </c>
      <c r="R311">
        <f ca="1">IF(AND(ISNUMBER($R$712),$B$427=1),$R$712,HLOOKUP(INDIRECT(ADDRESS(2,COLUMN())),OFFSET($AM$2,0,0,ROW()-1,33),ROW()-1,FALSE))</f>
        <v>0</v>
      </c>
      <c r="S311">
        <f ca="1">IF(AND(ISNUMBER($S$712),$B$427=1),$S$712,HLOOKUP(INDIRECT(ADDRESS(2,COLUMN())),OFFSET($AM$2,0,0,ROW()-1,33),ROW()-1,FALSE))</f>
        <v>0.22416438999999999</v>
      </c>
      <c r="T311">
        <f ca="1">IF(AND(ISNUMBER($T$712),$B$427=1),$T$712,HLOOKUP(INDIRECT(ADDRESS(2,COLUMN())),OFFSET($AM$2,0,0,ROW()-1,33),ROW()-1,FALSE))</f>
        <v>0.29583181800000002</v>
      </c>
      <c r="U311">
        <f ca="1">IF(AND(ISNUMBER($U$712),$B$427=1),$U$712,HLOOKUP(INDIRECT(ADDRESS(2,COLUMN())),OFFSET($AM$2,0,0,ROW()-1,33),ROW()-1,FALSE))</f>
        <v>0.57430105200000003</v>
      </c>
      <c r="V311">
        <f ca="1">IF(AND(ISNUMBER($V$712),$B$427=1),$V$712,HLOOKUP(INDIRECT(ADDRESS(2,COLUMN())),OFFSET($AM$2,0,0,ROW()-1,33),ROW()-1,FALSE))</f>
        <v>0.55856320699999995</v>
      </c>
      <c r="W311">
        <f ca="1">IF(AND(ISNUMBER($W$712),$B$427=1),$W$712,HLOOKUP(INDIRECT(ADDRESS(2,COLUMN())),OFFSET($AM$2,0,0,ROW()-1,33),ROW()-1,FALSE))</f>
        <v>0.76505051599999996</v>
      </c>
      <c r="X311">
        <f ca="1">IF(AND(ISNUMBER($X$712),$B$427=1),$X$712,HLOOKUP(INDIRECT(ADDRESS(2,COLUMN())),OFFSET($AM$2,0,0,ROW()-1,33),ROW()-1,FALSE))</f>
        <v>0.42767205000000003</v>
      </c>
      <c r="Y311">
        <f ca="1">IF(AND(ISNUMBER($Y$712),$B$427=1),$Y$712,HLOOKUP(INDIRECT(ADDRESS(2,COLUMN())),OFFSET($AM$2,0,0,ROW()-1,33),ROW()-1,FALSE))</f>
        <v>0.24748246099999999</v>
      </c>
      <c r="Z311">
        <f ca="1">IF(AND(ISNUMBER($Z$712),$B$427=1),$Z$712,HLOOKUP(INDIRECT(ADDRESS(2,COLUMN())),OFFSET($AM$2,0,0,ROW()-1,33),ROW()-1,FALSE))</f>
        <v>1.337723888</v>
      </c>
      <c r="AA311" t="str">
        <f ca="1">IF(AND(ISNUMBER($AA$712),$B$427=1),$AA$712,HLOOKUP(INDIRECT(ADDRESS(2,COLUMN())),OFFSET($AM$2,0,0,ROW()-1,33),ROW()-1,FALSE))</f>
        <v/>
      </c>
      <c r="AB311" t="str">
        <f ca="1">IF(AND(ISNUMBER($AB$712),$B$427=1),$AB$712,HLOOKUP(INDIRECT(ADDRESS(2,COLUMN())),OFFSET($AM$2,0,0,ROW()-1,33),ROW()-1,FALSE))</f>
        <v/>
      </c>
      <c r="AC311" t="str">
        <f ca="1">IF(AND(ISNUMBER($AC$712),$B$427=1),$AC$712,HLOOKUP(INDIRECT(ADDRESS(2,COLUMN())),OFFSET($AM$2,0,0,ROW()-1,33),ROW()-1,FALSE))</f>
        <v/>
      </c>
      <c r="AD311" t="str">
        <f ca="1">IF(AND(ISNUMBER($AD$712),$B$427=1),$AD$712,HLOOKUP(INDIRECT(ADDRESS(2,COLUMN())),OFFSET($AM$2,0,0,ROW()-1,33),ROW()-1,FALSE))</f>
        <v/>
      </c>
      <c r="AE311" t="str">
        <f ca="1">IF(AND(ISNUMBER($AE$712),$B$427=1),$AE$712,HLOOKUP(INDIRECT(ADDRESS(2,COLUMN())),OFFSET($AM$2,0,0,ROW()-1,33),ROW()-1,FALSE))</f>
        <v/>
      </c>
      <c r="AF311" t="str">
        <f ca="1">IF(AND(ISNUMBER($AF$712),$B$427=1),$AF$712,HLOOKUP(INDIRECT(ADDRESS(2,COLUMN())),OFFSET($AM$2,0,0,ROW()-1,33),ROW()-1,FALSE))</f>
        <v/>
      </c>
      <c r="AG311" t="str">
        <f ca="1">IF(AND(ISNUMBER($AG$712),$B$427=1),$AG$712,HLOOKUP(INDIRECT(ADDRESS(2,COLUMN())),OFFSET($AM$2,0,0,ROW()-1,33),ROW()-1,FALSE))</f>
        <v/>
      </c>
      <c r="AH311" t="str">
        <f ca="1">IF(AND(ISNUMBER($AH$712),$B$427=1),$AH$712,HLOOKUP(INDIRECT(ADDRESS(2,COLUMN())),OFFSET($AM$2,0,0,ROW()-1,33),ROW()-1,FALSE))</f>
        <v/>
      </c>
      <c r="AI311" t="str">
        <f ca="1">IF(AND(ISNUMBER($AI$712),$B$427=1),$AI$712,HLOOKUP(INDIRECT(ADDRESS(2,COLUMN())),OFFSET($AM$2,0,0,ROW()-1,33),ROW()-1,FALSE))</f>
        <v/>
      </c>
      <c r="AJ311" t="str">
        <f ca="1">IF(AND(ISNUMBER($AJ$712),$B$427=1),$AJ$712,HLOOKUP(INDIRECT(ADDRESS(2,COLUMN())),OFFSET($AM$2,0,0,ROW()-1,33),ROW()-1,FALSE))</f>
        <v/>
      </c>
      <c r="AK311" t="str">
        <f ca="1">IF(AND(ISNUMBER($AK$712),$B$427=1),$AK$712,HLOOKUP(INDIRECT(ADDRESS(2,COLUMN())),OFFSET($AM$2,0,0,ROW()-1,33),ROW()-1,FALSE))</f>
        <v/>
      </c>
      <c r="AL311" t="str">
        <f ca="1">IF(AND(ISNUMBER($AL$712),$B$427=1),$AL$712,HLOOKUP(INDIRECT(ADDRESS(2,COLUMN())),OFFSET($AM$2,0,0,ROW()-1,33),ROW()-1,FALSE))</f>
        <v/>
      </c>
      <c r="AM311">
        <f>0</f>
        <v>0</v>
      </c>
      <c r="AN311">
        <f>0</f>
        <v>0</v>
      </c>
      <c r="AO311">
        <f>0</f>
        <v>0</v>
      </c>
      <c r="AP311">
        <f>0</f>
        <v>0</v>
      </c>
      <c r="AQ311">
        <f>0</f>
        <v>0</v>
      </c>
      <c r="AR311">
        <f>0</f>
        <v>0</v>
      </c>
      <c r="AS311">
        <f>0</f>
        <v>0</v>
      </c>
      <c r="AT311">
        <f>0</f>
        <v>0</v>
      </c>
      <c r="AU311">
        <f>0</f>
        <v>0</v>
      </c>
      <c r="AV311">
        <f>0.015953308</f>
        <v>1.5953307999999999E-2</v>
      </c>
      <c r="AW311">
        <f>0</f>
        <v>0</v>
      </c>
      <c r="AX311">
        <f>0</f>
        <v>0</v>
      </c>
      <c r="AY311">
        <f>0</f>
        <v>0</v>
      </c>
      <c r="AZ311">
        <f>0.22416439</f>
        <v>0.22416438999999999</v>
      </c>
      <c r="BA311">
        <f>0.295831818</f>
        <v>0.29583181800000002</v>
      </c>
      <c r="BB311">
        <f>0.574301052</f>
        <v>0.57430105200000003</v>
      </c>
      <c r="BC311">
        <f>0.558563207</f>
        <v>0.55856320699999995</v>
      </c>
      <c r="BD311">
        <f>0.765050516</f>
        <v>0.76505051599999996</v>
      </c>
      <c r="BE311">
        <f>0.42767205</f>
        <v>0.42767205000000003</v>
      </c>
      <c r="BF311">
        <f>0.247482461</f>
        <v>0.24748246099999999</v>
      </c>
      <c r="BG311">
        <f>1.337723888</f>
        <v>1.337723888</v>
      </c>
      <c r="BH311" t="str">
        <f>""</f>
        <v/>
      </c>
      <c r="BI311" t="str">
        <f>""</f>
        <v/>
      </c>
      <c r="BJ311" t="str">
        <f>""</f>
        <v/>
      </c>
      <c r="BK311" t="str">
        <f>""</f>
        <v/>
      </c>
      <c r="BL311" t="str">
        <f>""</f>
        <v/>
      </c>
      <c r="BM311" t="str">
        <f>""</f>
        <v/>
      </c>
      <c r="BN311" t="str">
        <f>""</f>
        <v/>
      </c>
      <c r="BO311" t="str">
        <f>""</f>
        <v/>
      </c>
      <c r="BP311" t="str">
        <f>""</f>
        <v/>
      </c>
      <c r="BQ311" t="str">
        <f>""</f>
        <v/>
      </c>
      <c r="BR311" t="str">
        <f>""</f>
        <v/>
      </c>
      <c r="BS311" t="str">
        <f>""</f>
        <v/>
      </c>
    </row>
    <row r="312" spans="1:71" x14ac:dyDescent="0.25">
      <c r="A312" t="str">
        <f>"        Comerica Inc"</f>
        <v xml:space="preserve">        Comerica Inc</v>
      </c>
      <c r="B312" t="str">
        <f>"CMA US Equity"</f>
        <v>CMA US Equity</v>
      </c>
      <c r="C312" t="str">
        <f t="shared" si="42"/>
        <v>F0124</v>
      </c>
      <c r="D312" t="str">
        <f t="shared" si="43"/>
        <v>FED_FOR_BANK_LNS_%_TOT_LNS_LEAS</v>
      </c>
      <c r="E312" t="str">
        <f t="shared" si="44"/>
        <v>Dynamic</v>
      </c>
      <c r="F312" t="str">
        <f ca="1">IF(AND(ISNUMBER($F$713),$B$427=1),$F$713,HLOOKUP(INDIRECT(ADDRESS(2,COLUMN())),OFFSET($AM$2,0,0,ROW()-1,33),ROW()-1,FALSE))</f>
        <v/>
      </c>
      <c r="G312">
        <f ca="1">IF(AND(ISNUMBER($G$713),$B$427=1),$G$713,HLOOKUP(INDIRECT(ADDRESS(2,COLUMN())),OFFSET($AM$2,0,0,ROW()-1,33),ROW()-1,FALSE))</f>
        <v>0</v>
      </c>
      <c r="H312">
        <f ca="1">IF(AND(ISNUMBER($H$713),$B$427=1),$H$713,HLOOKUP(INDIRECT(ADDRESS(2,COLUMN())),OFFSET($AM$2,0,0,ROW()-1,33),ROW()-1,FALSE))</f>
        <v>0</v>
      </c>
      <c r="I312">
        <f ca="1">IF(AND(ISNUMBER($I$713),$B$427=1),$I$713,HLOOKUP(INDIRECT(ADDRESS(2,COLUMN())),OFFSET($AM$2,0,0,ROW()-1,33),ROW()-1,FALSE))</f>
        <v>0</v>
      </c>
      <c r="J312">
        <f ca="1">IF(AND(ISNUMBER($J$713),$B$427=1),$J$713,HLOOKUP(INDIRECT(ADDRESS(2,COLUMN())),OFFSET($AM$2,0,0,ROW()-1,33),ROW()-1,FALSE))</f>
        <v>0</v>
      </c>
      <c r="K312">
        <f ca="1">IF(AND(ISNUMBER($K$713),$B$427=1),$K$713,HLOOKUP(INDIRECT(ADDRESS(2,COLUMN())),OFFSET($AM$2,0,0,ROW()-1,33),ROW()-1,FALSE))</f>
        <v>0</v>
      </c>
      <c r="L312">
        <f ca="1">IF(AND(ISNUMBER($L$713),$B$427=1),$L$713,HLOOKUP(INDIRECT(ADDRESS(2,COLUMN())),OFFSET($AM$2,0,0,ROW()-1,33),ROW()-1,FALSE))</f>
        <v>0</v>
      </c>
      <c r="M312">
        <f ca="1">IF(AND(ISNUMBER($M$713),$B$427=1),$M$713,HLOOKUP(INDIRECT(ADDRESS(2,COLUMN())),OFFSET($AM$2,0,0,ROW()-1,33),ROW()-1,FALSE))</f>
        <v>8.9820620000000007E-3</v>
      </c>
      <c r="N312">
        <f ca="1">IF(AND(ISNUMBER($N$713),$B$427=1),$N$713,HLOOKUP(INDIRECT(ADDRESS(2,COLUMN())),OFFSET($AM$2,0,0,ROW()-1,33),ROW()-1,FALSE))</f>
        <v>3.253134E-3</v>
      </c>
      <c r="O312">
        <f ca="1">IF(AND(ISNUMBER($O$713),$B$427=1),$O$713,HLOOKUP(INDIRECT(ADDRESS(2,COLUMN())),OFFSET($AM$2,0,0,ROW()-1,33),ROW()-1,FALSE))</f>
        <v>0</v>
      </c>
      <c r="P312">
        <f ca="1">IF(AND(ISNUMBER($P$713),$B$427=1),$P$713,HLOOKUP(INDIRECT(ADDRESS(2,COLUMN())),OFFSET($AM$2,0,0,ROW()-1,33),ROW()-1,FALSE))</f>
        <v>6.2918806999999993E-2</v>
      </c>
      <c r="Q312">
        <f ca="1">IF(AND(ISNUMBER($Q$713),$B$427=1),$Q$713,HLOOKUP(INDIRECT(ADDRESS(2,COLUMN())),OFFSET($AM$2,0,0,ROW()-1,33),ROW()-1,FALSE))</f>
        <v>9.1855019999999999E-3</v>
      </c>
      <c r="R312">
        <f ca="1">IF(AND(ISNUMBER($R$713),$B$427=1),$R$713,HLOOKUP(INDIRECT(ADDRESS(2,COLUMN())),OFFSET($AM$2,0,0,ROW()-1,33),ROW()-1,FALSE))</f>
        <v>3.8660489999999999E-3</v>
      </c>
      <c r="S312">
        <f ca="1">IF(AND(ISNUMBER($S$713),$B$427=1),$S$713,HLOOKUP(INDIRECT(ADDRESS(2,COLUMN())),OFFSET($AM$2,0,0,ROW()-1,33),ROW()-1,FALSE))</f>
        <v>4.0985169000000002E-2</v>
      </c>
      <c r="T312">
        <f ca="1">IF(AND(ISNUMBER($T$713),$B$427=1),$T$713,HLOOKUP(INDIRECT(ADDRESS(2,COLUMN())),OFFSET($AM$2,0,0,ROW()-1,33),ROW()-1,FALSE))</f>
        <v>5.7752102E-2</v>
      </c>
      <c r="U312">
        <f ca="1">IF(AND(ISNUMBER($U$713),$B$427=1),$U$713,HLOOKUP(INDIRECT(ADDRESS(2,COLUMN())),OFFSET($AM$2,0,0,ROW()-1,33),ROW()-1,FALSE))</f>
        <v>1.2348979999999999E-3</v>
      </c>
      <c r="V312">
        <f ca="1">IF(AND(ISNUMBER($V$713),$B$427=1),$V$713,HLOOKUP(INDIRECT(ADDRESS(2,COLUMN())),OFFSET($AM$2,0,0,ROW()-1,33),ROW()-1,FALSE))</f>
        <v>1.4416326E-2</v>
      </c>
      <c r="W312">
        <f ca="1">IF(AND(ISNUMBER($W$713),$B$427=1),$W$713,HLOOKUP(INDIRECT(ADDRESS(2,COLUMN())),OFFSET($AM$2,0,0,ROW()-1,33),ROW()-1,FALSE))</f>
        <v>5.2281306E-2</v>
      </c>
      <c r="X312">
        <f ca="1">IF(AND(ISNUMBER($X$713),$B$427=1),$X$713,HLOOKUP(INDIRECT(ADDRESS(2,COLUMN())),OFFSET($AM$2,0,0,ROW()-1,33),ROW()-1,FALSE))</f>
        <v>9.8208801999999998E-2</v>
      </c>
      <c r="Y312">
        <f ca="1">IF(AND(ISNUMBER($Y$713),$B$427=1),$Y$713,HLOOKUP(INDIRECT(ADDRESS(2,COLUMN())),OFFSET($AM$2,0,0,ROW()-1,33),ROW()-1,FALSE))</f>
        <v>0.10536728400000001</v>
      </c>
      <c r="Z312">
        <f ca="1">IF(AND(ISNUMBER($Z$713),$B$427=1),$Z$713,HLOOKUP(INDIRECT(ADDRESS(2,COLUMN())),OFFSET($AM$2,0,0,ROW()-1,33),ROW()-1,FALSE))</f>
        <v>2.6633384999999999E-2</v>
      </c>
      <c r="AA312">
        <f ca="1">IF(AND(ISNUMBER($AA$713),$B$427=1),$AA$713,HLOOKUP(INDIRECT(ADDRESS(2,COLUMN())),OFFSET($AM$2,0,0,ROW()-1,33),ROW()-1,FALSE))</f>
        <v>0.109991509</v>
      </c>
      <c r="AB312">
        <f ca="1">IF(AND(ISNUMBER($AB$713),$B$427=1),$AB$713,HLOOKUP(INDIRECT(ADDRESS(2,COLUMN())),OFFSET($AM$2,0,0,ROW()-1,33),ROW()-1,FALSE))</f>
        <v>0.47115985999999999</v>
      </c>
      <c r="AC312">
        <f ca="1">IF(AND(ISNUMBER($AC$713),$B$427=1),$AC$713,HLOOKUP(INDIRECT(ADDRESS(2,COLUMN())),OFFSET($AM$2,0,0,ROW()-1,33),ROW()-1,FALSE))</f>
        <v>1.030877869</v>
      </c>
      <c r="AD312" t="str">
        <f ca="1">IF(AND(ISNUMBER($AD$713),$B$427=1),$AD$713,HLOOKUP(INDIRECT(ADDRESS(2,COLUMN())),OFFSET($AM$2,0,0,ROW()-1,33),ROW()-1,FALSE))</f>
        <v/>
      </c>
      <c r="AE312" t="str">
        <f ca="1">IF(AND(ISNUMBER($AE$713),$B$427=1),$AE$713,HLOOKUP(INDIRECT(ADDRESS(2,COLUMN())),OFFSET($AM$2,0,0,ROW()-1,33),ROW()-1,FALSE))</f>
        <v/>
      </c>
      <c r="AF312" t="str">
        <f ca="1">IF(AND(ISNUMBER($AF$713),$B$427=1),$AF$713,HLOOKUP(INDIRECT(ADDRESS(2,COLUMN())),OFFSET($AM$2,0,0,ROW()-1,33),ROW()-1,FALSE))</f>
        <v/>
      </c>
      <c r="AG312" t="str">
        <f ca="1">IF(AND(ISNUMBER($AG$713),$B$427=1),$AG$713,HLOOKUP(INDIRECT(ADDRESS(2,COLUMN())),OFFSET($AM$2,0,0,ROW()-1,33),ROW()-1,FALSE))</f>
        <v/>
      </c>
      <c r="AH312" t="str">
        <f ca="1">IF(AND(ISNUMBER($AH$713),$B$427=1),$AH$713,HLOOKUP(INDIRECT(ADDRESS(2,COLUMN())),OFFSET($AM$2,0,0,ROW()-1,33),ROW()-1,FALSE))</f>
        <v/>
      </c>
      <c r="AI312" t="str">
        <f ca="1">IF(AND(ISNUMBER($AI$713),$B$427=1),$AI$713,HLOOKUP(INDIRECT(ADDRESS(2,COLUMN())),OFFSET($AM$2,0,0,ROW()-1,33),ROW()-1,FALSE))</f>
        <v/>
      </c>
      <c r="AJ312" t="str">
        <f ca="1">IF(AND(ISNUMBER($AJ$713),$B$427=1),$AJ$713,HLOOKUP(INDIRECT(ADDRESS(2,COLUMN())),OFFSET($AM$2,0,0,ROW()-1,33),ROW()-1,FALSE))</f>
        <v/>
      </c>
      <c r="AK312" t="str">
        <f ca="1">IF(AND(ISNUMBER($AK$713),$B$427=1),$AK$713,HLOOKUP(INDIRECT(ADDRESS(2,COLUMN())),OFFSET($AM$2,0,0,ROW()-1,33),ROW()-1,FALSE))</f>
        <v/>
      </c>
      <c r="AL312" t="str">
        <f ca="1">IF(AND(ISNUMBER($AL$713),$B$427=1),$AL$713,HLOOKUP(INDIRECT(ADDRESS(2,COLUMN())),OFFSET($AM$2,0,0,ROW()-1,33),ROW()-1,FALSE))</f>
        <v/>
      </c>
      <c r="AM312" t="str">
        <f>""</f>
        <v/>
      </c>
      <c r="AN312">
        <f>0</f>
        <v>0</v>
      </c>
      <c r="AO312">
        <f>0</f>
        <v>0</v>
      </c>
      <c r="AP312">
        <f>0</f>
        <v>0</v>
      </c>
      <c r="AQ312">
        <f>0</f>
        <v>0</v>
      </c>
      <c r="AR312">
        <f>0</f>
        <v>0</v>
      </c>
      <c r="AS312">
        <f>0</f>
        <v>0</v>
      </c>
      <c r="AT312">
        <f>0.008982062</f>
        <v>8.9820620000000007E-3</v>
      </c>
      <c r="AU312">
        <f>0.003253134</f>
        <v>3.253134E-3</v>
      </c>
      <c r="AV312">
        <f>0</f>
        <v>0</v>
      </c>
      <c r="AW312">
        <f>0.062918807</f>
        <v>6.2918806999999993E-2</v>
      </c>
      <c r="AX312">
        <f>0.009185502</f>
        <v>9.1855019999999999E-3</v>
      </c>
      <c r="AY312">
        <f>0.003866049</f>
        <v>3.8660489999999999E-3</v>
      </c>
      <c r="AZ312">
        <f>0.040985169</f>
        <v>4.0985169000000002E-2</v>
      </c>
      <c r="BA312">
        <f>0.057752102</f>
        <v>5.7752102E-2</v>
      </c>
      <c r="BB312">
        <f>0.001234898</f>
        <v>1.2348979999999999E-3</v>
      </c>
      <c r="BC312">
        <f>0.014416326</f>
        <v>1.4416326E-2</v>
      </c>
      <c r="BD312">
        <f>0.052281306</f>
        <v>5.2281306E-2</v>
      </c>
      <c r="BE312">
        <f>0.098208802</f>
        <v>9.8208801999999998E-2</v>
      </c>
      <c r="BF312">
        <f>0.105367284</f>
        <v>0.10536728400000001</v>
      </c>
      <c r="BG312">
        <f>0.026633385</f>
        <v>2.6633384999999999E-2</v>
      </c>
      <c r="BH312">
        <f>0.109991509</f>
        <v>0.109991509</v>
      </c>
      <c r="BI312">
        <f>0.47115986</f>
        <v>0.47115985999999999</v>
      </c>
      <c r="BJ312">
        <f>1.030877869</f>
        <v>1.030877869</v>
      </c>
      <c r="BK312" t="str">
        <f>""</f>
        <v/>
      </c>
      <c r="BL312" t="str">
        <f>""</f>
        <v/>
      </c>
      <c r="BM312" t="str">
        <f>""</f>
        <v/>
      </c>
      <c r="BN312" t="str">
        <f>""</f>
        <v/>
      </c>
      <c r="BO312" t="str">
        <f>""</f>
        <v/>
      </c>
      <c r="BP312" t="str">
        <f>""</f>
        <v/>
      </c>
      <c r="BQ312" t="str">
        <f>""</f>
        <v/>
      </c>
      <c r="BR312" t="str">
        <f>""</f>
        <v/>
      </c>
      <c r="BS312" t="str">
        <f>""</f>
        <v/>
      </c>
    </row>
    <row r="313" spans="1:71" x14ac:dyDescent="0.25">
      <c r="A313" t="str">
        <f>"        East West Bancorp Inc"</f>
        <v xml:space="preserve">        East West Bancorp Inc</v>
      </c>
      <c r="B313" t="str">
        <f>"EWBC US Equity"</f>
        <v>EWBC US Equity</v>
      </c>
      <c r="C313" t="str">
        <f t="shared" si="42"/>
        <v>F0124</v>
      </c>
      <c r="D313" t="str">
        <f t="shared" si="43"/>
        <v>FED_FOR_BANK_LNS_%_TOT_LNS_LEAS</v>
      </c>
      <c r="E313" t="str">
        <f t="shared" si="44"/>
        <v>Dynamic</v>
      </c>
      <c r="F313" t="str">
        <f ca="1">IF(AND(ISNUMBER($F$714),$B$427=1),$F$714,HLOOKUP(INDIRECT(ADDRESS(2,COLUMN())),OFFSET($AM$2,0,0,ROW()-1,33),ROW()-1,FALSE))</f>
        <v/>
      </c>
      <c r="G313">
        <f ca="1">IF(AND(ISNUMBER($G$714),$B$427=1),$G$714,HLOOKUP(INDIRECT(ADDRESS(2,COLUMN())),OFFSET($AM$2,0,0,ROW()-1,33),ROW()-1,FALSE))</f>
        <v>5.6221978999999998E-2</v>
      </c>
      <c r="H313">
        <f ca="1">IF(AND(ISNUMBER($H$714),$B$427=1),$H$714,HLOOKUP(INDIRECT(ADDRESS(2,COLUMN())),OFFSET($AM$2,0,0,ROW()-1,33),ROW()-1,FALSE))</f>
        <v>0.213639519</v>
      </c>
      <c r="I313">
        <f ca="1">IF(AND(ISNUMBER($I$714),$B$427=1),$I$714,HLOOKUP(INDIRECT(ADDRESS(2,COLUMN())),OFFSET($AM$2,0,0,ROW()-1,33),ROW()-1,FALSE))</f>
        <v>0.317323197</v>
      </c>
      <c r="J313">
        <f ca="1">IF(AND(ISNUMBER($J$714),$B$427=1),$J$714,HLOOKUP(INDIRECT(ADDRESS(2,COLUMN())),OFFSET($AM$2,0,0,ROW()-1,33),ROW()-1,FALSE))</f>
        <v>0.53456794200000002</v>
      </c>
      <c r="K313">
        <f ca="1">IF(AND(ISNUMBER($K$714),$B$427=1),$K$714,HLOOKUP(INDIRECT(ADDRESS(2,COLUMN())),OFFSET($AM$2,0,0,ROW()-1,33),ROW()-1,FALSE))</f>
        <v>0.53503592499999997</v>
      </c>
      <c r="L313">
        <f ca="1">IF(AND(ISNUMBER($L$714),$B$427=1),$L$714,HLOOKUP(INDIRECT(ADDRESS(2,COLUMN())),OFFSET($AM$2,0,0,ROW()-1,33),ROW()-1,FALSE))</f>
        <v>1.0086652899999999</v>
      </c>
      <c r="M313">
        <f ca="1">IF(AND(ISNUMBER($M$714),$B$427=1),$M$714,HLOOKUP(INDIRECT(ADDRESS(2,COLUMN())),OFFSET($AM$2,0,0,ROW()-1,33),ROW()-1,FALSE))</f>
        <v>0.91234395199999996</v>
      </c>
      <c r="N313">
        <f ca="1">IF(AND(ISNUMBER($N$714),$B$427=1),$N$714,HLOOKUP(INDIRECT(ADDRESS(2,COLUMN())),OFFSET($AM$2,0,0,ROW()-1,33),ROW()-1,FALSE))</f>
        <v>1.277915747</v>
      </c>
      <c r="O313">
        <f ca="1">IF(AND(ISNUMBER($O$714),$B$427=1),$O$714,HLOOKUP(INDIRECT(ADDRESS(2,COLUMN())),OFFSET($AM$2,0,0,ROW()-1,33),ROW()-1,FALSE))</f>
        <v>0.48976407700000002</v>
      </c>
      <c r="P313">
        <f ca="1">IF(AND(ISNUMBER($P$714),$B$427=1),$P$714,HLOOKUP(INDIRECT(ADDRESS(2,COLUMN())),OFFSET($AM$2,0,0,ROW()-1,33),ROW()-1,FALSE))</f>
        <v>0.380406621</v>
      </c>
      <c r="Q313">
        <f ca="1">IF(AND(ISNUMBER($Q$714),$B$427=1),$Q$714,HLOOKUP(INDIRECT(ADDRESS(2,COLUMN())),OFFSET($AM$2,0,0,ROW()-1,33),ROW()-1,FALSE))</f>
        <v>0.43228500399999997</v>
      </c>
      <c r="R313">
        <f ca="1">IF(AND(ISNUMBER($R$714),$B$427=1),$R$714,HLOOKUP(INDIRECT(ADDRESS(2,COLUMN())),OFFSET($AM$2,0,0,ROW()-1,33),ROW()-1,FALSE))</f>
        <v>0.27494706499999999</v>
      </c>
      <c r="S313">
        <f ca="1">IF(AND(ISNUMBER($S$714),$B$427=1),$S$714,HLOOKUP(INDIRECT(ADDRESS(2,COLUMN())),OFFSET($AM$2,0,0,ROW()-1,33),ROW()-1,FALSE))</f>
        <v>3.0061637079999999</v>
      </c>
      <c r="T313">
        <f ca="1">IF(AND(ISNUMBER($T$714),$B$427=1),$T$714,HLOOKUP(INDIRECT(ADDRESS(2,COLUMN())),OFFSET($AM$2,0,0,ROW()-1,33),ROW()-1,FALSE))</f>
        <v>0</v>
      </c>
      <c r="U313">
        <f ca="1">IF(AND(ISNUMBER($U$714),$B$427=1),$U$714,HLOOKUP(INDIRECT(ADDRESS(2,COLUMN())),OFFSET($AM$2,0,0,ROW()-1,33),ROW()-1,FALSE))</f>
        <v>0</v>
      </c>
      <c r="V313">
        <f ca="1">IF(AND(ISNUMBER($V$714),$B$427=1),$V$714,HLOOKUP(INDIRECT(ADDRESS(2,COLUMN())),OFFSET($AM$2,0,0,ROW()-1,33),ROW()-1,FALSE))</f>
        <v>0</v>
      </c>
      <c r="W313">
        <f ca="1">IF(AND(ISNUMBER($W$714),$B$427=1),$W$714,HLOOKUP(INDIRECT(ADDRESS(2,COLUMN())),OFFSET($AM$2,0,0,ROW()-1,33),ROW()-1,FALSE))</f>
        <v>0</v>
      </c>
      <c r="X313">
        <f ca="1">IF(AND(ISNUMBER($X$714),$B$427=1),$X$714,HLOOKUP(INDIRECT(ADDRESS(2,COLUMN())),OFFSET($AM$2,0,0,ROW()-1,33),ROW()-1,FALSE))</f>
        <v>0</v>
      </c>
      <c r="Y313">
        <f ca="1">IF(AND(ISNUMBER($Y$714),$B$427=1),$Y$714,HLOOKUP(INDIRECT(ADDRESS(2,COLUMN())),OFFSET($AM$2,0,0,ROW()-1,33),ROW()-1,FALSE))</f>
        <v>0</v>
      </c>
      <c r="Z313">
        <f ca="1">IF(AND(ISNUMBER($Z$714),$B$427=1),$Z$714,HLOOKUP(INDIRECT(ADDRESS(2,COLUMN())),OFFSET($AM$2,0,0,ROW()-1,33),ROW()-1,FALSE))</f>
        <v>0</v>
      </c>
      <c r="AA313">
        <f ca="1">IF(AND(ISNUMBER($AA$714),$B$427=1),$AA$714,HLOOKUP(INDIRECT(ADDRESS(2,COLUMN())),OFFSET($AM$2,0,0,ROW()-1,33),ROW()-1,FALSE))</f>
        <v>0</v>
      </c>
      <c r="AB313">
        <f ca="1">IF(AND(ISNUMBER($AB$714),$B$427=1),$AB$714,HLOOKUP(INDIRECT(ADDRESS(2,COLUMN())),OFFSET($AM$2,0,0,ROW()-1,33),ROW()-1,FALSE))</f>
        <v>0</v>
      </c>
      <c r="AC313">
        <f ca="1">IF(AND(ISNUMBER($AC$714),$B$427=1),$AC$714,HLOOKUP(INDIRECT(ADDRESS(2,COLUMN())),OFFSET($AM$2,0,0,ROW()-1,33),ROW()-1,FALSE))</f>
        <v>0</v>
      </c>
      <c r="AD313" t="str">
        <f ca="1">IF(AND(ISNUMBER($AD$714),$B$427=1),$AD$714,HLOOKUP(INDIRECT(ADDRESS(2,COLUMN())),OFFSET($AM$2,0,0,ROW()-1,33),ROW()-1,FALSE))</f>
        <v/>
      </c>
      <c r="AE313" t="str">
        <f ca="1">IF(AND(ISNUMBER($AE$714),$B$427=1),$AE$714,HLOOKUP(INDIRECT(ADDRESS(2,COLUMN())),OFFSET($AM$2,0,0,ROW()-1,33),ROW()-1,FALSE))</f>
        <v/>
      </c>
      <c r="AF313" t="str">
        <f ca="1">IF(AND(ISNUMBER($AF$714),$B$427=1),$AF$714,HLOOKUP(INDIRECT(ADDRESS(2,COLUMN())),OFFSET($AM$2,0,0,ROW()-1,33),ROW()-1,FALSE))</f>
        <v/>
      </c>
      <c r="AG313" t="str">
        <f ca="1">IF(AND(ISNUMBER($AG$714),$B$427=1),$AG$714,HLOOKUP(INDIRECT(ADDRESS(2,COLUMN())),OFFSET($AM$2,0,0,ROW()-1,33),ROW()-1,FALSE))</f>
        <v/>
      </c>
      <c r="AH313" t="str">
        <f ca="1">IF(AND(ISNUMBER($AH$714),$B$427=1),$AH$714,HLOOKUP(INDIRECT(ADDRESS(2,COLUMN())),OFFSET($AM$2,0,0,ROW()-1,33),ROW()-1,FALSE))</f>
        <v/>
      </c>
      <c r="AI313" t="str">
        <f ca="1">IF(AND(ISNUMBER($AI$714),$B$427=1),$AI$714,HLOOKUP(INDIRECT(ADDRESS(2,COLUMN())),OFFSET($AM$2,0,0,ROW()-1,33),ROW()-1,FALSE))</f>
        <v/>
      </c>
      <c r="AJ313" t="str">
        <f ca="1">IF(AND(ISNUMBER($AJ$714),$B$427=1),$AJ$714,HLOOKUP(INDIRECT(ADDRESS(2,COLUMN())),OFFSET($AM$2,0,0,ROW()-1,33),ROW()-1,FALSE))</f>
        <v/>
      </c>
      <c r="AK313" t="str">
        <f ca="1">IF(AND(ISNUMBER($AK$714),$B$427=1),$AK$714,HLOOKUP(INDIRECT(ADDRESS(2,COLUMN())),OFFSET($AM$2,0,0,ROW()-1,33),ROW()-1,FALSE))</f>
        <v/>
      </c>
      <c r="AL313" t="str">
        <f ca="1">IF(AND(ISNUMBER($AL$714),$B$427=1),$AL$714,HLOOKUP(INDIRECT(ADDRESS(2,COLUMN())),OFFSET($AM$2,0,0,ROW()-1,33),ROW()-1,FALSE))</f>
        <v/>
      </c>
      <c r="AM313" t="str">
        <f>""</f>
        <v/>
      </c>
      <c r="AN313">
        <f>0.056221979</f>
        <v>5.6221978999999998E-2</v>
      </c>
      <c r="AO313">
        <f>0.213639519</f>
        <v>0.213639519</v>
      </c>
      <c r="AP313">
        <f>0.317323197</f>
        <v>0.317323197</v>
      </c>
      <c r="AQ313">
        <f>0.534567942</f>
        <v>0.53456794200000002</v>
      </c>
      <c r="AR313">
        <f>0.535035925</f>
        <v>0.53503592499999997</v>
      </c>
      <c r="AS313">
        <f>1.00866529</f>
        <v>1.0086652899999999</v>
      </c>
      <c r="AT313">
        <f>0.912343952</f>
        <v>0.91234395199999996</v>
      </c>
      <c r="AU313">
        <f>1.277915747</f>
        <v>1.277915747</v>
      </c>
      <c r="AV313">
        <f>0.489764077</f>
        <v>0.48976407700000002</v>
      </c>
      <c r="AW313">
        <f>0.380406621</f>
        <v>0.380406621</v>
      </c>
      <c r="AX313">
        <f>0.432285004</f>
        <v>0.43228500399999997</v>
      </c>
      <c r="AY313">
        <f>0.274947065</f>
        <v>0.27494706499999999</v>
      </c>
      <c r="AZ313">
        <f>3.006163708</f>
        <v>3.0061637079999999</v>
      </c>
      <c r="BA313">
        <f>0</f>
        <v>0</v>
      </c>
      <c r="BB313">
        <f>0</f>
        <v>0</v>
      </c>
      <c r="BC313">
        <f>0</f>
        <v>0</v>
      </c>
      <c r="BD313">
        <f>0</f>
        <v>0</v>
      </c>
      <c r="BE313">
        <f>0</f>
        <v>0</v>
      </c>
      <c r="BF313">
        <f>0</f>
        <v>0</v>
      </c>
      <c r="BG313">
        <f>0</f>
        <v>0</v>
      </c>
      <c r="BH313">
        <f>0</f>
        <v>0</v>
      </c>
      <c r="BI313">
        <f>0</f>
        <v>0</v>
      </c>
      <c r="BJ313">
        <f>0</f>
        <v>0</v>
      </c>
      <c r="BK313" t="str">
        <f>""</f>
        <v/>
      </c>
      <c r="BL313" t="str">
        <f>""</f>
        <v/>
      </c>
      <c r="BM313" t="str">
        <f>""</f>
        <v/>
      </c>
      <c r="BN313" t="str">
        <f>""</f>
        <v/>
      </c>
      <c r="BO313" t="str">
        <f>""</f>
        <v/>
      </c>
      <c r="BP313" t="str">
        <f>""</f>
        <v/>
      </c>
      <c r="BQ313" t="str">
        <f>""</f>
        <v/>
      </c>
      <c r="BR313" t="str">
        <f>""</f>
        <v/>
      </c>
      <c r="BS313" t="str">
        <f>""</f>
        <v/>
      </c>
    </row>
    <row r="314" spans="1:71" x14ac:dyDescent="0.25">
      <c r="A314" t="str">
        <f>"        Fifth Third Bancorp"</f>
        <v xml:space="preserve">        Fifth Third Bancorp</v>
      </c>
      <c r="B314" t="str">
        <f>"FITB US Equity"</f>
        <v>FITB US Equity</v>
      </c>
      <c r="C314" t="str">
        <f t="shared" si="42"/>
        <v>F0124</v>
      </c>
      <c r="D314" t="str">
        <f t="shared" si="43"/>
        <v>FED_FOR_BANK_LNS_%_TOT_LNS_LEAS</v>
      </c>
      <c r="E314" t="str">
        <f t="shared" si="44"/>
        <v>Dynamic</v>
      </c>
      <c r="F314">
        <f ca="1">IF(AND(ISNUMBER($F$715),$B$427=1),$F$715,HLOOKUP(INDIRECT(ADDRESS(2,COLUMN())),OFFSET($AM$2,0,0,ROW()-1,33),ROW()-1,FALSE))</f>
        <v>0.40687198499999999</v>
      </c>
      <c r="G314">
        <f ca="1">IF(AND(ISNUMBER($G$715),$B$427=1),$G$715,HLOOKUP(INDIRECT(ADDRESS(2,COLUMN())),OFFSET($AM$2,0,0,ROW()-1,33),ROW()-1,FALSE))</f>
        <v>8.5025300000000003E-4</v>
      </c>
      <c r="H314">
        <f ca="1">IF(AND(ISNUMBER($H$715),$B$427=1),$H$715,HLOOKUP(INDIRECT(ADDRESS(2,COLUMN())),OFFSET($AM$2,0,0,ROW()-1,33),ROW()-1,FALSE))</f>
        <v>3.8730890000000001E-3</v>
      </c>
      <c r="I314">
        <f ca="1">IF(AND(ISNUMBER($I$715),$B$427=1),$I$715,HLOOKUP(INDIRECT(ADDRESS(2,COLUMN())),OFFSET($AM$2,0,0,ROW()-1,33),ROW()-1,FALSE))</f>
        <v>1.7876649999999999E-3</v>
      </c>
      <c r="J314">
        <f ca="1">IF(AND(ISNUMBER($J$715),$B$427=1),$J$715,HLOOKUP(INDIRECT(ADDRESS(2,COLUMN())),OFFSET($AM$2,0,0,ROW()-1,33),ROW()-1,FALSE))</f>
        <v>4.8615819999999997E-3</v>
      </c>
      <c r="K314">
        <f ca="1">IF(AND(ISNUMBER($K$715),$B$427=1),$K$715,HLOOKUP(INDIRECT(ADDRESS(2,COLUMN())),OFFSET($AM$2,0,0,ROW()-1,33),ROW()-1,FALSE))</f>
        <v>2.299981E-3</v>
      </c>
      <c r="L314">
        <f ca="1">IF(AND(ISNUMBER($L$715),$B$427=1),$L$715,HLOOKUP(INDIRECT(ADDRESS(2,COLUMN())),OFFSET($AM$2,0,0,ROW()-1,33),ROW()-1,FALSE))</f>
        <v>0</v>
      </c>
      <c r="M314">
        <f ca="1">IF(AND(ISNUMBER($M$715),$B$427=1),$M$715,HLOOKUP(INDIRECT(ADDRESS(2,COLUMN())),OFFSET($AM$2,0,0,ROW()-1,33),ROW()-1,FALSE))</f>
        <v>0</v>
      </c>
      <c r="N314">
        <f ca="1">IF(AND(ISNUMBER($N$715),$B$427=1),$N$715,HLOOKUP(INDIRECT(ADDRESS(2,COLUMN())),OFFSET($AM$2,0,0,ROW()-1,33),ROW()-1,FALSE))</f>
        <v>3.9849299999999998E-5</v>
      </c>
      <c r="O314">
        <f ca="1">IF(AND(ISNUMBER($O$715),$B$427=1),$O$715,HLOOKUP(INDIRECT(ADDRESS(2,COLUMN())),OFFSET($AM$2,0,0,ROW()-1,33),ROW()-1,FALSE))</f>
        <v>5.6458333999999999E-2</v>
      </c>
      <c r="P314">
        <f ca="1">IF(AND(ISNUMBER($P$715),$B$427=1),$P$715,HLOOKUP(INDIRECT(ADDRESS(2,COLUMN())),OFFSET($AM$2,0,0,ROW()-1,33),ROW()-1,FALSE))</f>
        <v>0.56015546100000002</v>
      </c>
      <c r="Q314">
        <f ca="1">IF(AND(ISNUMBER($Q$715),$B$427=1),$Q$715,HLOOKUP(INDIRECT(ADDRESS(2,COLUMN())),OFFSET($AM$2,0,0,ROW()-1,33),ROW()-1,FALSE))</f>
        <v>1.3041719519999999</v>
      </c>
      <c r="R314">
        <f ca="1">IF(AND(ISNUMBER($R$715),$B$427=1),$R$715,HLOOKUP(INDIRECT(ADDRESS(2,COLUMN())),OFFSET($AM$2,0,0,ROW()-1,33),ROW()-1,FALSE))</f>
        <v>0.81237983000000002</v>
      </c>
      <c r="S314">
        <f ca="1">IF(AND(ISNUMBER($S$715),$B$427=1),$S$715,HLOOKUP(INDIRECT(ADDRESS(2,COLUMN())),OFFSET($AM$2,0,0,ROW()-1,33),ROW()-1,FALSE))</f>
        <v>0.98852161500000002</v>
      </c>
      <c r="T314">
        <f ca="1">IF(AND(ISNUMBER($T$715),$B$427=1),$T$715,HLOOKUP(INDIRECT(ADDRESS(2,COLUMN())),OFFSET($AM$2,0,0,ROW()-1,33),ROW()-1,FALSE))</f>
        <v>0.52084620599999998</v>
      </c>
      <c r="U314">
        <f ca="1">IF(AND(ISNUMBER($U$715),$B$427=1),$U$715,HLOOKUP(INDIRECT(ADDRESS(2,COLUMN())),OFFSET($AM$2,0,0,ROW()-1,33),ROW()-1,FALSE))</f>
        <v>0.210900106</v>
      </c>
      <c r="V314">
        <f ca="1">IF(AND(ISNUMBER($V$715),$B$427=1),$V$715,HLOOKUP(INDIRECT(ADDRESS(2,COLUMN())),OFFSET($AM$2,0,0,ROW()-1,33),ROW()-1,FALSE))</f>
        <v>5.6365804999999998E-2</v>
      </c>
      <c r="W314">
        <f ca="1">IF(AND(ISNUMBER($W$715),$B$427=1),$W$715,HLOOKUP(INDIRECT(ADDRESS(2,COLUMN())),OFFSET($AM$2,0,0,ROW()-1,33),ROW()-1,FALSE))</f>
        <v>5.1785299999999998E-4</v>
      </c>
      <c r="X314">
        <f ca="1">IF(AND(ISNUMBER($X$715),$B$427=1),$X$715,HLOOKUP(INDIRECT(ADDRESS(2,COLUMN())),OFFSET($AM$2,0,0,ROW()-1,33),ROW()-1,FALSE))</f>
        <v>1.2026179999999999E-3</v>
      </c>
      <c r="Y314">
        <f ca="1">IF(AND(ISNUMBER($Y$715),$B$427=1),$Y$715,HLOOKUP(INDIRECT(ADDRESS(2,COLUMN())),OFFSET($AM$2,0,0,ROW()-1,33),ROW()-1,FALSE))</f>
        <v>8.0023699999999998E-5</v>
      </c>
      <c r="Z314">
        <f ca="1">IF(AND(ISNUMBER($Z$715),$B$427=1),$Z$715,HLOOKUP(INDIRECT(ADDRESS(2,COLUMN())),OFFSET($AM$2,0,0,ROW()-1,33),ROW()-1,FALSE))</f>
        <v>0</v>
      </c>
      <c r="AA314">
        <f ca="1">IF(AND(ISNUMBER($AA$715),$B$427=1),$AA$715,HLOOKUP(INDIRECT(ADDRESS(2,COLUMN())),OFFSET($AM$2,0,0,ROW()-1,33),ROW()-1,FALSE))</f>
        <v>0</v>
      </c>
      <c r="AB314">
        <f ca="1">IF(AND(ISNUMBER($AB$715),$B$427=1),$AB$715,HLOOKUP(INDIRECT(ADDRESS(2,COLUMN())),OFFSET($AM$2,0,0,ROW()-1,33),ROW()-1,FALSE))</f>
        <v>0</v>
      </c>
      <c r="AC314">
        <f ca="1">IF(AND(ISNUMBER($AC$715),$B$427=1),$AC$715,HLOOKUP(INDIRECT(ADDRESS(2,COLUMN())),OFFSET($AM$2,0,0,ROW()-1,33),ROW()-1,FALSE))</f>
        <v>0</v>
      </c>
      <c r="AD314" t="str">
        <f ca="1">IF(AND(ISNUMBER($AD$715),$B$427=1),$AD$715,HLOOKUP(INDIRECT(ADDRESS(2,COLUMN())),OFFSET($AM$2,0,0,ROW()-1,33),ROW()-1,FALSE))</f>
        <v/>
      </c>
      <c r="AE314" t="str">
        <f ca="1">IF(AND(ISNUMBER($AE$715),$B$427=1),$AE$715,HLOOKUP(INDIRECT(ADDRESS(2,COLUMN())),OFFSET($AM$2,0,0,ROW()-1,33),ROW()-1,FALSE))</f>
        <v/>
      </c>
      <c r="AF314" t="str">
        <f ca="1">IF(AND(ISNUMBER($AF$715),$B$427=1),$AF$715,HLOOKUP(INDIRECT(ADDRESS(2,COLUMN())),OFFSET($AM$2,0,0,ROW()-1,33),ROW()-1,FALSE))</f>
        <v/>
      </c>
      <c r="AG314" t="str">
        <f ca="1">IF(AND(ISNUMBER($AG$715),$B$427=1),$AG$715,HLOOKUP(INDIRECT(ADDRESS(2,COLUMN())),OFFSET($AM$2,0,0,ROW()-1,33),ROW()-1,FALSE))</f>
        <v/>
      </c>
      <c r="AH314" t="str">
        <f ca="1">IF(AND(ISNUMBER($AH$715),$B$427=1),$AH$715,HLOOKUP(INDIRECT(ADDRESS(2,COLUMN())),OFFSET($AM$2,0,0,ROW()-1,33),ROW()-1,FALSE))</f>
        <v/>
      </c>
      <c r="AI314" t="str">
        <f ca="1">IF(AND(ISNUMBER($AI$715),$B$427=1),$AI$715,HLOOKUP(INDIRECT(ADDRESS(2,COLUMN())),OFFSET($AM$2,0,0,ROW()-1,33),ROW()-1,FALSE))</f>
        <v/>
      </c>
      <c r="AJ314" t="str">
        <f ca="1">IF(AND(ISNUMBER($AJ$715),$B$427=1),$AJ$715,HLOOKUP(INDIRECT(ADDRESS(2,COLUMN())),OFFSET($AM$2,0,0,ROW()-1,33),ROW()-1,FALSE))</f>
        <v/>
      </c>
      <c r="AK314" t="str">
        <f ca="1">IF(AND(ISNUMBER($AK$715),$B$427=1),$AK$715,HLOOKUP(INDIRECT(ADDRESS(2,COLUMN())),OFFSET($AM$2,0,0,ROW()-1,33),ROW()-1,FALSE))</f>
        <v/>
      </c>
      <c r="AL314" t="str">
        <f ca="1">IF(AND(ISNUMBER($AL$715),$B$427=1),$AL$715,HLOOKUP(INDIRECT(ADDRESS(2,COLUMN())),OFFSET($AM$2,0,0,ROW()-1,33),ROW()-1,FALSE))</f>
        <v/>
      </c>
      <c r="AM314">
        <f>0.406871985</f>
        <v>0.40687198499999999</v>
      </c>
      <c r="AN314">
        <f>0.000850253</f>
        <v>8.5025300000000003E-4</v>
      </c>
      <c r="AO314">
        <f>0.003873089</f>
        <v>3.8730890000000001E-3</v>
      </c>
      <c r="AP314">
        <f>0.001787665</f>
        <v>1.7876649999999999E-3</v>
      </c>
      <c r="AQ314">
        <f>0.004861582</f>
        <v>4.8615819999999997E-3</v>
      </c>
      <c r="AR314">
        <f>0.002299981</f>
        <v>2.299981E-3</v>
      </c>
      <c r="AS314">
        <f>0</f>
        <v>0</v>
      </c>
      <c r="AT314">
        <f>0</f>
        <v>0</v>
      </c>
      <c r="AU314">
        <f>0.0000398493</f>
        <v>3.9849299999999998E-5</v>
      </c>
      <c r="AV314">
        <f>0.056458334</f>
        <v>5.6458333999999999E-2</v>
      </c>
      <c r="AW314">
        <f>0.560155461</f>
        <v>0.56015546100000002</v>
      </c>
      <c r="AX314">
        <f>1.304171952</f>
        <v>1.3041719519999999</v>
      </c>
      <c r="AY314">
        <f>0.81237983</f>
        <v>0.81237983000000002</v>
      </c>
      <c r="AZ314">
        <f>0.988521615</f>
        <v>0.98852161500000002</v>
      </c>
      <c r="BA314">
        <f>0.520846206</f>
        <v>0.52084620599999998</v>
      </c>
      <c r="BB314">
        <f>0.210900106</f>
        <v>0.210900106</v>
      </c>
      <c r="BC314">
        <f>0.056365805</f>
        <v>5.6365804999999998E-2</v>
      </c>
      <c r="BD314">
        <f>0.000517853</f>
        <v>5.1785299999999998E-4</v>
      </c>
      <c r="BE314">
        <f>0.001202618</f>
        <v>1.2026179999999999E-3</v>
      </c>
      <c r="BF314">
        <f>0.0000800237</f>
        <v>8.0023699999999998E-5</v>
      </c>
      <c r="BG314">
        <f>0</f>
        <v>0</v>
      </c>
      <c r="BH314">
        <f>0</f>
        <v>0</v>
      </c>
      <c r="BI314">
        <f>0</f>
        <v>0</v>
      </c>
      <c r="BJ314">
        <f>0</f>
        <v>0</v>
      </c>
      <c r="BK314" t="str">
        <f>""</f>
        <v/>
      </c>
      <c r="BL314" t="str">
        <f>""</f>
        <v/>
      </c>
      <c r="BM314" t="str">
        <f>""</f>
        <v/>
      </c>
      <c r="BN314" t="str">
        <f>""</f>
        <v/>
      </c>
      <c r="BO314" t="str">
        <f>""</f>
        <v/>
      </c>
      <c r="BP314" t="str">
        <f>""</f>
        <v/>
      </c>
      <c r="BQ314" t="str">
        <f>""</f>
        <v/>
      </c>
      <c r="BR314" t="str">
        <f>""</f>
        <v/>
      </c>
      <c r="BS314" t="str">
        <f>""</f>
        <v/>
      </c>
    </row>
    <row r="315" spans="1:71" x14ac:dyDescent="0.25">
      <c r="A315" t="str">
        <f>"        First Citizens BancShares Inc/"</f>
        <v xml:space="preserve">        First Citizens BancShares Inc/</v>
      </c>
      <c r="B315" t="str">
        <f>"FCNCA US Equity"</f>
        <v>FCNCA US Equity</v>
      </c>
      <c r="C315" t="str">
        <f t="shared" si="42"/>
        <v>F0124</v>
      </c>
      <c r="D315" t="str">
        <f t="shared" si="43"/>
        <v>FED_FOR_BANK_LNS_%_TOT_LNS_LEAS</v>
      </c>
      <c r="E315" t="str">
        <f t="shared" si="44"/>
        <v>Dynamic</v>
      </c>
      <c r="F315">
        <f ca="1">IF(AND(ISNUMBER($F$716),$B$427=1),$F$716,HLOOKUP(INDIRECT(ADDRESS(2,COLUMN())),OFFSET($AM$2,0,0,ROW()-1,33),ROW()-1,FALSE))</f>
        <v>0</v>
      </c>
      <c r="G315">
        <f ca="1">IF(AND(ISNUMBER($G$716),$B$427=1),$G$716,HLOOKUP(INDIRECT(ADDRESS(2,COLUMN())),OFFSET($AM$2,0,0,ROW()-1,33),ROW()-1,FALSE))</f>
        <v>1.5820100000000001E-4</v>
      </c>
      <c r="H315">
        <f ca="1">IF(AND(ISNUMBER($H$716),$B$427=1),$H$716,HLOOKUP(INDIRECT(ADDRESS(2,COLUMN())),OFFSET($AM$2,0,0,ROW()-1,33),ROW()-1,FALSE))</f>
        <v>6.4376699999999995E-4</v>
      </c>
      <c r="I315">
        <f ca="1">IF(AND(ISNUMBER($I$716),$B$427=1),$I$716,HLOOKUP(INDIRECT(ADDRESS(2,COLUMN())),OFFSET($AM$2,0,0,ROW()-1,33),ROW()-1,FALSE))</f>
        <v>0</v>
      </c>
      <c r="J315">
        <f ca="1">IF(AND(ISNUMBER($J$716),$B$427=1),$J$716,HLOOKUP(INDIRECT(ADDRESS(2,COLUMN())),OFFSET($AM$2,0,0,ROW()-1,33),ROW()-1,FALSE))</f>
        <v>0</v>
      </c>
      <c r="K315">
        <f ca="1">IF(AND(ISNUMBER($K$716),$B$427=1),$K$716,HLOOKUP(INDIRECT(ADDRESS(2,COLUMN())),OFFSET($AM$2,0,0,ROW()-1,33),ROW()-1,FALSE))</f>
        <v>0</v>
      </c>
      <c r="L315">
        <f ca="1">IF(AND(ISNUMBER($L$716),$B$427=1),$L$716,HLOOKUP(INDIRECT(ADDRESS(2,COLUMN())),OFFSET($AM$2,0,0,ROW()-1,33),ROW()-1,FALSE))</f>
        <v>0</v>
      </c>
      <c r="M315">
        <f ca="1">IF(AND(ISNUMBER($M$716),$B$427=1),$M$716,HLOOKUP(INDIRECT(ADDRESS(2,COLUMN())),OFFSET($AM$2,0,0,ROW()-1,33),ROW()-1,FALSE))</f>
        <v>0</v>
      </c>
      <c r="N315">
        <f ca="1">IF(AND(ISNUMBER($N$716),$B$427=1),$N$716,HLOOKUP(INDIRECT(ADDRESS(2,COLUMN())),OFFSET($AM$2,0,0,ROW()-1,33),ROW()-1,FALSE))</f>
        <v>0</v>
      </c>
      <c r="O315">
        <f ca="1">IF(AND(ISNUMBER($O$716),$B$427=1),$O$716,HLOOKUP(INDIRECT(ADDRESS(2,COLUMN())),OFFSET($AM$2,0,0,ROW()-1,33),ROW()-1,FALSE))</f>
        <v>0</v>
      </c>
      <c r="P315">
        <f ca="1">IF(AND(ISNUMBER($P$716),$B$427=1),$P$716,HLOOKUP(INDIRECT(ADDRESS(2,COLUMN())),OFFSET($AM$2,0,0,ROW()-1,33),ROW()-1,FALSE))</f>
        <v>0</v>
      </c>
      <c r="Q315">
        <f ca="1">IF(AND(ISNUMBER($Q$716),$B$427=1),$Q$716,HLOOKUP(INDIRECT(ADDRESS(2,COLUMN())),OFFSET($AM$2,0,0,ROW()-1,33),ROW()-1,FALSE))</f>
        <v>0</v>
      </c>
      <c r="R315">
        <f ca="1">IF(AND(ISNUMBER($R$716),$B$427=1),$R$716,HLOOKUP(INDIRECT(ADDRESS(2,COLUMN())),OFFSET($AM$2,0,0,ROW()-1,33),ROW()-1,FALSE))</f>
        <v>0</v>
      </c>
      <c r="S315">
        <f ca="1">IF(AND(ISNUMBER($S$716),$B$427=1),$S$716,HLOOKUP(INDIRECT(ADDRESS(2,COLUMN())),OFFSET($AM$2,0,0,ROW()-1,33),ROW()-1,FALSE))</f>
        <v>0</v>
      </c>
      <c r="T315">
        <f ca="1">IF(AND(ISNUMBER($T$716),$B$427=1),$T$716,HLOOKUP(INDIRECT(ADDRESS(2,COLUMN())),OFFSET($AM$2,0,0,ROW()-1,33),ROW()-1,FALSE))</f>
        <v>0</v>
      </c>
      <c r="U315">
        <f ca="1">IF(AND(ISNUMBER($U$716),$B$427=1),$U$716,HLOOKUP(INDIRECT(ADDRESS(2,COLUMN())),OFFSET($AM$2,0,0,ROW()-1,33),ROW()-1,FALSE))</f>
        <v>0</v>
      </c>
      <c r="V315">
        <f ca="1">IF(AND(ISNUMBER($V$716),$B$427=1),$V$716,HLOOKUP(INDIRECT(ADDRESS(2,COLUMN())),OFFSET($AM$2,0,0,ROW()-1,33),ROW()-1,FALSE))</f>
        <v>0</v>
      </c>
      <c r="W315">
        <f ca="1">IF(AND(ISNUMBER($W$716),$B$427=1),$W$716,HLOOKUP(INDIRECT(ADDRESS(2,COLUMN())),OFFSET($AM$2,0,0,ROW()-1,33),ROW()-1,FALSE))</f>
        <v>0</v>
      </c>
      <c r="X315">
        <f ca="1">IF(AND(ISNUMBER($X$716),$B$427=1),$X$716,HLOOKUP(INDIRECT(ADDRESS(2,COLUMN())),OFFSET($AM$2,0,0,ROW()-1,33),ROW()-1,FALSE))</f>
        <v>0</v>
      </c>
      <c r="Y315">
        <f ca="1">IF(AND(ISNUMBER($Y$716),$B$427=1),$Y$716,HLOOKUP(INDIRECT(ADDRESS(2,COLUMN())),OFFSET($AM$2,0,0,ROW()-1,33),ROW()-1,FALSE))</f>
        <v>0</v>
      </c>
      <c r="Z315">
        <f ca="1">IF(AND(ISNUMBER($Z$716),$B$427=1),$Z$716,HLOOKUP(INDIRECT(ADDRESS(2,COLUMN())),OFFSET($AM$2,0,0,ROW()-1,33),ROW()-1,FALSE))</f>
        <v>0</v>
      </c>
      <c r="AA315">
        <f ca="1">IF(AND(ISNUMBER($AA$716),$B$427=1),$AA$716,HLOOKUP(INDIRECT(ADDRESS(2,COLUMN())),OFFSET($AM$2,0,0,ROW()-1,33),ROW()-1,FALSE))</f>
        <v>0</v>
      </c>
      <c r="AB315">
        <f ca="1">IF(AND(ISNUMBER($AB$716),$B$427=1),$AB$716,HLOOKUP(INDIRECT(ADDRESS(2,COLUMN())),OFFSET($AM$2,0,0,ROW()-1,33),ROW()-1,FALSE))</f>
        <v>0</v>
      </c>
      <c r="AC315">
        <f ca="1">IF(AND(ISNUMBER($AC$716),$B$427=1),$AC$716,HLOOKUP(INDIRECT(ADDRESS(2,COLUMN())),OFFSET($AM$2,0,0,ROW()-1,33),ROW()-1,FALSE))</f>
        <v>0</v>
      </c>
      <c r="AD315" t="str">
        <f ca="1">IF(AND(ISNUMBER($AD$716),$B$427=1),$AD$716,HLOOKUP(INDIRECT(ADDRESS(2,COLUMN())),OFFSET($AM$2,0,0,ROW()-1,33),ROW()-1,FALSE))</f>
        <v/>
      </c>
      <c r="AE315" t="str">
        <f ca="1">IF(AND(ISNUMBER($AE$716),$B$427=1),$AE$716,HLOOKUP(INDIRECT(ADDRESS(2,COLUMN())),OFFSET($AM$2,0,0,ROW()-1,33),ROW()-1,FALSE))</f>
        <v/>
      </c>
      <c r="AF315" t="str">
        <f ca="1">IF(AND(ISNUMBER($AF$716),$B$427=1),$AF$716,HLOOKUP(INDIRECT(ADDRESS(2,COLUMN())),OFFSET($AM$2,0,0,ROW()-1,33),ROW()-1,FALSE))</f>
        <v/>
      </c>
      <c r="AG315" t="str">
        <f ca="1">IF(AND(ISNUMBER($AG$716),$B$427=1),$AG$716,HLOOKUP(INDIRECT(ADDRESS(2,COLUMN())),OFFSET($AM$2,0,0,ROW()-1,33),ROW()-1,FALSE))</f>
        <v/>
      </c>
      <c r="AH315" t="str">
        <f ca="1">IF(AND(ISNUMBER($AH$716),$B$427=1),$AH$716,HLOOKUP(INDIRECT(ADDRESS(2,COLUMN())),OFFSET($AM$2,0,0,ROW()-1,33),ROW()-1,FALSE))</f>
        <v/>
      </c>
      <c r="AI315" t="str">
        <f ca="1">IF(AND(ISNUMBER($AI$716),$B$427=1),$AI$716,HLOOKUP(INDIRECT(ADDRESS(2,COLUMN())),OFFSET($AM$2,0,0,ROW()-1,33),ROW()-1,FALSE))</f>
        <v/>
      </c>
      <c r="AJ315" t="str">
        <f ca="1">IF(AND(ISNUMBER($AJ$716),$B$427=1),$AJ$716,HLOOKUP(INDIRECT(ADDRESS(2,COLUMN())),OFFSET($AM$2,0,0,ROW()-1,33),ROW()-1,FALSE))</f>
        <v/>
      </c>
      <c r="AK315" t="str">
        <f ca="1">IF(AND(ISNUMBER($AK$716),$B$427=1),$AK$716,HLOOKUP(INDIRECT(ADDRESS(2,COLUMN())),OFFSET($AM$2,0,0,ROW()-1,33),ROW()-1,FALSE))</f>
        <v/>
      </c>
      <c r="AL315" t="str">
        <f ca="1">IF(AND(ISNUMBER($AL$716),$B$427=1),$AL$716,HLOOKUP(INDIRECT(ADDRESS(2,COLUMN())),OFFSET($AM$2,0,0,ROW()-1,33),ROW()-1,FALSE))</f>
        <v/>
      </c>
      <c r="AM315">
        <f>0</f>
        <v>0</v>
      </c>
      <c r="AN315">
        <f>0.000158201</f>
        <v>1.5820100000000001E-4</v>
      </c>
      <c r="AO315">
        <f>0.000643767</f>
        <v>6.4376699999999995E-4</v>
      </c>
      <c r="AP315">
        <f>0</f>
        <v>0</v>
      </c>
      <c r="AQ315">
        <f>0</f>
        <v>0</v>
      </c>
      <c r="AR315">
        <f>0</f>
        <v>0</v>
      </c>
      <c r="AS315">
        <f>0</f>
        <v>0</v>
      </c>
      <c r="AT315">
        <f>0</f>
        <v>0</v>
      </c>
      <c r="AU315">
        <f>0</f>
        <v>0</v>
      </c>
      <c r="AV315">
        <f>0</f>
        <v>0</v>
      </c>
      <c r="AW315">
        <f>0</f>
        <v>0</v>
      </c>
      <c r="AX315">
        <f>0</f>
        <v>0</v>
      </c>
      <c r="AY315">
        <f>0</f>
        <v>0</v>
      </c>
      <c r="AZ315">
        <f>0</f>
        <v>0</v>
      </c>
      <c r="BA315">
        <f>0</f>
        <v>0</v>
      </c>
      <c r="BB315">
        <f>0</f>
        <v>0</v>
      </c>
      <c r="BC315">
        <f>0</f>
        <v>0</v>
      </c>
      <c r="BD315">
        <f>0</f>
        <v>0</v>
      </c>
      <c r="BE315">
        <f>0</f>
        <v>0</v>
      </c>
      <c r="BF315">
        <f>0</f>
        <v>0</v>
      </c>
      <c r="BG315">
        <f>0</f>
        <v>0</v>
      </c>
      <c r="BH315">
        <f>0</f>
        <v>0</v>
      </c>
      <c r="BI315">
        <f>0</f>
        <v>0</v>
      </c>
      <c r="BJ315">
        <f>0</f>
        <v>0</v>
      </c>
      <c r="BK315" t="str">
        <f>""</f>
        <v/>
      </c>
      <c r="BL315" t="str">
        <f>""</f>
        <v/>
      </c>
      <c r="BM315" t="str">
        <f>""</f>
        <v/>
      </c>
      <c r="BN315" t="str">
        <f>""</f>
        <v/>
      </c>
      <c r="BO315" t="str">
        <f>""</f>
        <v/>
      </c>
      <c r="BP315" t="str">
        <f>""</f>
        <v/>
      </c>
      <c r="BQ315" t="str">
        <f>""</f>
        <v/>
      </c>
      <c r="BR315" t="str">
        <f>""</f>
        <v/>
      </c>
      <c r="BS315" t="str">
        <f>""</f>
        <v/>
      </c>
    </row>
    <row r="316" spans="1:71" x14ac:dyDescent="0.25">
      <c r="A316" t="str">
        <f>"        Flagstar Financial Inc"</f>
        <v xml:space="preserve">        Flagstar Financial Inc</v>
      </c>
      <c r="B316" t="str">
        <f>"FLG US Equity"</f>
        <v>FLG US Equity</v>
      </c>
      <c r="C316" t="str">
        <f t="shared" si="42"/>
        <v>F0124</v>
      </c>
      <c r="D316" t="str">
        <f t="shared" si="43"/>
        <v>FED_FOR_BANK_LNS_%_TOT_LNS_LEAS</v>
      </c>
      <c r="E316" t="str">
        <f t="shared" si="44"/>
        <v>Dynamic</v>
      </c>
      <c r="F316" t="str">
        <f ca="1">IF(AND(ISNUMBER($F$717),$B$427=1),$F$717,HLOOKUP(INDIRECT(ADDRESS(2,COLUMN())),OFFSET($AM$2,0,0,ROW()-1,33),ROW()-1,FALSE))</f>
        <v/>
      </c>
      <c r="G316">
        <f ca="1">IF(AND(ISNUMBER($G$717),$B$427=1),$G$717,HLOOKUP(INDIRECT(ADDRESS(2,COLUMN())),OFFSET($AM$2,0,0,ROW()-1,33),ROW()-1,FALSE))</f>
        <v>0</v>
      </c>
      <c r="H316">
        <f ca="1">IF(AND(ISNUMBER($H$717),$B$427=1),$H$717,HLOOKUP(INDIRECT(ADDRESS(2,COLUMN())),OFFSET($AM$2,0,0,ROW()-1,33),ROW()-1,FALSE))</f>
        <v>0</v>
      </c>
      <c r="I316">
        <f ca="1">IF(AND(ISNUMBER($I$717),$B$427=1),$I$717,HLOOKUP(INDIRECT(ADDRESS(2,COLUMN())),OFFSET($AM$2,0,0,ROW()-1,33),ROW()-1,FALSE))</f>
        <v>0</v>
      </c>
      <c r="J316">
        <f ca="1">IF(AND(ISNUMBER($J$717),$B$427=1),$J$717,HLOOKUP(INDIRECT(ADDRESS(2,COLUMN())),OFFSET($AM$2,0,0,ROW()-1,33),ROW()-1,FALSE))</f>
        <v>0</v>
      </c>
      <c r="K316">
        <f ca="1">IF(AND(ISNUMBER($K$717),$B$427=1),$K$717,HLOOKUP(INDIRECT(ADDRESS(2,COLUMN())),OFFSET($AM$2,0,0,ROW()-1,33),ROW()-1,FALSE))</f>
        <v>0</v>
      </c>
      <c r="L316">
        <f ca="1">IF(AND(ISNUMBER($L$717),$B$427=1),$L$717,HLOOKUP(INDIRECT(ADDRESS(2,COLUMN())),OFFSET($AM$2,0,0,ROW()-1,33),ROW()-1,FALSE))</f>
        <v>0</v>
      </c>
      <c r="M316">
        <f ca="1">IF(AND(ISNUMBER($M$717),$B$427=1),$M$717,HLOOKUP(INDIRECT(ADDRESS(2,COLUMN())),OFFSET($AM$2,0,0,ROW()-1,33),ROW()-1,FALSE))</f>
        <v>0</v>
      </c>
      <c r="N316">
        <f ca="1">IF(AND(ISNUMBER($N$717),$B$427=1),$N$717,HLOOKUP(INDIRECT(ADDRESS(2,COLUMN())),OFFSET($AM$2,0,0,ROW()-1,33),ROW()-1,FALSE))</f>
        <v>0</v>
      </c>
      <c r="O316">
        <f ca="1">IF(AND(ISNUMBER($O$717),$B$427=1),$O$717,HLOOKUP(INDIRECT(ADDRESS(2,COLUMN())),OFFSET($AM$2,0,0,ROW()-1,33),ROW()-1,FALSE))</f>
        <v>0</v>
      </c>
      <c r="P316">
        <f ca="1">IF(AND(ISNUMBER($P$717),$B$427=1),$P$717,HLOOKUP(INDIRECT(ADDRESS(2,COLUMN())),OFFSET($AM$2,0,0,ROW()-1,33),ROW()-1,FALSE))</f>
        <v>0</v>
      </c>
      <c r="Q316">
        <f ca="1">IF(AND(ISNUMBER($Q$717),$B$427=1),$Q$717,HLOOKUP(INDIRECT(ADDRESS(2,COLUMN())),OFFSET($AM$2,0,0,ROW()-1,33),ROW()-1,FALSE))</f>
        <v>0</v>
      </c>
      <c r="R316">
        <f ca="1">IF(AND(ISNUMBER($R$717),$B$427=1),$R$717,HLOOKUP(INDIRECT(ADDRESS(2,COLUMN())),OFFSET($AM$2,0,0,ROW()-1,33),ROW()-1,FALSE))</f>
        <v>0</v>
      </c>
      <c r="S316">
        <f ca="1">IF(AND(ISNUMBER($S$717),$B$427=1),$S$717,HLOOKUP(INDIRECT(ADDRESS(2,COLUMN())),OFFSET($AM$2,0,0,ROW()-1,33),ROW()-1,FALSE))</f>
        <v>0</v>
      </c>
      <c r="T316">
        <f ca="1">IF(AND(ISNUMBER($T$717),$B$427=1),$T$717,HLOOKUP(INDIRECT(ADDRESS(2,COLUMN())),OFFSET($AM$2,0,0,ROW()-1,33),ROW()-1,FALSE))</f>
        <v>0</v>
      </c>
      <c r="U316">
        <f ca="1">IF(AND(ISNUMBER($U$717),$B$427=1),$U$717,HLOOKUP(INDIRECT(ADDRESS(2,COLUMN())),OFFSET($AM$2,0,0,ROW()-1,33),ROW()-1,FALSE))</f>
        <v>0</v>
      </c>
      <c r="V316">
        <f ca="1">IF(AND(ISNUMBER($V$717),$B$427=1),$V$717,HLOOKUP(INDIRECT(ADDRESS(2,COLUMN())),OFFSET($AM$2,0,0,ROW()-1,33),ROW()-1,FALSE))</f>
        <v>0</v>
      </c>
      <c r="W316">
        <f ca="1">IF(AND(ISNUMBER($W$717),$B$427=1),$W$717,HLOOKUP(INDIRECT(ADDRESS(2,COLUMN())),OFFSET($AM$2,0,0,ROW()-1,33),ROW()-1,FALSE))</f>
        <v>0</v>
      </c>
      <c r="X316">
        <f ca="1">IF(AND(ISNUMBER($X$717),$B$427=1),$X$717,HLOOKUP(INDIRECT(ADDRESS(2,COLUMN())),OFFSET($AM$2,0,0,ROW()-1,33),ROW()-1,FALSE))</f>
        <v>0</v>
      </c>
      <c r="Y316">
        <f ca="1">IF(AND(ISNUMBER($Y$717),$B$427=1),$Y$717,HLOOKUP(INDIRECT(ADDRESS(2,COLUMN())),OFFSET($AM$2,0,0,ROW()-1,33),ROW()-1,FALSE))</f>
        <v>0</v>
      </c>
      <c r="Z316">
        <f ca="1">IF(AND(ISNUMBER($Z$717),$B$427=1),$Z$717,HLOOKUP(INDIRECT(ADDRESS(2,COLUMN())),OFFSET($AM$2,0,0,ROW()-1,33),ROW()-1,FALSE))</f>
        <v>0</v>
      </c>
      <c r="AA316">
        <f ca="1">IF(AND(ISNUMBER($AA$717),$B$427=1),$AA$717,HLOOKUP(INDIRECT(ADDRESS(2,COLUMN())),OFFSET($AM$2,0,0,ROW()-1,33),ROW()-1,FALSE))</f>
        <v>0</v>
      </c>
      <c r="AB316">
        <f ca="1">IF(AND(ISNUMBER($AB$717),$B$427=1),$AB$717,HLOOKUP(INDIRECT(ADDRESS(2,COLUMN())),OFFSET($AM$2,0,0,ROW()-1,33),ROW()-1,FALSE))</f>
        <v>0</v>
      </c>
      <c r="AC316">
        <f ca="1">IF(AND(ISNUMBER($AC$717),$B$427=1),$AC$717,HLOOKUP(INDIRECT(ADDRESS(2,COLUMN())),OFFSET($AM$2,0,0,ROW()-1,33),ROW()-1,FALSE))</f>
        <v>0</v>
      </c>
      <c r="AD316" t="str">
        <f ca="1">IF(AND(ISNUMBER($AD$717),$B$427=1),$AD$717,HLOOKUP(INDIRECT(ADDRESS(2,COLUMN())),OFFSET($AM$2,0,0,ROW()-1,33),ROW()-1,FALSE))</f>
        <v/>
      </c>
      <c r="AE316" t="str">
        <f ca="1">IF(AND(ISNUMBER($AE$717),$B$427=1),$AE$717,HLOOKUP(INDIRECT(ADDRESS(2,COLUMN())),OFFSET($AM$2,0,0,ROW()-1,33),ROW()-1,FALSE))</f>
        <v/>
      </c>
      <c r="AF316" t="str">
        <f ca="1">IF(AND(ISNUMBER($AF$717),$B$427=1),$AF$717,HLOOKUP(INDIRECT(ADDRESS(2,COLUMN())),OFFSET($AM$2,0,0,ROW()-1,33),ROW()-1,FALSE))</f>
        <v/>
      </c>
      <c r="AG316" t="str">
        <f ca="1">IF(AND(ISNUMBER($AG$717),$B$427=1),$AG$717,HLOOKUP(INDIRECT(ADDRESS(2,COLUMN())),OFFSET($AM$2,0,0,ROW()-1,33),ROW()-1,FALSE))</f>
        <v/>
      </c>
      <c r="AH316" t="str">
        <f ca="1">IF(AND(ISNUMBER($AH$717),$B$427=1),$AH$717,HLOOKUP(INDIRECT(ADDRESS(2,COLUMN())),OFFSET($AM$2,0,0,ROW()-1,33),ROW()-1,FALSE))</f>
        <v/>
      </c>
      <c r="AI316" t="str">
        <f ca="1">IF(AND(ISNUMBER($AI$717),$B$427=1),$AI$717,HLOOKUP(INDIRECT(ADDRESS(2,COLUMN())),OFFSET($AM$2,0,0,ROW()-1,33),ROW()-1,FALSE))</f>
        <v/>
      </c>
      <c r="AJ316" t="str">
        <f ca="1">IF(AND(ISNUMBER($AJ$717),$B$427=1),$AJ$717,HLOOKUP(INDIRECT(ADDRESS(2,COLUMN())),OFFSET($AM$2,0,0,ROW()-1,33),ROW()-1,FALSE))</f>
        <v/>
      </c>
      <c r="AK316" t="str">
        <f ca="1">IF(AND(ISNUMBER($AK$717),$B$427=1),$AK$717,HLOOKUP(INDIRECT(ADDRESS(2,COLUMN())),OFFSET($AM$2,0,0,ROW()-1,33),ROW()-1,FALSE))</f>
        <v/>
      </c>
      <c r="AL316" t="str">
        <f ca="1">IF(AND(ISNUMBER($AL$717),$B$427=1),$AL$717,HLOOKUP(INDIRECT(ADDRESS(2,COLUMN())),OFFSET($AM$2,0,0,ROW()-1,33),ROW()-1,FALSE))</f>
        <v/>
      </c>
      <c r="AM316" t="str">
        <f>""</f>
        <v/>
      </c>
      <c r="AN316">
        <f>0</f>
        <v>0</v>
      </c>
      <c r="AO316">
        <f>0</f>
        <v>0</v>
      </c>
      <c r="AP316">
        <f>0</f>
        <v>0</v>
      </c>
      <c r="AQ316">
        <f>0</f>
        <v>0</v>
      </c>
      <c r="AR316">
        <f>0</f>
        <v>0</v>
      </c>
      <c r="AS316">
        <f>0</f>
        <v>0</v>
      </c>
      <c r="AT316">
        <f>0</f>
        <v>0</v>
      </c>
      <c r="AU316">
        <f>0</f>
        <v>0</v>
      </c>
      <c r="AV316">
        <f>0</f>
        <v>0</v>
      </c>
      <c r="AW316">
        <f>0</f>
        <v>0</v>
      </c>
      <c r="AX316">
        <f>0</f>
        <v>0</v>
      </c>
      <c r="AY316">
        <f>0</f>
        <v>0</v>
      </c>
      <c r="AZ316">
        <f>0</f>
        <v>0</v>
      </c>
      <c r="BA316">
        <f>0</f>
        <v>0</v>
      </c>
      <c r="BB316">
        <f>0</f>
        <v>0</v>
      </c>
      <c r="BC316">
        <f>0</f>
        <v>0</v>
      </c>
      <c r="BD316">
        <f>0</f>
        <v>0</v>
      </c>
      <c r="BE316">
        <f>0</f>
        <v>0</v>
      </c>
      <c r="BF316">
        <f>0</f>
        <v>0</v>
      </c>
      <c r="BG316">
        <f>0</f>
        <v>0</v>
      </c>
      <c r="BH316">
        <f>0</f>
        <v>0</v>
      </c>
      <c r="BI316">
        <f>0</f>
        <v>0</v>
      </c>
      <c r="BJ316">
        <f>0</f>
        <v>0</v>
      </c>
      <c r="BK316" t="str">
        <f>""</f>
        <v/>
      </c>
      <c r="BL316" t="str">
        <f>""</f>
        <v/>
      </c>
      <c r="BM316" t="str">
        <f>""</f>
        <v/>
      </c>
      <c r="BN316" t="str">
        <f>""</f>
        <v/>
      </c>
      <c r="BO316" t="str">
        <f>""</f>
        <v/>
      </c>
      <c r="BP316" t="str">
        <f>""</f>
        <v/>
      </c>
      <c r="BQ316" t="str">
        <f>""</f>
        <v/>
      </c>
      <c r="BR316" t="str">
        <f>""</f>
        <v/>
      </c>
      <c r="BS316" t="str">
        <f>""</f>
        <v/>
      </c>
    </row>
    <row r="317" spans="1:71" x14ac:dyDescent="0.25">
      <c r="A317" t="str">
        <f>"        Huntington Bancshares Inc/OH"</f>
        <v xml:space="preserve">        Huntington Bancshares Inc/OH</v>
      </c>
      <c r="B317" t="str">
        <f>"HBAN US Equity"</f>
        <v>HBAN US Equity</v>
      </c>
      <c r="C317" t="str">
        <f t="shared" si="42"/>
        <v>F0124</v>
      </c>
      <c r="D317" t="str">
        <f t="shared" si="43"/>
        <v>FED_FOR_BANK_LNS_%_TOT_LNS_LEAS</v>
      </c>
      <c r="E317" t="str">
        <f t="shared" si="44"/>
        <v>Dynamic</v>
      </c>
      <c r="F317">
        <f ca="1">IF(AND(ISNUMBER($F$718),$B$427=1),$F$718,HLOOKUP(INDIRECT(ADDRESS(2,COLUMN())),OFFSET($AM$2,0,0,ROW()-1,33),ROW()-1,FALSE))</f>
        <v>0.54653681399999998</v>
      </c>
      <c r="G317">
        <f ca="1">IF(AND(ISNUMBER($G$718),$B$427=1),$G$718,HLOOKUP(INDIRECT(ADDRESS(2,COLUMN())),OFFSET($AM$2,0,0,ROW()-1,33),ROW()-1,FALSE))</f>
        <v>0.202846372</v>
      </c>
      <c r="H317">
        <f ca="1">IF(AND(ISNUMBER($H$718),$B$427=1),$H$718,HLOOKUP(INDIRECT(ADDRESS(2,COLUMN())),OFFSET($AM$2,0,0,ROW()-1,33),ROW()-1,FALSE))</f>
        <v>0.29152480600000003</v>
      </c>
      <c r="I317">
        <f ca="1">IF(AND(ISNUMBER($I$718),$B$427=1),$I$718,HLOOKUP(INDIRECT(ADDRESS(2,COLUMN())),OFFSET($AM$2,0,0,ROW()-1,33),ROW()-1,FALSE))</f>
        <v>0.612623739</v>
      </c>
      <c r="J317">
        <f ca="1">IF(AND(ISNUMBER($J$718),$B$427=1),$J$718,HLOOKUP(INDIRECT(ADDRESS(2,COLUMN())),OFFSET($AM$2,0,0,ROW()-1,33),ROW()-1,FALSE))</f>
        <v>0.67522896200000004</v>
      </c>
      <c r="K317">
        <f ca="1">IF(AND(ISNUMBER($K$718),$B$427=1),$K$718,HLOOKUP(INDIRECT(ADDRESS(2,COLUMN())),OFFSET($AM$2,0,0,ROW()-1,33),ROW()-1,FALSE))</f>
        <v>0.64681725599999995</v>
      </c>
      <c r="L317">
        <f ca="1">IF(AND(ISNUMBER($L$718),$B$427=1),$L$718,HLOOKUP(INDIRECT(ADDRESS(2,COLUMN())),OFFSET($AM$2,0,0,ROW()-1,33),ROW()-1,FALSE))</f>
        <v>0.79612936999999995</v>
      </c>
      <c r="M317">
        <f ca="1">IF(AND(ISNUMBER($M$718),$B$427=1),$M$718,HLOOKUP(INDIRECT(ADDRESS(2,COLUMN())),OFFSET($AM$2,0,0,ROW()-1,33),ROW()-1,FALSE))</f>
        <v>0.68656519999999999</v>
      </c>
      <c r="N317">
        <f ca="1">IF(AND(ISNUMBER($N$718),$B$427=1),$N$718,HLOOKUP(INDIRECT(ADDRESS(2,COLUMN())),OFFSET($AM$2,0,0,ROW()-1,33),ROW()-1,FALSE))</f>
        <v>0.41636768200000002</v>
      </c>
      <c r="O317">
        <f ca="1">IF(AND(ISNUMBER($O$718),$B$427=1),$O$718,HLOOKUP(INDIRECT(ADDRESS(2,COLUMN())),OFFSET($AM$2,0,0,ROW()-1,33),ROW()-1,FALSE))</f>
        <v>0.941449651</v>
      </c>
      <c r="P317">
        <f ca="1">IF(AND(ISNUMBER($P$718),$B$427=1),$P$718,HLOOKUP(INDIRECT(ADDRESS(2,COLUMN())),OFFSET($AM$2,0,0,ROW()-1,33),ROW()-1,FALSE))</f>
        <v>1.2158508530000001</v>
      </c>
      <c r="Q317">
        <f ca="1">IF(AND(ISNUMBER($Q$718),$B$427=1),$Q$718,HLOOKUP(INDIRECT(ADDRESS(2,COLUMN())),OFFSET($AM$2,0,0,ROW()-1,33),ROW()-1,FALSE))</f>
        <v>0</v>
      </c>
      <c r="R317">
        <f ca="1">IF(AND(ISNUMBER($R$718),$B$427=1),$R$718,HLOOKUP(INDIRECT(ADDRESS(2,COLUMN())),OFFSET($AM$2,0,0,ROW()-1,33),ROW()-1,FALSE))</f>
        <v>0</v>
      </c>
      <c r="S317">
        <f ca="1">IF(AND(ISNUMBER($S$718),$B$427=1),$S$718,HLOOKUP(INDIRECT(ADDRESS(2,COLUMN())),OFFSET($AM$2,0,0,ROW()-1,33),ROW()-1,FALSE))</f>
        <v>0</v>
      </c>
      <c r="T317">
        <f ca="1">IF(AND(ISNUMBER($T$718),$B$427=1),$T$718,HLOOKUP(INDIRECT(ADDRESS(2,COLUMN())),OFFSET($AM$2,0,0,ROW()-1,33),ROW()-1,FALSE))</f>
        <v>0</v>
      </c>
      <c r="U317">
        <f ca="1">IF(AND(ISNUMBER($U$718),$B$427=1),$U$718,HLOOKUP(INDIRECT(ADDRESS(2,COLUMN())),OFFSET($AM$2,0,0,ROW()-1,33),ROW()-1,FALSE))</f>
        <v>0</v>
      </c>
      <c r="V317">
        <f ca="1">IF(AND(ISNUMBER($V$718),$B$427=1),$V$718,HLOOKUP(INDIRECT(ADDRESS(2,COLUMN())),OFFSET($AM$2,0,0,ROW()-1,33),ROW()-1,FALSE))</f>
        <v>0</v>
      </c>
      <c r="W317">
        <f ca="1">IF(AND(ISNUMBER($W$718),$B$427=1),$W$718,HLOOKUP(INDIRECT(ADDRESS(2,COLUMN())),OFFSET($AM$2,0,0,ROW()-1,33),ROW()-1,FALSE))</f>
        <v>0</v>
      </c>
      <c r="X317">
        <f ca="1">IF(AND(ISNUMBER($X$718),$B$427=1),$X$718,HLOOKUP(INDIRECT(ADDRESS(2,COLUMN())),OFFSET($AM$2,0,0,ROW()-1,33),ROW()-1,FALSE))</f>
        <v>0</v>
      </c>
      <c r="Y317">
        <f ca="1">IF(AND(ISNUMBER($Y$718),$B$427=1),$Y$718,HLOOKUP(INDIRECT(ADDRESS(2,COLUMN())),OFFSET($AM$2,0,0,ROW()-1,33),ROW()-1,FALSE))</f>
        <v>0</v>
      </c>
      <c r="Z317">
        <f ca="1">IF(AND(ISNUMBER($Z$718),$B$427=1),$Z$718,HLOOKUP(INDIRECT(ADDRESS(2,COLUMN())),OFFSET($AM$2,0,0,ROW()-1,33),ROW()-1,FALSE))</f>
        <v>0</v>
      </c>
      <c r="AA317">
        <f ca="1">IF(AND(ISNUMBER($AA$718),$B$427=1),$AA$718,HLOOKUP(INDIRECT(ADDRESS(2,COLUMN())),OFFSET($AM$2,0,0,ROW()-1,33),ROW()-1,FALSE))</f>
        <v>1.512467E-3</v>
      </c>
      <c r="AB317">
        <f ca="1">IF(AND(ISNUMBER($AB$718),$B$427=1),$AB$718,HLOOKUP(INDIRECT(ADDRESS(2,COLUMN())),OFFSET($AM$2,0,0,ROW()-1,33),ROW()-1,FALSE))</f>
        <v>7.7523499999999999E-4</v>
      </c>
      <c r="AC317">
        <f ca="1">IF(AND(ISNUMBER($AC$718),$B$427=1),$AC$718,HLOOKUP(INDIRECT(ADDRESS(2,COLUMN())),OFFSET($AM$2,0,0,ROW()-1,33),ROW()-1,FALSE))</f>
        <v>0</v>
      </c>
      <c r="AD317" t="str">
        <f ca="1">IF(AND(ISNUMBER($AD$718),$B$427=1),$AD$718,HLOOKUP(INDIRECT(ADDRESS(2,COLUMN())),OFFSET($AM$2,0,0,ROW()-1,33),ROW()-1,FALSE))</f>
        <v/>
      </c>
      <c r="AE317" t="str">
        <f ca="1">IF(AND(ISNUMBER($AE$718),$B$427=1),$AE$718,HLOOKUP(INDIRECT(ADDRESS(2,COLUMN())),OFFSET($AM$2,0,0,ROW()-1,33),ROW()-1,FALSE))</f>
        <v/>
      </c>
      <c r="AF317" t="str">
        <f ca="1">IF(AND(ISNUMBER($AF$718),$B$427=1),$AF$718,HLOOKUP(INDIRECT(ADDRESS(2,COLUMN())),OFFSET($AM$2,0,0,ROW()-1,33),ROW()-1,FALSE))</f>
        <v/>
      </c>
      <c r="AG317" t="str">
        <f ca="1">IF(AND(ISNUMBER($AG$718),$B$427=1),$AG$718,HLOOKUP(INDIRECT(ADDRESS(2,COLUMN())),OFFSET($AM$2,0,0,ROW()-1,33),ROW()-1,FALSE))</f>
        <v/>
      </c>
      <c r="AH317" t="str">
        <f ca="1">IF(AND(ISNUMBER($AH$718),$B$427=1),$AH$718,HLOOKUP(INDIRECT(ADDRESS(2,COLUMN())),OFFSET($AM$2,0,0,ROW()-1,33),ROW()-1,FALSE))</f>
        <v/>
      </c>
      <c r="AI317" t="str">
        <f ca="1">IF(AND(ISNUMBER($AI$718),$B$427=1),$AI$718,HLOOKUP(INDIRECT(ADDRESS(2,COLUMN())),OFFSET($AM$2,0,0,ROW()-1,33),ROW()-1,FALSE))</f>
        <v/>
      </c>
      <c r="AJ317" t="str">
        <f ca="1">IF(AND(ISNUMBER($AJ$718),$B$427=1),$AJ$718,HLOOKUP(INDIRECT(ADDRESS(2,COLUMN())),OFFSET($AM$2,0,0,ROW()-1,33),ROW()-1,FALSE))</f>
        <v/>
      </c>
      <c r="AK317" t="str">
        <f ca="1">IF(AND(ISNUMBER($AK$718),$B$427=1),$AK$718,HLOOKUP(INDIRECT(ADDRESS(2,COLUMN())),OFFSET($AM$2,0,0,ROW()-1,33),ROW()-1,FALSE))</f>
        <v/>
      </c>
      <c r="AL317" t="str">
        <f ca="1">IF(AND(ISNUMBER($AL$718),$B$427=1),$AL$718,HLOOKUP(INDIRECT(ADDRESS(2,COLUMN())),OFFSET($AM$2,0,0,ROW()-1,33),ROW()-1,FALSE))</f>
        <v/>
      </c>
      <c r="AM317">
        <f>0.546536814</f>
        <v>0.54653681399999998</v>
      </c>
      <c r="AN317">
        <f>0.202846372</f>
        <v>0.202846372</v>
      </c>
      <c r="AO317">
        <f>0.291524806</f>
        <v>0.29152480600000003</v>
      </c>
      <c r="AP317">
        <f>0.612623739</f>
        <v>0.612623739</v>
      </c>
      <c r="AQ317">
        <f>0.675228962</f>
        <v>0.67522896200000004</v>
      </c>
      <c r="AR317">
        <f>0.646817256</f>
        <v>0.64681725599999995</v>
      </c>
      <c r="AS317">
        <f>0.79612937</f>
        <v>0.79612936999999995</v>
      </c>
      <c r="AT317">
        <f>0.6865652</f>
        <v>0.68656519999999999</v>
      </c>
      <c r="AU317">
        <f>0.416367682</f>
        <v>0.41636768200000002</v>
      </c>
      <c r="AV317">
        <f>0.941449651</f>
        <v>0.941449651</v>
      </c>
      <c r="AW317">
        <f>1.215850853</f>
        <v>1.2158508530000001</v>
      </c>
      <c r="AX317">
        <f>0</f>
        <v>0</v>
      </c>
      <c r="AY317">
        <f>0</f>
        <v>0</v>
      </c>
      <c r="AZ317">
        <f>0</f>
        <v>0</v>
      </c>
      <c r="BA317">
        <f>0</f>
        <v>0</v>
      </c>
      <c r="BB317">
        <f>0</f>
        <v>0</v>
      </c>
      <c r="BC317">
        <f>0</f>
        <v>0</v>
      </c>
      <c r="BD317">
        <f>0</f>
        <v>0</v>
      </c>
      <c r="BE317">
        <f>0</f>
        <v>0</v>
      </c>
      <c r="BF317">
        <f>0</f>
        <v>0</v>
      </c>
      <c r="BG317">
        <f>0</f>
        <v>0</v>
      </c>
      <c r="BH317">
        <f>0.001512467</f>
        <v>1.512467E-3</v>
      </c>
      <c r="BI317">
        <f>0.000775235</f>
        <v>7.7523499999999999E-4</v>
      </c>
      <c r="BJ317">
        <f>0</f>
        <v>0</v>
      </c>
      <c r="BK317" t="str">
        <f>""</f>
        <v/>
      </c>
      <c r="BL317" t="str">
        <f>""</f>
        <v/>
      </c>
      <c r="BM317" t="str">
        <f>""</f>
        <v/>
      </c>
      <c r="BN317" t="str">
        <f>""</f>
        <v/>
      </c>
      <c r="BO317" t="str">
        <f>""</f>
        <v/>
      </c>
      <c r="BP317" t="str">
        <f>""</f>
        <v/>
      </c>
      <c r="BQ317" t="str">
        <f>""</f>
        <v/>
      </c>
      <c r="BR317" t="str">
        <f>""</f>
        <v/>
      </c>
      <c r="BS317" t="str">
        <f>""</f>
        <v/>
      </c>
    </row>
    <row r="318" spans="1:71" x14ac:dyDescent="0.25">
      <c r="A318" t="str">
        <f>"        JPMorgan Chase &amp; Co"</f>
        <v xml:space="preserve">        JPMorgan Chase &amp; Co</v>
      </c>
      <c r="B318" t="str">
        <f>"JPM US Equity"</f>
        <v>JPM US Equity</v>
      </c>
      <c r="C318" t="str">
        <f t="shared" si="42"/>
        <v>F0124</v>
      </c>
      <c r="D318" t="str">
        <f t="shared" si="43"/>
        <v>FED_FOR_BANK_LNS_%_TOT_LNS_LEAS</v>
      </c>
      <c r="E318" t="str">
        <f t="shared" si="44"/>
        <v>Dynamic</v>
      </c>
      <c r="F318">
        <f ca="1">IF(AND(ISNUMBER($F$719),$B$427=1),$F$719,HLOOKUP(INDIRECT(ADDRESS(2,COLUMN())),OFFSET($AM$2,0,0,ROW()-1,33),ROW()-1,FALSE))</f>
        <v>0.67718300399999998</v>
      </c>
      <c r="G318">
        <f ca="1">IF(AND(ISNUMBER($G$719),$B$427=1),$G$719,HLOOKUP(INDIRECT(ADDRESS(2,COLUMN())),OFFSET($AM$2,0,0,ROW()-1,33),ROW()-1,FALSE))</f>
        <v>0.61571012300000005</v>
      </c>
      <c r="H318">
        <f ca="1">IF(AND(ISNUMBER($H$719),$B$427=1),$H$719,HLOOKUP(INDIRECT(ADDRESS(2,COLUMN())),OFFSET($AM$2,0,0,ROW()-1,33),ROW()-1,FALSE))</f>
        <v>0.80215844300000005</v>
      </c>
      <c r="I318">
        <f ca="1">IF(AND(ISNUMBER($I$719),$B$427=1),$I$719,HLOOKUP(INDIRECT(ADDRESS(2,COLUMN())),OFFSET($AM$2,0,0,ROW()-1,33),ROW()-1,FALSE))</f>
        <v>0.694672187</v>
      </c>
      <c r="J318">
        <f ca="1">IF(AND(ISNUMBER($J$719),$B$427=1),$J$719,HLOOKUP(INDIRECT(ADDRESS(2,COLUMN())),OFFSET($AM$2,0,0,ROW()-1,33),ROW()-1,FALSE))</f>
        <v>0.65728310400000001</v>
      </c>
      <c r="K318">
        <f ca="1">IF(AND(ISNUMBER($K$719),$B$427=1),$K$719,HLOOKUP(INDIRECT(ADDRESS(2,COLUMN())),OFFSET($AM$2,0,0,ROW()-1,33),ROW()-1,FALSE))</f>
        <v>0.69955550600000005</v>
      </c>
      <c r="L318">
        <f ca="1">IF(AND(ISNUMBER($L$719),$B$427=1),$L$719,HLOOKUP(INDIRECT(ADDRESS(2,COLUMN())),OFFSET($AM$2,0,0,ROW()-1,33),ROW()-1,FALSE))</f>
        <v>0.96416411700000004</v>
      </c>
      <c r="M318">
        <f ca="1">IF(AND(ISNUMBER($M$719),$B$427=1),$M$719,HLOOKUP(INDIRECT(ADDRESS(2,COLUMN())),OFFSET($AM$2,0,0,ROW()-1,33),ROW()-1,FALSE))</f>
        <v>0.91134361500000005</v>
      </c>
      <c r="N318">
        <f ca="1">IF(AND(ISNUMBER($N$719),$B$427=1),$N$719,HLOOKUP(INDIRECT(ADDRESS(2,COLUMN())),OFFSET($AM$2,0,0,ROW()-1,33),ROW()-1,FALSE))</f>
        <v>0.910976444</v>
      </c>
      <c r="O318">
        <f ca="1">IF(AND(ISNUMBER($O$719),$B$427=1),$O$719,HLOOKUP(INDIRECT(ADDRESS(2,COLUMN())),OFFSET($AM$2,0,0,ROW()-1,33),ROW()-1,FALSE))</f>
        <v>1.520807963</v>
      </c>
      <c r="P318">
        <f ca="1">IF(AND(ISNUMBER($P$719),$B$427=1),$P$719,HLOOKUP(INDIRECT(ADDRESS(2,COLUMN())),OFFSET($AM$2,0,0,ROW()-1,33),ROW()-1,FALSE))</f>
        <v>1.9910032849999999</v>
      </c>
      <c r="Q318">
        <f ca="1">IF(AND(ISNUMBER($Q$719),$B$427=1),$Q$719,HLOOKUP(INDIRECT(ADDRESS(2,COLUMN())),OFFSET($AM$2,0,0,ROW()-1,33),ROW()-1,FALSE))</f>
        <v>2.4745655489999998</v>
      </c>
      <c r="R318">
        <f ca="1">IF(AND(ISNUMBER($R$719),$B$427=1),$R$719,HLOOKUP(INDIRECT(ADDRESS(2,COLUMN())),OFFSET($AM$2,0,0,ROW()-1,33),ROW()-1,FALSE))</f>
        <v>2.7533492559999999</v>
      </c>
      <c r="S318">
        <f ca="1">IF(AND(ISNUMBER($S$719),$B$427=1),$S$719,HLOOKUP(INDIRECT(ADDRESS(2,COLUMN())),OFFSET($AM$2,0,0,ROW()-1,33),ROW()-1,FALSE))</f>
        <v>3.3982916940000001</v>
      </c>
      <c r="T318">
        <f ca="1">IF(AND(ISNUMBER($T$719),$B$427=1),$T$719,HLOOKUP(INDIRECT(ADDRESS(2,COLUMN())),OFFSET($AM$2,0,0,ROW()-1,33),ROW()-1,FALSE))</f>
        <v>2.1994106659999999</v>
      </c>
      <c r="U318">
        <f ca="1">IF(AND(ISNUMBER($U$719),$B$427=1),$U$719,HLOOKUP(INDIRECT(ADDRESS(2,COLUMN())),OFFSET($AM$2,0,0,ROW()-1,33),ROW()-1,FALSE))</f>
        <v>1.4189900360000001</v>
      </c>
      <c r="V318">
        <f ca="1">IF(AND(ISNUMBER($V$719),$B$427=1),$V$719,HLOOKUP(INDIRECT(ADDRESS(2,COLUMN())),OFFSET($AM$2,0,0,ROW()-1,33),ROW()-1,FALSE))</f>
        <v>1.543775109</v>
      </c>
      <c r="W318">
        <f ca="1">IF(AND(ISNUMBER($W$719),$B$427=1),$W$719,HLOOKUP(INDIRECT(ADDRESS(2,COLUMN())),OFFSET($AM$2,0,0,ROW()-1,33),ROW()-1,FALSE))</f>
        <v>2.3433731039999999</v>
      </c>
      <c r="X318">
        <f ca="1">IF(AND(ISNUMBER($X$719),$B$427=1),$X$719,HLOOKUP(INDIRECT(ADDRESS(2,COLUMN())),OFFSET($AM$2,0,0,ROW()-1,33),ROW()-1,FALSE))</f>
        <v>1.4590366509999999</v>
      </c>
      <c r="Y318">
        <f ca="1">IF(AND(ISNUMBER($Y$719),$B$427=1),$Y$719,HLOOKUP(INDIRECT(ADDRESS(2,COLUMN())),OFFSET($AM$2,0,0,ROW()-1,33),ROW()-1,FALSE))</f>
        <v>1.0160663679999999</v>
      </c>
      <c r="Z318">
        <f ca="1">IF(AND(ISNUMBER($Z$719),$B$427=1),$Z$719,HLOOKUP(INDIRECT(ADDRESS(2,COLUMN())),OFFSET($AM$2,0,0,ROW()-1,33),ROW()-1,FALSE))</f>
        <v>0.79500087600000002</v>
      </c>
      <c r="AA318">
        <f ca="1">IF(AND(ISNUMBER($AA$719),$B$427=1),$AA$719,HLOOKUP(INDIRECT(ADDRESS(2,COLUMN())),OFFSET($AM$2,0,0,ROW()-1,33),ROW()-1,FALSE))</f>
        <v>1.152069534</v>
      </c>
      <c r="AB318">
        <f ca="1">IF(AND(ISNUMBER($AB$719),$B$427=1),$AB$719,HLOOKUP(INDIRECT(ADDRESS(2,COLUMN())),OFFSET($AM$2,0,0,ROW()-1,33),ROW()-1,FALSE))</f>
        <v>1.0385983080000001</v>
      </c>
      <c r="AC318">
        <f ca="1">IF(AND(ISNUMBER($AC$719),$B$427=1),$AC$719,HLOOKUP(INDIRECT(ADDRESS(2,COLUMN())),OFFSET($AM$2,0,0,ROW()-1,33),ROW()-1,FALSE))</f>
        <v>1.855131396</v>
      </c>
      <c r="AD318" t="str">
        <f ca="1">IF(AND(ISNUMBER($AD$719),$B$427=1),$AD$719,HLOOKUP(INDIRECT(ADDRESS(2,COLUMN())),OFFSET($AM$2,0,0,ROW()-1,33),ROW()-1,FALSE))</f>
        <v/>
      </c>
      <c r="AE318" t="str">
        <f ca="1">IF(AND(ISNUMBER($AE$719),$B$427=1),$AE$719,HLOOKUP(INDIRECT(ADDRESS(2,COLUMN())),OFFSET($AM$2,0,0,ROW()-1,33),ROW()-1,FALSE))</f>
        <v/>
      </c>
      <c r="AF318" t="str">
        <f ca="1">IF(AND(ISNUMBER($AF$719),$B$427=1),$AF$719,HLOOKUP(INDIRECT(ADDRESS(2,COLUMN())),OFFSET($AM$2,0,0,ROW()-1,33),ROW()-1,FALSE))</f>
        <v/>
      </c>
      <c r="AG318" t="str">
        <f ca="1">IF(AND(ISNUMBER($AG$719),$B$427=1),$AG$719,HLOOKUP(INDIRECT(ADDRESS(2,COLUMN())),OFFSET($AM$2,0,0,ROW()-1,33),ROW()-1,FALSE))</f>
        <v/>
      </c>
      <c r="AH318" t="str">
        <f ca="1">IF(AND(ISNUMBER($AH$719),$B$427=1),$AH$719,HLOOKUP(INDIRECT(ADDRESS(2,COLUMN())),OFFSET($AM$2,0,0,ROW()-1,33),ROW()-1,FALSE))</f>
        <v/>
      </c>
      <c r="AI318" t="str">
        <f ca="1">IF(AND(ISNUMBER($AI$719),$B$427=1),$AI$719,HLOOKUP(INDIRECT(ADDRESS(2,COLUMN())),OFFSET($AM$2,0,0,ROW()-1,33),ROW()-1,FALSE))</f>
        <v/>
      </c>
      <c r="AJ318" t="str">
        <f ca="1">IF(AND(ISNUMBER($AJ$719),$B$427=1),$AJ$719,HLOOKUP(INDIRECT(ADDRESS(2,COLUMN())),OFFSET($AM$2,0,0,ROW()-1,33),ROW()-1,FALSE))</f>
        <v/>
      </c>
      <c r="AK318" t="str">
        <f ca="1">IF(AND(ISNUMBER($AK$719),$B$427=1),$AK$719,HLOOKUP(INDIRECT(ADDRESS(2,COLUMN())),OFFSET($AM$2,0,0,ROW()-1,33),ROW()-1,FALSE))</f>
        <v/>
      </c>
      <c r="AL318" t="str">
        <f ca="1">IF(AND(ISNUMBER($AL$719),$B$427=1),$AL$719,HLOOKUP(INDIRECT(ADDRESS(2,COLUMN())),OFFSET($AM$2,0,0,ROW()-1,33),ROW()-1,FALSE))</f>
        <v/>
      </c>
      <c r="AM318">
        <f>0.677183004</f>
        <v>0.67718300399999998</v>
      </c>
      <c r="AN318">
        <f>0.615710123</f>
        <v>0.61571012300000005</v>
      </c>
      <c r="AO318">
        <f>0.802158443</f>
        <v>0.80215844300000005</v>
      </c>
      <c r="AP318">
        <f>0.694672187</f>
        <v>0.694672187</v>
      </c>
      <c r="AQ318">
        <f>0.657283104</f>
        <v>0.65728310400000001</v>
      </c>
      <c r="AR318">
        <f>0.699555506</f>
        <v>0.69955550600000005</v>
      </c>
      <c r="AS318">
        <f>0.964164117</f>
        <v>0.96416411700000004</v>
      </c>
      <c r="AT318">
        <f>0.911343615</f>
        <v>0.91134361500000005</v>
      </c>
      <c r="AU318">
        <f>0.910976444</f>
        <v>0.910976444</v>
      </c>
      <c r="AV318">
        <f>1.520807963</f>
        <v>1.520807963</v>
      </c>
      <c r="AW318">
        <f>1.991003285</f>
        <v>1.9910032849999999</v>
      </c>
      <c r="AX318">
        <f>2.474565549</f>
        <v>2.4745655489999998</v>
      </c>
      <c r="AY318">
        <f>2.753349256</f>
        <v>2.7533492559999999</v>
      </c>
      <c r="AZ318">
        <f>3.398291694</f>
        <v>3.3982916940000001</v>
      </c>
      <c r="BA318">
        <f>2.199410666</f>
        <v>2.1994106659999999</v>
      </c>
      <c r="BB318">
        <f>1.418990036</f>
        <v>1.4189900360000001</v>
      </c>
      <c r="BC318">
        <f>1.543775109</f>
        <v>1.543775109</v>
      </c>
      <c r="BD318">
        <f>2.343373104</f>
        <v>2.3433731039999999</v>
      </c>
      <c r="BE318">
        <f>1.459036651</f>
        <v>1.4590366509999999</v>
      </c>
      <c r="BF318">
        <f>1.016066368</f>
        <v>1.0160663679999999</v>
      </c>
      <c r="BG318">
        <f>0.795000876</f>
        <v>0.79500087600000002</v>
      </c>
      <c r="BH318">
        <f>1.152069534</f>
        <v>1.152069534</v>
      </c>
      <c r="BI318">
        <f>1.038598308</f>
        <v>1.0385983080000001</v>
      </c>
      <c r="BJ318">
        <f>1.855131396</f>
        <v>1.855131396</v>
      </c>
      <c r="BK318" t="str">
        <f>""</f>
        <v/>
      </c>
      <c r="BL318" t="str">
        <f>""</f>
        <v/>
      </c>
      <c r="BM318" t="str">
        <f>""</f>
        <v/>
      </c>
      <c r="BN318" t="str">
        <f>""</f>
        <v/>
      </c>
      <c r="BO318" t="str">
        <f>""</f>
        <v/>
      </c>
      <c r="BP318" t="str">
        <f>""</f>
        <v/>
      </c>
      <c r="BQ318" t="str">
        <f>""</f>
        <v/>
      </c>
      <c r="BR318" t="str">
        <f>""</f>
        <v/>
      </c>
      <c r="BS318" t="str">
        <f>""</f>
        <v/>
      </c>
    </row>
    <row r="319" spans="1:71" x14ac:dyDescent="0.25">
      <c r="A319" t="str">
        <f>"        KeyCorp"</f>
        <v xml:space="preserve">        KeyCorp</v>
      </c>
      <c r="B319" t="str">
        <f>"KEY US Equity"</f>
        <v>KEY US Equity</v>
      </c>
      <c r="C319" t="str">
        <f t="shared" si="42"/>
        <v>F0124</v>
      </c>
      <c r="D319" t="str">
        <f t="shared" si="43"/>
        <v>FED_FOR_BANK_LNS_%_TOT_LNS_LEAS</v>
      </c>
      <c r="E319" t="str">
        <f t="shared" si="44"/>
        <v>Dynamic</v>
      </c>
      <c r="F319">
        <f ca="1">IF(AND(ISNUMBER($F$720),$B$427=1),$F$720,HLOOKUP(INDIRECT(ADDRESS(2,COLUMN())),OFFSET($AM$2,0,0,ROW()-1,33),ROW()-1,FALSE))</f>
        <v>2.9549659999999998E-3</v>
      </c>
      <c r="G319">
        <f ca="1">IF(AND(ISNUMBER($G$720),$B$427=1),$G$720,HLOOKUP(INDIRECT(ADDRESS(2,COLUMN())),OFFSET($AM$2,0,0,ROW()-1,33),ROW()-1,FALSE))</f>
        <v>6.0752489999999996E-3</v>
      </c>
      <c r="H319">
        <f ca="1">IF(AND(ISNUMBER($H$720),$B$427=1),$H$720,HLOOKUP(INDIRECT(ADDRESS(2,COLUMN())),OFFSET($AM$2,0,0,ROW()-1,33),ROW()-1,FALSE))</f>
        <v>4.0585668999999998E-2</v>
      </c>
      <c r="I319">
        <f ca="1">IF(AND(ISNUMBER($I$720),$B$427=1),$I$720,HLOOKUP(INDIRECT(ADDRESS(2,COLUMN())),OFFSET($AM$2,0,0,ROW()-1,33),ROW()-1,FALSE))</f>
        <v>2.1472921999999998E-2</v>
      </c>
      <c r="J319">
        <f ca="1">IF(AND(ISNUMBER($J$720),$B$427=1),$J$720,HLOOKUP(INDIRECT(ADDRESS(2,COLUMN())),OFFSET($AM$2,0,0,ROW()-1,33),ROW()-1,FALSE))</f>
        <v>1.4374003999999999E-2</v>
      </c>
      <c r="K319">
        <f ca="1">IF(AND(ISNUMBER($K$720),$B$427=1),$K$720,HLOOKUP(INDIRECT(ADDRESS(2,COLUMN())),OFFSET($AM$2,0,0,ROW()-1,33),ROW()-1,FALSE))</f>
        <v>7.8154557E-2</v>
      </c>
      <c r="L319">
        <f ca="1">IF(AND(ISNUMBER($L$720),$B$427=1),$L$720,HLOOKUP(INDIRECT(ADDRESS(2,COLUMN())),OFFSET($AM$2,0,0,ROW()-1,33),ROW()-1,FALSE))</f>
        <v>0.15399933699999999</v>
      </c>
      <c r="M319">
        <f ca="1">IF(AND(ISNUMBER($M$720),$B$427=1),$M$720,HLOOKUP(INDIRECT(ADDRESS(2,COLUMN())),OFFSET($AM$2,0,0,ROW()-1,33),ROW()-1,FALSE))</f>
        <v>4.7193835000000003E-2</v>
      </c>
      <c r="N319">
        <f ca="1">IF(AND(ISNUMBER($N$720),$B$427=1),$N$720,HLOOKUP(INDIRECT(ADDRESS(2,COLUMN())),OFFSET($AM$2,0,0,ROW()-1,33),ROW()-1,FALSE))</f>
        <v>4.6965907000000001E-2</v>
      </c>
      <c r="O319">
        <f ca="1">IF(AND(ISNUMBER($O$720),$B$427=1),$O$720,HLOOKUP(INDIRECT(ADDRESS(2,COLUMN())),OFFSET($AM$2,0,0,ROW()-1,33),ROW()-1,FALSE))</f>
        <v>4.5240246999999997E-2</v>
      </c>
      <c r="P319">
        <f ca="1">IF(AND(ISNUMBER($P$720),$B$427=1),$P$720,HLOOKUP(INDIRECT(ADDRESS(2,COLUMN())),OFFSET($AM$2,0,0,ROW()-1,33),ROW()-1,FALSE))</f>
        <v>5.2303835999999999E-2</v>
      </c>
      <c r="Q319">
        <f ca="1">IF(AND(ISNUMBER($Q$720),$B$427=1),$Q$720,HLOOKUP(INDIRECT(ADDRESS(2,COLUMN())),OFFSET($AM$2,0,0,ROW()-1,33),ROW()-1,FALSE))</f>
        <v>3.7631106999999997E-2</v>
      </c>
      <c r="R319">
        <f ca="1">IF(AND(ISNUMBER($R$720),$B$427=1),$R$720,HLOOKUP(INDIRECT(ADDRESS(2,COLUMN())),OFFSET($AM$2,0,0,ROW()-1,33),ROW()-1,FALSE))</f>
        <v>5.4296489999999999E-3</v>
      </c>
      <c r="S319">
        <f ca="1">IF(AND(ISNUMBER($S$720),$B$427=1),$S$720,HLOOKUP(INDIRECT(ADDRESS(2,COLUMN())),OFFSET($AM$2,0,0,ROW()-1,33),ROW()-1,FALSE))</f>
        <v>4.2765615E-2</v>
      </c>
      <c r="T319">
        <f ca="1">IF(AND(ISNUMBER($T$720),$B$427=1),$T$720,HLOOKUP(INDIRECT(ADDRESS(2,COLUMN())),OFFSET($AM$2,0,0,ROW()-1,33),ROW()-1,FALSE))</f>
        <v>1.5470027000000001E-2</v>
      </c>
      <c r="U319">
        <f ca="1">IF(AND(ISNUMBER($U$720),$B$427=1),$U$720,HLOOKUP(INDIRECT(ADDRESS(2,COLUMN())),OFFSET($AM$2,0,0,ROW()-1,33),ROW()-1,FALSE))</f>
        <v>1.6908263E-2</v>
      </c>
      <c r="V319">
        <f ca="1">IF(AND(ISNUMBER($V$720),$B$427=1),$V$720,HLOOKUP(INDIRECT(ADDRESS(2,COLUMN())),OFFSET($AM$2,0,0,ROW()-1,33),ROW()-1,FALSE))</f>
        <v>1.1205768E-2</v>
      </c>
      <c r="W319">
        <f ca="1">IF(AND(ISNUMBER($W$720),$B$427=1),$W$720,HLOOKUP(INDIRECT(ADDRESS(2,COLUMN())),OFFSET($AM$2,0,0,ROW()-1,33),ROW()-1,FALSE))</f>
        <v>3.0622340000000001E-2</v>
      </c>
      <c r="X319">
        <f ca="1">IF(AND(ISNUMBER($X$720),$B$427=1),$X$720,HLOOKUP(INDIRECT(ADDRESS(2,COLUMN())),OFFSET($AM$2,0,0,ROW()-1,33),ROW()-1,FALSE))</f>
        <v>2.7185541000000001E-2</v>
      </c>
      <c r="Y319">
        <f ca="1">IF(AND(ISNUMBER($Y$720),$B$427=1),$Y$720,HLOOKUP(INDIRECT(ADDRESS(2,COLUMN())),OFFSET($AM$2,0,0,ROW()-1,33),ROW()-1,FALSE))</f>
        <v>3.4913549999999998E-3</v>
      </c>
      <c r="Z319">
        <f ca="1">IF(AND(ISNUMBER($Z$720),$B$427=1),$Z$720,HLOOKUP(INDIRECT(ADDRESS(2,COLUMN())),OFFSET($AM$2,0,0,ROW()-1,33),ROW()-1,FALSE))</f>
        <v>0</v>
      </c>
      <c r="AA319">
        <f ca="1">IF(AND(ISNUMBER($AA$720),$B$427=1),$AA$720,HLOOKUP(INDIRECT(ADDRESS(2,COLUMN())),OFFSET($AM$2,0,0,ROW()-1,33),ROW()-1,FALSE))</f>
        <v>6.7811900000000003E-3</v>
      </c>
      <c r="AB319">
        <f ca="1">IF(AND(ISNUMBER($AB$720),$B$427=1),$AB$720,HLOOKUP(INDIRECT(ADDRESS(2,COLUMN())),OFFSET($AM$2,0,0,ROW()-1,33),ROW()-1,FALSE))</f>
        <v>7.5787859999999997E-3</v>
      </c>
      <c r="AC319">
        <f ca="1">IF(AND(ISNUMBER($AC$720),$B$427=1),$AC$720,HLOOKUP(INDIRECT(ADDRESS(2,COLUMN())),OFFSET($AM$2,0,0,ROW()-1,33),ROW()-1,FALSE))</f>
        <v>8.1446829999999998E-3</v>
      </c>
      <c r="AD319" t="str">
        <f ca="1">IF(AND(ISNUMBER($AD$720),$B$427=1),$AD$720,HLOOKUP(INDIRECT(ADDRESS(2,COLUMN())),OFFSET($AM$2,0,0,ROW()-1,33),ROW()-1,FALSE))</f>
        <v/>
      </c>
      <c r="AE319" t="str">
        <f ca="1">IF(AND(ISNUMBER($AE$720),$B$427=1),$AE$720,HLOOKUP(INDIRECT(ADDRESS(2,COLUMN())),OFFSET($AM$2,0,0,ROW()-1,33),ROW()-1,FALSE))</f>
        <v/>
      </c>
      <c r="AF319" t="str">
        <f ca="1">IF(AND(ISNUMBER($AF$720),$B$427=1),$AF$720,HLOOKUP(INDIRECT(ADDRESS(2,COLUMN())),OFFSET($AM$2,0,0,ROW()-1,33),ROW()-1,FALSE))</f>
        <v/>
      </c>
      <c r="AG319" t="str">
        <f ca="1">IF(AND(ISNUMBER($AG$720),$B$427=1),$AG$720,HLOOKUP(INDIRECT(ADDRESS(2,COLUMN())),OFFSET($AM$2,0,0,ROW()-1,33),ROW()-1,FALSE))</f>
        <v/>
      </c>
      <c r="AH319" t="str">
        <f ca="1">IF(AND(ISNUMBER($AH$720),$B$427=1),$AH$720,HLOOKUP(INDIRECT(ADDRESS(2,COLUMN())),OFFSET($AM$2,0,0,ROW()-1,33),ROW()-1,FALSE))</f>
        <v/>
      </c>
      <c r="AI319" t="str">
        <f ca="1">IF(AND(ISNUMBER($AI$720),$B$427=1),$AI$720,HLOOKUP(INDIRECT(ADDRESS(2,COLUMN())),OFFSET($AM$2,0,0,ROW()-1,33),ROW()-1,FALSE))</f>
        <v/>
      </c>
      <c r="AJ319" t="str">
        <f ca="1">IF(AND(ISNUMBER($AJ$720),$B$427=1),$AJ$720,HLOOKUP(INDIRECT(ADDRESS(2,COLUMN())),OFFSET($AM$2,0,0,ROW()-1,33),ROW()-1,FALSE))</f>
        <v/>
      </c>
      <c r="AK319" t="str">
        <f ca="1">IF(AND(ISNUMBER($AK$720),$B$427=1),$AK$720,HLOOKUP(INDIRECT(ADDRESS(2,COLUMN())),OFFSET($AM$2,0,0,ROW()-1,33),ROW()-1,FALSE))</f>
        <v/>
      </c>
      <c r="AL319" t="str">
        <f ca="1">IF(AND(ISNUMBER($AL$720),$B$427=1),$AL$720,HLOOKUP(INDIRECT(ADDRESS(2,COLUMN())),OFFSET($AM$2,0,0,ROW()-1,33),ROW()-1,FALSE))</f>
        <v/>
      </c>
      <c r="AM319">
        <f>0.002954966</f>
        <v>2.9549659999999998E-3</v>
      </c>
      <c r="AN319">
        <f>0.006075249</f>
        <v>6.0752489999999996E-3</v>
      </c>
      <c r="AO319">
        <f>0.040585669</f>
        <v>4.0585668999999998E-2</v>
      </c>
      <c r="AP319">
        <f>0.021472922</f>
        <v>2.1472921999999998E-2</v>
      </c>
      <c r="AQ319">
        <f>0.014374004</f>
        <v>1.4374003999999999E-2</v>
      </c>
      <c r="AR319">
        <f>0.078154557</f>
        <v>7.8154557E-2</v>
      </c>
      <c r="AS319">
        <f>0.153999337</f>
        <v>0.15399933699999999</v>
      </c>
      <c r="AT319">
        <f>0.047193835</f>
        <v>4.7193835000000003E-2</v>
      </c>
      <c r="AU319">
        <f>0.046965907</f>
        <v>4.6965907000000001E-2</v>
      </c>
      <c r="AV319">
        <f>0.045240247</f>
        <v>4.5240246999999997E-2</v>
      </c>
      <c r="AW319">
        <f>0.052303836</f>
        <v>5.2303835999999999E-2</v>
      </c>
      <c r="AX319">
        <f>0.037631107</f>
        <v>3.7631106999999997E-2</v>
      </c>
      <c r="AY319">
        <f>0.005429649</f>
        <v>5.4296489999999999E-3</v>
      </c>
      <c r="AZ319">
        <f>0.042765615</f>
        <v>4.2765615E-2</v>
      </c>
      <c r="BA319">
        <f>0.015470027</f>
        <v>1.5470027000000001E-2</v>
      </c>
      <c r="BB319">
        <f>0.016908263</f>
        <v>1.6908263E-2</v>
      </c>
      <c r="BC319">
        <f>0.011205768</f>
        <v>1.1205768E-2</v>
      </c>
      <c r="BD319">
        <f>0.03062234</f>
        <v>3.0622340000000001E-2</v>
      </c>
      <c r="BE319">
        <f>0.027185541</f>
        <v>2.7185541000000001E-2</v>
      </c>
      <c r="BF319">
        <f>0.003491355</f>
        <v>3.4913549999999998E-3</v>
      </c>
      <c r="BG319">
        <f>0</f>
        <v>0</v>
      </c>
      <c r="BH319">
        <f>0.00678119</f>
        <v>6.7811900000000003E-3</v>
      </c>
      <c r="BI319">
        <f>0.007578786</f>
        <v>7.5787859999999997E-3</v>
      </c>
      <c r="BJ319">
        <f>0.008144683</f>
        <v>8.1446829999999998E-3</v>
      </c>
      <c r="BK319" t="str">
        <f>""</f>
        <v/>
      </c>
      <c r="BL319" t="str">
        <f>""</f>
        <v/>
      </c>
      <c r="BM319" t="str">
        <f>""</f>
        <v/>
      </c>
      <c r="BN319" t="str">
        <f>""</f>
        <v/>
      </c>
      <c r="BO319" t="str">
        <f>""</f>
        <v/>
      </c>
      <c r="BP319" t="str">
        <f>""</f>
        <v/>
      </c>
      <c r="BQ319" t="str">
        <f>""</f>
        <v/>
      </c>
      <c r="BR319" t="str">
        <f>""</f>
        <v/>
      </c>
      <c r="BS319" t="str">
        <f>""</f>
        <v/>
      </c>
    </row>
    <row r="320" spans="1:71" x14ac:dyDescent="0.25">
      <c r="A320" t="str">
        <f>"        M&amp;T Bank Corp"</f>
        <v xml:space="preserve">        M&amp;T Bank Corp</v>
      </c>
      <c r="B320" t="str">
        <f>"MTB US Equity"</f>
        <v>MTB US Equity</v>
      </c>
      <c r="C320" t="str">
        <f t="shared" si="42"/>
        <v>F0124</v>
      </c>
      <c r="D320" t="str">
        <f t="shared" si="43"/>
        <v>FED_FOR_BANK_LNS_%_TOT_LNS_LEAS</v>
      </c>
      <c r="E320" t="str">
        <f t="shared" si="44"/>
        <v>Dynamic</v>
      </c>
      <c r="F320">
        <f ca="1">IF(AND(ISNUMBER($F$721),$B$427=1),$F$721,HLOOKUP(INDIRECT(ADDRESS(2,COLUMN())),OFFSET($AM$2,0,0,ROW()-1,33),ROW()-1,FALSE))</f>
        <v>0</v>
      </c>
      <c r="G320">
        <f ca="1">IF(AND(ISNUMBER($G$721),$B$427=1),$G$721,HLOOKUP(INDIRECT(ADDRESS(2,COLUMN())),OFFSET($AM$2,0,0,ROW()-1,33),ROW()-1,FALSE))</f>
        <v>0</v>
      </c>
      <c r="H320">
        <f ca="1">IF(AND(ISNUMBER($H$721),$B$427=1),$H$721,HLOOKUP(INDIRECT(ADDRESS(2,COLUMN())),OFFSET($AM$2,0,0,ROW()-1,33),ROW()-1,FALSE))</f>
        <v>0</v>
      </c>
      <c r="I320">
        <f ca="1">IF(AND(ISNUMBER($I$721),$B$427=1),$I$721,HLOOKUP(INDIRECT(ADDRESS(2,COLUMN())),OFFSET($AM$2,0,0,ROW()-1,33),ROW()-1,FALSE))</f>
        <v>0</v>
      </c>
      <c r="J320">
        <f ca="1">IF(AND(ISNUMBER($J$721),$B$427=1),$J$721,HLOOKUP(INDIRECT(ADDRESS(2,COLUMN())),OFFSET($AM$2,0,0,ROW()-1,33),ROW()-1,FALSE))</f>
        <v>0</v>
      </c>
      <c r="K320">
        <f ca="1">IF(AND(ISNUMBER($K$721),$B$427=1),$K$721,HLOOKUP(INDIRECT(ADDRESS(2,COLUMN())),OFFSET($AM$2,0,0,ROW()-1,33),ROW()-1,FALSE))</f>
        <v>1.02284E-4</v>
      </c>
      <c r="L320">
        <f ca="1">IF(AND(ISNUMBER($L$721),$B$427=1),$L$721,HLOOKUP(INDIRECT(ADDRESS(2,COLUMN())),OFFSET($AM$2,0,0,ROW()-1,33),ROW()-1,FALSE))</f>
        <v>0</v>
      </c>
      <c r="M320">
        <f ca="1">IF(AND(ISNUMBER($M$721),$B$427=1),$M$721,HLOOKUP(INDIRECT(ADDRESS(2,COLUMN())),OFFSET($AM$2,0,0,ROW()-1,33),ROW()-1,FALSE))</f>
        <v>0</v>
      </c>
      <c r="N320">
        <f ca="1">IF(AND(ISNUMBER($N$721),$B$427=1),$N$721,HLOOKUP(INDIRECT(ADDRESS(2,COLUMN())),OFFSET($AM$2,0,0,ROW()-1,33),ROW()-1,FALSE))</f>
        <v>0</v>
      </c>
      <c r="O320">
        <f ca="1">IF(AND(ISNUMBER($O$721),$B$427=1),$O$721,HLOOKUP(INDIRECT(ADDRESS(2,COLUMN())),OFFSET($AM$2,0,0,ROW()-1,33),ROW()-1,FALSE))</f>
        <v>0</v>
      </c>
      <c r="P320">
        <f ca="1">IF(AND(ISNUMBER($P$721),$B$427=1),$P$721,HLOOKUP(INDIRECT(ADDRESS(2,COLUMN())),OFFSET($AM$2,0,0,ROW()-1,33),ROW()-1,FALSE))</f>
        <v>0</v>
      </c>
      <c r="Q320">
        <f ca="1">IF(AND(ISNUMBER($Q$721),$B$427=1),$Q$721,HLOOKUP(INDIRECT(ADDRESS(2,COLUMN())),OFFSET($AM$2,0,0,ROW()-1,33),ROW()-1,FALSE))</f>
        <v>0</v>
      </c>
      <c r="R320">
        <f ca="1">IF(AND(ISNUMBER($R$721),$B$427=1),$R$721,HLOOKUP(INDIRECT(ADDRESS(2,COLUMN())),OFFSET($AM$2,0,0,ROW()-1,33),ROW()-1,FALSE))</f>
        <v>0</v>
      </c>
      <c r="S320">
        <f ca="1">IF(AND(ISNUMBER($S$721),$B$427=1),$S$721,HLOOKUP(INDIRECT(ADDRESS(2,COLUMN())),OFFSET($AM$2,0,0,ROW()-1,33),ROW()-1,FALSE))</f>
        <v>0</v>
      </c>
      <c r="T320">
        <f ca="1">IF(AND(ISNUMBER($T$721),$B$427=1),$T$721,HLOOKUP(INDIRECT(ADDRESS(2,COLUMN())),OFFSET($AM$2,0,0,ROW()-1,33),ROW()-1,FALSE))</f>
        <v>0</v>
      </c>
      <c r="U320">
        <f ca="1">IF(AND(ISNUMBER($U$721),$B$427=1),$U$721,HLOOKUP(INDIRECT(ADDRESS(2,COLUMN())),OFFSET($AM$2,0,0,ROW()-1,33),ROW()-1,FALSE))</f>
        <v>0</v>
      </c>
      <c r="V320">
        <f ca="1">IF(AND(ISNUMBER($V$721),$B$427=1),$V$721,HLOOKUP(INDIRECT(ADDRESS(2,COLUMN())),OFFSET($AM$2,0,0,ROW()-1,33),ROW()-1,FALSE))</f>
        <v>1.8163089999999999E-3</v>
      </c>
      <c r="W320">
        <f ca="1">IF(AND(ISNUMBER($W$721),$B$427=1),$W$721,HLOOKUP(INDIRECT(ADDRESS(2,COLUMN())),OFFSET($AM$2,0,0,ROW()-1,33),ROW()-1,FALSE))</f>
        <v>5.2059899999999999E-5</v>
      </c>
      <c r="X320">
        <f ca="1">IF(AND(ISNUMBER($X$721),$B$427=1),$X$721,HLOOKUP(INDIRECT(ADDRESS(2,COLUMN())),OFFSET($AM$2,0,0,ROW()-1,33),ROW()-1,FALSE))</f>
        <v>1.5274539999999999E-3</v>
      </c>
      <c r="Y320">
        <f ca="1">IF(AND(ISNUMBER($Y$721),$B$427=1),$Y$721,HLOOKUP(INDIRECT(ADDRESS(2,COLUMN())),OFFSET($AM$2,0,0,ROW()-1,33),ROW()-1,FALSE))</f>
        <v>2.6429034000000001E-2</v>
      </c>
      <c r="Z320">
        <f ca="1">IF(AND(ISNUMBER($Z$721),$B$427=1),$Z$721,HLOOKUP(INDIRECT(ADDRESS(2,COLUMN())),OFFSET($AM$2,0,0,ROW()-1,33),ROW()-1,FALSE))</f>
        <v>7.8753120000000006E-3</v>
      </c>
      <c r="AA320">
        <f ca="1">IF(AND(ISNUMBER($AA$721),$B$427=1),$AA$721,HLOOKUP(INDIRECT(ADDRESS(2,COLUMN())),OFFSET($AM$2,0,0,ROW()-1,33),ROW()-1,FALSE))</f>
        <v>2.3707020000000001E-3</v>
      </c>
      <c r="AB320">
        <f ca="1">IF(AND(ISNUMBER($AB$721),$B$427=1),$AB$721,HLOOKUP(INDIRECT(ADDRESS(2,COLUMN())),OFFSET($AM$2,0,0,ROW()-1,33),ROW()-1,FALSE))</f>
        <v>0</v>
      </c>
      <c r="AC320">
        <f ca="1">IF(AND(ISNUMBER($AC$721),$B$427=1),$AC$721,HLOOKUP(INDIRECT(ADDRESS(2,COLUMN())),OFFSET($AM$2,0,0,ROW()-1,33),ROW()-1,FALSE))</f>
        <v>0</v>
      </c>
      <c r="AD320" t="str">
        <f ca="1">IF(AND(ISNUMBER($AD$721),$B$427=1),$AD$721,HLOOKUP(INDIRECT(ADDRESS(2,COLUMN())),OFFSET($AM$2,0,0,ROW()-1,33),ROW()-1,FALSE))</f>
        <v/>
      </c>
      <c r="AE320" t="str">
        <f ca="1">IF(AND(ISNUMBER($AE$721),$B$427=1),$AE$721,HLOOKUP(INDIRECT(ADDRESS(2,COLUMN())),OFFSET($AM$2,0,0,ROW()-1,33),ROW()-1,FALSE))</f>
        <v/>
      </c>
      <c r="AF320" t="str">
        <f ca="1">IF(AND(ISNUMBER($AF$721),$B$427=1),$AF$721,HLOOKUP(INDIRECT(ADDRESS(2,COLUMN())),OFFSET($AM$2,0,0,ROW()-1,33),ROW()-1,FALSE))</f>
        <v/>
      </c>
      <c r="AG320" t="str">
        <f ca="1">IF(AND(ISNUMBER($AG$721),$B$427=1),$AG$721,HLOOKUP(INDIRECT(ADDRESS(2,COLUMN())),OFFSET($AM$2,0,0,ROW()-1,33),ROW()-1,FALSE))</f>
        <v/>
      </c>
      <c r="AH320" t="str">
        <f ca="1">IF(AND(ISNUMBER($AH$721),$B$427=1),$AH$721,HLOOKUP(INDIRECT(ADDRESS(2,COLUMN())),OFFSET($AM$2,0,0,ROW()-1,33),ROW()-1,FALSE))</f>
        <v/>
      </c>
      <c r="AI320" t="str">
        <f ca="1">IF(AND(ISNUMBER($AI$721),$B$427=1),$AI$721,HLOOKUP(INDIRECT(ADDRESS(2,COLUMN())),OFFSET($AM$2,0,0,ROW()-1,33),ROW()-1,FALSE))</f>
        <v/>
      </c>
      <c r="AJ320" t="str">
        <f ca="1">IF(AND(ISNUMBER($AJ$721),$B$427=1),$AJ$721,HLOOKUP(INDIRECT(ADDRESS(2,COLUMN())),OFFSET($AM$2,0,0,ROW()-1,33),ROW()-1,FALSE))</f>
        <v/>
      </c>
      <c r="AK320" t="str">
        <f ca="1">IF(AND(ISNUMBER($AK$721),$B$427=1),$AK$721,HLOOKUP(INDIRECT(ADDRESS(2,COLUMN())),OFFSET($AM$2,0,0,ROW()-1,33),ROW()-1,FALSE))</f>
        <v/>
      </c>
      <c r="AL320" t="str">
        <f ca="1">IF(AND(ISNUMBER($AL$721),$B$427=1),$AL$721,HLOOKUP(INDIRECT(ADDRESS(2,COLUMN())),OFFSET($AM$2,0,0,ROW()-1,33),ROW()-1,FALSE))</f>
        <v/>
      </c>
      <c r="AM320">
        <f>0</f>
        <v>0</v>
      </c>
      <c r="AN320">
        <f>0</f>
        <v>0</v>
      </c>
      <c r="AO320">
        <f>0</f>
        <v>0</v>
      </c>
      <c r="AP320">
        <f>0</f>
        <v>0</v>
      </c>
      <c r="AQ320">
        <f>0</f>
        <v>0</v>
      </c>
      <c r="AR320">
        <f>0.000102284</f>
        <v>1.02284E-4</v>
      </c>
      <c r="AS320">
        <f>0</f>
        <v>0</v>
      </c>
      <c r="AT320">
        <f>0</f>
        <v>0</v>
      </c>
      <c r="AU320">
        <f>0</f>
        <v>0</v>
      </c>
      <c r="AV320">
        <f>0</f>
        <v>0</v>
      </c>
      <c r="AW320">
        <f>0</f>
        <v>0</v>
      </c>
      <c r="AX320">
        <f>0</f>
        <v>0</v>
      </c>
      <c r="AY320">
        <f>0</f>
        <v>0</v>
      </c>
      <c r="AZ320">
        <f>0</f>
        <v>0</v>
      </c>
      <c r="BA320">
        <f>0</f>
        <v>0</v>
      </c>
      <c r="BB320">
        <f>0</f>
        <v>0</v>
      </c>
      <c r="BC320">
        <f>0.001816309</f>
        <v>1.8163089999999999E-3</v>
      </c>
      <c r="BD320">
        <f>0.0000520599</f>
        <v>5.2059899999999999E-5</v>
      </c>
      <c r="BE320">
        <f>0.001527454</f>
        <v>1.5274539999999999E-3</v>
      </c>
      <c r="BF320">
        <f>0.026429034</f>
        <v>2.6429034000000001E-2</v>
      </c>
      <c r="BG320">
        <f>0.007875312</f>
        <v>7.8753120000000006E-3</v>
      </c>
      <c r="BH320">
        <f>0.002370702</f>
        <v>2.3707020000000001E-3</v>
      </c>
      <c r="BI320">
        <f>0</f>
        <v>0</v>
      </c>
      <c r="BJ320">
        <f>0</f>
        <v>0</v>
      </c>
      <c r="BK320" t="str">
        <f>""</f>
        <v/>
      </c>
      <c r="BL320" t="str">
        <f>""</f>
        <v/>
      </c>
      <c r="BM320" t="str">
        <f>""</f>
        <v/>
      </c>
      <c r="BN320" t="str">
        <f>""</f>
        <v/>
      </c>
      <c r="BO320" t="str">
        <f>""</f>
        <v/>
      </c>
      <c r="BP320" t="str">
        <f>""</f>
        <v/>
      </c>
      <c r="BQ320" t="str">
        <f>""</f>
        <v/>
      </c>
      <c r="BR320" t="str">
        <f>""</f>
        <v/>
      </c>
      <c r="BS320" t="str">
        <f>""</f>
        <v/>
      </c>
    </row>
    <row r="321" spans="1:71" x14ac:dyDescent="0.25">
      <c r="A321" t="str">
        <f>"        PNC Financial Services Group I"</f>
        <v xml:space="preserve">        PNC Financial Services Group I</v>
      </c>
      <c r="B321" t="str">
        <f>"PNC US Equity"</f>
        <v>PNC US Equity</v>
      </c>
      <c r="C321" t="str">
        <f t="shared" si="42"/>
        <v>F0124</v>
      </c>
      <c r="D321" t="str">
        <f t="shared" si="43"/>
        <v>FED_FOR_BANK_LNS_%_TOT_LNS_LEAS</v>
      </c>
      <c r="E321" t="str">
        <f t="shared" si="44"/>
        <v>Dynamic</v>
      </c>
      <c r="F321" t="str">
        <f ca="1">IF(AND(ISNUMBER($F$722),$B$427=1),$F$722,HLOOKUP(INDIRECT(ADDRESS(2,COLUMN())),OFFSET($AM$2,0,0,ROW()-1,33),ROW()-1,FALSE))</f>
        <v/>
      </c>
      <c r="G321">
        <f ca="1">IF(AND(ISNUMBER($G$722),$B$427=1),$G$722,HLOOKUP(INDIRECT(ADDRESS(2,COLUMN())),OFFSET($AM$2,0,0,ROW()-1,33),ROW()-1,FALSE))</f>
        <v>2.8850767999999999E-2</v>
      </c>
      <c r="H321">
        <f ca="1">IF(AND(ISNUMBER($H$722),$B$427=1),$H$722,HLOOKUP(INDIRECT(ADDRESS(2,COLUMN())),OFFSET($AM$2,0,0,ROW()-1,33),ROW()-1,FALSE))</f>
        <v>5.1825731999999999E-2</v>
      </c>
      <c r="I321">
        <f ca="1">IF(AND(ISNUMBER($I$722),$B$427=1),$I$722,HLOOKUP(INDIRECT(ADDRESS(2,COLUMN())),OFFSET($AM$2,0,0,ROW()-1,33),ROW()-1,FALSE))</f>
        <v>1.0363298E-2</v>
      </c>
      <c r="J321">
        <f ca="1">IF(AND(ISNUMBER($J$722),$B$427=1),$J$722,HLOOKUP(INDIRECT(ADDRESS(2,COLUMN())),OFFSET($AM$2,0,0,ROW()-1,33),ROW()-1,FALSE))</f>
        <v>6.4096359999999998E-3</v>
      </c>
      <c r="K321">
        <f ca="1">IF(AND(ISNUMBER($K$722),$B$427=1),$K$722,HLOOKUP(INDIRECT(ADDRESS(2,COLUMN())),OFFSET($AM$2,0,0,ROW()-1,33),ROW()-1,FALSE))</f>
        <v>6.69475E-4</v>
      </c>
      <c r="L321">
        <f ca="1">IF(AND(ISNUMBER($L$722),$B$427=1),$L$722,HLOOKUP(INDIRECT(ADDRESS(2,COLUMN())),OFFSET($AM$2,0,0,ROW()-1,33),ROW()-1,FALSE))</f>
        <v>4.9896250000000001E-3</v>
      </c>
      <c r="M321">
        <f ca="1">IF(AND(ISNUMBER($M$722),$B$427=1),$M$722,HLOOKUP(INDIRECT(ADDRESS(2,COLUMN())),OFFSET($AM$2,0,0,ROW()-1,33),ROW()-1,FALSE))</f>
        <v>2.4084471999999999E-2</v>
      </c>
      <c r="N321">
        <f ca="1">IF(AND(ISNUMBER($N$722),$B$427=1),$N$722,HLOOKUP(INDIRECT(ADDRESS(2,COLUMN())),OFFSET($AM$2,0,0,ROW()-1,33),ROW()-1,FALSE))</f>
        <v>2.6533167E-2</v>
      </c>
      <c r="O321">
        <f ca="1">IF(AND(ISNUMBER($O$722),$B$427=1),$O$722,HLOOKUP(INDIRECT(ADDRESS(2,COLUMN())),OFFSET($AM$2,0,0,ROW()-1,33),ROW()-1,FALSE))</f>
        <v>3.2148005E-2</v>
      </c>
      <c r="P321">
        <f ca="1">IF(AND(ISNUMBER($P$722),$B$427=1),$P$722,HLOOKUP(INDIRECT(ADDRESS(2,COLUMN())),OFFSET($AM$2,0,0,ROW()-1,33),ROW()-1,FALSE))</f>
        <v>5.0613511999999999E-2</v>
      </c>
      <c r="Q321">
        <f ca="1">IF(AND(ISNUMBER($Q$722),$B$427=1),$Q$722,HLOOKUP(INDIRECT(ADDRESS(2,COLUMN())),OFFSET($AM$2,0,0,ROW()-1,33),ROW()-1,FALSE))</f>
        <v>3.2903306E-2</v>
      </c>
      <c r="R321">
        <f ca="1">IF(AND(ISNUMBER($R$722),$B$427=1),$R$722,HLOOKUP(INDIRECT(ADDRESS(2,COLUMN())),OFFSET($AM$2,0,0,ROW()-1,33),ROW()-1,FALSE))</f>
        <v>4.2752827E-2</v>
      </c>
      <c r="S321">
        <f ca="1">IF(AND(ISNUMBER($S$722),$B$427=1),$S$722,HLOOKUP(INDIRECT(ADDRESS(2,COLUMN())),OFFSET($AM$2,0,0,ROW()-1,33),ROW()-1,FALSE))</f>
        <v>8.3108100000000004E-2</v>
      </c>
      <c r="T321">
        <f ca="1">IF(AND(ISNUMBER($T$722),$B$427=1),$T$722,HLOOKUP(INDIRECT(ADDRESS(2,COLUMN())),OFFSET($AM$2,0,0,ROW()-1,33),ROW()-1,FALSE))</f>
        <v>9.2361814E-2</v>
      </c>
      <c r="U321">
        <f ca="1">IF(AND(ISNUMBER($U$722),$B$427=1),$U$722,HLOOKUP(INDIRECT(ADDRESS(2,COLUMN())),OFFSET($AM$2,0,0,ROW()-1,33),ROW()-1,FALSE))</f>
        <v>0.16850915499999999</v>
      </c>
      <c r="V321">
        <f ca="1">IF(AND(ISNUMBER($V$722),$B$427=1),$V$722,HLOOKUP(INDIRECT(ADDRESS(2,COLUMN())),OFFSET($AM$2,0,0,ROW()-1,33),ROW()-1,FALSE))</f>
        <v>0.481373728</v>
      </c>
      <c r="W321">
        <f ca="1">IF(AND(ISNUMBER($W$722),$B$427=1),$W$722,HLOOKUP(INDIRECT(ADDRESS(2,COLUMN())),OFFSET($AM$2,0,0,ROW()-1,33),ROW()-1,FALSE))</f>
        <v>5.6305399999999999E-3</v>
      </c>
      <c r="X321">
        <f ca="1">IF(AND(ISNUMBER($X$722),$B$427=1),$X$722,HLOOKUP(INDIRECT(ADDRESS(2,COLUMN())),OFFSET($AM$2,0,0,ROW()-1,33),ROW()-1,FALSE))</f>
        <v>1.0911745E-2</v>
      </c>
      <c r="Y321">
        <f ca="1">IF(AND(ISNUMBER($Y$722),$B$427=1),$Y$722,HLOOKUP(INDIRECT(ADDRESS(2,COLUMN())),OFFSET($AM$2,0,0,ROW()-1,33),ROW()-1,FALSE))</f>
        <v>5.79394E-4</v>
      </c>
      <c r="Z321">
        <f ca="1">IF(AND(ISNUMBER($Z$722),$B$427=1),$Z$722,HLOOKUP(INDIRECT(ADDRESS(2,COLUMN())),OFFSET($AM$2,0,0,ROW()-1,33),ROW()-1,FALSE))</f>
        <v>1.5233029999999999E-3</v>
      </c>
      <c r="AA321">
        <f ca="1">IF(AND(ISNUMBER($AA$722),$B$427=1),$AA$722,HLOOKUP(INDIRECT(ADDRESS(2,COLUMN())),OFFSET($AM$2,0,0,ROW()-1,33),ROW()-1,FALSE))</f>
        <v>1.625711E-3</v>
      </c>
      <c r="AB321">
        <f ca="1">IF(AND(ISNUMBER($AB$722),$B$427=1),$AB$722,HLOOKUP(INDIRECT(ADDRESS(2,COLUMN())),OFFSET($AM$2,0,0,ROW()-1,33),ROW()-1,FALSE))</f>
        <v>9.3906481999999999E-2</v>
      </c>
      <c r="AC321">
        <f ca="1">IF(AND(ISNUMBER($AC$722),$B$427=1),$AC$722,HLOOKUP(INDIRECT(ADDRESS(2,COLUMN())),OFFSET($AM$2,0,0,ROW()-1,33),ROW()-1,FALSE))</f>
        <v>1.8597288E-2</v>
      </c>
      <c r="AD321" t="str">
        <f ca="1">IF(AND(ISNUMBER($AD$722),$B$427=1),$AD$722,HLOOKUP(INDIRECT(ADDRESS(2,COLUMN())),OFFSET($AM$2,0,0,ROW()-1,33),ROW()-1,FALSE))</f>
        <v/>
      </c>
      <c r="AE321" t="str">
        <f ca="1">IF(AND(ISNUMBER($AE$722),$B$427=1),$AE$722,HLOOKUP(INDIRECT(ADDRESS(2,COLUMN())),OFFSET($AM$2,0,0,ROW()-1,33),ROW()-1,FALSE))</f>
        <v/>
      </c>
      <c r="AF321" t="str">
        <f ca="1">IF(AND(ISNUMBER($AF$722),$B$427=1),$AF$722,HLOOKUP(INDIRECT(ADDRESS(2,COLUMN())),OFFSET($AM$2,0,0,ROW()-1,33),ROW()-1,FALSE))</f>
        <v/>
      </c>
      <c r="AG321" t="str">
        <f ca="1">IF(AND(ISNUMBER($AG$722),$B$427=1),$AG$722,HLOOKUP(INDIRECT(ADDRESS(2,COLUMN())),OFFSET($AM$2,0,0,ROW()-1,33),ROW()-1,FALSE))</f>
        <v/>
      </c>
      <c r="AH321" t="str">
        <f ca="1">IF(AND(ISNUMBER($AH$722),$B$427=1),$AH$722,HLOOKUP(INDIRECT(ADDRESS(2,COLUMN())),OFFSET($AM$2,0,0,ROW()-1,33),ROW()-1,FALSE))</f>
        <v/>
      </c>
      <c r="AI321" t="str">
        <f ca="1">IF(AND(ISNUMBER($AI$722),$B$427=1),$AI$722,HLOOKUP(INDIRECT(ADDRESS(2,COLUMN())),OFFSET($AM$2,0,0,ROW()-1,33),ROW()-1,FALSE))</f>
        <v/>
      </c>
      <c r="AJ321" t="str">
        <f ca="1">IF(AND(ISNUMBER($AJ$722),$B$427=1),$AJ$722,HLOOKUP(INDIRECT(ADDRESS(2,COLUMN())),OFFSET($AM$2,0,0,ROW()-1,33),ROW()-1,FALSE))</f>
        <v/>
      </c>
      <c r="AK321" t="str">
        <f ca="1">IF(AND(ISNUMBER($AK$722),$B$427=1),$AK$722,HLOOKUP(INDIRECT(ADDRESS(2,COLUMN())),OFFSET($AM$2,0,0,ROW()-1,33),ROW()-1,FALSE))</f>
        <v/>
      </c>
      <c r="AL321" t="str">
        <f ca="1">IF(AND(ISNUMBER($AL$722),$B$427=1),$AL$722,HLOOKUP(INDIRECT(ADDRESS(2,COLUMN())),OFFSET($AM$2,0,0,ROW()-1,33),ROW()-1,FALSE))</f>
        <v/>
      </c>
      <c r="AM321" t="str">
        <f>""</f>
        <v/>
      </c>
      <c r="AN321">
        <f>0.028850768</f>
        <v>2.8850767999999999E-2</v>
      </c>
      <c r="AO321">
        <f>0.051825732</f>
        <v>5.1825731999999999E-2</v>
      </c>
      <c r="AP321">
        <f>0.010363298</f>
        <v>1.0363298E-2</v>
      </c>
      <c r="AQ321">
        <f>0.006409636</f>
        <v>6.4096359999999998E-3</v>
      </c>
      <c r="AR321">
        <f>0.000669475</f>
        <v>6.69475E-4</v>
      </c>
      <c r="AS321">
        <f>0.004989625</f>
        <v>4.9896250000000001E-3</v>
      </c>
      <c r="AT321">
        <f>0.024084472</f>
        <v>2.4084471999999999E-2</v>
      </c>
      <c r="AU321">
        <f>0.026533167</f>
        <v>2.6533167E-2</v>
      </c>
      <c r="AV321">
        <f>0.032148005</f>
        <v>3.2148005E-2</v>
      </c>
      <c r="AW321">
        <f>0.050613512</f>
        <v>5.0613511999999999E-2</v>
      </c>
      <c r="AX321">
        <f>0.032903306</f>
        <v>3.2903306E-2</v>
      </c>
      <c r="AY321">
        <f>0.042752827</f>
        <v>4.2752827E-2</v>
      </c>
      <c r="AZ321">
        <f>0.0831081</f>
        <v>8.3108100000000004E-2</v>
      </c>
      <c r="BA321">
        <f>0.092361814</f>
        <v>9.2361814E-2</v>
      </c>
      <c r="BB321">
        <f>0.168509155</f>
        <v>0.16850915499999999</v>
      </c>
      <c r="BC321">
        <f>0.481373728</f>
        <v>0.481373728</v>
      </c>
      <c r="BD321">
        <f>0.00563054</f>
        <v>5.6305399999999999E-3</v>
      </c>
      <c r="BE321">
        <f>0.010911745</f>
        <v>1.0911745E-2</v>
      </c>
      <c r="BF321">
        <f>0.000579394</f>
        <v>5.79394E-4</v>
      </c>
      <c r="BG321">
        <f>0.001523303</f>
        <v>1.5233029999999999E-3</v>
      </c>
      <c r="BH321">
        <f>0.001625711</f>
        <v>1.625711E-3</v>
      </c>
      <c r="BI321">
        <f>0.093906482</f>
        <v>9.3906481999999999E-2</v>
      </c>
      <c r="BJ321">
        <f>0.018597288</f>
        <v>1.8597288E-2</v>
      </c>
      <c r="BK321" t="str">
        <f>""</f>
        <v/>
      </c>
      <c r="BL321" t="str">
        <f>""</f>
        <v/>
      </c>
      <c r="BM321" t="str">
        <f>""</f>
        <v/>
      </c>
      <c r="BN321" t="str">
        <f>""</f>
        <v/>
      </c>
      <c r="BO321" t="str">
        <f>""</f>
        <v/>
      </c>
      <c r="BP321" t="str">
        <f>""</f>
        <v/>
      </c>
      <c r="BQ321" t="str">
        <f>""</f>
        <v/>
      </c>
      <c r="BR321" t="str">
        <f>""</f>
        <v/>
      </c>
      <c r="BS321" t="str">
        <f>""</f>
        <v/>
      </c>
    </row>
    <row r="322" spans="1:71" x14ac:dyDescent="0.25">
      <c r="A322" t="str">
        <f>"        Regions Financial Corp"</f>
        <v xml:space="preserve">        Regions Financial Corp</v>
      </c>
      <c r="B322" t="str">
        <f>"RF US Equity"</f>
        <v>RF US Equity</v>
      </c>
      <c r="C322" t="str">
        <f t="shared" si="42"/>
        <v>F0124</v>
      </c>
      <c r="D322" t="str">
        <f t="shared" si="43"/>
        <v>FED_FOR_BANK_LNS_%_TOT_LNS_LEAS</v>
      </c>
      <c r="E322" t="str">
        <f t="shared" si="44"/>
        <v>Dynamic</v>
      </c>
      <c r="F322" t="str">
        <f ca="1">IF(AND(ISNUMBER($F$723),$B$427=1),$F$723,HLOOKUP(INDIRECT(ADDRESS(2,COLUMN())),OFFSET($AM$2,0,0,ROW()-1,33),ROW()-1,FALSE))</f>
        <v/>
      </c>
      <c r="G322">
        <f ca="1">IF(AND(ISNUMBER($G$723),$B$427=1),$G$723,HLOOKUP(INDIRECT(ADDRESS(2,COLUMN())),OFFSET($AM$2,0,0,ROW()-1,33),ROW()-1,FALSE))</f>
        <v>0</v>
      </c>
      <c r="H322">
        <f ca="1">IF(AND(ISNUMBER($H$723),$B$427=1),$H$723,HLOOKUP(INDIRECT(ADDRESS(2,COLUMN())),OFFSET($AM$2,0,0,ROW()-1,33),ROW()-1,FALSE))</f>
        <v>0</v>
      </c>
      <c r="I322">
        <f ca="1">IF(AND(ISNUMBER($I$723),$B$427=1),$I$723,HLOOKUP(INDIRECT(ADDRESS(2,COLUMN())),OFFSET($AM$2,0,0,ROW()-1,33),ROW()-1,FALSE))</f>
        <v>0</v>
      </c>
      <c r="J322">
        <f ca="1">IF(AND(ISNUMBER($J$723),$B$427=1),$J$723,HLOOKUP(INDIRECT(ADDRESS(2,COLUMN())),OFFSET($AM$2,0,0,ROW()-1,33),ROW()-1,FALSE))</f>
        <v>0</v>
      </c>
      <c r="K322">
        <f ca="1">IF(AND(ISNUMBER($K$723),$B$427=1),$K$723,HLOOKUP(INDIRECT(ADDRESS(2,COLUMN())),OFFSET($AM$2,0,0,ROW()-1,33),ROW()-1,FALSE))</f>
        <v>0</v>
      </c>
      <c r="L322">
        <f ca="1">IF(AND(ISNUMBER($L$723),$B$427=1),$L$723,HLOOKUP(INDIRECT(ADDRESS(2,COLUMN())),OFFSET($AM$2,0,0,ROW()-1,33),ROW()-1,FALSE))</f>
        <v>0</v>
      </c>
      <c r="M322">
        <f ca="1">IF(AND(ISNUMBER($M$723),$B$427=1),$M$723,HLOOKUP(INDIRECT(ADDRESS(2,COLUMN())),OFFSET($AM$2,0,0,ROW()-1,33),ROW()-1,FALSE))</f>
        <v>0</v>
      </c>
      <c r="N322">
        <f ca="1">IF(AND(ISNUMBER($N$723),$B$427=1),$N$723,HLOOKUP(INDIRECT(ADDRESS(2,COLUMN())),OFFSET($AM$2,0,0,ROW()-1,33),ROW()-1,FALSE))</f>
        <v>0</v>
      </c>
      <c r="O322">
        <f ca="1">IF(AND(ISNUMBER($O$723),$B$427=1),$O$723,HLOOKUP(INDIRECT(ADDRESS(2,COLUMN())),OFFSET($AM$2,0,0,ROW()-1,33),ROW()-1,FALSE))</f>
        <v>0</v>
      </c>
      <c r="P322">
        <f ca="1">IF(AND(ISNUMBER($P$723),$B$427=1),$P$723,HLOOKUP(INDIRECT(ADDRESS(2,COLUMN())),OFFSET($AM$2,0,0,ROW()-1,33),ROW()-1,FALSE))</f>
        <v>0</v>
      </c>
      <c r="Q322">
        <f ca="1">IF(AND(ISNUMBER($Q$723),$B$427=1),$Q$723,HLOOKUP(INDIRECT(ADDRESS(2,COLUMN())),OFFSET($AM$2,0,0,ROW()-1,33),ROW()-1,FALSE))</f>
        <v>0</v>
      </c>
      <c r="R322">
        <f ca="1">IF(AND(ISNUMBER($R$723),$B$427=1),$R$723,HLOOKUP(INDIRECT(ADDRESS(2,COLUMN())),OFFSET($AM$2,0,0,ROW()-1,33),ROW()-1,FALSE))</f>
        <v>0</v>
      </c>
      <c r="S322">
        <f ca="1">IF(AND(ISNUMBER($S$723),$B$427=1),$S$723,HLOOKUP(INDIRECT(ADDRESS(2,COLUMN())),OFFSET($AM$2,0,0,ROW()-1,33),ROW()-1,FALSE))</f>
        <v>0</v>
      </c>
      <c r="T322">
        <f ca="1">IF(AND(ISNUMBER($T$723),$B$427=1),$T$723,HLOOKUP(INDIRECT(ADDRESS(2,COLUMN())),OFFSET($AM$2,0,0,ROW()-1,33),ROW()-1,FALSE))</f>
        <v>2.3692470000000001E-3</v>
      </c>
      <c r="U322">
        <f ca="1">IF(AND(ISNUMBER($U$723),$B$427=1),$U$723,HLOOKUP(INDIRECT(ADDRESS(2,COLUMN())),OFFSET($AM$2,0,0,ROW()-1,33),ROW()-1,FALSE))</f>
        <v>4.3363459999999996E-3</v>
      </c>
      <c r="V322">
        <f ca="1">IF(AND(ISNUMBER($V$723),$B$427=1),$V$723,HLOOKUP(INDIRECT(ADDRESS(2,COLUMN())),OFFSET($AM$2,0,0,ROW()-1,33),ROW()-1,FALSE))</f>
        <v>6.0691929999999996E-3</v>
      </c>
      <c r="W322">
        <f ca="1">IF(AND(ISNUMBER($W$723),$B$427=1),$W$723,HLOOKUP(INDIRECT(ADDRESS(2,COLUMN())),OFFSET($AM$2,0,0,ROW()-1,33),ROW()-1,FALSE))</f>
        <v>2.745413E-2</v>
      </c>
      <c r="X322">
        <f ca="1">IF(AND(ISNUMBER($X$723),$B$427=1),$X$723,HLOOKUP(INDIRECT(ADDRESS(2,COLUMN())),OFFSET($AM$2,0,0,ROW()-1,33),ROW()-1,FALSE))</f>
        <v>0.41715753</v>
      </c>
      <c r="Y322">
        <f ca="1">IF(AND(ISNUMBER($Y$723),$B$427=1),$Y$723,HLOOKUP(INDIRECT(ADDRESS(2,COLUMN())),OFFSET($AM$2,0,0,ROW()-1,33),ROW()-1,FALSE))</f>
        <v>0.60465260600000004</v>
      </c>
      <c r="Z322">
        <f ca="1">IF(AND(ISNUMBER($Z$723),$B$427=1),$Z$723,HLOOKUP(INDIRECT(ADDRESS(2,COLUMN())),OFFSET($AM$2,0,0,ROW()-1,33),ROW()-1,FALSE))</f>
        <v>0.55145407000000002</v>
      </c>
      <c r="AA322" t="str">
        <f ca="1">IF(AND(ISNUMBER($AA$723),$B$427=1),$AA$723,HLOOKUP(INDIRECT(ADDRESS(2,COLUMN())),OFFSET($AM$2,0,0,ROW()-1,33),ROW()-1,FALSE))</f>
        <v/>
      </c>
      <c r="AB322" t="str">
        <f ca="1">IF(AND(ISNUMBER($AB$723),$B$427=1),$AB$723,HLOOKUP(INDIRECT(ADDRESS(2,COLUMN())),OFFSET($AM$2,0,0,ROW()-1,33),ROW()-1,FALSE))</f>
        <v/>
      </c>
      <c r="AC322" t="str">
        <f ca="1">IF(AND(ISNUMBER($AC$723),$B$427=1),$AC$723,HLOOKUP(INDIRECT(ADDRESS(2,COLUMN())),OFFSET($AM$2,0,0,ROW()-1,33),ROW()-1,FALSE))</f>
        <v/>
      </c>
      <c r="AD322" t="str">
        <f ca="1">IF(AND(ISNUMBER($AD$723),$B$427=1),$AD$723,HLOOKUP(INDIRECT(ADDRESS(2,COLUMN())),OFFSET($AM$2,0,0,ROW()-1,33),ROW()-1,FALSE))</f>
        <v/>
      </c>
      <c r="AE322" t="str">
        <f ca="1">IF(AND(ISNUMBER($AE$723),$B$427=1),$AE$723,HLOOKUP(INDIRECT(ADDRESS(2,COLUMN())),OFFSET($AM$2,0,0,ROW()-1,33),ROW()-1,FALSE))</f>
        <v/>
      </c>
      <c r="AF322" t="str">
        <f ca="1">IF(AND(ISNUMBER($AF$723),$B$427=1),$AF$723,HLOOKUP(INDIRECT(ADDRESS(2,COLUMN())),OFFSET($AM$2,0,0,ROW()-1,33),ROW()-1,FALSE))</f>
        <v/>
      </c>
      <c r="AG322" t="str">
        <f ca="1">IF(AND(ISNUMBER($AG$723),$B$427=1),$AG$723,HLOOKUP(INDIRECT(ADDRESS(2,COLUMN())),OFFSET($AM$2,0,0,ROW()-1,33),ROW()-1,FALSE))</f>
        <v/>
      </c>
      <c r="AH322" t="str">
        <f ca="1">IF(AND(ISNUMBER($AH$723),$B$427=1),$AH$723,HLOOKUP(INDIRECT(ADDRESS(2,COLUMN())),OFFSET($AM$2,0,0,ROW()-1,33),ROW()-1,FALSE))</f>
        <v/>
      </c>
      <c r="AI322" t="str">
        <f ca="1">IF(AND(ISNUMBER($AI$723),$B$427=1),$AI$723,HLOOKUP(INDIRECT(ADDRESS(2,COLUMN())),OFFSET($AM$2,0,0,ROW()-1,33),ROW()-1,FALSE))</f>
        <v/>
      </c>
      <c r="AJ322" t="str">
        <f ca="1">IF(AND(ISNUMBER($AJ$723),$B$427=1),$AJ$723,HLOOKUP(INDIRECT(ADDRESS(2,COLUMN())),OFFSET($AM$2,0,0,ROW()-1,33),ROW()-1,FALSE))</f>
        <v/>
      </c>
      <c r="AK322" t="str">
        <f ca="1">IF(AND(ISNUMBER($AK$723),$B$427=1),$AK$723,HLOOKUP(INDIRECT(ADDRESS(2,COLUMN())),OFFSET($AM$2,0,0,ROW()-1,33),ROW()-1,FALSE))</f>
        <v/>
      </c>
      <c r="AL322" t="str">
        <f ca="1">IF(AND(ISNUMBER($AL$723),$B$427=1),$AL$723,HLOOKUP(INDIRECT(ADDRESS(2,COLUMN())),OFFSET($AM$2,0,0,ROW()-1,33),ROW()-1,FALSE))</f>
        <v/>
      </c>
      <c r="AM322" t="str">
        <f>""</f>
        <v/>
      </c>
      <c r="AN322">
        <f>0</f>
        <v>0</v>
      </c>
      <c r="AO322">
        <f>0</f>
        <v>0</v>
      </c>
      <c r="AP322">
        <f>0</f>
        <v>0</v>
      </c>
      <c r="AQ322">
        <f>0</f>
        <v>0</v>
      </c>
      <c r="AR322">
        <f>0</f>
        <v>0</v>
      </c>
      <c r="AS322">
        <f>0</f>
        <v>0</v>
      </c>
      <c r="AT322">
        <f>0</f>
        <v>0</v>
      </c>
      <c r="AU322">
        <f>0</f>
        <v>0</v>
      </c>
      <c r="AV322">
        <f>0</f>
        <v>0</v>
      </c>
      <c r="AW322">
        <f>0</f>
        <v>0</v>
      </c>
      <c r="AX322">
        <f>0</f>
        <v>0</v>
      </c>
      <c r="AY322">
        <f>0</f>
        <v>0</v>
      </c>
      <c r="AZ322">
        <f>0</f>
        <v>0</v>
      </c>
      <c r="BA322">
        <f>0.002369247</f>
        <v>2.3692470000000001E-3</v>
      </c>
      <c r="BB322">
        <f>0.004336346</f>
        <v>4.3363459999999996E-3</v>
      </c>
      <c r="BC322">
        <f>0.006069193</f>
        <v>6.0691929999999996E-3</v>
      </c>
      <c r="BD322">
        <f>0.02745413</f>
        <v>2.745413E-2</v>
      </c>
      <c r="BE322">
        <f>0.41715753</f>
        <v>0.41715753</v>
      </c>
      <c r="BF322">
        <f>0.604652606</f>
        <v>0.60465260600000004</v>
      </c>
      <c r="BG322">
        <f>0.55145407</f>
        <v>0.55145407000000002</v>
      </c>
      <c r="BH322" t="str">
        <f>""</f>
        <v/>
      </c>
      <c r="BI322" t="str">
        <f>""</f>
        <v/>
      </c>
      <c r="BJ322" t="str">
        <f>""</f>
        <v/>
      </c>
      <c r="BK322" t="str">
        <f>""</f>
        <v/>
      </c>
      <c r="BL322" t="str">
        <f>""</f>
        <v/>
      </c>
      <c r="BM322" t="str">
        <f>""</f>
        <v/>
      </c>
      <c r="BN322" t="str">
        <f>""</f>
        <v/>
      </c>
      <c r="BO322" t="str">
        <f>""</f>
        <v/>
      </c>
      <c r="BP322" t="str">
        <f>""</f>
        <v/>
      </c>
      <c r="BQ322" t="str">
        <f>""</f>
        <v/>
      </c>
      <c r="BR322" t="str">
        <f>""</f>
        <v/>
      </c>
      <c r="BS322" t="str">
        <f>""</f>
        <v/>
      </c>
    </row>
    <row r="323" spans="1:71" x14ac:dyDescent="0.25">
      <c r="A323" t="str">
        <f>"        Truist Financial Corp"</f>
        <v xml:space="preserve">        Truist Financial Corp</v>
      </c>
      <c r="B323" t="str">
        <f>"TFC US Equity"</f>
        <v>TFC US Equity</v>
      </c>
      <c r="C323" t="str">
        <f t="shared" si="42"/>
        <v>F0124</v>
      </c>
      <c r="D323" t="str">
        <f t="shared" si="43"/>
        <v>FED_FOR_BANK_LNS_%_TOT_LNS_LEAS</v>
      </c>
      <c r="E323" t="str">
        <f t="shared" si="44"/>
        <v>Dynamic</v>
      </c>
      <c r="F323">
        <f ca="1">IF(AND(ISNUMBER($F$724),$B$427=1),$F$724,HLOOKUP(INDIRECT(ADDRESS(2,COLUMN())),OFFSET($AM$2,0,0,ROW()-1,33),ROW()-1,FALSE))</f>
        <v>0</v>
      </c>
      <c r="G323">
        <f ca="1">IF(AND(ISNUMBER($G$724),$B$427=1),$G$724,HLOOKUP(INDIRECT(ADDRESS(2,COLUMN())),OFFSET($AM$2,0,0,ROW()-1,33),ROW()-1,FALSE))</f>
        <v>0</v>
      </c>
      <c r="H323">
        <f ca="1">IF(AND(ISNUMBER($H$724),$B$427=1),$H$724,HLOOKUP(INDIRECT(ADDRESS(2,COLUMN())),OFFSET($AM$2,0,0,ROW()-1,33),ROW()-1,FALSE))</f>
        <v>0</v>
      </c>
      <c r="I323">
        <f ca="1">IF(AND(ISNUMBER($I$724),$B$427=1),$I$724,HLOOKUP(INDIRECT(ADDRESS(2,COLUMN())),OFFSET($AM$2,0,0,ROW()-1,33),ROW()-1,FALSE))</f>
        <v>0</v>
      </c>
      <c r="J323">
        <f ca="1">IF(AND(ISNUMBER($J$724),$B$427=1),$J$724,HLOOKUP(INDIRECT(ADDRESS(2,COLUMN())),OFFSET($AM$2,0,0,ROW()-1,33),ROW()-1,FALSE))</f>
        <v>0</v>
      </c>
      <c r="K323">
        <f ca="1">IF(AND(ISNUMBER($K$724),$B$427=1),$K$724,HLOOKUP(INDIRECT(ADDRESS(2,COLUMN())),OFFSET($AM$2,0,0,ROW()-1,33),ROW()-1,FALSE))</f>
        <v>6.4889799999999997E-4</v>
      </c>
      <c r="L323">
        <f ca="1">IF(AND(ISNUMBER($L$724),$B$427=1),$L$724,HLOOKUP(INDIRECT(ADDRESS(2,COLUMN())),OFFSET($AM$2,0,0,ROW()-1,33),ROW()-1,FALSE))</f>
        <v>0</v>
      </c>
      <c r="M323">
        <f ca="1">IF(AND(ISNUMBER($M$724),$B$427=1),$M$724,HLOOKUP(INDIRECT(ADDRESS(2,COLUMN())),OFFSET($AM$2,0,0,ROW()-1,33),ROW()-1,FALSE))</f>
        <v>0</v>
      </c>
      <c r="N323">
        <f ca="1">IF(AND(ISNUMBER($N$724),$B$427=1),$N$724,HLOOKUP(INDIRECT(ADDRESS(2,COLUMN())),OFFSET($AM$2,0,0,ROW()-1,33),ROW()-1,FALSE))</f>
        <v>1.2900100000000001E-3</v>
      </c>
      <c r="O323">
        <f ca="1">IF(AND(ISNUMBER($O$724),$B$427=1),$O$724,HLOOKUP(INDIRECT(ADDRESS(2,COLUMN())),OFFSET($AM$2,0,0,ROW()-1,33),ROW()-1,FALSE))</f>
        <v>7.3768915000000004E-2</v>
      </c>
      <c r="P323">
        <f ca="1">IF(AND(ISNUMBER($P$724),$B$427=1),$P$724,HLOOKUP(INDIRECT(ADDRESS(2,COLUMN())),OFFSET($AM$2,0,0,ROW()-1,33),ROW()-1,FALSE))</f>
        <v>0.116730163</v>
      </c>
      <c r="Q323">
        <f ca="1">IF(AND(ISNUMBER($Q$724),$B$427=1),$Q$724,HLOOKUP(INDIRECT(ADDRESS(2,COLUMN())),OFFSET($AM$2,0,0,ROW()-1,33),ROW()-1,FALSE))</f>
        <v>0.110242007</v>
      </c>
      <c r="R323">
        <f ca="1">IF(AND(ISNUMBER($R$724),$B$427=1),$R$724,HLOOKUP(INDIRECT(ADDRESS(2,COLUMN())),OFFSET($AM$2,0,0,ROW()-1,33),ROW()-1,FALSE))</f>
        <v>6.0524949999999998E-3</v>
      </c>
      <c r="S323">
        <f ca="1">IF(AND(ISNUMBER($S$724),$B$427=1),$S$724,HLOOKUP(INDIRECT(ADDRESS(2,COLUMN())),OFFSET($AM$2,0,0,ROW()-1,33),ROW()-1,FALSE))</f>
        <v>0.21673300100000001</v>
      </c>
      <c r="T323">
        <f ca="1">IF(AND(ISNUMBER($T$724),$B$427=1),$T$724,HLOOKUP(INDIRECT(ADDRESS(2,COLUMN())),OFFSET($AM$2,0,0,ROW()-1,33),ROW()-1,FALSE))</f>
        <v>0.22859478</v>
      </c>
      <c r="U323">
        <f ca="1">IF(AND(ISNUMBER($U$724),$B$427=1),$U$724,HLOOKUP(INDIRECT(ADDRESS(2,COLUMN())),OFFSET($AM$2,0,0,ROW()-1,33),ROW()-1,FALSE))</f>
        <v>0</v>
      </c>
      <c r="V323">
        <f ca="1">IF(AND(ISNUMBER($V$724),$B$427=1),$V$724,HLOOKUP(INDIRECT(ADDRESS(2,COLUMN())),OFFSET($AM$2,0,0,ROW()-1,33),ROW()-1,FALSE))</f>
        <v>0</v>
      </c>
      <c r="W323">
        <f ca="1">IF(AND(ISNUMBER($W$724),$B$427=1),$W$724,HLOOKUP(INDIRECT(ADDRESS(2,COLUMN())),OFFSET($AM$2,0,0,ROW()-1,33),ROW()-1,FALSE))</f>
        <v>0</v>
      </c>
      <c r="X323">
        <f ca="1">IF(AND(ISNUMBER($X$724),$B$427=1),$X$724,HLOOKUP(INDIRECT(ADDRESS(2,COLUMN())),OFFSET($AM$2,0,0,ROW()-1,33),ROW()-1,FALSE))</f>
        <v>0</v>
      </c>
      <c r="Y323">
        <f ca="1">IF(AND(ISNUMBER($Y$724),$B$427=1),$Y$724,HLOOKUP(INDIRECT(ADDRESS(2,COLUMN())),OFFSET($AM$2,0,0,ROW()-1,33),ROW()-1,FALSE))</f>
        <v>0</v>
      </c>
      <c r="Z323">
        <f ca="1">IF(AND(ISNUMBER($Z$724),$B$427=1),$Z$724,HLOOKUP(INDIRECT(ADDRESS(2,COLUMN())),OFFSET($AM$2,0,0,ROW()-1,33),ROW()-1,FALSE))</f>
        <v>0</v>
      </c>
      <c r="AA323">
        <f ca="1">IF(AND(ISNUMBER($AA$724),$B$427=1),$AA$724,HLOOKUP(INDIRECT(ADDRESS(2,COLUMN())),OFFSET($AM$2,0,0,ROW()-1,33),ROW()-1,FALSE))</f>
        <v>0</v>
      </c>
      <c r="AB323">
        <f ca="1">IF(AND(ISNUMBER($AB$724),$B$427=1),$AB$724,HLOOKUP(INDIRECT(ADDRESS(2,COLUMN())),OFFSET($AM$2,0,0,ROW()-1,33),ROW()-1,FALSE))</f>
        <v>3.9463989999999997E-3</v>
      </c>
      <c r="AC323">
        <f ca="1">IF(AND(ISNUMBER($AC$724),$B$427=1),$AC$724,HLOOKUP(INDIRECT(ADDRESS(2,COLUMN())),OFFSET($AM$2,0,0,ROW()-1,33),ROW()-1,FALSE))</f>
        <v>6.2579499999999995E-4</v>
      </c>
      <c r="AD323" t="str">
        <f ca="1">IF(AND(ISNUMBER($AD$724),$B$427=1),$AD$724,HLOOKUP(INDIRECT(ADDRESS(2,COLUMN())),OFFSET($AM$2,0,0,ROW()-1,33),ROW()-1,FALSE))</f>
        <v/>
      </c>
      <c r="AE323" t="str">
        <f ca="1">IF(AND(ISNUMBER($AE$724),$B$427=1),$AE$724,HLOOKUP(INDIRECT(ADDRESS(2,COLUMN())),OFFSET($AM$2,0,0,ROW()-1,33),ROW()-1,FALSE))</f>
        <v/>
      </c>
      <c r="AF323" t="str">
        <f ca="1">IF(AND(ISNUMBER($AF$724),$B$427=1),$AF$724,HLOOKUP(INDIRECT(ADDRESS(2,COLUMN())),OFFSET($AM$2,0,0,ROW()-1,33),ROW()-1,FALSE))</f>
        <v/>
      </c>
      <c r="AG323" t="str">
        <f ca="1">IF(AND(ISNUMBER($AG$724),$B$427=1),$AG$724,HLOOKUP(INDIRECT(ADDRESS(2,COLUMN())),OFFSET($AM$2,0,0,ROW()-1,33),ROW()-1,FALSE))</f>
        <v/>
      </c>
      <c r="AH323" t="str">
        <f ca="1">IF(AND(ISNUMBER($AH$724),$B$427=1),$AH$724,HLOOKUP(INDIRECT(ADDRESS(2,COLUMN())),OFFSET($AM$2,0,0,ROW()-1,33),ROW()-1,FALSE))</f>
        <v/>
      </c>
      <c r="AI323" t="str">
        <f ca="1">IF(AND(ISNUMBER($AI$724),$B$427=1),$AI$724,HLOOKUP(INDIRECT(ADDRESS(2,COLUMN())),OFFSET($AM$2,0,0,ROW()-1,33),ROW()-1,FALSE))</f>
        <v/>
      </c>
      <c r="AJ323" t="str">
        <f ca="1">IF(AND(ISNUMBER($AJ$724),$B$427=1),$AJ$724,HLOOKUP(INDIRECT(ADDRESS(2,COLUMN())),OFFSET($AM$2,0,0,ROW()-1,33),ROW()-1,FALSE))</f>
        <v/>
      </c>
      <c r="AK323" t="str">
        <f ca="1">IF(AND(ISNUMBER($AK$724),$B$427=1),$AK$724,HLOOKUP(INDIRECT(ADDRESS(2,COLUMN())),OFFSET($AM$2,0,0,ROW()-1,33),ROW()-1,FALSE))</f>
        <v/>
      </c>
      <c r="AL323" t="str">
        <f ca="1">IF(AND(ISNUMBER($AL$724),$B$427=1),$AL$724,HLOOKUP(INDIRECT(ADDRESS(2,COLUMN())),OFFSET($AM$2,0,0,ROW()-1,33),ROW()-1,FALSE))</f>
        <v/>
      </c>
      <c r="AM323">
        <f>0</f>
        <v>0</v>
      </c>
      <c r="AN323">
        <f>0</f>
        <v>0</v>
      </c>
      <c r="AO323">
        <f>0</f>
        <v>0</v>
      </c>
      <c r="AP323">
        <f>0</f>
        <v>0</v>
      </c>
      <c r="AQ323">
        <f>0</f>
        <v>0</v>
      </c>
      <c r="AR323">
        <f>0.000648898</f>
        <v>6.4889799999999997E-4</v>
      </c>
      <c r="AS323">
        <f>0</f>
        <v>0</v>
      </c>
      <c r="AT323">
        <f>0</f>
        <v>0</v>
      </c>
      <c r="AU323">
        <f>0.00129001</f>
        <v>1.2900100000000001E-3</v>
      </c>
      <c r="AV323">
        <f>0.073768915</f>
        <v>7.3768915000000004E-2</v>
      </c>
      <c r="AW323">
        <f>0.116730163</f>
        <v>0.116730163</v>
      </c>
      <c r="AX323">
        <f>0.110242007</f>
        <v>0.110242007</v>
      </c>
      <c r="AY323">
        <f>0.006052495</f>
        <v>6.0524949999999998E-3</v>
      </c>
      <c r="AZ323">
        <f>0.216733001</f>
        <v>0.21673300100000001</v>
      </c>
      <c r="BA323">
        <f>0.22859478</f>
        <v>0.22859478</v>
      </c>
      <c r="BB323">
        <f>0</f>
        <v>0</v>
      </c>
      <c r="BC323">
        <f>0</f>
        <v>0</v>
      </c>
      <c r="BD323">
        <f>0</f>
        <v>0</v>
      </c>
      <c r="BE323">
        <f>0</f>
        <v>0</v>
      </c>
      <c r="BF323">
        <f>0</f>
        <v>0</v>
      </c>
      <c r="BG323">
        <f>0</f>
        <v>0</v>
      </c>
      <c r="BH323">
        <f>0</f>
        <v>0</v>
      </c>
      <c r="BI323">
        <f>0.003946399</f>
        <v>3.9463989999999997E-3</v>
      </c>
      <c r="BJ323">
        <f>0.000625795</f>
        <v>6.2579499999999995E-4</v>
      </c>
      <c r="BK323" t="str">
        <f>""</f>
        <v/>
      </c>
      <c r="BL323" t="str">
        <f>""</f>
        <v/>
      </c>
      <c r="BM323" t="str">
        <f>""</f>
        <v/>
      </c>
      <c r="BN323" t="str">
        <f>""</f>
        <v/>
      </c>
      <c r="BO323" t="str">
        <f>""</f>
        <v/>
      </c>
      <c r="BP323" t="str">
        <f>""</f>
        <v/>
      </c>
      <c r="BQ323" t="str">
        <f>""</f>
        <v/>
      </c>
      <c r="BR323" t="str">
        <f>""</f>
        <v/>
      </c>
      <c r="BS323" t="str">
        <f>""</f>
        <v/>
      </c>
    </row>
    <row r="324" spans="1:71" x14ac:dyDescent="0.25">
      <c r="A324" t="str">
        <f>"        US Bancorp"</f>
        <v xml:space="preserve">        US Bancorp</v>
      </c>
      <c r="B324" t="str">
        <f>"USB US Equity"</f>
        <v>USB US Equity</v>
      </c>
      <c r="C324" t="str">
        <f t="shared" si="42"/>
        <v>F0124</v>
      </c>
      <c r="D324" t="str">
        <f t="shared" si="43"/>
        <v>FED_FOR_BANK_LNS_%_TOT_LNS_LEAS</v>
      </c>
      <c r="E324" t="str">
        <f t="shared" si="44"/>
        <v>Dynamic</v>
      </c>
      <c r="F324">
        <f ca="1">IF(AND(ISNUMBER($F$725),$B$427=1),$F$725,HLOOKUP(INDIRECT(ADDRESS(2,COLUMN())),OFFSET($AM$2,0,0,ROW()-1,33),ROW()-1,FALSE))</f>
        <v>9.8848080000000005E-2</v>
      </c>
      <c r="G324">
        <f ca="1">IF(AND(ISNUMBER($G$725),$B$427=1),$G$725,HLOOKUP(INDIRECT(ADDRESS(2,COLUMN())),OFFSET($AM$2,0,0,ROW()-1,33),ROW()-1,FALSE))</f>
        <v>6.9408248000000006E-2</v>
      </c>
      <c r="H324">
        <f ca="1">IF(AND(ISNUMBER($H$725),$B$427=1),$H$725,HLOOKUP(INDIRECT(ADDRESS(2,COLUMN())),OFFSET($AM$2,0,0,ROW()-1,33),ROW()-1,FALSE))</f>
        <v>1.7673591999999998E-2</v>
      </c>
      <c r="I324">
        <f ca="1">IF(AND(ISNUMBER($I$725),$B$427=1),$I$725,HLOOKUP(INDIRECT(ADDRESS(2,COLUMN())),OFFSET($AM$2,0,0,ROW()-1,33),ROW()-1,FALSE))</f>
        <v>5.3157730000000002E-3</v>
      </c>
      <c r="J324">
        <f ca="1">IF(AND(ISNUMBER($J$725),$B$427=1),$J$725,HLOOKUP(INDIRECT(ADDRESS(2,COLUMN())),OFFSET($AM$2,0,0,ROW()-1,33),ROW()-1,FALSE))</f>
        <v>1.0441547000000001E-2</v>
      </c>
      <c r="K324">
        <f ca="1">IF(AND(ISNUMBER($K$725),$B$427=1),$K$725,HLOOKUP(INDIRECT(ADDRESS(2,COLUMN())),OFFSET($AM$2,0,0,ROW()-1,33),ROW()-1,FALSE))</f>
        <v>6.2980639999999999E-3</v>
      </c>
      <c r="L324">
        <f ca="1">IF(AND(ISNUMBER($L$725),$B$427=1),$L$725,HLOOKUP(INDIRECT(ADDRESS(2,COLUMN())),OFFSET($AM$2,0,0,ROW()-1,33),ROW()-1,FALSE))</f>
        <v>7.2721230000000001E-3</v>
      </c>
      <c r="M324">
        <f ca="1">IF(AND(ISNUMBER($M$725),$B$427=1),$M$725,HLOOKUP(INDIRECT(ADDRESS(2,COLUMN())),OFFSET($AM$2,0,0,ROW()-1,33),ROW()-1,FALSE))</f>
        <v>2.1169399999999999E-3</v>
      </c>
      <c r="N324">
        <f ca="1">IF(AND(ISNUMBER($N$725),$B$427=1),$N$725,HLOOKUP(INDIRECT(ADDRESS(2,COLUMN())),OFFSET($AM$2,0,0,ROW()-1,33),ROW()-1,FALSE))</f>
        <v>1.2985653999999999E-2</v>
      </c>
      <c r="O324">
        <f ca="1">IF(AND(ISNUMBER($O$725),$B$427=1),$O$725,HLOOKUP(INDIRECT(ADDRESS(2,COLUMN())),OFFSET($AM$2,0,0,ROW()-1,33),ROW()-1,FALSE))</f>
        <v>1.0266121E-2</v>
      </c>
      <c r="P324">
        <f ca="1">IF(AND(ISNUMBER($P$725),$B$427=1),$P$725,HLOOKUP(INDIRECT(ADDRESS(2,COLUMN())),OFFSET($AM$2,0,0,ROW()-1,33),ROW()-1,FALSE))</f>
        <v>1.3122942E-2</v>
      </c>
      <c r="Q324">
        <f ca="1">IF(AND(ISNUMBER($Q$725),$B$427=1),$Q$725,HLOOKUP(INDIRECT(ADDRESS(2,COLUMN())),OFFSET($AM$2,0,0,ROW()-1,33),ROW()-1,FALSE))</f>
        <v>1.8573002000000002E-2</v>
      </c>
      <c r="R324">
        <f ca="1">IF(AND(ISNUMBER($R$725),$B$427=1),$R$725,HLOOKUP(INDIRECT(ADDRESS(2,COLUMN())),OFFSET($AM$2,0,0,ROW()-1,33),ROW()-1,FALSE))</f>
        <v>2.3910444999999999E-2</v>
      </c>
      <c r="S324">
        <f ca="1">IF(AND(ISNUMBER($S$725),$B$427=1),$S$725,HLOOKUP(INDIRECT(ADDRESS(2,COLUMN())),OFFSET($AM$2,0,0,ROW()-1,33),ROW()-1,FALSE))</f>
        <v>5.4554355999999998E-2</v>
      </c>
      <c r="T324">
        <f ca="1">IF(AND(ISNUMBER($T$725),$B$427=1),$T$725,HLOOKUP(INDIRECT(ADDRESS(2,COLUMN())),OFFSET($AM$2,0,0,ROW()-1,33),ROW()-1,FALSE))</f>
        <v>2.471638E-3</v>
      </c>
      <c r="U324">
        <f ca="1">IF(AND(ISNUMBER($U$725),$B$427=1),$U$725,HLOOKUP(INDIRECT(ADDRESS(2,COLUMN())),OFFSET($AM$2,0,0,ROW()-1,33),ROW()-1,FALSE))</f>
        <v>1.5035560000000001E-3</v>
      </c>
      <c r="V324">
        <f ca="1">IF(AND(ISNUMBER($V$725),$B$427=1),$V$725,HLOOKUP(INDIRECT(ADDRESS(2,COLUMN())),OFFSET($AM$2,0,0,ROW()-1,33),ROW()-1,FALSE))</f>
        <v>5.1019052000000002E-2</v>
      </c>
      <c r="W324">
        <f ca="1">IF(AND(ISNUMBER($W$725),$B$427=1),$W$725,HLOOKUP(INDIRECT(ADDRESS(2,COLUMN())),OFFSET($AM$2,0,0,ROW()-1,33),ROW()-1,FALSE))</f>
        <v>9.5810799000000002E-2</v>
      </c>
      <c r="X324">
        <f ca="1">IF(AND(ISNUMBER($X$725),$B$427=1),$X$725,HLOOKUP(INDIRECT(ADDRESS(2,COLUMN())),OFFSET($AM$2,0,0,ROW()-1,33),ROW()-1,FALSE))</f>
        <v>5.4476245E-2</v>
      </c>
      <c r="Y324">
        <f ca="1">IF(AND(ISNUMBER($Y$725),$B$427=1),$Y$725,HLOOKUP(INDIRECT(ADDRESS(2,COLUMN())),OFFSET($AM$2,0,0,ROW()-1,33),ROW()-1,FALSE))</f>
        <v>4.3730105999999998E-2</v>
      </c>
      <c r="Z324">
        <f ca="1">IF(AND(ISNUMBER($Z$725),$B$427=1),$Z$725,HLOOKUP(INDIRECT(ADDRESS(2,COLUMN())),OFFSET($AM$2,0,0,ROW()-1,33),ROW()-1,FALSE))</f>
        <v>5.3227296E-2</v>
      </c>
      <c r="AA324">
        <f ca="1">IF(AND(ISNUMBER($AA$725),$B$427=1),$AA$725,HLOOKUP(INDIRECT(ADDRESS(2,COLUMN())),OFFSET($AM$2,0,0,ROW()-1,33),ROW()-1,FALSE))</f>
        <v>6.1837751000000003E-2</v>
      </c>
      <c r="AB324">
        <f ca="1">IF(AND(ISNUMBER($AB$725),$B$427=1),$AB$725,HLOOKUP(INDIRECT(ADDRESS(2,COLUMN())),OFFSET($AM$2,0,0,ROW()-1,33),ROW()-1,FALSE))</f>
        <v>7.9727596999999997E-2</v>
      </c>
      <c r="AC324">
        <f ca="1">IF(AND(ISNUMBER($AC$725),$B$427=1),$AC$725,HLOOKUP(INDIRECT(ADDRESS(2,COLUMN())),OFFSET($AM$2,0,0,ROW()-1,33),ROW()-1,FALSE))</f>
        <v>0.174877373</v>
      </c>
      <c r="AD324" t="str">
        <f ca="1">IF(AND(ISNUMBER($AD$725),$B$427=1),$AD$725,HLOOKUP(INDIRECT(ADDRESS(2,COLUMN())),OFFSET($AM$2,0,0,ROW()-1,33),ROW()-1,FALSE))</f>
        <v/>
      </c>
      <c r="AE324" t="str">
        <f ca="1">IF(AND(ISNUMBER($AE$725),$B$427=1),$AE$725,HLOOKUP(INDIRECT(ADDRESS(2,COLUMN())),OFFSET($AM$2,0,0,ROW()-1,33),ROW()-1,FALSE))</f>
        <v/>
      </c>
      <c r="AF324" t="str">
        <f ca="1">IF(AND(ISNUMBER($AF$725),$B$427=1),$AF$725,HLOOKUP(INDIRECT(ADDRESS(2,COLUMN())),OFFSET($AM$2,0,0,ROW()-1,33),ROW()-1,FALSE))</f>
        <v/>
      </c>
      <c r="AG324" t="str">
        <f ca="1">IF(AND(ISNUMBER($AG$725),$B$427=1),$AG$725,HLOOKUP(INDIRECT(ADDRESS(2,COLUMN())),OFFSET($AM$2,0,0,ROW()-1,33),ROW()-1,FALSE))</f>
        <v/>
      </c>
      <c r="AH324" t="str">
        <f ca="1">IF(AND(ISNUMBER($AH$725),$B$427=1),$AH$725,HLOOKUP(INDIRECT(ADDRESS(2,COLUMN())),OFFSET($AM$2,0,0,ROW()-1,33),ROW()-1,FALSE))</f>
        <v/>
      </c>
      <c r="AI324" t="str">
        <f ca="1">IF(AND(ISNUMBER($AI$725),$B$427=1),$AI$725,HLOOKUP(INDIRECT(ADDRESS(2,COLUMN())),OFFSET($AM$2,0,0,ROW()-1,33),ROW()-1,FALSE))</f>
        <v/>
      </c>
      <c r="AJ324" t="str">
        <f ca="1">IF(AND(ISNUMBER($AJ$725),$B$427=1),$AJ$725,HLOOKUP(INDIRECT(ADDRESS(2,COLUMN())),OFFSET($AM$2,0,0,ROW()-1,33),ROW()-1,FALSE))</f>
        <v/>
      </c>
      <c r="AK324" t="str">
        <f ca="1">IF(AND(ISNUMBER($AK$725),$B$427=1),$AK$725,HLOOKUP(INDIRECT(ADDRESS(2,COLUMN())),OFFSET($AM$2,0,0,ROW()-1,33),ROW()-1,FALSE))</f>
        <v/>
      </c>
      <c r="AL324" t="str">
        <f ca="1">IF(AND(ISNUMBER($AL$725),$B$427=1),$AL$725,HLOOKUP(INDIRECT(ADDRESS(2,COLUMN())),OFFSET($AM$2,0,0,ROW()-1,33),ROW()-1,FALSE))</f>
        <v/>
      </c>
      <c r="AM324">
        <f>0.09884808</f>
        <v>9.8848080000000005E-2</v>
      </c>
      <c r="AN324">
        <f>0.069408248</f>
        <v>6.9408248000000006E-2</v>
      </c>
      <c r="AO324">
        <f>0.017673592</f>
        <v>1.7673591999999998E-2</v>
      </c>
      <c r="AP324">
        <f>0.005315773</f>
        <v>5.3157730000000002E-3</v>
      </c>
      <c r="AQ324">
        <f>0.010441547</f>
        <v>1.0441547000000001E-2</v>
      </c>
      <c r="AR324">
        <f>0.006298064</f>
        <v>6.2980639999999999E-3</v>
      </c>
      <c r="AS324">
        <f>0.007272123</f>
        <v>7.2721230000000001E-3</v>
      </c>
      <c r="AT324">
        <f>0.00211694</f>
        <v>2.1169399999999999E-3</v>
      </c>
      <c r="AU324">
        <f>0.012985654</f>
        <v>1.2985653999999999E-2</v>
      </c>
      <c r="AV324">
        <f>0.010266121</f>
        <v>1.0266121E-2</v>
      </c>
      <c r="AW324">
        <f>0.013122942</f>
        <v>1.3122942E-2</v>
      </c>
      <c r="AX324">
        <f>0.018573002</f>
        <v>1.8573002000000002E-2</v>
      </c>
      <c r="AY324">
        <f>0.023910445</f>
        <v>2.3910444999999999E-2</v>
      </c>
      <c r="AZ324">
        <f>0.054554356</f>
        <v>5.4554355999999998E-2</v>
      </c>
      <c r="BA324">
        <f>0.002471638</f>
        <v>2.471638E-3</v>
      </c>
      <c r="BB324">
        <f>0.001503556</f>
        <v>1.5035560000000001E-3</v>
      </c>
      <c r="BC324">
        <f>0.051019052</f>
        <v>5.1019052000000002E-2</v>
      </c>
      <c r="BD324">
        <f>0.095810799</f>
        <v>9.5810799000000002E-2</v>
      </c>
      <c r="BE324">
        <f>0.054476245</f>
        <v>5.4476245E-2</v>
      </c>
      <c r="BF324">
        <f>0.043730106</f>
        <v>4.3730105999999998E-2</v>
      </c>
      <c r="BG324">
        <f>0.053227296</f>
        <v>5.3227296E-2</v>
      </c>
      <c r="BH324">
        <f>0.061837751</f>
        <v>6.1837751000000003E-2</v>
      </c>
      <c r="BI324">
        <f>0.079727597</f>
        <v>7.9727596999999997E-2</v>
      </c>
      <c r="BJ324">
        <f>0.174877373</f>
        <v>0.174877373</v>
      </c>
      <c r="BK324" t="str">
        <f>""</f>
        <v/>
      </c>
      <c r="BL324" t="str">
        <f>""</f>
        <v/>
      </c>
      <c r="BM324" t="str">
        <f>""</f>
        <v/>
      </c>
      <c r="BN324" t="str">
        <f>""</f>
        <v/>
      </c>
      <c r="BO324" t="str">
        <f>""</f>
        <v/>
      </c>
      <c r="BP324" t="str">
        <f>""</f>
        <v/>
      </c>
      <c r="BQ324" t="str">
        <f>""</f>
        <v/>
      </c>
      <c r="BR324" t="str">
        <f>""</f>
        <v/>
      </c>
      <c r="BS324" t="str">
        <f>""</f>
        <v/>
      </c>
    </row>
    <row r="325" spans="1:71" x14ac:dyDescent="0.25">
      <c r="A325" t="str">
        <f>"        Wells Fargo &amp; Co"</f>
        <v xml:space="preserve">        Wells Fargo &amp; Co</v>
      </c>
      <c r="B325" t="str">
        <f>"WFC US Equity"</f>
        <v>WFC US Equity</v>
      </c>
      <c r="C325" t="str">
        <f t="shared" si="42"/>
        <v>F0124</v>
      </c>
      <c r="D325" t="str">
        <f t="shared" si="43"/>
        <v>FED_FOR_BANK_LNS_%_TOT_LNS_LEAS</v>
      </c>
      <c r="E325" t="str">
        <f t="shared" si="44"/>
        <v>Dynamic</v>
      </c>
      <c r="F325">
        <f ca="1">IF(AND(ISNUMBER($F$726),$B$427=1),$F$726,HLOOKUP(INDIRECT(ADDRESS(2,COLUMN())),OFFSET($AM$2,0,0,ROW()-1,33),ROW()-1,FALSE))</f>
        <v>0.80356733199999997</v>
      </c>
      <c r="G325">
        <f ca="1">IF(AND(ISNUMBER($G$726),$B$427=1),$G$726,HLOOKUP(INDIRECT(ADDRESS(2,COLUMN())),OFFSET($AM$2,0,0,ROW()-1,33),ROW()-1,FALSE))</f>
        <v>1.2170350860000001</v>
      </c>
      <c r="H325">
        <f ca="1">IF(AND(ISNUMBER($H$726),$B$427=1),$H$726,HLOOKUP(INDIRECT(ADDRESS(2,COLUMN())),OFFSET($AM$2,0,0,ROW()-1,33),ROW()-1,FALSE))</f>
        <v>1.464468871</v>
      </c>
      <c r="I325">
        <f ca="1">IF(AND(ISNUMBER($I$726),$B$427=1),$I$726,HLOOKUP(INDIRECT(ADDRESS(2,COLUMN())),OFFSET($AM$2,0,0,ROW()-1,33),ROW()-1,FALSE))</f>
        <v>1.7413397239999999</v>
      </c>
      <c r="J325">
        <f ca="1">IF(AND(ISNUMBER($J$726),$B$427=1),$J$726,HLOOKUP(INDIRECT(ADDRESS(2,COLUMN())),OFFSET($AM$2,0,0,ROW()-1,33),ROW()-1,FALSE))</f>
        <v>1.35109726</v>
      </c>
      <c r="K325">
        <f ca="1">IF(AND(ISNUMBER($K$726),$B$427=1),$K$726,HLOOKUP(INDIRECT(ADDRESS(2,COLUMN())),OFFSET($AM$2,0,0,ROW()-1,33),ROW()-1,FALSE))</f>
        <v>2.0181566950000001</v>
      </c>
      <c r="L325">
        <f ca="1">IF(AND(ISNUMBER($L$726),$B$427=1),$L$726,HLOOKUP(INDIRECT(ADDRESS(2,COLUMN())),OFFSET($AM$2,0,0,ROW()-1,33),ROW()-1,FALSE))</f>
        <v>1.64834937</v>
      </c>
      <c r="M325">
        <f ca="1">IF(AND(ISNUMBER($M$726),$B$427=1),$M$726,HLOOKUP(INDIRECT(ADDRESS(2,COLUMN())),OFFSET($AM$2,0,0,ROW()-1,33),ROW()-1,FALSE))</f>
        <v>1.688050837</v>
      </c>
      <c r="N325">
        <f ca="1">IF(AND(ISNUMBER($N$726),$B$427=1),$N$726,HLOOKUP(INDIRECT(ADDRESS(2,COLUMN())),OFFSET($AM$2,0,0,ROW()-1,33),ROW()-1,FALSE))</f>
        <v>1.7386177229999999</v>
      </c>
      <c r="O325">
        <f ca="1">IF(AND(ISNUMBER($O$726),$B$427=1),$O$726,HLOOKUP(INDIRECT(ADDRESS(2,COLUMN())),OFFSET($AM$2,0,0,ROW()-1,33),ROW()-1,FALSE))</f>
        <v>1.9364364679999999</v>
      </c>
      <c r="P325">
        <f ca="1">IF(AND(ISNUMBER($P$726),$B$427=1),$P$726,HLOOKUP(INDIRECT(ADDRESS(2,COLUMN())),OFFSET($AM$2,0,0,ROW()-1,33),ROW()-1,FALSE))</f>
        <v>1.855133736</v>
      </c>
      <c r="Q325">
        <f ca="1">IF(AND(ISNUMBER($Q$726),$B$427=1),$Q$726,HLOOKUP(INDIRECT(ADDRESS(2,COLUMN())),OFFSET($AM$2,0,0,ROW()-1,33),ROW()-1,FALSE))</f>
        <v>2.3796768529999999</v>
      </c>
      <c r="R325">
        <f ca="1">IF(AND(ISNUMBER($R$726),$B$427=1),$R$726,HLOOKUP(INDIRECT(ADDRESS(2,COLUMN())),OFFSET($AM$2,0,0,ROW()-1,33),ROW()-1,FALSE))</f>
        <v>1.8313469389999999</v>
      </c>
      <c r="S325">
        <f ca="1">IF(AND(ISNUMBER($S$726),$B$427=1),$S$726,HLOOKUP(INDIRECT(ADDRESS(2,COLUMN())),OFFSET($AM$2,0,0,ROW()-1,33),ROW()-1,FALSE))</f>
        <v>2.5716259460000002</v>
      </c>
      <c r="T325">
        <f ca="1">IF(AND(ISNUMBER($T$726),$B$427=1),$T$726,HLOOKUP(INDIRECT(ADDRESS(2,COLUMN())),OFFSET($AM$2,0,0,ROW()-1,33),ROW()-1,FALSE))</f>
        <v>1.7111620569999999</v>
      </c>
      <c r="U325">
        <f ca="1">IF(AND(ISNUMBER($U$726),$B$427=1),$U$726,HLOOKUP(INDIRECT(ADDRESS(2,COLUMN())),OFFSET($AM$2,0,0,ROW()-1,33),ROW()-1,FALSE))</f>
        <v>1.023324154</v>
      </c>
      <c r="V325">
        <f ca="1">IF(AND(ISNUMBER($V$726),$B$427=1),$V$726,HLOOKUP(INDIRECT(ADDRESS(2,COLUMN())),OFFSET($AM$2,0,0,ROW()-1,33),ROW()-1,FALSE))</f>
        <v>1.2363716339999999</v>
      </c>
      <c r="W325">
        <f ca="1">IF(AND(ISNUMBER($W$726),$B$427=1),$W$726,HLOOKUP(INDIRECT(ADDRESS(2,COLUMN())),OFFSET($AM$2,0,0,ROW()-1,33),ROW()-1,FALSE))</f>
        <v>0.11854872900000001</v>
      </c>
      <c r="X325">
        <f ca="1">IF(AND(ISNUMBER($X$726),$B$427=1),$X$726,HLOOKUP(INDIRECT(ADDRESS(2,COLUMN())),OFFSET($AM$2,0,0,ROW()-1,33),ROW()-1,FALSE))</f>
        <v>0.44487144099999998</v>
      </c>
      <c r="Y325">
        <f ca="1">IF(AND(ISNUMBER($Y$726),$B$427=1),$Y$726,HLOOKUP(INDIRECT(ADDRESS(2,COLUMN())),OFFSET($AM$2,0,0,ROW()-1,33),ROW()-1,FALSE))</f>
        <v>0.19802092700000001</v>
      </c>
      <c r="Z325">
        <f ca="1">IF(AND(ISNUMBER($Z$726),$B$427=1),$Z$726,HLOOKUP(INDIRECT(ADDRESS(2,COLUMN())),OFFSET($AM$2,0,0,ROW()-1,33),ROW()-1,FALSE))</f>
        <v>0.21469231499999999</v>
      </c>
      <c r="AA325">
        <f ca="1">IF(AND(ISNUMBER($AA$726),$B$427=1),$AA$726,HLOOKUP(INDIRECT(ADDRESS(2,COLUMN())),OFFSET($AM$2,0,0,ROW()-1,33),ROW()-1,FALSE))</f>
        <v>7.0097410999999998E-2</v>
      </c>
      <c r="AB325">
        <f ca="1">IF(AND(ISNUMBER($AB$726),$B$427=1),$AB$726,HLOOKUP(INDIRECT(ADDRESS(2,COLUMN())),OFFSET($AM$2,0,0,ROW()-1,33),ROW()-1,FALSE))</f>
        <v>7.5062978000000002E-2</v>
      </c>
      <c r="AC325">
        <f ca="1">IF(AND(ISNUMBER($AC$726),$B$427=1),$AC$726,HLOOKUP(INDIRECT(ADDRESS(2,COLUMN())),OFFSET($AM$2,0,0,ROW()-1,33),ROW()-1,FALSE))</f>
        <v>2.9376495999999998E-2</v>
      </c>
      <c r="AD325" t="str">
        <f ca="1">IF(AND(ISNUMBER($AD$726),$B$427=1),$AD$726,HLOOKUP(INDIRECT(ADDRESS(2,COLUMN())),OFFSET($AM$2,0,0,ROW()-1,33),ROW()-1,FALSE))</f>
        <v/>
      </c>
      <c r="AE325" t="str">
        <f ca="1">IF(AND(ISNUMBER($AE$726),$B$427=1),$AE$726,HLOOKUP(INDIRECT(ADDRESS(2,COLUMN())),OFFSET($AM$2,0,0,ROW()-1,33),ROW()-1,FALSE))</f>
        <v/>
      </c>
      <c r="AF325" t="str">
        <f ca="1">IF(AND(ISNUMBER($AF$726),$B$427=1),$AF$726,HLOOKUP(INDIRECT(ADDRESS(2,COLUMN())),OFFSET($AM$2,0,0,ROW()-1,33),ROW()-1,FALSE))</f>
        <v/>
      </c>
      <c r="AG325" t="str">
        <f ca="1">IF(AND(ISNUMBER($AG$726),$B$427=1),$AG$726,HLOOKUP(INDIRECT(ADDRESS(2,COLUMN())),OFFSET($AM$2,0,0,ROW()-1,33),ROW()-1,FALSE))</f>
        <v/>
      </c>
      <c r="AH325" t="str">
        <f ca="1">IF(AND(ISNUMBER($AH$726),$B$427=1),$AH$726,HLOOKUP(INDIRECT(ADDRESS(2,COLUMN())),OFFSET($AM$2,0,0,ROW()-1,33),ROW()-1,FALSE))</f>
        <v/>
      </c>
      <c r="AI325" t="str">
        <f ca="1">IF(AND(ISNUMBER($AI$726),$B$427=1),$AI$726,HLOOKUP(INDIRECT(ADDRESS(2,COLUMN())),OFFSET($AM$2,0,0,ROW()-1,33),ROW()-1,FALSE))</f>
        <v/>
      </c>
      <c r="AJ325" t="str">
        <f ca="1">IF(AND(ISNUMBER($AJ$726),$B$427=1),$AJ$726,HLOOKUP(INDIRECT(ADDRESS(2,COLUMN())),OFFSET($AM$2,0,0,ROW()-1,33),ROW()-1,FALSE))</f>
        <v/>
      </c>
      <c r="AK325" t="str">
        <f ca="1">IF(AND(ISNUMBER($AK$726),$B$427=1),$AK$726,HLOOKUP(INDIRECT(ADDRESS(2,COLUMN())),OFFSET($AM$2,0,0,ROW()-1,33),ROW()-1,FALSE))</f>
        <v/>
      </c>
      <c r="AL325" t="str">
        <f ca="1">IF(AND(ISNUMBER($AL$726),$B$427=1),$AL$726,HLOOKUP(INDIRECT(ADDRESS(2,COLUMN())),OFFSET($AM$2,0,0,ROW()-1,33),ROW()-1,FALSE))</f>
        <v/>
      </c>
      <c r="AM325">
        <f>0.803567332</f>
        <v>0.80356733199999997</v>
      </c>
      <c r="AN325">
        <f>1.217035086</f>
        <v>1.2170350860000001</v>
      </c>
      <c r="AO325">
        <f>1.464468871</f>
        <v>1.464468871</v>
      </c>
      <c r="AP325">
        <f>1.741339724</f>
        <v>1.7413397239999999</v>
      </c>
      <c r="AQ325">
        <f>1.35109726</f>
        <v>1.35109726</v>
      </c>
      <c r="AR325">
        <f>2.018156695</f>
        <v>2.0181566950000001</v>
      </c>
      <c r="AS325">
        <f>1.64834937</f>
        <v>1.64834937</v>
      </c>
      <c r="AT325">
        <f>1.688050837</f>
        <v>1.688050837</v>
      </c>
      <c r="AU325">
        <f>1.738617723</f>
        <v>1.7386177229999999</v>
      </c>
      <c r="AV325">
        <f>1.936436468</f>
        <v>1.9364364679999999</v>
      </c>
      <c r="AW325">
        <f>1.855133736</f>
        <v>1.855133736</v>
      </c>
      <c r="AX325">
        <f>2.379676853</f>
        <v>2.3796768529999999</v>
      </c>
      <c r="AY325">
        <f>1.831346939</f>
        <v>1.8313469389999999</v>
      </c>
      <c r="AZ325">
        <f>2.571625946</f>
        <v>2.5716259460000002</v>
      </c>
      <c r="BA325">
        <f>1.711162057</f>
        <v>1.7111620569999999</v>
      </c>
      <c r="BB325">
        <f>1.023324154</f>
        <v>1.023324154</v>
      </c>
      <c r="BC325">
        <f>1.236371634</f>
        <v>1.2363716339999999</v>
      </c>
      <c r="BD325">
        <f>0.118548729</f>
        <v>0.11854872900000001</v>
      </c>
      <c r="BE325">
        <f>0.444871441</f>
        <v>0.44487144099999998</v>
      </c>
      <c r="BF325">
        <f>0.198020927</f>
        <v>0.19802092700000001</v>
      </c>
      <c r="BG325">
        <f>0.214692315</f>
        <v>0.21469231499999999</v>
      </c>
      <c r="BH325">
        <f>0.070097411</f>
        <v>7.0097410999999998E-2</v>
      </c>
      <c r="BI325">
        <f>0.075062978</f>
        <v>7.5062978000000002E-2</v>
      </c>
      <c r="BJ325">
        <f>0.029376496</f>
        <v>2.9376495999999998E-2</v>
      </c>
      <c r="BK325" t="str">
        <f>""</f>
        <v/>
      </c>
      <c r="BL325" t="str">
        <f>""</f>
        <v/>
      </c>
      <c r="BM325" t="str">
        <f>""</f>
        <v/>
      </c>
      <c r="BN325" t="str">
        <f>""</f>
        <v/>
      </c>
      <c r="BO325" t="str">
        <f>""</f>
        <v/>
      </c>
      <c r="BP325" t="str">
        <f>""</f>
        <v/>
      </c>
      <c r="BQ325" t="str">
        <f>""</f>
        <v/>
      </c>
      <c r="BR325" t="str">
        <f>""</f>
        <v/>
      </c>
      <c r="BS325" t="str">
        <f>""</f>
        <v/>
      </c>
    </row>
    <row r="326" spans="1:71" x14ac:dyDescent="0.25">
      <c r="A326" t="str">
        <f>"        Western Alliance Bancorp"</f>
        <v xml:space="preserve">        Western Alliance Bancorp</v>
      </c>
      <c r="B326" t="str">
        <f>"WAL US Equity"</f>
        <v>WAL US Equity</v>
      </c>
      <c r="C326" t="str">
        <f t="shared" si="42"/>
        <v>F0124</v>
      </c>
      <c r="D326" t="str">
        <f t="shared" si="43"/>
        <v>FED_FOR_BANK_LNS_%_TOT_LNS_LEAS</v>
      </c>
      <c r="E326" t="str">
        <f t="shared" si="44"/>
        <v>Dynamic</v>
      </c>
      <c r="F326" t="str">
        <f ca="1">IF(AND(ISNUMBER($F$727),$B$427=1),$F$727,HLOOKUP(INDIRECT(ADDRESS(2,COLUMN())),OFFSET($AM$2,0,0,ROW()-1,33),ROW()-1,FALSE))</f>
        <v/>
      </c>
      <c r="G326">
        <f ca="1">IF(AND(ISNUMBER($G$727),$B$427=1),$G$727,HLOOKUP(INDIRECT(ADDRESS(2,COLUMN())),OFFSET($AM$2,0,0,ROW()-1,33),ROW()-1,FALSE))</f>
        <v>0</v>
      </c>
      <c r="H326">
        <f ca="1">IF(AND(ISNUMBER($H$727),$B$427=1),$H$727,HLOOKUP(INDIRECT(ADDRESS(2,COLUMN())),OFFSET($AM$2,0,0,ROW()-1,33),ROW()-1,FALSE))</f>
        <v>0</v>
      </c>
      <c r="I326">
        <f ca="1">IF(AND(ISNUMBER($I$727),$B$427=1),$I$727,HLOOKUP(INDIRECT(ADDRESS(2,COLUMN())),OFFSET($AM$2,0,0,ROW()-1,33),ROW()-1,FALSE))</f>
        <v>0</v>
      </c>
      <c r="J326">
        <f ca="1">IF(AND(ISNUMBER($J$727),$B$427=1),$J$727,HLOOKUP(INDIRECT(ADDRESS(2,COLUMN())),OFFSET($AM$2,0,0,ROW()-1,33),ROW()-1,FALSE))</f>
        <v>0</v>
      </c>
      <c r="K326">
        <f ca="1">IF(AND(ISNUMBER($K$727),$B$427=1),$K$727,HLOOKUP(INDIRECT(ADDRESS(2,COLUMN())),OFFSET($AM$2,0,0,ROW()-1,33),ROW()-1,FALSE))</f>
        <v>0</v>
      </c>
      <c r="L326">
        <f ca="1">IF(AND(ISNUMBER($L$727),$B$427=1),$L$727,HLOOKUP(INDIRECT(ADDRESS(2,COLUMN())),OFFSET($AM$2,0,0,ROW()-1,33),ROW()-1,FALSE))</f>
        <v>0</v>
      </c>
      <c r="M326">
        <f ca="1">IF(AND(ISNUMBER($M$727),$B$427=1),$M$727,HLOOKUP(INDIRECT(ADDRESS(2,COLUMN())),OFFSET($AM$2,0,0,ROW()-1,33),ROW()-1,FALSE))</f>
        <v>0</v>
      </c>
      <c r="N326">
        <f ca="1">IF(AND(ISNUMBER($N$727),$B$427=1),$N$727,HLOOKUP(INDIRECT(ADDRESS(2,COLUMN())),OFFSET($AM$2,0,0,ROW()-1,33),ROW()-1,FALSE))</f>
        <v>0</v>
      </c>
      <c r="O326">
        <f ca="1">IF(AND(ISNUMBER($O$727),$B$427=1),$O$727,HLOOKUP(INDIRECT(ADDRESS(2,COLUMN())),OFFSET($AM$2,0,0,ROW()-1,33),ROW()-1,FALSE))</f>
        <v>0</v>
      </c>
      <c r="P326">
        <f ca="1">IF(AND(ISNUMBER($P$727),$B$427=1),$P$727,HLOOKUP(INDIRECT(ADDRESS(2,COLUMN())),OFFSET($AM$2,0,0,ROW()-1,33),ROW()-1,FALSE))</f>
        <v>0</v>
      </c>
      <c r="Q326">
        <f ca="1">IF(AND(ISNUMBER($Q$727),$B$427=1),$Q$727,HLOOKUP(INDIRECT(ADDRESS(2,COLUMN())),OFFSET($AM$2,0,0,ROW()-1,33),ROW()-1,FALSE))</f>
        <v>0</v>
      </c>
      <c r="R326">
        <f ca="1">IF(AND(ISNUMBER($R$727),$B$427=1),$R$727,HLOOKUP(INDIRECT(ADDRESS(2,COLUMN())),OFFSET($AM$2,0,0,ROW()-1,33),ROW()-1,FALSE))</f>
        <v>0</v>
      </c>
      <c r="S326">
        <f ca="1">IF(AND(ISNUMBER($S$727),$B$427=1),$S$727,HLOOKUP(INDIRECT(ADDRESS(2,COLUMN())),OFFSET($AM$2,0,0,ROW()-1,33),ROW()-1,FALSE))</f>
        <v>0</v>
      </c>
      <c r="T326">
        <f ca="1">IF(AND(ISNUMBER($T$727),$B$427=1),$T$727,HLOOKUP(INDIRECT(ADDRESS(2,COLUMN())),OFFSET($AM$2,0,0,ROW()-1,33),ROW()-1,FALSE))</f>
        <v>0</v>
      </c>
      <c r="U326">
        <f ca="1">IF(AND(ISNUMBER($U$727),$B$427=1),$U$727,HLOOKUP(INDIRECT(ADDRESS(2,COLUMN())),OFFSET($AM$2,0,0,ROW()-1,33),ROW()-1,FALSE))</f>
        <v>0</v>
      </c>
      <c r="V326">
        <f ca="1">IF(AND(ISNUMBER($V$727),$B$427=1),$V$727,HLOOKUP(INDIRECT(ADDRESS(2,COLUMN())),OFFSET($AM$2,0,0,ROW()-1,33),ROW()-1,FALSE))</f>
        <v>0</v>
      </c>
      <c r="W326">
        <f ca="1">IF(AND(ISNUMBER($W$727),$B$427=1),$W$727,HLOOKUP(INDIRECT(ADDRESS(2,COLUMN())),OFFSET($AM$2,0,0,ROW()-1,33),ROW()-1,FALSE))</f>
        <v>0</v>
      </c>
      <c r="X326">
        <f ca="1">IF(AND(ISNUMBER($X$727),$B$427=1),$X$727,HLOOKUP(INDIRECT(ADDRESS(2,COLUMN())),OFFSET($AM$2,0,0,ROW()-1,33),ROW()-1,FALSE))</f>
        <v>0</v>
      </c>
      <c r="Y326">
        <f ca="1">IF(AND(ISNUMBER($Y$727),$B$427=1),$Y$727,HLOOKUP(INDIRECT(ADDRESS(2,COLUMN())),OFFSET($AM$2,0,0,ROW()-1,33),ROW()-1,FALSE))</f>
        <v>0</v>
      </c>
      <c r="Z326">
        <f ca="1">IF(AND(ISNUMBER($Z$727),$B$427=1),$Z$727,HLOOKUP(INDIRECT(ADDRESS(2,COLUMN())),OFFSET($AM$2,0,0,ROW()-1,33),ROW()-1,FALSE))</f>
        <v>0</v>
      </c>
      <c r="AA326">
        <f ca="1">IF(AND(ISNUMBER($AA$727),$B$427=1),$AA$727,HLOOKUP(INDIRECT(ADDRESS(2,COLUMN())),OFFSET($AM$2,0,0,ROW()-1,33),ROW()-1,FALSE))</f>
        <v>0</v>
      </c>
      <c r="AB326">
        <f ca="1">IF(AND(ISNUMBER($AB$727),$B$427=1),$AB$727,HLOOKUP(INDIRECT(ADDRESS(2,COLUMN())),OFFSET($AM$2,0,0,ROW()-1,33),ROW()-1,FALSE))</f>
        <v>0</v>
      </c>
      <c r="AC326">
        <f ca="1">IF(AND(ISNUMBER($AC$727),$B$427=1),$AC$727,HLOOKUP(INDIRECT(ADDRESS(2,COLUMN())),OFFSET($AM$2,0,0,ROW()-1,33),ROW()-1,FALSE))</f>
        <v>0</v>
      </c>
      <c r="AD326" t="str">
        <f ca="1">IF(AND(ISNUMBER($AD$727),$B$427=1),$AD$727,HLOOKUP(INDIRECT(ADDRESS(2,COLUMN())),OFFSET($AM$2,0,0,ROW()-1,33),ROW()-1,FALSE))</f>
        <v/>
      </c>
      <c r="AE326" t="str">
        <f ca="1">IF(AND(ISNUMBER($AE$727),$B$427=1),$AE$727,HLOOKUP(INDIRECT(ADDRESS(2,COLUMN())),OFFSET($AM$2,0,0,ROW()-1,33),ROW()-1,FALSE))</f>
        <v/>
      </c>
      <c r="AF326" t="str">
        <f ca="1">IF(AND(ISNUMBER($AF$727),$B$427=1),$AF$727,HLOOKUP(INDIRECT(ADDRESS(2,COLUMN())),OFFSET($AM$2,0,0,ROW()-1,33),ROW()-1,FALSE))</f>
        <v/>
      </c>
      <c r="AG326" t="str">
        <f ca="1">IF(AND(ISNUMBER($AG$727),$B$427=1),$AG$727,HLOOKUP(INDIRECT(ADDRESS(2,COLUMN())),OFFSET($AM$2,0,0,ROW()-1,33),ROW()-1,FALSE))</f>
        <v/>
      </c>
      <c r="AH326" t="str">
        <f ca="1">IF(AND(ISNUMBER($AH$727),$B$427=1),$AH$727,HLOOKUP(INDIRECT(ADDRESS(2,COLUMN())),OFFSET($AM$2,0,0,ROW()-1,33),ROW()-1,FALSE))</f>
        <v/>
      </c>
      <c r="AI326" t="str">
        <f ca="1">IF(AND(ISNUMBER($AI$727),$B$427=1),$AI$727,HLOOKUP(INDIRECT(ADDRESS(2,COLUMN())),OFFSET($AM$2,0,0,ROW()-1,33),ROW()-1,FALSE))</f>
        <v/>
      </c>
      <c r="AJ326" t="str">
        <f ca="1">IF(AND(ISNUMBER($AJ$727),$B$427=1),$AJ$727,HLOOKUP(INDIRECT(ADDRESS(2,COLUMN())),OFFSET($AM$2,0,0,ROW()-1,33),ROW()-1,FALSE))</f>
        <v/>
      </c>
      <c r="AK326" t="str">
        <f ca="1">IF(AND(ISNUMBER($AK$727),$B$427=1),$AK$727,HLOOKUP(INDIRECT(ADDRESS(2,COLUMN())),OFFSET($AM$2,0,0,ROW()-1,33),ROW()-1,FALSE))</f>
        <v/>
      </c>
      <c r="AL326" t="str">
        <f ca="1">IF(AND(ISNUMBER($AL$727),$B$427=1),$AL$727,HLOOKUP(INDIRECT(ADDRESS(2,COLUMN())),OFFSET($AM$2,0,0,ROW()-1,33),ROW()-1,FALSE))</f>
        <v/>
      </c>
      <c r="AM326" t="str">
        <f>""</f>
        <v/>
      </c>
      <c r="AN326">
        <f>0</f>
        <v>0</v>
      </c>
      <c r="AO326">
        <f>0</f>
        <v>0</v>
      </c>
      <c r="AP326">
        <f>0</f>
        <v>0</v>
      </c>
      <c r="AQ326">
        <f>0</f>
        <v>0</v>
      </c>
      <c r="AR326">
        <f>0</f>
        <v>0</v>
      </c>
      <c r="AS326">
        <f>0</f>
        <v>0</v>
      </c>
      <c r="AT326">
        <f>0</f>
        <v>0</v>
      </c>
      <c r="AU326">
        <f>0</f>
        <v>0</v>
      </c>
      <c r="AV326">
        <f>0</f>
        <v>0</v>
      </c>
      <c r="AW326">
        <f>0</f>
        <v>0</v>
      </c>
      <c r="AX326">
        <f>0</f>
        <v>0</v>
      </c>
      <c r="AY326">
        <f>0</f>
        <v>0</v>
      </c>
      <c r="AZ326">
        <f>0</f>
        <v>0</v>
      </c>
      <c r="BA326">
        <f>0</f>
        <v>0</v>
      </c>
      <c r="BB326">
        <f>0</f>
        <v>0</v>
      </c>
      <c r="BC326">
        <f>0</f>
        <v>0</v>
      </c>
      <c r="BD326">
        <f>0</f>
        <v>0</v>
      </c>
      <c r="BE326">
        <f>0</f>
        <v>0</v>
      </c>
      <c r="BF326">
        <f>0</f>
        <v>0</v>
      </c>
      <c r="BG326">
        <f>0</f>
        <v>0</v>
      </c>
      <c r="BH326">
        <f>0</f>
        <v>0</v>
      </c>
      <c r="BI326">
        <f>0</f>
        <v>0</v>
      </c>
      <c r="BJ326">
        <f>0</f>
        <v>0</v>
      </c>
      <c r="BK326" t="str">
        <f>""</f>
        <v/>
      </c>
      <c r="BL326" t="str">
        <f>""</f>
        <v/>
      </c>
      <c r="BM326" t="str">
        <f>""</f>
        <v/>
      </c>
      <c r="BN326" t="str">
        <f>""</f>
        <v/>
      </c>
      <c r="BO326" t="str">
        <f>""</f>
        <v/>
      </c>
      <c r="BP326" t="str">
        <f>""</f>
        <v/>
      </c>
      <c r="BQ326" t="str">
        <f>""</f>
        <v/>
      </c>
      <c r="BR326" t="str">
        <f>""</f>
        <v/>
      </c>
      <c r="BS326" t="str">
        <f>""</f>
        <v/>
      </c>
    </row>
    <row r="327" spans="1:71" x14ac:dyDescent="0.25">
      <c r="A327" t="str">
        <f>"        Zions Bancorp NA"</f>
        <v xml:space="preserve">        Zions Bancorp NA</v>
      </c>
      <c r="B327" t="str">
        <f>"ZION US Equity"</f>
        <v>ZION US Equity</v>
      </c>
      <c r="C327" t="str">
        <f t="shared" si="42"/>
        <v>F0124</v>
      </c>
      <c r="D327" t="str">
        <f t="shared" si="43"/>
        <v>FED_FOR_BANK_LNS_%_TOT_LNS_LEAS</v>
      </c>
      <c r="E327" t="str">
        <f t="shared" si="44"/>
        <v>Dynamic</v>
      </c>
      <c r="F327" t="str">
        <f ca="1">IF(AND(ISNUMBER($F$728),$B$427=1),$F$728,HLOOKUP(INDIRECT(ADDRESS(2,COLUMN())),OFFSET($AM$2,0,0,ROW()-1,33),ROW()-1,FALSE))</f>
        <v/>
      </c>
      <c r="G327" t="str">
        <f ca="1">IF(AND(ISNUMBER($G$728),$B$427=1),$G$728,HLOOKUP(INDIRECT(ADDRESS(2,COLUMN())),OFFSET($AM$2,0,0,ROW()-1,33),ROW()-1,FALSE))</f>
        <v/>
      </c>
      <c r="H327" t="str">
        <f ca="1">IF(AND(ISNUMBER($H$728),$B$427=1),$H$728,HLOOKUP(INDIRECT(ADDRESS(2,COLUMN())),OFFSET($AM$2,0,0,ROW()-1,33),ROW()-1,FALSE))</f>
        <v/>
      </c>
      <c r="I327" t="str">
        <f ca="1">IF(AND(ISNUMBER($I$728),$B$427=1),$I$728,HLOOKUP(INDIRECT(ADDRESS(2,COLUMN())),OFFSET($AM$2,0,0,ROW()-1,33),ROW()-1,FALSE))</f>
        <v/>
      </c>
      <c r="J327" t="str">
        <f ca="1">IF(AND(ISNUMBER($J$728),$B$427=1),$J$728,HLOOKUP(INDIRECT(ADDRESS(2,COLUMN())),OFFSET($AM$2,0,0,ROW()-1,33),ROW()-1,FALSE))</f>
        <v/>
      </c>
      <c r="K327" t="str">
        <f ca="1">IF(AND(ISNUMBER($K$728),$B$427=1),$K$728,HLOOKUP(INDIRECT(ADDRESS(2,COLUMN())),OFFSET($AM$2,0,0,ROW()-1,33),ROW()-1,FALSE))</f>
        <v/>
      </c>
      <c r="L327" t="str">
        <f ca="1">IF(AND(ISNUMBER($L$728),$B$427=1),$L$728,HLOOKUP(INDIRECT(ADDRESS(2,COLUMN())),OFFSET($AM$2,0,0,ROW()-1,33),ROW()-1,FALSE))</f>
        <v/>
      </c>
      <c r="M327" t="str">
        <f ca="1">IF(AND(ISNUMBER($M$728),$B$427=1),$M$728,HLOOKUP(INDIRECT(ADDRESS(2,COLUMN())),OFFSET($AM$2,0,0,ROW()-1,33),ROW()-1,FALSE))</f>
        <v/>
      </c>
      <c r="N327" t="str">
        <f ca="1">IF(AND(ISNUMBER($N$728),$B$427=1),$N$728,HLOOKUP(INDIRECT(ADDRESS(2,COLUMN())),OFFSET($AM$2,0,0,ROW()-1,33),ROW()-1,FALSE))</f>
        <v/>
      </c>
      <c r="O327" t="str">
        <f ca="1">IF(AND(ISNUMBER($O$728),$B$427=1),$O$728,HLOOKUP(INDIRECT(ADDRESS(2,COLUMN())),OFFSET($AM$2,0,0,ROW()-1,33),ROW()-1,FALSE))</f>
        <v/>
      </c>
      <c r="P327" t="str">
        <f ca="1">IF(AND(ISNUMBER($P$728),$B$427=1),$P$728,HLOOKUP(INDIRECT(ADDRESS(2,COLUMN())),OFFSET($AM$2,0,0,ROW()-1,33),ROW()-1,FALSE))</f>
        <v/>
      </c>
      <c r="Q327" t="str">
        <f ca="1">IF(AND(ISNUMBER($Q$728),$B$427=1),$Q$728,HLOOKUP(INDIRECT(ADDRESS(2,COLUMN())),OFFSET($AM$2,0,0,ROW()-1,33),ROW()-1,FALSE))</f>
        <v/>
      </c>
      <c r="R327" t="str">
        <f ca="1">IF(AND(ISNUMBER($R$728),$B$427=1),$R$728,HLOOKUP(INDIRECT(ADDRESS(2,COLUMN())),OFFSET($AM$2,0,0,ROW()-1,33),ROW()-1,FALSE))</f>
        <v/>
      </c>
      <c r="S327" t="str">
        <f ca="1">IF(AND(ISNUMBER($S$728),$B$427=1),$S$728,HLOOKUP(INDIRECT(ADDRESS(2,COLUMN())),OFFSET($AM$2,0,0,ROW()-1,33),ROW()-1,FALSE))</f>
        <v/>
      </c>
      <c r="T327" t="str">
        <f ca="1">IF(AND(ISNUMBER($T$728),$B$427=1),$T$728,HLOOKUP(INDIRECT(ADDRESS(2,COLUMN())),OFFSET($AM$2,0,0,ROW()-1,33),ROW()-1,FALSE))</f>
        <v/>
      </c>
      <c r="U327" t="str">
        <f ca="1">IF(AND(ISNUMBER($U$728),$B$427=1),$U$728,HLOOKUP(INDIRECT(ADDRESS(2,COLUMN())),OFFSET($AM$2,0,0,ROW()-1,33),ROW()-1,FALSE))</f>
        <v/>
      </c>
      <c r="V327" t="str">
        <f ca="1">IF(AND(ISNUMBER($V$728),$B$427=1),$V$728,HLOOKUP(INDIRECT(ADDRESS(2,COLUMN())),OFFSET($AM$2,0,0,ROW()-1,33),ROW()-1,FALSE))</f>
        <v/>
      </c>
      <c r="W327" t="str">
        <f ca="1">IF(AND(ISNUMBER($W$728),$B$427=1),$W$728,HLOOKUP(INDIRECT(ADDRESS(2,COLUMN())),OFFSET($AM$2,0,0,ROW()-1,33),ROW()-1,FALSE))</f>
        <v/>
      </c>
      <c r="X327" t="str">
        <f ca="1">IF(AND(ISNUMBER($X$728),$B$427=1),$X$728,HLOOKUP(INDIRECT(ADDRESS(2,COLUMN())),OFFSET($AM$2,0,0,ROW()-1,33),ROW()-1,FALSE))</f>
        <v/>
      </c>
      <c r="Y327" t="str">
        <f ca="1">IF(AND(ISNUMBER($Y$728),$B$427=1),$Y$728,HLOOKUP(INDIRECT(ADDRESS(2,COLUMN())),OFFSET($AM$2,0,0,ROW()-1,33),ROW()-1,FALSE))</f>
        <v/>
      </c>
      <c r="Z327" t="str">
        <f ca="1">IF(AND(ISNUMBER($Z$728),$B$427=1),$Z$728,HLOOKUP(INDIRECT(ADDRESS(2,COLUMN())),OFFSET($AM$2,0,0,ROW()-1,33),ROW()-1,FALSE))</f>
        <v/>
      </c>
      <c r="AA327" t="str">
        <f ca="1">IF(AND(ISNUMBER($AA$728),$B$427=1),$AA$728,HLOOKUP(INDIRECT(ADDRESS(2,COLUMN())),OFFSET($AM$2,0,0,ROW()-1,33),ROW()-1,FALSE))</f>
        <v/>
      </c>
      <c r="AB327" t="str">
        <f ca="1">IF(AND(ISNUMBER($AB$728),$B$427=1),$AB$728,HLOOKUP(INDIRECT(ADDRESS(2,COLUMN())),OFFSET($AM$2,0,0,ROW()-1,33),ROW()-1,FALSE))</f>
        <v/>
      </c>
      <c r="AC327" t="str">
        <f ca="1">IF(AND(ISNUMBER($AC$728),$B$427=1),$AC$728,HLOOKUP(INDIRECT(ADDRESS(2,COLUMN())),OFFSET($AM$2,0,0,ROW()-1,33),ROW()-1,FALSE))</f>
        <v/>
      </c>
      <c r="AD327" t="str">
        <f ca="1">IF(AND(ISNUMBER($AD$728),$B$427=1),$AD$728,HLOOKUP(INDIRECT(ADDRESS(2,COLUMN())),OFFSET($AM$2,0,0,ROW()-1,33),ROW()-1,FALSE))</f>
        <v/>
      </c>
      <c r="AE327" t="str">
        <f ca="1">IF(AND(ISNUMBER($AE$728),$B$427=1),$AE$728,HLOOKUP(INDIRECT(ADDRESS(2,COLUMN())),OFFSET($AM$2,0,0,ROW()-1,33),ROW()-1,FALSE))</f>
        <v/>
      </c>
      <c r="AF327" t="str">
        <f ca="1">IF(AND(ISNUMBER($AF$728),$B$427=1),$AF$728,HLOOKUP(INDIRECT(ADDRESS(2,COLUMN())),OFFSET($AM$2,0,0,ROW()-1,33),ROW()-1,FALSE))</f>
        <v/>
      </c>
      <c r="AG327" t="str">
        <f ca="1">IF(AND(ISNUMBER($AG$728),$B$427=1),$AG$728,HLOOKUP(INDIRECT(ADDRESS(2,COLUMN())),OFFSET($AM$2,0,0,ROW()-1,33),ROW()-1,FALSE))</f>
        <v/>
      </c>
      <c r="AH327" t="str">
        <f ca="1">IF(AND(ISNUMBER($AH$728),$B$427=1),$AH$728,HLOOKUP(INDIRECT(ADDRESS(2,COLUMN())),OFFSET($AM$2,0,0,ROW()-1,33),ROW()-1,FALSE))</f>
        <v/>
      </c>
      <c r="AI327" t="str">
        <f ca="1">IF(AND(ISNUMBER($AI$728),$B$427=1),$AI$728,HLOOKUP(INDIRECT(ADDRESS(2,COLUMN())),OFFSET($AM$2,0,0,ROW()-1,33),ROW()-1,FALSE))</f>
        <v/>
      </c>
      <c r="AJ327" t="str">
        <f ca="1">IF(AND(ISNUMBER($AJ$728),$B$427=1),$AJ$728,HLOOKUP(INDIRECT(ADDRESS(2,COLUMN())),OFFSET($AM$2,0,0,ROW()-1,33),ROW()-1,FALSE))</f>
        <v/>
      </c>
      <c r="AK327" t="str">
        <f ca="1">IF(AND(ISNUMBER($AK$728),$B$427=1),$AK$728,HLOOKUP(INDIRECT(ADDRESS(2,COLUMN())),OFFSET($AM$2,0,0,ROW()-1,33),ROW()-1,FALSE))</f>
        <v/>
      </c>
      <c r="AL327" t="str">
        <f ca="1">IF(AND(ISNUMBER($AL$728),$B$427=1),$AL$728,HLOOKUP(INDIRECT(ADDRESS(2,COLUMN())),OFFSET($AM$2,0,0,ROW()-1,33),ROW()-1,FALSE))</f>
        <v/>
      </c>
      <c r="AM327" t="str">
        <f>""</f>
        <v/>
      </c>
      <c r="AN327" t="str">
        <f>""</f>
        <v/>
      </c>
      <c r="AO327" t="str">
        <f>""</f>
        <v/>
      </c>
      <c r="AP327" t="str">
        <f>""</f>
        <v/>
      </c>
      <c r="AQ327" t="str">
        <f>""</f>
        <v/>
      </c>
      <c r="AR327" t="str">
        <f>""</f>
        <v/>
      </c>
      <c r="AS327" t="str">
        <f>""</f>
        <v/>
      </c>
      <c r="AT327" t="str">
        <f>""</f>
        <v/>
      </c>
      <c r="AU327" t="str">
        <f>""</f>
        <v/>
      </c>
      <c r="AV327" t="str">
        <f>""</f>
        <v/>
      </c>
      <c r="AW327" t="str">
        <f>""</f>
        <v/>
      </c>
      <c r="AX327" t="str">
        <f>""</f>
        <v/>
      </c>
      <c r="AY327" t="str">
        <f>""</f>
        <v/>
      </c>
      <c r="AZ327" t="str">
        <f>""</f>
        <v/>
      </c>
      <c r="BA327" t="str">
        <f>""</f>
        <v/>
      </c>
      <c r="BB327" t="str">
        <f>""</f>
        <v/>
      </c>
      <c r="BC327" t="str">
        <f>""</f>
        <v/>
      </c>
      <c r="BD327" t="str">
        <f>""</f>
        <v/>
      </c>
      <c r="BE327" t="str">
        <f>""</f>
        <v/>
      </c>
      <c r="BF327" t="str">
        <f>""</f>
        <v/>
      </c>
      <c r="BG327" t="str">
        <f>""</f>
        <v/>
      </c>
      <c r="BH327" t="str">
        <f>""</f>
        <v/>
      </c>
      <c r="BI327" t="str">
        <f>""</f>
        <v/>
      </c>
      <c r="BJ327" t="str">
        <f>""</f>
        <v/>
      </c>
      <c r="BK327" t="str">
        <f>""</f>
        <v/>
      </c>
      <c r="BL327" t="str">
        <f>""</f>
        <v/>
      </c>
      <c r="BM327" t="str">
        <f>""</f>
        <v/>
      </c>
      <c r="BN327" t="str">
        <f>""</f>
        <v/>
      </c>
      <c r="BO327" t="str">
        <f>""</f>
        <v/>
      </c>
      <c r="BP327" t="str">
        <f>""</f>
        <v/>
      </c>
      <c r="BQ327" t="str">
        <f>""</f>
        <v/>
      </c>
      <c r="BR327" t="str">
        <f>""</f>
        <v/>
      </c>
      <c r="BS327" t="str">
        <f>""</f>
        <v/>
      </c>
    </row>
    <row r="328" spans="1:71" x14ac:dyDescent="0.25">
      <c r="A328" t="str">
        <f>"    Bankers Acceptances: US banks &amp; thrifts"</f>
        <v xml:space="preserve">    Bankers Acceptances: US banks &amp; thrifts</v>
      </c>
      <c r="B328" t="str">
        <f>""</f>
        <v/>
      </c>
      <c r="E328" t="str">
        <f>"Median"</f>
        <v>Median</v>
      </c>
      <c r="F328">
        <f ca="1">IF(ISERROR(IF(MEDIAN($F$329:$F$348) = 0, "", MEDIAN($F$329:$F$348))), "", (IF(MEDIAN($F$329:$F$348) = 0, "", MEDIAN($F$329:$F$348))))</f>
        <v>7.1274299999999995E-4</v>
      </c>
      <c r="G328">
        <f ca="1">IF(ISERROR(IF(MEDIAN($G$329:$G$348) = 0, "", MEDIAN($G$329:$G$348))), "", (IF(MEDIAN($G$329:$G$348) = 0, "", MEDIAN($G$329:$G$348))))</f>
        <v>1.700507E-3</v>
      </c>
      <c r="H328">
        <f ca="1">IF(ISERROR(IF(MEDIAN($H$329:$H$348) = 0, "", MEDIAN($H$329:$H$348))), "", (IF(MEDIAN($H$329:$H$348) = 0, "", MEDIAN($H$329:$H$348))))</f>
        <v>4.4132729999999997E-3</v>
      </c>
      <c r="I328">
        <f ca="1">IF(ISERROR(IF(MEDIAN($I$329:$I$348) = 0, "", MEDIAN($I$329:$I$348))), "", (IF(MEDIAN($I$329:$I$348) = 0, "", MEDIAN($I$329:$I$348))))</f>
        <v>9.6714299999999995E-4</v>
      </c>
      <c r="J328">
        <f ca="1">IF(ISERROR(IF(MEDIAN($J$329:$J$348) = 0, "", MEDIAN($J$329:$J$348))), "", (IF(MEDIAN($J$329:$J$348) = 0, "", MEDIAN($J$329:$J$348))))</f>
        <v>1.8097799999999999E-4</v>
      </c>
      <c r="K328">
        <f ca="1">IF(ISERROR(IF(MEDIAN($K$329:$K$348) = 0, "", MEDIAN($K$329:$K$348))), "", (IF(MEDIAN($K$329:$K$348) = 0, "", MEDIAN($K$329:$K$348))))</f>
        <v>2.7121889999999998E-3</v>
      </c>
      <c r="L328">
        <f ca="1">IF(ISERROR(IF(MEDIAN($L$329:$L$348) = 0, "", MEDIAN($L$329:$L$348))), "", (IF(MEDIAN($L$329:$L$348) = 0, "", MEDIAN($L$329:$L$348))))</f>
        <v>6.6666200000000005E-4</v>
      </c>
      <c r="M328">
        <f ca="1">IF(ISERROR(IF(MEDIAN($M$329:$M$348) = 0, "", MEDIAN($M$329:$M$348))), "", (IF(MEDIAN($M$329:$M$348) = 0, "", MEDIAN($M$329:$M$348))))</f>
        <v>1.3812150000000001E-3</v>
      </c>
      <c r="N328">
        <f ca="1">IF(ISERROR(IF(MEDIAN($N$329:$N$348) = 0, "", MEDIAN($N$329:$N$348))), "", (IF(MEDIAN($N$329:$N$348) = 0, "", MEDIAN($N$329:$N$348))))</f>
        <v>1.9360860000000001E-3</v>
      </c>
      <c r="O328">
        <f ca="1">IF(ISERROR(IF(MEDIAN($O$329:$O$348) = 0, "", MEDIAN($O$329:$O$348))), "", (IF(MEDIAN($O$329:$O$348) = 0, "", MEDIAN($O$329:$O$348))))</f>
        <v>6.5456400000000001E-3</v>
      </c>
      <c r="P328">
        <f ca="1">IF(ISERROR(IF(MEDIAN($P$329:$P$348) = 0, "", MEDIAN($P$329:$P$348))), "", (IF(MEDIAN($P$329:$P$348) = 0, "", MEDIAN($P$329:$P$348))))</f>
        <v>6.1678159999999996E-3</v>
      </c>
      <c r="Q328">
        <f ca="1">IF(ISERROR(IF(MEDIAN($Q$329:$Q$348) = 0, "", MEDIAN($Q$329:$Q$348))), "", (IF(MEDIAN($Q$329:$Q$348) = 0, "", MEDIAN($Q$329:$Q$348))))</f>
        <v>1.9584888000000002E-2</v>
      </c>
      <c r="R328">
        <f ca="1">IF(ISERROR(IF(MEDIAN($R$329:$R$348) = 0, "", MEDIAN($R$329:$R$348))), "", (IF(MEDIAN($R$329:$R$348) = 0, "", MEDIAN($R$329:$R$348))))</f>
        <v>4.59298E-3</v>
      </c>
      <c r="S328">
        <f ca="1">IF(ISERROR(IF(MEDIAN($S$329:$S$348) = 0, "", MEDIAN($S$329:$S$348))), "", (IF(MEDIAN($S$329:$S$348) = 0, "", MEDIAN($S$329:$S$348))))</f>
        <v>4.8676800000000001E-3</v>
      </c>
      <c r="T328">
        <f ca="1">IF(ISERROR(IF(MEDIAN($T$329:$T$348) = 0, "", MEDIAN($T$329:$T$348))), "", (IF(MEDIAN($T$329:$T$348) = 0, "", MEDIAN($T$329:$T$348))))</f>
        <v>3.2305810000000002E-3</v>
      </c>
      <c r="U328">
        <f ca="1">IF(ISERROR(IF(MEDIAN($U$329:$U$348) = 0, "", MEDIAN($U$329:$U$348))), "", (IF(MEDIAN($U$329:$U$348) = 0, "", MEDIAN($U$329:$U$348))))</f>
        <v>1.7534812E-2</v>
      </c>
      <c r="V328">
        <f ca="1">IF(ISERROR(IF(MEDIAN($V$329:$V$348) = 0, "", MEDIAN($V$329:$V$348))), "", (IF(MEDIAN($V$329:$V$348) = 0, "", MEDIAN($V$329:$V$348))))</f>
        <v>1.3756536E-2</v>
      </c>
      <c r="W328">
        <f ca="1">IF(ISERROR(IF(MEDIAN($W$329:$W$348) = 0, "", MEDIAN($W$329:$W$348))), "", (IF(MEDIAN($W$329:$W$348) = 0, "", MEDIAN($W$329:$W$348))))</f>
        <v>1.8722840000000001E-2</v>
      </c>
      <c r="X328">
        <f ca="1">IF(ISERROR(IF(MEDIAN($X$329:$X$348) = 0, "", MEDIAN($X$329:$X$348))), "", (IF(MEDIAN($X$329:$X$348) = 0, "", MEDIAN($X$329:$X$348))))</f>
        <v>9.8395949999999996E-3</v>
      </c>
      <c r="Y328">
        <f ca="1">IF(ISERROR(IF(MEDIAN($Y$329:$Y$348) = 0, "", MEDIAN($Y$329:$Y$348))), "", (IF(MEDIAN($Y$329:$Y$348) = 0, "", MEDIAN($Y$329:$Y$348))))</f>
        <v>1.3317417E-2</v>
      </c>
      <c r="Z328">
        <f ca="1">IF(ISERROR(IF(MEDIAN($Z$329:$Z$348) = 0, "", MEDIAN($Z$329:$Z$348))), "", (IF(MEDIAN($Z$329:$Z$348) = 0, "", MEDIAN($Z$329:$Z$348))))</f>
        <v>1.5782714E-2</v>
      </c>
      <c r="AA328">
        <f ca="1">IF(ISERROR(IF(MEDIAN($AA$329:$AA$348) = 0, "", MEDIAN($AA$329:$AA$348))), "", (IF(MEDIAN($AA$329:$AA$348) = 0, "", MEDIAN($AA$329:$AA$348))))</f>
        <v>2.7969903000000001E-2</v>
      </c>
      <c r="AB328">
        <f ca="1">IF(ISERROR(IF(MEDIAN($AB$329:$AB$348) = 0, "", MEDIAN($AB$329:$AB$348))), "", (IF(MEDIAN($AB$329:$AB$348) = 0, "", MEDIAN($AB$329:$AB$348))))</f>
        <v>1.9343003000000001E-2</v>
      </c>
      <c r="AC328">
        <f ca="1">IF(ISERROR(IF(MEDIAN($AC$329:$AC$348) = 0, "", MEDIAN($AC$329:$AC$348))), "", (IF(MEDIAN($AC$329:$AC$348) = 0, "", MEDIAN($AC$329:$AC$348))))</f>
        <v>4.0452879999999997E-2</v>
      </c>
      <c r="AD328" t="str">
        <f ca="1">IF(ISERROR(IF(MEDIAN($AD$329:$AD$348) = 0, "", MEDIAN($AD$329:$AD$348))), "", (IF(MEDIAN($AD$329:$AD$348) = 0, "", MEDIAN($AD$329:$AD$348))))</f>
        <v/>
      </c>
      <c r="AE328" t="str">
        <f ca="1">IF(ISERROR(IF(MEDIAN($AE$329:$AE$348) = 0, "", MEDIAN($AE$329:$AE$348))), "", (IF(MEDIAN($AE$329:$AE$348) = 0, "", MEDIAN($AE$329:$AE$348))))</f>
        <v/>
      </c>
      <c r="AF328" t="str">
        <f ca="1">IF(ISERROR(IF(MEDIAN($AF$329:$AF$348) = 0, "", MEDIAN($AF$329:$AF$348))), "", (IF(MEDIAN($AF$329:$AF$348) = 0, "", MEDIAN($AF$329:$AF$348))))</f>
        <v/>
      </c>
      <c r="AG328" t="str">
        <f ca="1">IF(ISERROR(IF(MEDIAN($AG$329:$AG$348) = 0, "", MEDIAN($AG$329:$AG$348))), "", (IF(MEDIAN($AG$329:$AG$348) = 0, "", MEDIAN($AG$329:$AG$348))))</f>
        <v/>
      </c>
      <c r="AH328" t="str">
        <f ca="1">IF(ISERROR(IF(MEDIAN($AH$329:$AH$348) = 0, "", MEDIAN($AH$329:$AH$348))), "", (IF(MEDIAN($AH$329:$AH$348) = 0, "", MEDIAN($AH$329:$AH$348))))</f>
        <v/>
      </c>
      <c r="AI328" t="str">
        <f ca="1">IF(ISERROR(IF(MEDIAN($AI$329:$AI$348) = 0, "", MEDIAN($AI$329:$AI$348))), "", (IF(MEDIAN($AI$329:$AI$348) = 0, "", MEDIAN($AI$329:$AI$348))))</f>
        <v/>
      </c>
      <c r="AJ328" t="str">
        <f ca="1">IF(ISERROR(IF(MEDIAN($AJ$329:$AJ$348) = 0, "", MEDIAN($AJ$329:$AJ$348))), "", (IF(MEDIAN($AJ$329:$AJ$348) = 0, "", MEDIAN($AJ$329:$AJ$348))))</f>
        <v/>
      </c>
      <c r="AK328" t="str">
        <f ca="1">IF(ISERROR(IF(MEDIAN($AK$329:$AK$348) = 0, "", MEDIAN($AK$329:$AK$348))), "", (IF(MEDIAN($AK$329:$AK$348) = 0, "", MEDIAN($AK$329:$AK$348))))</f>
        <v/>
      </c>
      <c r="AL328" t="str">
        <f ca="1">IF(ISERROR(IF(MEDIAN($AL$329:$AL$348) = 0, "", MEDIAN($AL$329:$AL$348))), "", (IF(MEDIAN($AL$329:$AL$348) = 0, "", MEDIAN($AL$329:$AL$348))))</f>
        <v/>
      </c>
      <c r="AM328">
        <f>0.000712743</f>
        <v>7.1274299999999995E-4</v>
      </c>
      <c r="AN328">
        <f>0.001700507</f>
        <v>1.700507E-3</v>
      </c>
      <c r="AO328">
        <f>0.004413273</f>
        <v>4.4132729999999997E-3</v>
      </c>
      <c r="AP328">
        <f>0.000967143</f>
        <v>9.6714299999999995E-4</v>
      </c>
      <c r="AQ328">
        <f>0.000180978</f>
        <v>1.8097799999999999E-4</v>
      </c>
      <c r="AR328">
        <f>0.002712189</f>
        <v>2.7121889999999998E-3</v>
      </c>
      <c r="AS328">
        <f>0.000666662</f>
        <v>6.6666200000000005E-4</v>
      </c>
      <c r="AT328">
        <f>0.001381215</f>
        <v>1.3812150000000001E-3</v>
      </c>
      <c r="AU328">
        <f>0.001936086</f>
        <v>1.9360860000000001E-3</v>
      </c>
      <c r="AV328">
        <f>0.00654564</f>
        <v>6.5456400000000001E-3</v>
      </c>
      <c r="AW328">
        <f>0.006167816</f>
        <v>6.1678159999999996E-3</v>
      </c>
      <c r="AX328">
        <f>0.019584888</f>
        <v>1.9584888000000002E-2</v>
      </c>
      <c r="AY328">
        <f>0.00459298</f>
        <v>4.59298E-3</v>
      </c>
      <c r="AZ328">
        <f>0.00486768</f>
        <v>4.8676800000000001E-3</v>
      </c>
      <c r="BA328">
        <f>0.003230581</f>
        <v>3.2305810000000002E-3</v>
      </c>
      <c r="BB328">
        <f>0.017534812</f>
        <v>1.7534812E-2</v>
      </c>
      <c r="BC328">
        <f>0.013756536</f>
        <v>1.3756536E-2</v>
      </c>
      <c r="BD328">
        <f>0.01872284</f>
        <v>1.8722840000000001E-2</v>
      </c>
      <c r="BE328">
        <f>0.009839595</f>
        <v>9.8395949999999996E-3</v>
      </c>
      <c r="BF328">
        <f>0.013317417</f>
        <v>1.3317417E-2</v>
      </c>
      <c r="BG328">
        <f>0.015782714</f>
        <v>1.5782714E-2</v>
      </c>
      <c r="BH328">
        <f>0.027969903</f>
        <v>2.7969903000000001E-2</v>
      </c>
      <c r="BI328">
        <f>0.019343003</f>
        <v>1.9343003000000001E-2</v>
      </c>
      <c r="BJ328">
        <f>0.04045288</f>
        <v>4.0452879999999997E-2</v>
      </c>
      <c r="BK328" t="str">
        <f>""</f>
        <v/>
      </c>
      <c r="BL328" t="str">
        <f>""</f>
        <v/>
      </c>
      <c r="BM328" t="str">
        <f>""</f>
        <v/>
      </c>
      <c r="BN328" t="str">
        <f>""</f>
        <v/>
      </c>
      <c r="BO328" t="str">
        <f>""</f>
        <v/>
      </c>
      <c r="BP328" t="str">
        <f>""</f>
        <v/>
      </c>
      <c r="BQ328" t="str">
        <f>""</f>
        <v/>
      </c>
      <c r="BR328" t="str">
        <f>""</f>
        <v/>
      </c>
      <c r="BS328" t="str">
        <f>""</f>
        <v/>
      </c>
    </row>
    <row r="329" spans="1:71" x14ac:dyDescent="0.25">
      <c r="A329" t="str">
        <f>"        Bank of America Corp"</f>
        <v xml:space="preserve">        Bank of America Corp</v>
      </c>
      <c r="B329" t="str">
        <f>"BAC US Equity"</f>
        <v>BAC US Equity</v>
      </c>
      <c r="C329" t="str">
        <f t="shared" ref="C329:C348" si="45">"F0125"</f>
        <v>F0125</v>
      </c>
      <c r="D329" t="str">
        <f t="shared" ref="D329:D348" si="46">"FED_US_BANK_LOANS_%_TOT_LNS_LEAS"</f>
        <v>FED_US_BANK_LOANS_%_TOT_LNS_LEAS</v>
      </c>
      <c r="E329" t="str">
        <f t="shared" ref="E329:E348" si="47">"Dynamic"</f>
        <v>Dynamic</v>
      </c>
      <c r="F329">
        <f ca="1">IF(AND(ISNUMBER($F$729),$B$427=1),$F$729,HLOOKUP(INDIRECT(ADDRESS(2,COLUMN())),OFFSET($AM$2,0,0,ROW()-1,33),ROW()-1,FALSE))</f>
        <v>1.3142525E-2</v>
      </c>
      <c r="G329">
        <f ca="1">IF(AND(ISNUMBER($G$729),$B$427=1),$G$729,HLOOKUP(INDIRECT(ADDRESS(2,COLUMN())),OFFSET($AM$2,0,0,ROW()-1,33),ROW()-1,FALSE))</f>
        <v>4.0890759999999996E-3</v>
      </c>
      <c r="H329">
        <f ca="1">IF(AND(ISNUMBER($H$729),$B$427=1),$H$729,HLOOKUP(INDIRECT(ADDRESS(2,COLUMN())),OFFSET($AM$2,0,0,ROW()-1,33),ROW()-1,FALSE))</f>
        <v>4.990647E-3</v>
      </c>
      <c r="I329">
        <f ca="1">IF(AND(ISNUMBER($I$729),$B$427=1),$I$729,HLOOKUP(INDIRECT(ADDRESS(2,COLUMN())),OFFSET($AM$2,0,0,ROW()-1,33),ROW()-1,FALSE))</f>
        <v>5.0989729999999997E-3</v>
      </c>
      <c r="J329">
        <f ca="1">IF(AND(ISNUMBER($J$729),$B$427=1),$J$729,HLOOKUP(INDIRECT(ADDRESS(2,COLUMN())),OFFSET($AM$2,0,0,ROW()-1,33),ROW()-1,FALSE))</f>
        <v>3.5964790000000001E-3</v>
      </c>
      <c r="K329">
        <f ca="1">IF(AND(ISNUMBER($K$729),$B$427=1),$K$729,HLOOKUP(INDIRECT(ADDRESS(2,COLUMN())),OFFSET($AM$2,0,0,ROW()-1,33),ROW()-1,FALSE))</f>
        <v>1.9638477000000001E-2</v>
      </c>
      <c r="L329">
        <f ca="1">IF(AND(ISNUMBER($L$729),$B$427=1),$L$729,HLOOKUP(INDIRECT(ADDRESS(2,COLUMN())),OFFSET($AM$2,0,0,ROW()-1,33),ROW()-1,FALSE))</f>
        <v>2.0196249999999999E-2</v>
      </c>
      <c r="M329">
        <f ca="1">IF(AND(ISNUMBER($M$729),$B$427=1),$M$729,HLOOKUP(INDIRECT(ADDRESS(2,COLUMN())),OFFSET($AM$2,0,0,ROW()-1,33),ROW()-1,FALSE))</f>
        <v>7.1632659999999997E-3</v>
      </c>
      <c r="N329">
        <f ca="1">IF(AND(ISNUMBER($N$729),$B$427=1),$N$729,HLOOKUP(INDIRECT(ADDRESS(2,COLUMN())),OFFSET($AM$2,0,0,ROW()-1,33),ROW()-1,FALSE))</f>
        <v>7.6033259999999997E-3</v>
      </c>
      <c r="O329">
        <f ca="1">IF(AND(ISNUMBER($O$729),$B$427=1),$O$729,HLOOKUP(INDIRECT(ADDRESS(2,COLUMN())),OFFSET($AM$2,0,0,ROW()-1,33),ROW()-1,FALSE))</f>
        <v>1.0420494000000001E-2</v>
      </c>
      <c r="P329">
        <f ca="1">IF(AND(ISNUMBER($P$729),$B$427=1),$P$729,HLOOKUP(INDIRECT(ADDRESS(2,COLUMN())),OFFSET($AM$2,0,0,ROW()-1,33),ROW()-1,FALSE))</f>
        <v>8.7207810000000004E-3</v>
      </c>
      <c r="Q329">
        <f ca="1">IF(AND(ISNUMBER($Q$729),$B$427=1),$Q$729,HLOOKUP(INDIRECT(ADDRESS(2,COLUMN())),OFFSET($AM$2,0,0,ROW()-1,33),ROW()-1,FALSE))</f>
        <v>2.5067543000000001E-2</v>
      </c>
      <c r="R329">
        <f ca="1">IF(AND(ISNUMBER($R$729),$B$427=1),$R$729,HLOOKUP(INDIRECT(ADDRESS(2,COLUMN())),OFFSET($AM$2,0,0,ROW()-1,33),ROW()-1,FALSE))</f>
        <v>1.8022488E-2</v>
      </c>
      <c r="S329">
        <f ca="1">IF(AND(ISNUMBER($S$729),$B$427=1),$S$729,HLOOKUP(INDIRECT(ADDRESS(2,COLUMN())),OFFSET($AM$2,0,0,ROW()-1,33),ROW()-1,FALSE))</f>
        <v>1.8144895000000001E-2</v>
      </c>
      <c r="T329">
        <f ca="1">IF(AND(ISNUMBER($T$729),$B$427=1),$T$729,HLOOKUP(INDIRECT(ADDRESS(2,COLUMN())),OFFSET($AM$2,0,0,ROW()-1,33),ROW()-1,FALSE))</f>
        <v>2.6015528E-2</v>
      </c>
      <c r="U329">
        <f ca="1">IF(AND(ISNUMBER($U$729),$B$427=1),$U$729,HLOOKUP(INDIRECT(ADDRESS(2,COLUMN())),OFFSET($AM$2,0,0,ROW()-1,33),ROW()-1,FALSE))</f>
        <v>2.7502872000000001E-2</v>
      </c>
      <c r="V329">
        <f ca="1">IF(AND(ISNUMBER($V$729),$B$427=1),$V$729,HLOOKUP(INDIRECT(ADDRESS(2,COLUMN())),OFFSET($AM$2,0,0,ROW()-1,33),ROW()-1,FALSE))</f>
        <v>3.7394667999999999E-2</v>
      </c>
      <c r="W329">
        <f ca="1">IF(AND(ISNUMBER($W$729),$B$427=1),$W$729,HLOOKUP(INDIRECT(ADDRESS(2,COLUMN())),OFFSET($AM$2,0,0,ROW()-1,33),ROW()-1,FALSE))</f>
        <v>1.3690630000000001E-2</v>
      </c>
      <c r="X329">
        <f ca="1">IF(AND(ISNUMBER($X$729),$B$427=1),$X$729,HLOOKUP(INDIRECT(ADDRESS(2,COLUMN())),OFFSET($AM$2,0,0,ROW()-1,33),ROW()-1,FALSE))</f>
        <v>7.604843E-3</v>
      </c>
      <c r="Y329">
        <f ca="1">IF(AND(ISNUMBER($Y$729),$B$427=1),$Y$729,HLOOKUP(INDIRECT(ADDRESS(2,COLUMN())),OFFSET($AM$2,0,0,ROW()-1,33),ROW()-1,FALSE))</f>
        <v>1.3769722999999999E-2</v>
      </c>
      <c r="Z329">
        <f ca="1">IF(AND(ISNUMBER($Z$729),$B$427=1),$Z$729,HLOOKUP(INDIRECT(ADDRESS(2,COLUMN())),OFFSET($AM$2,0,0,ROW()-1,33),ROW()-1,FALSE))</f>
        <v>1.290732E-2</v>
      </c>
      <c r="AA329">
        <f ca="1">IF(AND(ISNUMBER($AA$729),$B$427=1),$AA$729,HLOOKUP(INDIRECT(ADDRESS(2,COLUMN())),OFFSET($AM$2,0,0,ROW()-1,33),ROW()-1,FALSE))</f>
        <v>0.34602334800000001</v>
      </c>
      <c r="AB329">
        <f ca="1">IF(AND(ISNUMBER($AB$729),$B$427=1),$AB$729,HLOOKUP(INDIRECT(ADDRESS(2,COLUMN())),OFFSET($AM$2,0,0,ROW()-1,33),ROW()-1,FALSE))</f>
        <v>0.41925370000000001</v>
      </c>
      <c r="AC329">
        <f ca="1">IF(AND(ISNUMBER($AC$729),$B$427=1),$AC$729,HLOOKUP(INDIRECT(ADDRESS(2,COLUMN())),OFFSET($AM$2,0,0,ROW()-1,33),ROW()-1,FALSE))</f>
        <v>0.66199261600000003</v>
      </c>
      <c r="AD329" t="str">
        <f ca="1">IF(AND(ISNUMBER($AD$729),$B$427=1),$AD$729,HLOOKUP(INDIRECT(ADDRESS(2,COLUMN())),OFFSET($AM$2,0,0,ROW()-1,33),ROW()-1,FALSE))</f>
        <v/>
      </c>
      <c r="AE329" t="str">
        <f ca="1">IF(AND(ISNUMBER($AE$729),$B$427=1),$AE$729,HLOOKUP(INDIRECT(ADDRESS(2,COLUMN())),OFFSET($AM$2,0,0,ROW()-1,33),ROW()-1,FALSE))</f>
        <v/>
      </c>
      <c r="AF329" t="str">
        <f ca="1">IF(AND(ISNUMBER($AF$729),$B$427=1),$AF$729,HLOOKUP(INDIRECT(ADDRESS(2,COLUMN())),OFFSET($AM$2,0,0,ROW()-1,33),ROW()-1,FALSE))</f>
        <v/>
      </c>
      <c r="AG329" t="str">
        <f ca="1">IF(AND(ISNUMBER($AG$729),$B$427=1),$AG$729,HLOOKUP(INDIRECT(ADDRESS(2,COLUMN())),OFFSET($AM$2,0,0,ROW()-1,33),ROW()-1,FALSE))</f>
        <v/>
      </c>
      <c r="AH329" t="str">
        <f ca="1">IF(AND(ISNUMBER($AH$729),$B$427=1),$AH$729,HLOOKUP(INDIRECT(ADDRESS(2,COLUMN())),OFFSET($AM$2,0,0,ROW()-1,33),ROW()-1,FALSE))</f>
        <v/>
      </c>
      <c r="AI329" t="str">
        <f ca="1">IF(AND(ISNUMBER($AI$729),$B$427=1),$AI$729,HLOOKUP(INDIRECT(ADDRESS(2,COLUMN())),OFFSET($AM$2,0,0,ROW()-1,33),ROW()-1,FALSE))</f>
        <v/>
      </c>
      <c r="AJ329" t="str">
        <f ca="1">IF(AND(ISNUMBER($AJ$729),$B$427=1),$AJ$729,HLOOKUP(INDIRECT(ADDRESS(2,COLUMN())),OFFSET($AM$2,0,0,ROW()-1,33),ROW()-1,FALSE))</f>
        <v/>
      </c>
      <c r="AK329" t="str">
        <f ca="1">IF(AND(ISNUMBER($AK$729),$B$427=1),$AK$729,HLOOKUP(INDIRECT(ADDRESS(2,COLUMN())),OFFSET($AM$2,0,0,ROW()-1,33),ROW()-1,FALSE))</f>
        <v/>
      </c>
      <c r="AL329" t="str">
        <f ca="1">IF(AND(ISNUMBER($AL$729),$B$427=1),$AL$729,HLOOKUP(INDIRECT(ADDRESS(2,COLUMN())),OFFSET($AM$2,0,0,ROW()-1,33),ROW()-1,FALSE))</f>
        <v/>
      </c>
      <c r="AM329">
        <f>0.013142525</f>
        <v>1.3142525E-2</v>
      </c>
      <c r="AN329">
        <f>0.004089076</f>
        <v>4.0890759999999996E-3</v>
      </c>
      <c r="AO329">
        <f>0.004990647</f>
        <v>4.990647E-3</v>
      </c>
      <c r="AP329">
        <f>0.005098973</f>
        <v>5.0989729999999997E-3</v>
      </c>
      <c r="AQ329">
        <f>0.003596479</f>
        <v>3.5964790000000001E-3</v>
      </c>
      <c r="AR329">
        <f>0.019638477</f>
        <v>1.9638477000000001E-2</v>
      </c>
      <c r="AS329">
        <f>0.02019625</f>
        <v>2.0196249999999999E-2</v>
      </c>
      <c r="AT329">
        <f>0.007163266</f>
        <v>7.1632659999999997E-3</v>
      </c>
      <c r="AU329">
        <f>0.007603326</f>
        <v>7.6033259999999997E-3</v>
      </c>
      <c r="AV329">
        <f>0.010420494</f>
        <v>1.0420494000000001E-2</v>
      </c>
      <c r="AW329">
        <f>0.008720781</f>
        <v>8.7207810000000004E-3</v>
      </c>
      <c r="AX329">
        <f>0.025067543</f>
        <v>2.5067543000000001E-2</v>
      </c>
      <c r="AY329">
        <f>0.018022488</f>
        <v>1.8022488E-2</v>
      </c>
      <c r="AZ329">
        <f>0.018144895</f>
        <v>1.8144895000000001E-2</v>
      </c>
      <c r="BA329">
        <f>0.026015528</f>
        <v>2.6015528E-2</v>
      </c>
      <c r="BB329">
        <f>0.027502872</f>
        <v>2.7502872000000001E-2</v>
      </c>
      <c r="BC329">
        <f>0.037394668</f>
        <v>3.7394667999999999E-2</v>
      </c>
      <c r="BD329">
        <f>0.01369063</f>
        <v>1.3690630000000001E-2</v>
      </c>
      <c r="BE329">
        <f>0.007604843</f>
        <v>7.604843E-3</v>
      </c>
      <c r="BF329">
        <f>0.013769723</f>
        <v>1.3769722999999999E-2</v>
      </c>
      <c r="BG329">
        <f>0.01290732</f>
        <v>1.290732E-2</v>
      </c>
      <c r="BH329">
        <f>0.346023348</f>
        <v>0.34602334800000001</v>
      </c>
      <c r="BI329">
        <f>0.4192537</f>
        <v>0.41925370000000001</v>
      </c>
      <c r="BJ329">
        <f>0.661992616</f>
        <v>0.66199261600000003</v>
      </c>
      <c r="BK329" t="str">
        <f>""</f>
        <v/>
      </c>
      <c r="BL329" t="str">
        <f>""</f>
        <v/>
      </c>
      <c r="BM329" t="str">
        <f>""</f>
        <v/>
      </c>
      <c r="BN329" t="str">
        <f>""</f>
        <v/>
      </c>
      <c r="BO329" t="str">
        <f>""</f>
        <v/>
      </c>
      <c r="BP329" t="str">
        <f>""</f>
        <v/>
      </c>
      <c r="BQ329" t="str">
        <f>""</f>
        <v/>
      </c>
      <c r="BR329" t="str">
        <f>""</f>
        <v/>
      </c>
      <c r="BS329" t="str">
        <f>""</f>
        <v/>
      </c>
    </row>
    <row r="330" spans="1:71" x14ac:dyDescent="0.25">
      <c r="A330" t="str">
        <f>"        Citigroup Inc"</f>
        <v xml:space="preserve">        Citigroup Inc</v>
      </c>
      <c r="B330" t="str">
        <f>"C US Equity"</f>
        <v>C US Equity</v>
      </c>
      <c r="C330" t="str">
        <f t="shared" si="45"/>
        <v>F0125</v>
      </c>
      <c r="D330" t="str">
        <f t="shared" si="46"/>
        <v>FED_US_BANK_LOANS_%_TOT_LNS_LEAS</v>
      </c>
      <c r="E330" t="str">
        <f t="shared" si="47"/>
        <v>Dynamic</v>
      </c>
      <c r="F330">
        <f ca="1">IF(AND(ISNUMBER($F$730),$B$427=1),$F$730,HLOOKUP(INDIRECT(ADDRESS(2,COLUMN())),OFFSET($AM$2,0,0,ROW()-1,33),ROW()-1,FALSE))</f>
        <v>1.6153840999999999E-2</v>
      </c>
      <c r="G330">
        <f ca="1">IF(AND(ISNUMBER($G$730),$B$427=1),$G$730,HLOOKUP(INDIRECT(ADDRESS(2,COLUMN())),OFFSET($AM$2,0,0,ROW()-1,33),ROW()-1,FALSE))</f>
        <v>1.1838876999999999E-2</v>
      </c>
      <c r="H330">
        <f ca="1">IF(AND(ISNUMBER($H$730),$B$427=1),$H$730,HLOOKUP(INDIRECT(ADDRESS(2,COLUMN())),OFFSET($AM$2,0,0,ROW()-1,33),ROW()-1,FALSE))</f>
        <v>7.9269079999999999E-3</v>
      </c>
      <c r="I330">
        <f ca="1">IF(AND(ISNUMBER($I$730),$B$427=1),$I$730,HLOOKUP(INDIRECT(ADDRESS(2,COLUMN())),OFFSET($AM$2,0,0,ROW()-1,33),ROW()-1,FALSE))</f>
        <v>1.9003049000000001E-2</v>
      </c>
      <c r="J330">
        <f ca="1">IF(AND(ISNUMBER($J$730),$B$427=1),$J$730,HLOOKUP(INDIRECT(ADDRESS(2,COLUMN())),OFFSET($AM$2,0,0,ROW()-1,33),ROW()-1,FALSE))</f>
        <v>2.5470667999999998E-2</v>
      </c>
      <c r="K330">
        <f ca="1">IF(AND(ISNUMBER($K$730),$B$427=1),$K$730,HLOOKUP(INDIRECT(ADDRESS(2,COLUMN())),OFFSET($AM$2,0,0,ROW()-1,33),ROW()-1,FALSE))</f>
        <v>4.1741449999999998E-3</v>
      </c>
      <c r="L330">
        <f ca="1">IF(AND(ISNUMBER($L$730),$B$427=1),$L$730,HLOOKUP(INDIRECT(ADDRESS(2,COLUMN())),OFFSET($AM$2,0,0,ROW()-1,33),ROW()-1,FALSE))</f>
        <v>1.2545585E-2</v>
      </c>
      <c r="M330">
        <f ca="1">IF(AND(ISNUMBER($M$730),$B$427=1),$M$730,HLOOKUP(INDIRECT(ADDRESS(2,COLUMN())),OFFSET($AM$2,0,0,ROW()-1,33),ROW()-1,FALSE))</f>
        <v>3.629817E-3</v>
      </c>
      <c r="N330">
        <f ca="1">IF(AND(ISNUMBER($N$730),$B$427=1),$N$730,HLOOKUP(INDIRECT(ADDRESS(2,COLUMN())),OFFSET($AM$2,0,0,ROW()-1,33),ROW()-1,FALSE))</f>
        <v>3.2679430000000001E-3</v>
      </c>
      <c r="O330">
        <f ca="1">IF(AND(ISNUMBER($O$730),$B$427=1),$O$730,HLOOKUP(INDIRECT(ADDRESS(2,COLUMN())),OFFSET($AM$2,0,0,ROW()-1,33),ROW()-1,FALSE))</f>
        <v>1.2494163000000001E-2</v>
      </c>
      <c r="P330">
        <f ca="1">IF(AND(ISNUMBER($P$730),$B$427=1),$P$730,HLOOKUP(INDIRECT(ADDRESS(2,COLUMN())),OFFSET($AM$2,0,0,ROW()-1,33),ROW()-1,FALSE))</f>
        <v>2.6314397E-2</v>
      </c>
      <c r="Q330">
        <f ca="1">IF(AND(ISNUMBER($Q$730),$B$427=1),$Q$730,HLOOKUP(INDIRECT(ADDRESS(2,COLUMN())),OFFSET($AM$2,0,0,ROW()-1,33),ROW()-1,FALSE))</f>
        <v>4.4170586999999997E-2</v>
      </c>
      <c r="R330">
        <f ca="1">IF(AND(ISNUMBER($R$730),$B$427=1),$R$730,HLOOKUP(INDIRECT(ADDRESS(2,COLUMN())),OFFSET($AM$2,0,0,ROW()-1,33),ROW()-1,FALSE))</f>
        <v>4.59298E-3</v>
      </c>
      <c r="S330">
        <f ca="1">IF(AND(ISNUMBER($S$730),$B$427=1),$S$730,HLOOKUP(INDIRECT(ADDRESS(2,COLUMN())),OFFSET($AM$2,0,0,ROW()-1,33),ROW()-1,FALSE))</f>
        <v>4.8676800000000001E-3</v>
      </c>
      <c r="T330">
        <f ca="1">IF(AND(ISNUMBER($T$730),$B$427=1),$T$730,HLOOKUP(INDIRECT(ADDRESS(2,COLUMN())),OFFSET($AM$2,0,0,ROW()-1,33),ROW()-1,FALSE))</f>
        <v>3.2305810000000002E-3</v>
      </c>
      <c r="U330">
        <f ca="1">IF(AND(ISNUMBER($U$730),$B$427=1),$U$730,HLOOKUP(INDIRECT(ADDRESS(2,COLUMN())),OFFSET($AM$2,0,0,ROW()-1,33),ROW()-1,FALSE))</f>
        <v>5.5701032999999997E-2</v>
      </c>
      <c r="V330">
        <f ca="1">IF(AND(ISNUMBER($V$730),$B$427=1),$V$730,HLOOKUP(INDIRECT(ADDRESS(2,COLUMN())),OFFSET($AM$2,0,0,ROW()-1,33),ROW()-1,FALSE))</f>
        <v>1.1274841000000001E-2</v>
      </c>
      <c r="W330">
        <f ca="1">IF(AND(ISNUMBER($W$730),$B$427=1),$W$730,HLOOKUP(INDIRECT(ADDRESS(2,COLUMN())),OFFSET($AM$2,0,0,ROW()-1,33),ROW()-1,FALSE))</f>
        <v>5.9178531999999999E-2</v>
      </c>
      <c r="X330">
        <f ca="1">IF(AND(ISNUMBER($X$730),$B$427=1),$X$730,HLOOKUP(INDIRECT(ADDRESS(2,COLUMN())),OFFSET($AM$2,0,0,ROW()-1,33),ROW()-1,FALSE))</f>
        <v>0.204065212</v>
      </c>
      <c r="Y330">
        <f ca="1">IF(AND(ISNUMBER($Y$730),$B$427=1),$Y$730,HLOOKUP(INDIRECT(ADDRESS(2,COLUMN())),OFFSET($AM$2,0,0,ROW()-1,33),ROW()-1,FALSE))</f>
        <v>4.4405616000000002E-2</v>
      </c>
      <c r="Z330">
        <f ca="1">IF(AND(ISNUMBER($Z$730),$B$427=1),$Z$730,HLOOKUP(INDIRECT(ADDRESS(2,COLUMN())),OFFSET($AM$2,0,0,ROW()-1,33),ROW()-1,FALSE))</f>
        <v>2.1389901999999999E-2</v>
      </c>
      <c r="AA330">
        <f ca="1">IF(AND(ISNUMBER($AA$730),$B$427=1),$AA$730,HLOOKUP(INDIRECT(ADDRESS(2,COLUMN())),OFFSET($AM$2,0,0,ROW()-1,33),ROW()-1,FALSE))</f>
        <v>1.3987612E-2</v>
      </c>
      <c r="AB330">
        <f ca="1">IF(AND(ISNUMBER($AB$730),$B$427=1),$AB$730,HLOOKUP(INDIRECT(ADDRESS(2,COLUMN())),OFFSET($AM$2,0,0,ROW()-1,33),ROW()-1,FALSE))</f>
        <v>1.9343003000000001E-2</v>
      </c>
      <c r="AC330">
        <f ca="1">IF(AND(ISNUMBER($AC$730),$B$427=1),$AC$730,HLOOKUP(INDIRECT(ADDRESS(2,COLUMN())),OFFSET($AM$2,0,0,ROW()-1,33),ROW()-1,FALSE))</f>
        <v>5.6590570999999999E-2</v>
      </c>
      <c r="AD330" t="str">
        <f ca="1">IF(AND(ISNUMBER($AD$730),$B$427=1),$AD$730,HLOOKUP(INDIRECT(ADDRESS(2,COLUMN())),OFFSET($AM$2,0,0,ROW()-1,33),ROW()-1,FALSE))</f>
        <v/>
      </c>
      <c r="AE330" t="str">
        <f ca="1">IF(AND(ISNUMBER($AE$730),$B$427=1),$AE$730,HLOOKUP(INDIRECT(ADDRESS(2,COLUMN())),OFFSET($AM$2,0,0,ROW()-1,33),ROW()-1,FALSE))</f>
        <v/>
      </c>
      <c r="AF330" t="str">
        <f ca="1">IF(AND(ISNUMBER($AF$730),$B$427=1),$AF$730,HLOOKUP(INDIRECT(ADDRESS(2,COLUMN())),OFFSET($AM$2,0,0,ROW()-1,33),ROW()-1,FALSE))</f>
        <v/>
      </c>
      <c r="AG330" t="str">
        <f ca="1">IF(AND(ISNUMBER($AG$730),$B$427=1),$AG$730,HLOOKUP(INDIRECT(ADDRESS(2,COLUMN())),OFFSET($AM$2,0,0,ROW()-1,33),ROW()-1,FALSE))</f>
        <v/>
      </c>
      <c r="AH330" t="str">
        <f ca="1">IF(AND(ISNUMBER($AH$730),$B$427=1),$AH$730,HLOOKUP(INDIRECT(ADDRESS(2,COLUMN())),OFFSET($AM$2,0,0,ROW()-1,33),ROW()-1,FALSE))</f>
        <v/>
      </c>
      <c r="AI330" t="str">
        <f ca="1">IF(AND(ISNUMBER($AI$730),$B$427=1),$AI$730,HLOOKUP(INDIRECT(ADDRESS(2,COLUMN())),OFFSET($AM$2,0,0,ROW()-1,33),ROW()-1,FALSE))</f>
        <v/>
      </c>
      <c r="AJ330" t="str">
        <f ca="1">IF(AND(ISNUMBER($AJ$730),$B$427=1),$AJ$730,HLOOKUP(INDIRECT(ADDRESS(2,COLUMN())),OFFSET($AM$2,0,0,ROW()-1,33),ROW()-1,FALSE))</f>
        <v/>
      </c>
      <c r="AK330" t="str">
        <f ca="1">IF(AND(ISNUMBER($AK$730),$B$427=1),$AK$730,HLOOKUP(INDIRECT(ADDRESS(2,COLUMN())),OFFSET($AM$2,0,0,ROW()-1,33),ROW()-1,FALSE))</f>
        <v/>
      </c>
      <c r="AL330" t="str">
        <f ca="1">IF(AND(ISNUMBER($AL$730),$B$427=1),$AL$730,HLOOKUP(INDIRECT(ADDRESS(2,COLUMN())),OFFSET($AM$2,0,0,ROW()-1,33),ROW()-1,FALSE))</f>
        <v/>
      </c>
      <c r="AM330">
        <f>0.016153841</f>
        <v>1.6153840999999999E-2</v>
      </c>
      <c r="AN330">
        <f>0.011838877</f>
        <v>1.1838876999999999E-2</v>
      </c>
      <c r="AO330">
        <f>0.007926908</f>
        <v>7.9269079999999999E-3</v>
      </c>
      <c r="AP330">
        <f>0.019003049</f>
        <v>1.9003049000000001E-2</v>
      </c>
      <c r="AQ330">
        <f>0.025470668</f>
        <v>2.5470667999999998E-2</v>
      </c>
      <c r="AR330">
        <f>0.004174145</f>
        <v>4.1741449999999998E-3</v>
      </c>
      <c r="AS330">
        <f>0.012545585</f>
        <v>1.2545585E-2</v>
      </c>
      <c r="AT330">
        <f>0.003629817</f>
        <v>3.629817E-3</v>
      </c>
      <c r="AU330">
        <f>0.003267943</f>
        <v>3.2679430000000001E-3</v>
      </c>
      <c r="AV330">
        <f>0.012494163</f>
        <v>1.2494163000000001E-2</v>
      </c>
      <c r="AW330">
        <f>0.026314397</f>
        <v>2.6314397E-2</v>
      </c>
      <c r="AX330">
        <f>0.044170587</f>
        <v>4.4170586999999997E-2</v>
      </c>
      <c r="AY330">
        <f>0.00459298</f>
        <v>4.59298E-3</v>
      </c>
      <c r="AZ330">
        <f>0.00486768</f>
        <v>4.8676800000000001E-3</v>
      </c>
      <c r="BA330">
        <f>0.003230581</f>
        <v>3.2305810000000002E-3</v>
      </c>
      <c r="BB330">
        <f>0.055701033</f>
        <v>5.5701032999999997E-2</v>
      </c>
      <c r="BC330">
        <f>0.011274841</f>
        <v>1.1274841000000001E-2</v>
      </c>
      <c r="BD330">
        <f>0.059178532</f>
        <v>5.9178531999999999E-2</v>
      </c>
      <c r="BE330">
        <f>0.204065212</f>
        <v>0.204065212</v>
      </c>
      <c r="BF330">
        <f>0.044405616</f>
        <v>4.4405616000000002E-2</v>
      </c>
      <c r="BG330">
        <f>0.021389902</f>
        <v>2.1389901999999999E-2</v>
      </c>
      <c r="BH330">
        <f>0.013987612</f>
        <v>1.3987612E-2</v>
      </c>
      <c r="BI330">
        <f>0.019343003</f>
        <v>1.9343003000000001E-2</v>
      </c>
      <c r="BJ330">
        <f>0.056590571</f>
        <v>5.6590570999999999E-2</v>
      </c>
      <c r="BK330" t="str">
        <f>""</f>
        <v/>
      </c>
      <c r="BL330" t="str">
        <f>""</f>
        <v/>
      </c>
      <c r="BM330" t="str">
        <f>""</f>
        <v/>
      </c>
      <c r="BN330" t="str">
        <f>""</f>
        <v/>
      </c>
      <c r="BO330" t="str">
        <f>""</f>
        <v/>
      </c>
      <c r="BP330" t="str">
        <f>""</f>
        <v/>
      </c>
      <c r="BQ330" t="str">
        <f>""</f>
        <v/>
      </c>
      <c r="BR330" t="str">
        <f>""</f>
        <v/>
      </c>
      <c r="BS330" t="str">
        <f>""</f>
        <v/>
      </c>
    </row>
    <row r="331" spans="1:71" x14ac:dyDescent="0.25">
      <c r="A331" t="str">
        <f>"        Citizens Financial Group Inc"</f>
        <v xml:space="preserve">        Citizens Financial Group Inc</v>
      </c>
      <c r="B331" t="str">
        <f>"CFG US Equity"</f>
        <v>CFG US Equity</v>
      </c>
      <c r="C331" t="str">
        <f t="shared" si="45"/>
        <v>F0125</v>
      </c>
      <c r="D331" t="str">
        <f t="shared" si="46"/>
        <v>FED_US_BANK_LOANS_%_TOT_LNS_LEAS</v>
      </c>
      <c r="E331" t="str">
        <f t="shared" si="47"/>
        <v>Dynamic</v>
      </c>
      <c r="F331">
        <f ca="1">IF(AND(ISNUMBER($F$731),$B$427=1),$F$731,HLOOKUP(INDIRECT(ADDRESS(2,COLUMN())),OFFSET($AM$2,0,0,ROW()-1,33),ROW()-1,FALSE))</f>
        <v>2.4535099999999999E-4</v>
      </c>
      <c r="G331">
        <f ca="1">IF(AND(ISNUMBER($G$731),$B$427=1),$G$731,HLOOKUP(INDIRECT(ADDRESS(2,COLUMN())),OFFSET($AM$2,0,0,ROW()-1,33),ROW()-1,FALSE))</f>
        <v>1.531358E-3</v>
      </c>
      <c r="H331">
        <f ca="1">IF(AND(ISNUMBER($H$731),$B$427=1),$H$731,HLOOKUP(INDIRECT(ADDRESS(2,COLUMN())),OFFSET($AM$2,0,0,ROW()-1,33),ROW()-1,FALSE))</f>
        <v>4.4132729999999997E-3</v>
      </c>
      <c r="I331">
        <f ca="1">IF(AND(ISNUMBER($I$731),$B$427=1),$I$731,HLOOKUP(INDIRECT(ADDRESS(2,COLUMN())),OFFSET($AM$2,0,0,ROW()-1,33),ROW()-1,FALSE))</f>
        <v>7.4450500000000001E-5</v>
      </c>
      <c r="J331">
        <f ca="1">IF(AND(ISNUMBER($J$731),$B$427=1),$J$731,HLOOKUP(INDIRECT(ADDRESS(2,COLUMN())),OFFSET($AM$2,0,0,ROW()-1,33),ROW()-1,FALSE))</f>
        <v>6.0118100000000003E-5</v>
      </c>
      <c r="K331">
        <f ca="1">IF(AND(ISNUMBER($K$731),$B$427=1),$K$731,HLOOKUP(INDIRECT(ADDRESS(2,COLUMN())),OFFSET($AM$2,0,0,ROW()-1,33),ROW()-1,FALSE))</f>
        <v>4.8539280000000004E-3</v>
      </c>
      <c r="L331">
        <f ca="1">IF(AND(ISNUMBER($L$731),$B$427=1),$L$731,HLOOKUP(INDIRECT(ADDRESS(2,COLUMN())),OFFSET($AM$2,0,0,ROW()-1,33),ROW()-1,FALSE))</f>
        <v>4.3993400000000001E-4</v>
      </c>
      <c r="M331">
        <f ca="1">IF(AND(ISNUMBER($M$731),$B$427=1),$M$731,HLOOKUP(INDIRECT(ADDRESS(2,COLUMN())),OFFSET($AM$2,0,0,ROW()-1,33),ROW()-1,FALSE))</f>
        <v>3.4700429999999999E-3</v>
      </c>
      <c r="N331">
        <f ca="1">IF(AND(ISNUMBER($N$731),$B$427=1),$N$731,HLOOKUP(INDIRECT(ADDRESS(2,COLUMN())),OFFSET($AM$2,0,0,ROW()-1,33),ROW()-1,FALSE))</f>
        <v>1.0368448000000001E-2</v>
      </c>
      <c r="O331">
        <f ca="1">IF(AND(ISNUMBER($O$731),$B$427=1),$O$731,HLOOKUP(INDIRECT(ADDRESS(2,COLUMN())),OFFSET($AM$2,0,0,ROW()-1,33),ROW()-1,FALSE))</f>
        <v>2.5177016E-2</v>
      </c>
      <c r="P331">
        <f ca="1">IF(AND(ISNUMBER($P$731),$B$427=1),$P$731,HLOOKUP(INDIRECT(ADDRESS(2,COLUMN())),OFFSET($AM$2,0,0,ROW()-1,33),ROW()-1,FALSE))</f>
        <v>3.7740748999999997E-2</v>
      </c>
      <c r="Q331">
        <f ca="1">IF(AND(ISNUMBER($Q$731),$B$427=1),$Q$731,HLOOKUP(INDIRECT(ADDRESS(2,COLUMN())),OFFSET($AM$2,0,0,ROW()-1,33),ROW()-1,FALSE))</f>
        <v>4.9963761000000002E-2</v>
      </c>
      <c r="R331">
        <f ca="1">IF(AND(ISNUMBER($R$731),$B$427=1),$R$731,HLOOKUP(INDIRECT(ADDRESS(2,COLUMN())),OFFSET($AM$2,0,0,ROW()-1,33),ROW()-1,FALSE))</f>
        <v>8.3997698999999995E-2</v>
      </c>
      <c r="S331">
        <f ca="1">IF(AND(ISNUMBER($S$731),$B$427=1),$S$731,HLOOKUP(INDIRECT(ADDRESS(2,COLUMN())),OFFSET($AM$2,0,0,ROW()-1,33),ROW()-1,FALSE))</f>
        <v>7.0338947999999998E-2</v>
      </c>
      <c r="T331">
        <f ca="1">IF(AND(ISNUMBER($T$731),$B$427=1),$T$731,HLOOKUP(INDIRECT(ADDRESS(2,COLUMN())),OFFSET($AM$2,0,0,ROW()-1,33),ROW()-1,FALSE))</f>
        <v>7.1028536000000003E-2</v>
      </c>
      <c r="U331">
        <f ca="1">IF(AND(ISNUMBER($U$731),$B$427=1),$U$731,HLOOKUP(INDIRECT(ADDRESS(2,COLUMN())),OFFSET($AM$2,0,0,ROW()-1,33),ROW()-1,FALSE))</f>
        <v>7.7454388999999998E-2</v>
      </c>
      <c r="V331">
        <f ca="1">IF(AND(ISNUMBER($V$731),$B$427=1),$V$731,HLOOKUP(INDIRECT(ADDRESS(2,COLUMN())),OFFSET($AM$2,0,0,ROW()-1,33),ROW()-1,FALSE))</f>
        <v>0</v>
      </c>
      <c r="W331">
        <f ca="1">IF(AND(ISNUMBER($W$731),$B$427=1),$W$731,HLOOKUP(INDIRECT(ADDRESS(2,COLUMN())),OFFSET($AM$2,0,0,ROW()-1,33),ROW()-1,FALSE))</f>
        <v>0</v>
      </c>
      <c r="X331">
        <f ca="1">IF(AND(ISNUMBER($X$731),$B$427=1),$X$731,HLOOKUP(INDIRECT(ADDRESS(2,COLUMN())),OFFSET($AM$2,0,0,ROW()-1,33),ROW()-1,FALSE))</f>
        <v>0</v>
      </c>
      <c r="Y331">
        <f ca="1">IF(AND(ISNUMBER($Y$731),$B$427=1),$Y$731,HLOOKUP(INDIRECT(ADDRESS(2,COLUMN())),OFFSET($AM$2,0,0,ROW()-1,33),ROW()-1,FALSE))</f>
        <v>0</v>
      </c>
      <c r="Z331">
        <f ca="1">IF(AND(ISNUMBER($Z$731),$B$427=1),$Z$731,HLOOKUP(INDIRECT(ADDRESS(2,COLUMN())),OFFSET($AM$2,0,0,ROW()-1,33),ROW()-1,FALSE))</f>
        <v>0</v>
      </c>
      <c r="AA331">
        <f ca="1">IF(AND(ISNUMBER($AA$731),$B$427=1),$AA$731,HLOOKUP(INDIRECT(ADDRESS(2,COLUMN())),OFFSET($AM$2,0,0,ROW()-1,33),ROW()-1,FALSE))</f>
        <v>0</v>
      </c>
      <c r="AB331">
        <f ca="1">IF(AND(ISNUMBER($AB$731),$B$427=1),$AB$731,HLOOKUP(INDIRECT(ADDRESS(2,COLUMN())),OFFSET($AM$2,0,0,ROW()-1,33),ROW()-1,FALSE))</f>
        <v>0</v>
      </c>
      <c r="AC331">
        <f ca="1">IF(AND(ISNUMBER($AC$731),$B$427=1),$AC$731,HLOOKUP(INDIRECT(ADDRESS(2,COLUMN())),OFFSET($AM$2,0,0,ROW()-1,33),ROW()-1,FALSE))</f>
        <v>0</v>
      </c>
      <c r="AD331" t="str">
        <f ca="1">IF(AND(ISNUMBER($AD$731),$B$427=1),$AD$731,HLOOKUP(INDIRECT(ADDRESS(2,COLUMN())),OFFSET($AM$2,0,0,ROW()-1,33),ROW()-1,FALSE))</f>
        <v/>
      </c>
      <c r="AE331" t="str">
        <f ca="1">IF(AND(ISNUMBER($AE$731),$B$427=1),$AE$731,HLOOKUP(INDIRECT(ADDRESS(2,COLUMN())),OFFSET($AM$2,0,0,ROW()-1,33),ROW()-1,FALSE))</f>
        <v/>
      </c>
      <c r="AF331" t="str">
        <f ca="1">IF(AND(ISNUMBER($AF$731),$B$427=1),$AF$731,HLOOKUP(INDIRECT(ADDRESS(2,COLUMN())),OFFSET($AM$2,0,0,ROW()-1,33),ROW()-1,FALSE))</f>
        <v/>
      </c>
      <c r="AG331" t="str">
        <f ca="1">IF(AND(ISNUMBER($AG$731),$B$427=1),$AG$731,HLOOKUP(INDIRECT(ADDRESS(2,COLUMN())),OFFSET($AM$2,0,0,ROW()-1,33),ROW()-1,FALSE))</f>
        <v/>
      </c>
      <c r="AH331" t="str">
        <f ca="1">IF(AND(ISNUMBER($AH$731),$B$427=1),$AH$731,HLOOKUP(INDIRECT(ADDRESS(2,COLUMN())),OFFSET($AM$2,0,0,ROW()-1,33),ROW()-1,FALSE))</f>
        <v/>
      </c>
      <c r="AI331" t="str">
        <f ca="1">IF(AND(ISNUMBER($AI$731),$B$427=1),$AI$731,HLOOKUP(INDIRECT(ADDRESS(2,COLUMN())),OFFSET($AM$2,0,0,ROW()-1,33),ROW()-1,FALSE))</f>
        <v/>
      </c>
      <c r="AJ331" t="str">
        <f ca="1">IF(AND(ISNUMBER($AJ$731),$B$427=1),$AJ$731,HLOOKUP(INDIRECT(ADDRESS(2,COLUMN())),OFFSET($AM$2,0,0,ROW()-1,33),ROW()-1,FALSE))</f>
        <v/>
      </c>
      <c r="AK331" t="str">
        <f ca="1">IF(AND(ISNUMBER($AK$731),$B$427=1),$AK$731,HLOOKUP(INDIRECT(ADDRESS(2,COLUMN())),OFFSET($AM$2,0,0,ROW()-1,33),ROW()-1,FALSE))</f>
        <v/>
      </c>
      <c r="AL331" t="str">
        <f ca="1">IF(AND(ISNUMBER($AL$731),$B$427=1),$AL$731,HLOOKUP(INDIRECT(ADDRESS(2,COLUMN())),OFFSET($AM$2,0,0,ROW()-1,33),ROW()-1,FALSE))</f>
        <v/>
      </c>
      <c r="AM331">
        <f>0.000245351</f>
        <v>2.4535099999999999E-4</v>
      </c>
      <c r="AN331">
        <f>0.001531358</f>
        <v>1.531358E-3</v>
      </c>
      <c r="AO331">
        <f>0.004413273</f>
        <v>4.4132729999999997E-3</v>
      </c>
      <c r="AP331">
        <f>0.0000744505</f>
        <v>7.4450500000000001E-5</v>
      </c>
      <c r="AQ331">
        <f>0.0000601181</f>
        <v>6.0118100000000003E-5</v>
      </c>
      <c r="AR331">
        <f>0.004853928</f>
        <v>4.8539280000000004E-3</v>
      </c>
      <c r="AS331">
        <f>0.000439934</f>
        <v>4.3993400000000001E-4</v>
      </c>
      <c r="AT331">
        <f>0.003470043</f>
        <v>3.4700429999999999E-3</v>
      </c>
      <c r="AU331">
        <f>0.010368448</f>
        <v>1.0368448000000001E-2</v>
      </c>
      <c r="AV331">
        <f>0.025177016</f>
        <v>2.5177016E-2</v>
      </c>
      <c r="AW331">
        <f>0.037740749</f>
        <v>3.7740748999999997E-2</v>
      </c>
      <c r="AX331">
        <f>0.049963761</f>
        <v>4.9963761000000002E-2</v>
      </c>
      <c r="AY331">
        <f>0.083997699</f>
        <v>8.3997698999999995E-2</v>
      </c>
      <c r="AZ331">
        <f>0.070338948</f>
        <v>7.0338947999999998E-2</v>
      </c>
      <c r="BA331">
        <f>0.071028536</f>
        <v>7.1028536000000003E-2</v>
      </c>
      <c r="BB331">
        <f>0.077454389</f>
        <v>7.7454388999999998E-2</v>
      </c>
      <c r="BC331">
        <f>0</f>
        <v>0</v>
      </c>
      <c r="BD331">
        <f>0</f>
        <v>0</v>
      </c>
      <c r="BE331">
        <f>0</f>
        <v>0</v>
      </c>
      <c r="BF331">
        <f>0</f>
        <v>0</v>
      </c>
      <c r="BG331">
        <f>0</f>
        <v>0</v>
      </c>
      <c r="BH331">
        <f>0</f>
        <v>0</v>
      </c>
      <c r="BI331">
        <f>0</f>
        <v>0</v>
      </c>
      <c r="BJ331">
        <f>0</f>
        <v>0</v>
      </c>
      <c r="BK331" t="str">
        <f>""</f>
        <v/>
      </c>
      <c r="BL331" t="str">
        <f>""</f>
        <v/>
      </c>
      <c r="BM331" t="str">
        <f>""</f>
        <v/>
      </c>
      <c r="BN331" t="str">
        <f>""</f>
        <v/>
      </c>
      <c r="BO331" t="str">
        <f>""</f>
        <v/>
      </c>
      <c r="BP331" t="str">
        <f>""</f>
        <v/>
      </c>
      <c r="BQ331" t="str">
        <f>""</f>
        <v/>
      </c>
      <c r="BR331" t="str">
        <f>""</f>
        <v/>
      </c>
      <c r="BS331" t="str">
        <f>""</f>
        <v/>
      </c>
    </row>
    <row r="332" spans="1:71" x14ac:dyDescent="0.25">
      <c r="A332" t="str">
        <f>"        Capital One Financial Corp"</f>
        <v xml:space="preserve">        Capital One Financial Corp</v>
      </c>
      <c r="B332" t="str">
        <f>"COF US Equity"</f>
        <v>COF US Equity</v>
      </c>
      <c r="C332" t="str">
        <f t="shared" si="45"/>
        <v>F0125</v>
      </c>
      <c r="D332" t="str">
        <f t="shared" si="46"/>
        <v>FED_US_BANK_LOANS_%_TOT_LNS_LEAS</v>
      </c>
      <c r="E332" t="str">
        <f t="shared" si="47"/>
        <v>Dynamic</v>
      </c>
      <c r="F332">
        <f ca="1">IF(AND(ISNUMBER($F$732),$B$427=1),$F$732,HLOOKUP(INDIRECT(ADDRESS(2,COLUMN())),OFFSET($AM$2,0,0,ROW()-1,33),ROW()-1,FALSE))</f>
        <v>0</v>
      </c>
      <c r="G332">
        <f ca="1">IF(AND(ISNUMBER($G$732),$B$427=1),$G$732,HLOOKUP(INDIRECT(ADDRESS(2,COLUMN())),OFFSET($AM$2,0,0,ROW()-1,33),ROW()-1,FALSE))</f>
        <v>0</v>
      </c>
      <c r="H332">
        <f ca="1">IF(AND(ISNUMBER($H$732),$B$427=1),$H$732,HLOOKUP(INDIRECT(ADDRESS(2,COLUMN())),OFFSET($AM$2,0,0,ROW()-1,33),ROW()-1,FALSE))</f>
        <v>0</v>
      </c>
      <c r="I332">
        <f ca="1">IF(AND(ISNUMBER($I$732),$B$427=1),$I$732,HLOOKUP(INDIRECT(ADDRESS(2,COLUMN())),OFFSET($AM$2,0,0,ROW()-1,33),ROW()-1,FALSE))</f>
        <v>0</v>
      </c>
      <c r="J332">
        <f ca="1">IF(AND(ISNUMBER($J$732),$B$427=1),$J$732,HLOOKUP(INDIRECT(ADDRESS(2,COLUMN())),OFFSET($AM$2,0,0,ROW()-1,33),ROW()-1,FALSE))</f>
        <v>0</v>
      </c>
      <c r="K332">
        <f ca="1">IF(AND(ISNUMBER($K$732),$B$427=1),$K$732,HLOOKUP(INDIRECT(ADDRESS(2,COLUMN())),OFFSET($AM$2,0,0,ROW()-1,33),ROW()-1,FALSE))</f>
        <v>0</v>
      </c>
      <c r="L332">
        <f ca="1">IF(AND(ISNUMBER($L$732),$B$427=1),$L$732,HLOOKUP(INDIRECT(ADDRESS(2,COLUMN())),OFFSET($AM$2,0,0,ROW()-1,33),ROW()-1,FALSE))</f>
        <v>0</v>
      </c>
      <c r="M332">
        <f ca="1">IF(AND(ISNUMBER($M$732),$B$427=1),$M$732,HLOOKUP(INDIRECT(ADDRESS(2,COLUMN())),OFFSET($AM$2,0,0,ROW()-1,33),ROW()-1,FALSE))</f>
        <v>0</v>
      </c>
      <c r="N332">
        <f ca="1">IF(AND(ISNUMBER($N$732),$B$427=1),$N$732,HLOOKUP(INDIRECT(ADDRESS(2,COLUMN())),OFFSET($AM$2,0,0,ROW()-1,33),ROW()-1,FALSE))</f>
        <v>0</v>
      </c>
      <c r="O332">
        <f ca="1">IF(AND(ISNUMBER($O$732),$B$427=1),$O$732,HLOOKUP(INDIRECT(ADDRESS(2,COLUMN())),OFFSET($AM$2,0,0,ROW()-1,33),ROW()-1,FALSE))</f>
        <v>0</v>
      </c>
      <c r="P332">
        <f ca="1">IF(AND(ISNUMBER($P$732),$B$427=1),$P$732,HLOOKUP(INDIRECT(ADDRESS(2,COLUMN())),OFFSET($AM$2,0,0,ROW()-1,33),ROW()-1,FALSE))</f>
        <v>0</v>
      </c>
      <c r="Q332">
        <f ca="1">IF(AND(ISNUMBER($Q$732),$B$427=1),$Q$732,HLOOKUP(INDIRECT(ADDRESS(2,COLUMN())),OFFSET($AM$2,0,0,ROW()-1,33),ROW()-1,FALSE))</f>
        <v>0.17086717100000001</v>
      </c>
      <c r="R332">
        <f ca="1">IF(AND(ISNUMBER($R$732),$B$427=1),$R$732,HLOOKUP(INDIRECT(ADDRESS(2,COLUMN())),OFFSET($AM$2,0,0,ROW()-1,33),ROW()-1,FALSE))</f>
        <v>0</v>
      </c>
      <c r="S332">
        <f ca="1">IF(AND(ISNUMBER($S$732),$B$427=1),$S$732,HLOOKUP(INDIRECT(ADDRESS(2,COLUMN())),OFFSET($AM$2,0,0,ROW()-1,33),ROW()-1,FALSE))</f>
        <v>0</v>
      </c>
      <c r="T332">
        <f ca="1">IF(AND(ISNUMBER($T$732),$B$427=1),$T$732,HLOOKUP(INDIRECT(ADDRESS(2,COLUMN())),OFFSET($AM$2,0,0,ROW()-1,33),ROW()-1,FALSE))</f>
        <v>0</v>
      </c>
      <c r="U332">
        <f ca="1">IF(AND(ISNUMBER($U$732),$B$427=1),$U$732,HLOOKUP(INDIRECT(ADDRESS(2,COLUMN())),OFFSET($AM$2,0,0,ROW()-1,33),ROW()-1,FALSE))</f>
        <v>0</v>
      </c>
      <c r="V332">
        <f ca="1">IF(AND(ISNUMBER($V$732),$B$427=1),$V$732,HLOOKUP(INDIRECT(ADDRESS(2,COLUMN())),OFFSET($AM$2,0,0,ROW()-1,33),ROW()-1,FALSE))</f>
        <v>0</v>
      </c>
      <c r="W332">
        <f ca="1">IF(AND(ISNUMBER($W$732),$B$427=1),$W$732,HLOOKUP(INDIRECT(ADDRESS(2,COLUMN())),OFFSET($AM$2,0,0,ROW()-1,33),ROW()-1,FALSE))</f>
        <v>0</v>
      </c>
      <c r="X332">
        <f ca="1">IF(AND(ISNUMBER($X$732),$B$427=1),$X$732,HLOOKUP(INDIRECT(ADDRESS(2,COLUMN())),OFFSET($AM$2,0,0,ROW()-1,33),ROW()-1,FALSE))</f>
        <v>0</v>
      </c>
      <c r="Y332">
        <f ca="1">IF(AND(ISNUMBER($Y$732),$B$427=1),$Y$732,HLOOKUP(INDIRECT(ADDRESS(2,COLUMN())),OFFSET($AM$2,0,0,ROW()-1,33),ROW()-1,FALSE))</f>
        <v>0</v>
      </c>
      <c r="Z332">
        <f ca="1">IF(AND(ISNUMBER($Z$732),$B$427=1),$Z$732,HLOOKUP(INDIRECT(ADDRESS(2,COLUMN())),OFFSET($AM$2,0,0,ROW()-1,33),ROW()-1,FALSE))</f>
        <v>0</v>
      </c>
      <c r="AA332" t="str">
        <f ca="1">IF(AND(ISNUMBER($AA$732),$B$427=1),$AA$732,HLOOKUP(INDIRECT(ADDRESS(2,COLUMN())),OFFSET($AM$2,0,0,ROW()-1,33),ROW()-1,FALSE))</f>
        <v/>
      </c>
      <c r="AB332" t="str">
        <f ca="1">IF(AND(ISNUMBER($AB$732),$B$427=1),$AB$732,HLOOKUP(INDIRECT(ADDRESS(2,COLUMN())),OFFSET($AM$2,0,0,ROW()-1,33),ROW()-1,FALSE))</f>
        <v/>
      </c>
      <c r="AC332" t="str">
        <f ca="1">IF(AND(ISNUMBER($AC$732),$B$427=1),$AC$732,HLOOKUP(INDIRECT(ADDRESS(2,COLUMN())),OFFSET($AM$2,0,0,ROW()-1,33),ROW()-1,FALSE))</f>
        <v/>
      </c>
      <c r="AD332" t="str">
        <f ca="1">IF(AND(ISNUMBER($AD$732),$B$427=1),$AD$732,HLOOKUP(INDIRECT(ADDRESS(2,COLUMN())),OFFSET($AM$2,0,0,ROW()-1,33),ROW()-1,FALSE))</f>
        <v/>
      </c>
      <c r="AE332" t="str">
        <f ca="1">IF(AND(ISNUMBER($AE$732),$B$427=1),$AE$732,HLOOKUP(INDIRECT(ADDRESS(2,COLUMN())),OFFSET($AM$2,0,0,ROW()-1,33),ROW()-1,FALSE))</f>
        <v/>
      </c>
      <c r="AF332" t="str">
        <f ca="1">IF(AND(ISNUMBER($AF$732),$B$427=1),$AF$732,HLOOKUP(INDIRECT(ADDRESS(2,COLUMN())),OFFSET($AM$2,0,0,ROW()-1,33),ROW()-1,FALSE))</f>
        <v/>
      </c>
      <c r="AG332" t="str">
        <f ca="1">IF(AND(ISNUMBER($AG$732),$B$427=1),$AG$732,HLOOKUP(INDIRECT(ADDRESS(2,COLUMN())),OFFSET($AM$2,0,0,ROW()-1,33),ROW()-1,FALSE))</f>
        <v/>
      </c>
      <c r="AH332" t="str">
        <f ca="1">IF(AND(ISNUMBER($AH$732),$B$427=1),$AH$732,HLOOKUP(INDIRECT(ADDRESS(2,COLUMN())),OFFSET($AM$2,0,0,ROW()-1,33),ROW()-1,FALSE))</f>
        <v/>
      </c>
      <c r="AI332" t="str">
        <f ca="1">IF(AND(ISNUMBER($AI$732),$B$427=1),$AI$732,HLOOKUP(INDIRECT(ADDRESS(2,COLUMN())),OFFSET($AM$2,0,0,ROW()-1,33),ROW()-1,FALSE))</f>
        <v/>
      </c>
      <c r="AJ332" t="str">
        <f ca="1">IF(AND(ISNUMBER($AJ$732),$B$427=1),$AJ$732,HLOOKUP(INDIRECT(ADDRESS(2,COLUMN())),OFFSET($AM$2,0,0,ROW()-1,33),ROW()-1,FALSE))</f>
        <v/>
      </c>
      <c r="AK332" t="str">
        <f ca="1">IF(AND(ISNUMBER($AK$732),$B$427=1),$AK$732,HLOOKUP(INDIRECT(ADDRESS(2,COLUMN())),OFFSET($AM$2,0,0,ROW()-1,33),ROW()-1,FALSE))</f>
        <v/>
      </c>
      <c r="AL332" t="str">
        <f ca="1">IF(AND(ISNUMBER($AL$732),$B$427=1),$AL$732,HLOOKUP(INDIRECT(ADDRESS(2,COLUMN())),OFFSET($AM$2,0,0,ROW()-1,33),ROW()-1,FALSE))</f>
        <v/>
      </c>
      <c r="AM332">
        <f>0</f>
        <v>0</v>
      </c>
      <c r="AN332">
        <f>0</f>
        <v>0</v>
      </c>
      <c r="AO332">
        <f>0</f>
        <v>0</v>
      </c>
      <c r="AP332">
        <f>0</f>
        <v>0</v>
      </c>
      <c r="AQ332">
        <f>0</f>
        <v>0</v>
      </c>
      <c r="AR332">
        <f>0</f>
        <v>0</v>
      </c>
      <c r="AS332">
        <f>0</f>
        <v>0</v>
      </c>
      <c r="AT332">
        <f>0</f>
        <v>0</v>
      </c>
      <c r="AU332">
        <f>0</f>
        <v>0</v>
      </c>
      <c r="AV332">
        <f>0</f>
        <v>0</v>
      </c>
      <c r="AW332">
        <f>0</f>
        <v>0</v>
      </c>
      <c r="AX332">
        <f>0.170867171</f>
        <v>0.17086717100000001</v>
      </c>
      <c r="AY332">
        <f>0</f>
        <v>0</v>
      </c>
      <c r="AZ332">
        <f>0</f>
        <v>0</v>
      </c>
      <c r="BA332">
        <f>0</f>
        <v>0</v>
      </c>
      <c r="BB332">
        <f>0</f>
        <v>0</v>
      </c>
      <c r="BC332">
        <f>0</f>
        <v>0</v>
      </c>
      <c r="BD332">
        <f>0</f>
        <v>0</v>
      </c>
      <c r="BE332">
        <f>0</f>
        <v>0</v>
      </c>
      <c r="BF332">
        <f>0</f>
        <v>0</v>
      </c>
      <c r="BG332">
        <f>0</f>
        <v>0</v>
      </c>
      <c r="BH332" t="str">
        <f>""</f>
        <v/>
      </c>
      <c r="BI332" t="str">
        <f>""</f>
        <v/>
      </c>
      <c r="BJ332" t="str">
        <f>""</f>
        <v/>
      </c>
      <c r="BK332" t="str">
        <f>""</f>
        <v/>
      </c>
      <c r="BL332" t="str">
        <f>""</f>
        <v/>
      </c>
      <c r="BM332" t="str">
        <f>""</f>
        <v/>
      </c>
      <c r="BN332" t="str">
        <f>""</f>
        <v/>
      </c>
      <c r="BO332" t="str">
        <f>""</f>
        <v/>
      </c>
      <c r="BP332" t="str">
        <f>""</f>
        <v/>
      </c>
      <c r="BQ332" t="str">
        <f>""</f>
        <v/>
      </c>
      <c r="BR332" t="str">
        <f>""</f>
        <v/>
      </c>
      <c r="BS332" t="str">
        <f>""</f>
        <v/>
      </c>
    </row>
    <row r="333" spans="1:71" x14ac:dyDescent="0.25">
      <c r="A333" t="str">
        <f>"        Comerica Inc"</f>
        <v xml:space="preserve">        Comerica Inc</v>
      </c>
      <c r="B333" t="str">
        <f>"CMA US Equity"</f>
        <v>CMA US Equity</v>
      </c>
      <c r="C333" t="str">
        <f t="shared" si="45"/>
        <v>F0125</v>
      </c>
      <c r="D333" t="str">
        <f t="shared" si="46"/>
        <v>FED_US_BANK_LOANS_%_TOT_LNS_LEAS</v>
      </c>
      <c r="E333" t="str">
        <f t="shared" si="47"/>
        <v>Dynamic</v>
      </c>
      <c r="F333" t="str">
        <f ca="1">IF(AND(ISNUMBER($F$733),$B$427=1),$F$733,HLOOKUP(INDIRECT(ADDRESS(2,COLUMN())),OFFSET($AM$2,0,0,ROW()-1,33),ROW()-1,FALSE))</f>
        <v/>
      </c>
      <c r="G333">
        <f ca="1">IF(AND(ISNUMBER($G$733),$B$427=1),$G$733,HLOOKUP(INDIRECT(ADDRESS(2,COLUMN())),OFFSET($AM$2,0,0,ROW()-1,33),ROW()-1,FALSE))</f>
        <v>9.5520109999999991E-3</v>
      </c>
      <c r="H333">
        <f ca="1">IF(AND(ISNUMBER($H$733),$B$427=1),$H$733,HLOOKUP(INDIRECT(ADDRESS(2,COLUMN())),OFFSET($AM$2,0,0,ROW()-1,33),ROW()-1,FALSE))</f>
        <v>1.3107878E-2</v>
      </c>
      <c r="I333">
        <f ca="1">IF(AND(ISNUMBER($I$733),$B$427=1),$I$733,HLOOKUP(INDIRECT(ADDRESS(2,COLUMN())),OFFSET($AM$2,0,0,ROW()-1,33),ROW()-1,FALSE))</f>
        <v>1.8258910999999999E-2</v>
      </c>
      <c r="J333">
        <f ca="1">IF(AND(ISNUMBER($J$733),$B$427=1),$J$733,HLOOKUP(INDIRECT(ADDRESS(2,COLUMN())),OFFSET($AM$2,0,0,ROW()-1,33),ROW()-1,FALSE))</f>
        <v>0</v>
      </c>
      <c r="K333">
        <f ca="1">IF(AND(ISNUMBER($K$733),$B$427=1),$K$733,HLOOKUP(INDIRECT(ADDRESS(2,COLUMN())),OFFSET($AM$2,0,0,ROW()-1,33),ROW()-1,FALSE))</f>
        <v>0</v>
      </c>
      <c r="L333">
        <f ca="1">IF(AND(ISNUMBER($L$733),$B$427=1),$L$733,HLOOKUP(INDIRECT(ADDRESS(2,COLUMN())),OFFSET($AM$2,0,0,ROW()-1,33),ROW()-1,FALSE))</f>
        <v>1.644551E-3</v>
      </c>
      <c r="M333">
        <f ca="1">IF(AND(ISNUMBER($M$733),$B$427=1),$M$733,HLOOKUP(INDIRECT(ADDRESS(2,COLUMN())),OFFSET($AM$2,0,0,ROW()-1,33),ROW()-1,FALSE))</f>
        <v>1.071666E-3</v>
      </c>
      <c r="N333">
        <f ca="1">IF(AND(ISNUMBER($N$733),$B$427=1),$N$733,HLOOKUP(INDIRECT(ADDRESS(2,COLUMN())),OFFSET($AM$2,0,0,ROW()-1,33),ROW()-1,FALSE))</f>
        <v>0</v>
      </c>
      <c r="O333">
        <f ca="1">IF(AND(ISNUMBER($O$733),$B$427=1),$O$733,HLOOKUP(INDIRECT(ADDRESS(2,COLUMN())),OFFSET($AM$2,0,0,ROW()-1,33),ROW()-1,FALSE))</f>
        <v>1.9183690000000001E-3</v>
      </c>
      <c r="P333">
        <f ca="1">IF(AND(ISNUMBER($P$733),$B$427=1),$P$733,HLOOKUP(INDIRECT(ADDRESS(2,COLUMN())),OFFSET($AM$2,0,0,ROW()-1,33),ROW()-1,FALSE))</f>
        <v>1.3735259999999999E-2</v>
      </c>
      <c r="Q333">
        <f ca="1">IF(AND(ISNUMBER($Q$733),$B$427=1),$Q$733,HLOOKUP(INDIRECT(ADDRESS(2,COLUMN())),OFFSET($AM$2,0,0,ROW()-1,33),ROW()-1,FALSE))</f>
        <v>1.9584888000000002E-2</v>
      </c>
      <c r="R333">
        <f ca="1">IF(AND(ISNUMBER($R$733),$B$427=1),$R$733,HLOOKUP(INDIRECT(ADDRESS(2,COLUMN())),OFFSET($AM$2,0,0,ROW()-1,33),ROW()-1,FALSE))</f>
        <v>1.4415740999999999E-2</v>
      </c>
      <c r="S333">
        <f ca="1">IF(AND(ISNUMBER($S$733),$B$427=1),$S$733,HLOOKUP(INDIRECT(ADDRESS(2,COLUMN())),OFFSET($AM$2,0,0,ROW()-1,33),ROW()-1,FALSE))</f>
        <v>4.7905775999999997E-2</v>
      </c>
      <c r="T333">
        <f ca="1">IF(AND(ISNUMBER($T$733),$B$427=1),$T$733,HLOOKUP(INDIRECT(ADDRESS(2,COLUMN())),OFFSET($AM$2,0,0,ROW()-1,33),ROW()-1,FALSE))</f>
        <v>5.8477419000000003E-2</v>
      </c>
      <c r="U333">
        <f ca="1">IF(AND(ISNUMBER($U$733),$B$427=1),$U$733,HLOOKUP(INDIRECT(ADDRESS(2,COLUMN())),OFFSET($AM$2,0,0,ROW()-1,33),ROW()-1,FALSE))</f>
        <v>0.124674912</v>
      </c>
      <c r="V333">
        <f ca="1">IF(AND(ISNUMBER($V$733),$B$427=1),$V$733,HLOOKUP(INDIRECT(ADDRESS(2,COLUMN())),OFFSET($AM$2,0,0,ROW()-1,33),ROW()-1,FALSE))</f>
        <v>9.3593339999999997E-2</v>
      </c>
      <c r="W333">
        <f ca="1">IF(AND(ISNUMBER($W$733),$B$427=1),$W$733,HLOOKUP(INDIRECT(ADDRESS(2,COLUMN())),OFFSET($AM$2,0,0,ROW()-1,33),ROW()-1,FALSE))</f>
        <v>0.161757493</v>
      </c>
      <c r="X333">
        <f ca="1">IF(AND(ISNUMBER($X$733),$B$427=1),$X$733,HLOOKUP(INDIRECT(ADDRESS(2,COLUMN())),OFFSET($AM$2,0,0,ROW()-1,33),ROW()-1,FALSE))</f>
        <v>9.5730778000000002E-2</v>
      </c>
      <c r="Y333">
        <f ca="1">IF(AND(ISNUMBER($Y$733),$B$427=1),$Y$733,HLOOKUP(INDIRECT(ADDRESS(2,COLUMN())),OFFSET($AM$2,0,0,ROW()-1,33),ROW()-1,FALSE))</f>
        <v>7.0906948999999997E-2</v>
      </c>
      <c r="Z333">
        <f ca="1">IF(AND(ISNUMBER($Z$733),$B$427=1),$Z$733,HLOOKUP(INDIRECT(ADDRESS(2,COLUMN())),OFFSET($AM$2,0,0,ROW()-1,33),ROW()-1,FALSE))</f>
        <v>7.1811967000000004E-2</v>
      </c>
      <c r="AA333">
        <f ca="1">IF(AND(ISNUMBER($AA$733),$B$427=1),$AA$733,HLOOKUP(INDIRECT(ADDRESS(2,COLUMN())),OFFSET($AM$2,0,0,ROW()-1,33),ROW()-1,FALSE))</f>
        <v>9.5626549999999998E-3</v>
      </c>
      <c r="AB333">
        <f ca="1">IF(AND(ISNUMBER($AB$733),$B$427=1),$AB$733,HLOOKUP(INDIRECT(ADDRESS(2,COLUMN())),OFFSET($AM$2,0,0,ROW()-1,33),ROW()-1,FALSE))</f>
        <v>0.115033685</v>
      </c>
      <c r="AC333">
        <f ca="1">IF(AND(ISNUMBER($AC$733),$B$427=1),$AC$733,HLOOKUP(INDIRECT(ADDRESS(2,COLUMN())),OFFSET($AM$2,0,0,ROW()-1,33),ROW()-1,FALSE))</f>
        <v>6.3388631000000001E-2</v>
      </c>
      <c r="AD333" t="str">
        <f ca="1">IF(AND(ISNUMBER($AD$733),$B$427=1),$AD$733,HLOOKUP(INDIRECT(ADDRESS(2,COLUMN())),OFFSET($AM$2,0,0,ROW()-1,33),ROW()-1,FALSE))</f>
        <v/>
      </c>
      <c r="AE333" t="str">
        <f ca="1">IF(AND(ISNUMBER($AE$733),$B$427=1),$AE$733,HLOOKUP(INDIRECT(ADDRESS(2,COLUMN())),OFFSET($AM$2,0,0,ROW()-1,33),ROW()-1,FALSE))</f>
        <v/>
      </c>
      <c r="AF333" t="str">
        <f ca="1">IF(AND(ISNUMBER($AF$733),$B$427=1),$AF$733,HLOOKUP(INDIRECT(ADDRESS(2,COLUMN())),OFFSET($AM$2,0,0,ROW()-1,33),ROW()-1,FALSE))</f>
        <v/>
      </c>
      <c r="AG333" t="str">
        <f ca="1">IF(AND(ISNUMBER($AG$733),$B$427=1),$AG$733,HLOOKUP(INDIRECT(ADDRESS(2,COLUMN())),OFFSET($AM$2,0,0,ROW()-1,33),ROW()-1,FALSE))</f>
        <v/>
      </c>
      <c r="AH333" t="str">
        <f ca="1">IF(AND(ISNUMBER($AH$733),$B$427=1),$AH$733,HLOOKUP(INDIRECT(ADDRESS(2,COLUMN())),OFFSET($AM$2,0,0,ROW()-1,33),ROW()-1,FALSE))</f>
        <v/>
      </c>
      <c r="AI333" t="str">
        <f ca="1">IF(AND(ISNUMBER($AI$733),$B$427=1),$AI$733,HLOOKUP(INDIRECT(ADDRESS(2,COLUMN())),OFFSET($AM$2,0,0,ROW()-1,33),ROW()-1,FALSE))</f>
        <v/>
      </c>
      <c r="AJ333" t="str">
        <f ca="1">IF(AND(ISNUMBER($AJ$733),$B$427=1),$AJ$733,HLOOKUP(INDIRECT(ADDRESS(2,COLUMN())),OFFSET($AM$2,0,0,ROW()-1,33),ROW()-1,FALSE))</f>
        <v/>
      </c>
      <c r="AK333" t="str">
        <f ca="1">IF(AND(ISNUMBER($AK$733),$B$427=1),$AK$733,HLOOKUP(INDIRECT(ADDRESS(2,COLUMN())),OFFSET($AM$2,0,0,ROW()-1,33),ROW()-1,FALSE))</f>
        <v/>
      </c>
      <c r="AL333" t="str">
        <f ca="1">IF(AND(ISNUMBER($AL$733),$B$427=1),$AL$733,HLOOKUP(INDIRECT(ADDRESS(2,COLUMN())),OFFSET($AM$2,0,0,ROW()-1,33),ROW()-1,FALSE))</f>
        <v/>
      </c>
      <c r="AM333" t="str">
        <f>""</f>
        <v/>
      </c>
      <c r="AN333">
        <f>0.009552011</f>
        <v>9.5520109999999991E-3</v>
      </c>
      <c r="AO333">
        <f>0.013107878</f>
        <v>1.3107878E-2</v>
      </c>
      <c r="AP333">
        <f>0.018258911</f>
        <v>1.8258910999999999E-2</v>
      </c>
      <c r="AQ333">
        <f>0</f>
        <v>0</v>
      </c>
      <c r="AR333">
        <f>0</f>
        <v>0</v>
      </c>
      <c r="AS333">
        <f>0.001644551</f>
        <v>1.644551E-3</v>
      </c>
      <c r="AT333">
        <f>0.001071666</f>
        <v>1.071666E-3</v>
      </c>
      <c r="AU333">
        <f>0</f>
        <v>0</v>
      </c>
      <c r="AV333">
        <f>0.001918369</f>
        <v>1.9183690000000001E-3</v>
      </c>
      <c r="AW333">
        <f>0.01373526</f>
        <v>1.3735259999999999E-2</v>
      </c>
      <c r="AX333">
        <f>0.019584888</f>
        <v>1.9584888000000002E-2</v>
      </c>
      <c r="AY333">
        <f>0.014415741</f>
        <v>1.4415740999999999E-2</v>
      </c>
      <c r="AZ333">
        <f>0.047905776</f>
        <v>4.7905775999999997E-2</v>
      </c>
      <c r="BA333">
        <f>0.058477419</f>
        <v>5.8477419000000003E-2</v>
      </c>
      <c r="BB333">
        <f>0.124674912</f>
        <v>0.124674912</v>
      </c>
      <c r="BC333">
        <f>0.09359334</f>
        <v>9.3593339999999997E-2</v>
      </c>
      <c r="BD333">
        <f>0.161757493</f>
        <v>0.161757493</v>
      </c>
      <c r="BE333">
        <f>0.095730778</f>
        <v>9.5730778000000002E-2</v>
      </c>
      <c r="BF333">
        <f>0.070906949</f>
        <v>7.0906948999999997E-2</v>
      </c>
      <c r="BG333">
        <f>0.071811967</f>
        <v>7.1811967000000004E-2</v>
      </c>
      <c r="BH333">
        <f>0.009562655</f>
        <v>9.5626549999999998E-3</v>
      </c>
      <c r="BI333">
        <f>0.115033685</f>
        <v>0.115033685</v>
      </c>
      <c r="BJ333">
        <f>0.063388631</f>
        <v>6.3388631000000001E-2</v>
      </c>
      <c r="BK333" t="str">
        <f>""</f>
        <v/>
      </c>
      <c r="BL333" t="str">
        <f>""</f>
        <v/>
      </c>
      <c r="BM333" t="str">
        <f>""</f>
        <v/>
      </c>
      <c r="BN333" t="str">
        <f>""</f>
        <v/>
      </c>
      <c r="BO333" t="str">
        <f>""</f>
        <v/>
      </c>
      <c r="BP333" t="str">
        <f>""</f>
        <v/>
      </c>
      <c r="BQ333" t="str">
        <f>""</f>
        <v/>
      </c>
      <c r="BR333" t="str">
        <f>""</f>
        <v/>
      </c>
      <c r="BS333" t="str">
        <f>""</f>
        <v/>
      </c>
    </row>
    <row r="334" spans="1:71" x14ac:dyDescent="0.25">
      <c r="A334" t="str">
        <f>"        East West Bancorp Inc"</f>
        <v xml:space="preserve">        East West Bancorp Inc</v>
      </c>
      <c r="B334" t="str">
        <f>"EWBC US Equity"</f>
        <v>EWBC US Equity</v>
      </c>
      <c r="C334" t="str">
        <f t="shared" si="45"/>
        <v>F0125</v>
      </c>
      <c r="D334" t="str">
        <f t="shared" si="46"/>
        <v>FED_US_BANK_LOANS_%_TOT_LNS_LEAS</v>
      </c>
      <c r="E334" t="str">
        <f t="shared" si="47"/>
        <v>Dynamic</v>
      </c>
      <c r="F334" t="str">
        <f ca="1">IF(AND(ISNUMBER($F$734),$B$427=1),$F$734,HLOOKUP(INDIRECT(ADDRESS(2,COLUMN())),OFFSET($AM$2,0,0,ROW()-1,33),ROW()-1,FALSE))</f>
        <v/>
      </c>
      <c r="G334">
        <f ca="1">IF(AND(ISNUMBER($G$734),$B$427=1),$G$734,HLOOKUP(INDIRECT(ADDRESS(2,COLUMN())),OFFSET($AM$2,0,0,ROW()-1,33),ROW()-1,FALSE))</f>
        <v>0</v>
      </c>
      <c r="H334">
        <f ca="1">IF(AND(ISNUMBER($H$734),$B$427=1),$H$734,HLOOKUP(INDIRECT(ADDRESS(2,COLUMN())),OFFSET($AM$2,0,0,ROW()-1,33),ROW()-1,FALSE))</f>
        <v>0</v>
      </c>
      <c r="I334">
        <f ca="1">IF(AND(ISNUMBER($I$734),$B$427=1),$I$734,HLOOKUP(INDIRECT(ADDRESS(2,COLUMN())),OFFSET($AM$2,0,0,ROW()-1,33),ROW()-1,FALSE))</f>
        <v>0</v>
      </c>
      <c r="J334">
        <f ca="1">IF(AND(ISNUMBER($J$734),$B$427=1),$J$734,HLOOKUP(INDIRECT(ADDRESS(2,COLUMN())),OFFSET($AM$2,0,0,ROW()-1,33),ROW()-1,FALSE))</f>
        <v>0</v>
      </c>
      <c r="K334">
        <f ca="1">IF(AND(ISNUMBER($K$734),$B$427=1),$K$734,HLOOKUP(INDIRECT(ADDRESS(2,COLUMN())),OFFSET($AM$2,0,0,ROW()-1,33),ROW()-1,FALSE))</f>
        <v>0</v>
      </c>
      <c r="L334">
        <f ca="1">IF(AND(ISNUMBER($L$734),$B$427=1),$L$734,HLOOKUP(INDIRECT(ADDRESS(2,COLUMN())),OFFSET($AM$2,0,0,ROW()-1,33),ROW()-1,FALSE))</f>
        <v>0.21568017</v>
      </c>
      <c r="M334">
        <f ca="1">IF(AND(ISNUMBER($M$734),$B$427=1),$M$734,HLOOKUP(INDIRECT(ADDRESS(2,COLUMN())),OFFSET($AM$2,0,0,ROW()-1,33),ROW()-1,FALSE))</f>
        <v>0.171798069</v>
      </c>
      <c r="N334">
        <f ca="1">IF(AND(ISNUMBER($N$734),$B$427=1),$N$734,HLOOKUP(INDIRECT(ADDRESS(2,COLUMN())),OFFSET($AM$2,0,0,ROW()-1,33),ROW()-1,FALSE))</f>
        <v>9.7842705000000002E-2</v>
      </c>
      <c r="O334">
        <f ca="1">IF(AND(ISNUMBER($O$734),$B$427=1),$O$734,HLOOKUP(INDIRECT(ADDRESS(2,COLUMN())),OFFSET($AM$2,0,0,ROW()-1,33),ROW()-1,FALSE))</f>
        <v>0</v>
      </c>
      <c r="P334">
        <f ca="1">IF(AND(ISNUMBER($P$734),$B$427=1),$P$734,HLOOKUP(INDIRECT(ADDRESS(2,COLUMN())),OFFSET($AM$2,0,0,ROW()-1,33),ROW()-1,FALSE))</f>
        <v>0</v>
      </c>
      <c r="Q334">
        <f ca="1">IF(AND(ISNUMBER($Q$734),$B$427=1),$Q$734,HLOOKUP(INDIRECT(ADDRESS(2,COLUMN())),OFFSET($AM$2,0,0,ROW()-1,33),ROW()-1,FALSE))</f>
        <v>0</v>
      </c>
      <c r="R334">
        <f ca="1">IF(AND(ISNUMBER($R$734),$B$427=1),$R$734,HLOOKUP(INDIRECT(ADDRESS(2,COLUMN())),OFFSET($AM$2,0,0,ROW()-1,33),ROW()-1,FALSE))</f>
        <v>0</v>
      </c>
      <c r="S334">
        <f ca="1">IF(AND(ISNUMBER($S$734),$B$427=1),$S$734,HLOOKUP(INDIRECT(ADDRESS(2,COLUMN())),OFFSET($AM$2,0,0,ROW()-1,33),ROW()-1,FALSE))</f>
        <v>0.167087069</v>
      </c>
      <c r="T334">
        <f ca="1">IF(AND(ISNUMBER($T$734),$B$427=1),$T$734,HLOOKUP(INDIRECT(ADDRESS(2,COLUMN())),OFFSET($AM$2,0,0,ROW()-1,33),ROW()-1,FALSE))</f>
        <v>0</v>
      </c>
      <c r="U334">
        <f ca="1">IF(AND(ISNUMBER($U$734),$B$427=1),$U$734,HLOOKUP(INDIRECT(ADDRESS(2,COLUMN())),OFFSET($AM$2,0,0,ROW()-1,33),ROW()-1,FALSE))</f>
        <v>0</v>
      </c>
      <c r="V334">
        <f ca="1">IF(AND(ISNUMBER($V$734),$B$427=1),$V$734,HLOOKUP(INDIRECT(ADDRESS(2,COLUMN())),OFFSET($AM$2,0,0,ROW()-1,33),ROW()-1,FALSE))</f>
        <v>0</v>
      </c>
      <c r="W334">
        <f ca="1">IF(AND(ISNUMBER($W$734),$B$427=1),$W$734,HLOOKUP(INDIRECT(ADDRESS(2,COLUMN())),OFFSET($AM$2,0,0,ROW()-1,33),ROW()-1,FALSE))</f>
        <v>0</v>
      </c>
      <c r="X334">
        <f ca="1">IF(AND(ISNUMBER($X$734),$B$427=1),$X$734,HLOOKUP(INDIRECT(ADDRESS(2,COLUMN())),OFFSET($AM$2,0,0,ROW()-1,33),ROW()-1,FALSE))</f>
        <v>0</v>
      </c>
      <c r="Y334">
        <f ca="1">IF(AND(ISNUMBER($Y$734),$B$427=1),$Y$734,HLOOKUP(INDIRECT(ADDRESS(2,COLUMN())),OFFSET($AM$2,0,0,ROW()-1,33),ROW()-1,FALSE))</f>
        <v>0</v>
      </c>
      <c r="Z334">
        <f ca="1">IF(AND(ISNUMBER($Z$734),$B$427=1),$Z$734,HLOOKUP(INDIRECT(ADDRESS(2,COLUMN())),OFFSET($AM$2,0,0,ROW()-1,33),ROW()-1,FALSE))</f>
        <v>0</v>
      </c>
      <c r="AA334">
        <f ca="1">IF(AND(ISNUMBER($AA$734),$B$427=1),$AA$734,HLOOKUP(INDIRECT(ADDRESS(2,COLUMN())),OFFSET($AM$2,0,0,ROW()-1,33),ROW()-1,FALSE))</f>
        <v>0</v>
      </c>
      <c r="AB334">
        <f ca="1">IF(AND(ISNUMBER($AB$734),$B$427=1),$AB$734,HLOOKUP(INDIRECT(ADDRESS(2,COLUMN())),OFFSET($AM$2,0,0,ROW()-1,33),ROW()-1,FALSE))</f>
        <v>0</v>
      </c>
      <c r="AC334">
        <f ca="1">IF(AND(ISNUMBER($AC$734),$B$427=1),$AC$734,HLOOKUP(INDIRECT(ADDRESS(2,COLUMN())),OFFSET($AM$2,0,0,ROW()-1,33),ROW()-1,FALSE))</f>
        <v>0</v>
      </c>
      <c r="AD334" t="str">
        <f ca="1">IF(AND(ISNUMBER($AD$734),$B$427=1),$AD$734,HLOOKUP(INDIRECT(ADDRESS(2,COLUMN())),OFFSET($AM$2,0,0,ROW()-1,33),ROW()-1,FALSE))</f>
        <v/>
      </c>
      <c r="AE334" t="str">
        <f ca="1">IF(AND(ISNUMBER($AE$734),$B$427=1),$AE$734,HLOOKUP(INDIRECT(ADDRESS(2,COLUMN())),OFFSET($AM$2,0,0,ROW()-1,33),ROW()-1,FALSE))</f>
        <v/>
      </c>
      <c r="AF334" t="str">
        <f ca="1">IF(AND(ISNUMBER($AF$734),$B$427=1),$AF$734,HLOOKUP(INDIRECT(ADDRESS(2,COLUMN())),OFFSET($AM$2,0,0,ROW()-1,33),ROW()-1,FALSE))</f>
        <v/>
      </c>
      <c r="AG334" t="str">
        <f ca="1">IF(AND(ISNUMBER($AG$734),$B$427=1),$AG$734,HLOOKUP(INDIRECT(ADDRESS(2,COLUMN())),OFFSET($AM$2,0,0,ROW()-1,33),ROW()-1,FALSE))</f>
        <v/>
      </c>
      <c r="AH334" t="str">
        <f ca="1">IF(AND(ISNUMBER($AH$734),$B$427=1),$AH$734,HLOOKUP(INDIRECT(ADDRESS(2,COLUMN())),OFFSET($AM$2,0,0,ROW()-1,33),ROW()-1,FALSE))</f>
        <v/>
      </c>
      <c r="AI334" t="str">
        <f ca="1">IF(AND(ISNUMBER($AI$734),$B$427=1),$AI$734,HLOOKUP(INDIRECT(ADDRESS(2,COLUMN())),OFFSET($AM$2,0,0,ROW()-1,33),ROW()-1,FALSE))</f>
        <v/>
      </c>
      <c r="AJ334" t="str">
        <f ca="1">IF(AND(ISNUMBER($AJ$734),$B$427=1),$AJ$734,HLOOKUP(INDIRECT(ADDRESS(2,COLUMN())),OFFSET($AM$2,0,0,ROW()-1,33),ROW()-1,FALSE))</f>
        <v/>
      </c>
      <c r="AK334" t="str">
        <f ca="1">IF(AND(ISNUMBER($AK$734),$B$427=1),$AK$734,HLOOKUP(INDIRECT(ADDRESS(2,COLUMN())),OFFSET($AM$2,0,0,ROW()-1,33),ROW()-1,FALSE))</f>
        <v/>
      </c>
      <c r="AL334" t="str">
        <f ca="1">IF(AND(ISNUMBER($AL$734),$B$427=1),$AL$734,HLOOKUP(INDIRECT(ADDRESS(2,COLUMN())),OFFSET($AM$2,0,0,ROW()-1,33),ROW()-1,FALSE))</f>
        <v/>
      </c>
      <c r="AM334" t="str">
        <f>""</f>
        <v/>
      </c>
      <c r="AN334">
        <f>0</f>
        <v>0</v>
      </c>
      <c r="AO334">
        <f>0</f>
        <v>0</v>
      </c>
      <c r="AP334">
        <f>0</f>
        <v>0</v>
      </c>
      <c r="AQ334">
        <f>0</f>
        <v>0</v>
      </c>
      <c r="AR334">
        <f>0</f>
        <v>0</v>
      </c>
      <c r="AS334">
        <f>0.21568017</f>
        <v>0.21568017</v>
      </c>
      <c r="AT334">
        <f>0.171798069</f>
        <v>0.171798069</v>
      </c>
      <c r="AU334">
        <f>0.097842705</f>
        <v>9.7842705000000002E-2</v>
      </c>
      <c r="AV334">
        <f>0</f>
        <v>0</v>
      </c>
      <c r="AW334">
        <f>0</f>
        <v>0</v>
      </c>
      <c r="AX334">
        <f>0</f>
        <v>0</v>
      </c>
      <c r="AY334">
        <f>0</f>
        <v>0</v>
      </c>
      <c r="AZ334">
        <f>0.167087069</f>
        <v>0.167087069</v>
      </c>
      <c r="BA334">
        <f>0</f>
        <v>0</v>
      </c>
      <c r="BB334">
        <f>0</f>
        <v>0</v>
      </c>
      <c r="BC334">
        <f>0</f>
        <v>0</v>
      </c>
      <c r="BD334">
        <f>0</f>
        <v>0</v>
      </c>
      <c r="BE334">
        <f>0</f>
        <v>0</v>
      </c>
      <c r="BF334">
        <f>0</f>
        <v>0</v>
      </c>
      <c r="BG334">
        <f>0</f>
        <v>0</v>
      </c>
      <c r="BH334">
        <f>0</f>
        <v>0</v>
      </c>
      <c r="BI334">
        <f>0</f>
        <v>0</v>
      </c>
      <c r="BJ334">
        <f>0</f>
        <v>0</v>
      </c>
      <c r="BK334" t="str">
        <f>""</f>
        <v/>
      </c>
      <c r="BL334" t="str">
        <f>""</f>
        <v/>
      </c>
      <c r="BM334" t="str">
        <f>""</f>
        <v/>
      </c>
      <c r="BN334" t="str">
        <f>""</f>
        <v/>
      </c>
      <c r="BO334" t="str">
        <f>""</f>
        <v/>
      </c>
      <c r="BP334" t="str">
        <f>""</f>
        <v/>
      </c>
      <c r="BQ334" t="str">
        <f>""</f>
        <v/>
      </c>
      <c r="BR334" t="str">
        <f>""</f>
        <v/>
      </c>
      <c r="BS334" t="str">
        <f>""</f>
        <v/>
      </c>
    </row>
    <row r="335" spans="1:71" x14ac:dyDescent="0.25">
      <c r="A335" t="str">
        <f>"        Fifth Third Bancorp"</f>
        <v xml:space="preserve">        Fifth Third Bancorp</v>
      </c>
      <c r="B335" t="str">
        <f>"FITB US Equity"</f>
        <v>FITB US Equity</v>
      </c>
      <c r="C335" t="str">
        <f t="shared" si="45"/>
        <v>F0125</v>
      </c>
      <c r="D335" t="str">
        <f t="shared" si="46"/>
        <v>FED_US_BANK_LOANS_%_TOT_LNS_LEAS</v>
      </c>
      <c r="E335" t="str">
        <f t="shared" si="47"/>
        <v>Dynamic</v>
      </c>
      <c r="F335">
        <f ca="1">IF(AND(ISNUMBER($F$735),$B$427=1),$F$735,HLOOKUP(INDIRECT(ADDRESS(2,COLUMN())),OFFSET($AM$2,0,0,ROW()-1,33),ROW()-1,FALSE))</f>
        <v>8.3035100000000001E-4</v>
      </c>
      <c r="G335">
        <f ca="1">IF(AND(ISNUMBER($G$735),$B$427=1),$G$735,HLOOKUP(INDIRECT(ADDRESS(2,COLUMN())),OFFSET($AM$2,0,0,ROW()-1,33),ROW()-1,FALSE))</f>
        <v>1.700507E-3</v>
      </c>
      <c r="H335">
        <f ca="1">IF(AND(ISNUMBER($H$735),$B$427=1),$H$735,HLOOKUP(INDIRECT(ADDRESS(2,COLUMN())),OFFSET($AM$2,0,0,ROW()-1,33),ROW()-1,FALSE))</f>
        <v>5.9410779999999998E-3</v>
      </c>
      <c r="I335">
        <f ca="1">IF(AND(ISNUMBER($I$735),$B$427=1),$I$735,HLOOKUP(INDIRECT(ADDRESS(2,COLUMN())),OFFSET($AM$2,0,0,ROW()-1,33),ROW()-1,FALSE))</f>
        <v>1.2087776E-2</v>
      </c>
      <c r="J335">
        <f ca="1">IF(AND(ISNUMBER($J$735),$B$427=1),$J$735,HLOOKUP(INDIRECT(ADDRESS(2,COLUMN())),OFFSET($AM$2,0,0,ROW()-1,33),ROW()-1,FALSE))</f>
        <v>2.8253376E-2</v>
      </c>
      <c r="K335">
        <f ca="1">IF(AND(ISNUMBER($K$735),$B$427=1),$K$735,HLOOKUP(INDIRECT(ADDRESS(2,COLUMN())),OFFSET($AM$2,0,0,ROW()-1,33),ROW()-1,FALSE))</f>
        <v>8.1184269999999992E-3</v>
      </c>
      <c r="L335">
        <f ca="1">IF(AND(ISNUMBER($L$735),$B$427=1),$L$735,HLOOKUP(INDIRECT(ADDRESS(2,COLUMN())),OFFSET($AM$2,0,0,ROW()-1,33),ROW()-1,FALSE))</f>
        <v>0</v>
      </c>
      <c r="M335">
        <f ca="1">IF(AND(ISNUMBER($M$735),$B$427=1),$M$735,HLOOKUP(INDIRECT(ADDRESS(2,COLUMN())),OFFSET($AM$2,0,0,ROW()-1,33),ROW()-1,FALSE))</f>
        <v>0</v>
      </c>
      <c r="N335">
        <f ca="1">IF(AND(ISNUMBER($N$735),$B$427=1),$N$735,HLOOKUP(INDIRECT(ADDRESS(2,COLUMN())),OFFSET($AM$2,0,0,ROW()-1,33),ROW()-1,FALSE))</f>
        <v>2.1540156000000001E-2</v>
      </c>
      <c r="O335">
        <f ca="1">IF(AND(ISNUMBER($O$735),$B$427=1),$O$735,HLOOKUP(INDIRECT(ADDRESS(2,COLUMN())),OFFSET($AM$2,0,0,ROW()-1,33),ROW()-1,FALSE))</f>
        <v>2.1393835999999999E-2</v>
      </c>
      <c r="P335">
        <f ca="1">IF(AND(ISNUMBER($P$735),$B$427=1),$P$735,HLOOKUP(INDIRECT(ADDRESS(2,COLUMN())),OFFSET($AM$2,0,0,ROW()-1,33),ROW()-1,FALSE))</f>
        <v>2.1894843000000001E-2</v>
      </c>
      <c r="Q335">
        <f ca="1">IF(AND(ISNUMBER($Q$735),$B$427=1),$Q$735,HLOOKUP(INDIRECT(ADDRESS(2,COLUMN())),OFFSET($AM$2,0,0,ROW()-1,33),ROW()-1,FALSE))</f>
        <v>3.6967146999999999E-2</v>
      </c>
      <c r="R335">
        <f ca="1">IF(AND(ISNUMBER($R$735),$B$427=1),$R$735,HLOOKUP(INDIRECT(ADDRESS(2,COLUMN())),OFFSET($AM$2,0,0,ROW()-1,33),ROW()-1,FALSE))</f>
        <v>1.5063043999999999E-2</v>
      </c>
      <c r="S335">
        <f ca="1">IF(AND(ISNUMBER($S$735),$B$427=1),$S$735,HLOOKUP(INDIRECT(ADDRESS(2,COLUMN())),OFFSET($AM$2,0,0,ROW()-1,33),ROW()-1,FALSE))</f>
        <v>4.3617097000000001E-2</v>
      </c>
      <c r="T335">
        <f ca="1">IF(AND(ISNUMBER($T$735),$B$427=1),$T$735,HLOOKUP(INDIRECT(ADDRESS(2,COLUMN())),OFFSET($AM$2,0,0,ROW()-1,33),ROW()-1,FALSE))</f>
        <v>1.9246597000000001E-2</v>
      </c>
      <c r="U335">
        <f ca="1">IF(AND(ISNUMBER($U$735),$B$427=1),$U$735,HLOOKUP(INDIRECT(ADDRESS(2,COLUMN())),OFFSET($AM$2,0,0,ROW()-1,33),ROW()-1,FALSE))</f>
        <v>2.5365948999999999E-2</v>
      </c>
      <c r="V335">
        <f ca="1">IF(AND(ISNUMBER($V$735),$B$427=1),$V$735,HLOOKUP(INDIRECT(ADDRESS(2,COLUMN())),OFFSET($AM$2,0,0,ROW()-1,33),ROW()-1,FALSE))</f>
        <v>0.112715253</v>
      </c>
      <c r="W335">
        <f ca="1">IF(AND(ISNUMBER($W$735),$B$427=1),$W$735,HLOOKUP(INDIRECT(ADDRESS(2,COLUMN())),OFFSET($AM$2,0,0,ROW()-1,33),ROW()-1,FALSE))</f>
        <v>2.7500568999999999E-2</v>
      </c>
      <c r="X335">
        <f ca="1">IF(AND(ISNUMBER($X$735),$B$427=1),$X$735,HLOOKUP(INDIRECT(ADDRESS(2,COLUMN())),OFFSET($AM$2,0,0,ROW()-1,33),ROW()-1,FALSE))</f>
        <v>0</v>
      </c>
      <c r="Y335">
        <f ca="1">IF(AND(ISNUMBER($Y$735),$B$427=1),$Y$735,HLOOKUP(INDIRECT(ADDRESS(2,COLUMN())),OFFSET($AM$2,0,0,ROW()-1,33),ROW()-1,FALSE))</f>
        <v>1.8603393999999999E-2</v>
      </c>
      <c r="Z335">
        <f ca="1">IF(AND(ISNUMBER($Z$735),$B$427=1),$Z$735,HLOOKUP(INDIRECT(ADDRESS(2,COLUMN())),OFFSET($AM$2,0,0,ROW()-1,33),ROW()-1,FALSE))</f>
        <v>1.6412950999999999E-2</v>
      </c>
      <c r="AA335">
        <f ca="1">IF(AND(ISNUMBER($AA$735),$B$427=1),$AA$735,HLOOKUP(INDIRECT(ADDRESS(2,COLUMN())),OFFSET($AM$2,0,0,ROW()-1,33),ROW()-1,FALSE))</f>
        <v>2.8640505E-2</v>
      </c>
      <c r="AB335">
        <f ca="1">IF(AND(ISNUMBER($AB$735),$B$427=1),$AB$735,HLOOKUP(INDIRECT(ADDRESS(2,COLUMN())),OFFSET($AM$2,0,0,ROW()-1,33),ROW()-1,FALSE))</f>
        <v>3.6907042000000001E-2</v>
      </c>
      <c r="AC335">
        <f ca="1">IF(AND(ISNUMBER($AC$735),$B$427=1),$AC$735,HLOOKUP(INDIRECT(ADDRESS(2,COLUMN())),OFFSET($AM$2,0,0,ROW()-1,33),ROW()-1,FALSE))</f>
        <v>0.39334393099999998</v>
      </c>
      <c r="AD335" t="str">
        <f ca="1">IF(AND(ISNUMBER($AD$735),$B$427=1),$AD$735,HLOOKUP(INDIRECT(ADDRESS(2,COLUMN())),OFFSET($AM$2,0,0,ROW()-1,33),ROW()-1,FALSE))</f>
        <v/>
      </c>
      <c r="AE335" t="str">
        <f ca="1">IF(AND(ISNUMBER($AE$735),$B$427=1),$AE$735,HLOOKUP(INDIRECT(ADDRESS(2,COLUMN())),OFFSET($AM$2,0,0,ROW()-1,33),ROW()-1,FALSE))</f>
        <v/>
      </c>
      <c r="AF335" t="str">
        <f ca="1">IF(AND(ISNUMBER($AF$735),$B$427=1),$AF$735,HLOOKUP(INDIRECT(ADDRESS(2,COLUMN())),OFFSET($AM$2,0,0,ROW()-1,33),ROW()-1,FALSE))</f>
        <v/>
      </c>
      <c r="AG335" t="str">
        <f ca="1">IF(AND(ISNUMBER($AG$735),$B$427=1),$AG$735,HLOOKUP(INDIRECT(ADDRESS(2,COLUMN())),OFFSET($AM$2,0,0,ROW()-1,33),ROW()-1,FALSE))</f>
        <v/>
      </c>
      <c r="AH335" t="str">
        <f ca="1">IF(AND(ISNUMBER($AH$735),$B$427=1),$AH$735,HLOOKUP(INDIRECT(ADDRESS(2,COLUMN())),OFFSET($AM$2,0,0,ROW()-1,33),ROW()-1,FALSE))</f>
        <v/>
      </c>
      <c r="AI335" t="str">
        <f ca="1">IF(AND(ISNUMBER($AI$735),$B$427=1),$AI$735,HLOOKUP(INDIRECT(ADDRESS(2,COLUMN())),OFFSET($AM$2,0,0,ROW()-1,33),ROW()-1,FALSE))</f>
        <v/>
      </c>
      <c r="AJ335" t="str">
        <f ca="1">IF(AND(ISNUMBER($AJ$735),$B$427=1),$AJ$735,HLOOKUP(INDIRECT(ADDRESS(2,COLUMN())),OFFSET($AM$2,0,0,ROW()-1,33),ROW()-1,FALSE))</f>
        <v/>
      </c>
      <c r="AK335" t="str">
        <f ca="1">IF(AND(ISNUMBER($AK$735),$B$427=1),$AK$735,HLOOKUP(INDIRECT(ADDRESS(2,COLUMN())),OFFSET($AM$2,0,0,ROW()-1,33),ROW()-1,FALSE))</f>
        <v/>
      </c>
      <c r="AL335" t="str">
        <f ca="1">IF(AND(ISNUMBER($AL$735),$B$427=1),$AL$735,HLOOKUP(INDIRECT(ADDRESS(2,COLUMN())),OFFSET($AM$2,0,0,ROW()-1,33),ROW()-1,FALSE))</f>
        <v/>
      </c>
      <c r="AM335">
        <f>0.000830351</f>
        <v>8.3035100000000001E-4</v>
      </c>
      <c r="AN335">
        <f>0.001700507</f>
        <v>1.700507E-3</v>
      </c>
      <c r="AO335">
        <f>0.005941078</f>
        <v>5.9410779999999998E-3</v>
      </c>
      <c r="AP335">
        <f>0.012087776</f>
        <v>1.2087776E-2</v>
      </c>
      <c r="AQ335">
        <f>0.028253376</f>
        <v>2.8253376E-2</v>
      </c>
      <c r="AR335">
        <f>0.008118427</f>
        <v>8.1184269999999992E-3</v>
      </c>
      <c r="AS335">
        <f>0</f>
        <v>0</v>
      </c>
      <c r="AT335">
        <f>0</f>
        <v>0</v>
      </c>
      <c r="AU335">
        <f>0.021540156</f>
        <v>2.1540156000000001E-2</v>
      </c>
      <c r="AV335">
        <f>0.021393836</f>
        <v>2.1393835999999999E-2</v>
      </c>
      <c r="AW335">
        <f>0.021894843</f>
        <v>2.1894843000000001E-2</v>
      </c>
      <c r="AX335">
        <f>0.036967147</f>
        <v>3.6967146999999999E-2</v>
      </c>
      <c r="AY335">
        <f>0.015063044</f>
        <v>1.5063043999999999E-2</v>
      </c>
      <c r="AZ335">
        <f>0.043617097</f>
        <v>4.3617097000000001E-2</v>
      </c>
      <c r="BA335">
        <f>0.019246597</f>
        <v>1.9246597000000001E-2</v>
      </c>
      <c r="BB335">
        <f>0.025365949</f>
        <v>2.5365948999999999E-2</v>
      </c>
      <c r="BC335">
        <f>0.112715253</f>
        <v>0.112715253</v>
      </c>
      <c r="BD335">
        <f>0.027500569</f>
        <v>2.7500568999999999E-2</v>
      </c>
      <c r="BE335">
        <f>0</f>
        <v>0</v>
      </c>
      <c r="BF335">
        <f>0.018603394</f>
        <v>1.8603393999999999E-2</v>
      </c>
      <c r="BG335">
        <f>0.016412951</f>
        <v>1.6412950999999999E-2</v>
      </c>
      <c r="BH335">
        <f>0.028640505</f>
        <v>2.8640505E-2</v>
      </c>
      <c r="BI335">
        <f>0.036907042</f>
        <v>3.6907042000000001E-2</v>
      </c>
      <c r="BJ335">
        <f>0.393343931</f>
        <v>0.39334393099999998</v>
      </c>
      <c r="BK335" t="str">
        <f>""</f>
        <v/>
      </c>
      <c r="BL335" t="str">
        <f>""</f>
        <v/>
      </c>
      <c r="BM335" t="str">
        <f>""</f>
        <v/>
      </c>
      <c r="BN335" t="str">
        <f>""</f>
        <v/>
      </c>
      <c r="BO335" t="str">
        <f>""</f>
        <v/>
      </c>
      <c r="BP335" t="str">
        <f>""</f>
        <v/>
      </c>
      <c r="BQ335" t="str">
        <f>""</f>
        <v/>
      </c>
      <c r="BR335" t="str">
        <f>""</f>
        <v/>
      </c>
      <c r="BS335" t="str">
        <f>""</f>
        <v/>
      </c>
    </row>
    <row r="336" spans="1:71" x14ac:dyDescent="0.25">
      <c r="A336" t="str">
        <f>"        First Citizens BancShares Inc/"</f>
        <v xml:space="preserve">        First Citizens BancShares Inc/</v>
      </c>
      <c r="B336" t="str">
        <f>"FCNCA US Equity"</f>
        <v>FCNCA US Equity</v>
      </c>
      <c r="C336" t="str">
        <f t="shared" si="45"/>
        <v>F0125</v>
      </c>
      <c r="D336" t="str">
        <f t="shared" si="46"/>
        <v>FED_US_BANK_LOANS_%_TOT_LNS_LEAS</v>
      </c>
      <c r="E336" t="str">
        <f t="shared" si="47"/>
        <v>Dynamic</v>
      </c>
      <c r="F336">
        <f ca="1">IF(AND(ISNUMBER($F$736),$B$427=1),$F$736,HLOOKUP(INDIRECT(ADDRESS(2,COLUMN())),OFFSET($AM$2,0,0,ROW()-1,33),ROW()-1,FALSE))</f>
        <v>7.1274299999999995E-4</v>
      </c>
      <c r="G336">
        <f ca="1">IF(AND(ISNUMBER($G$736),$B$427=1),$G$736,HLOOKUP(INDIRECT(ADDRESS(2,COLUMN())),OFFSET($AM$2,0,0,ROW()-1,33),ROW()-1,FALSE))</f>
        <v>2.2980349999999999E-3</v>
      </c>
      <c r="H336">
        <f ca="1">IF(AND(ISNUMBER($H$736),$B$427=1),$H$736,HLOOKUP(INDIRECT(ADDRESS(2,COLUMN())),OFFSET($AM$2,0,0,ROW()-1,33),ROW()-1,FALSE))</f>
        <v>4.5783680000000002E-3</v>
      </c>
      <c r="I336">
        <f ca="1">IF(AND(ISNUMBER($I$736),$B$427=1),$I$736,HLOOKUP(INDIRECT(ADDRESS(2,COLUMN())),OFFSET($AM$2,0,0,ROW()-1,33),ROW()-1,FALSE))</f>
        <v>0</v>
      </c>
      <c r="J336">
        <f ca="1">IF(AND(ISNUMBER($J$736),$B$427=1),$J$736,HLOOKUP(INDIRECT(ADDRESS(2,COLUMN())),OFFSET($AM$2,0,0,ROW()-1,33),ROW()-1,FALSE))</f>
        <v>0</v>
      </c>
      <c r="K336">
        <f ca="1">IF(AND(ISNUMBER($K$736),$B$427=1),$K$736,HLOOKUP(INDIRECT(ADDRESS(2,COLUMN())),OFFSET($AM$2,0,0,ROW()-1,33),ROW()-1,FALSE))</f>
        <v>0</v>
      </c>
      <c r="L336">
        <f ca="1">IF(AND(ISNUMBER($L$736),$B$427=1),$L$736,HLOOKUP(INDIRECT(ADDRESS(2,COLUMN())),OFFSET($AM$2,0,0,ROW()-1,33),ROW()-1,FALSE))</f>
        <v>0</v>
      </c>
      <c r="M336">
        <f ca="1">IF(AND(ISNUMBER($M$736),$B$427=1),$M$736,HLOOKUP(INDIRECT(ADDRESS(2,COLUMN())),OFFSET($AM$2,0,0,ROW()-1,33),ROW()-1,FALSE))</f>
        <v>0</v>
      </c>
      <c r="N336">
        <f ca="1">IF(AND(ISNUMBER($N$736),$B$427=1),$N$736,HLOOKUP(INDIRECT(ADDRESS(2,COLUMN())),OFFSET($AM$2,0,0,ROW()-1,33),ROW()-1,FALSE))</f>
        <v>0</v>
      </c>
      <c r="O336">
        <f ca="1">IF(AND(ISNUMBER($O$736),$B$427=1),$O$736,HLOOKUP(INDIRECT(ADDRESS(2,COLUMN())),OFFSET($AM$2,0,0,ROW()-1,33),ROW()-1,FALSE))</f>
        <v>0</v>
      </c>
      <c r="P336">
        <f ca="1">IF(AND(ISNUMBER($P$736),$B$427=1),$P$736,HLOOKUP(INDIRECT(ADDRESS(2,COLUMN())),OFFSET($AM$2,0,0,ROW()-1,33),ROW()-1,FALSE))</f>
        <v>0</v>
      </c>
      <c r="Q336">
        <f ca="1">IF(AND(ISNUMBER($Q$736),$B$427=1),$Q$736,HLOOKUP(INDIRECT(ADDRESS(2,COLUMN())),OFFSET($AM$2,0,0,ROW()-1,33),ROW()-1,FALSE))</f>
        <v>0</v>
      </c>
      <c r="R336">
        <f ca="1">IF(AND(ISNUMBER($R$736),$B$427=1),$R$736,HLOOKUP(INDIRECT(ADDRESS(2,COLUMN())),OFFSET($AM$2,0,0,ROW()-1,33),ROW()-1,FALSE))</f>
        <v>0</v>
      </c>
      <c r="S336">
        <f ca="1">IF(AND(ISNUMBER($S$736),$B$427=1),$S$736,HLOOKUP(INDIRECT(ADDRESS(2,COLUMN())),OFFSET($AM$2,0,0,ROW()-1,33),ROW()-1,FALSE))</f>
        <v>0</v>
      </c>
      <c r="T336">
        <f ca="1">IF(AND(ISNUMBER($T$736),$B$427=1),$T$736,HLOOKUP(INDIRECT(ADDRESS(2,COLUMN())),OFFSET($AM$2,0,0,ROW()-1,33),ROW()-1,FALSE))</f>
        <v>0</v>
      </c>
      <c r="U336">
        <f ca="1">IF(AND(ISNUMBER($U$736),$B$427=1),$U$736,HLOOKUP(INDIRECT(ADDRESS(2,COLUMN())),OFFSET($AM$2,0,0,ROW()-1,33),ROW()-1,FALSE))</f>
        <v>0</v>
      </c>
      <c r="V336">
        <f ca="1">IF(AND(ISNUMBER($V$736),$B$427=1),$V$736,HLOOKUP(INDIRECT(ADDRESS(2,COLUMN())),OFFSET($AM$2,0,0,ROW()-1,33),ROW()-1,FALSE))</f>
        <v>0</v>
      </c>
      <c r="W336">
        <f ca="1">IF(AND(ISNUMBER($W$736),$B$427=1),$W$736,HLOOKUP(INDIRECT(ADDRESS(2,COLUMN())),OFFSET($AM$2,0,0,ROW()-1,33),ROW()-1,FALSE))</f>
        <v>0</v>
      </c>
      <c r="X336">
        <f ca="1">IF(AND(ISNUMBER($X$736),$B$427=1),$X$736,HLOOKUP(INDIRECT(ADDRESS(2,COLUMN())),OFFSET($AM$2,0,0,ROW()-1,33),ROW()-1,FALSE))</f>
        <v>0</v>
      </c>
      <c r="Y336">
        <f ca="1">IF(AND(ISNUMBER($Y$736),$B$427=1),$Y$736,HLOOKUP(INDIRECT(ADDRESS(2,COLUMN())),OFFSET($AM$2,0,0,ROW()-1,33),ROW()-1,FALSE))</f>
        <v>0</v>
      </c>
      <c r="Z336">
        <f ca="1">IF(AND(ISNUMBER($Z$736),$B$427=1),$Z$736,HLOOKUP(INDIRECT(ADDRESS(2,COLUMN())),OFFSET($AM$2,0,0,ROW()-1,33),ROW()-1,FALSE))</f>
        <v>0</v>
      </c>
      <c r="AA336">
        <f ca="1">IF(AND(ISNUMBER($AA$736),$B$427=1),$AA$736,HLOOKUP(INDIRECT(ADDRESS(2,COLUMN())),OFFSET($AM$2,0,0,ROW()-1,33),ROW()-1,FALSE))</f>
        <v>0</v>
      </c>
      <c r="AB336">
        <f ca="1">IF(AND(ISNUMBER($AB$736),$B$427=1),$AB$736,HLOOKUP(INDIRECT(ADDRESS(2,COLUMN())),OFFSET($AM$2,0,0,ROW()-1,33),ROW()-1,FALSE))</f>
        <v>0</v>
      </c>
      <c r="AC336">
        <f ca="1">IF(AND(ISNUMBER($AC$736),$B$427=1),$AC$736,HLOOKUP(INDIRECT(ADDRESS(2,COLUMN())),OFFSET($AM$2,0,0,ROW()-1,33),ROW()-1,FALSE))</f>
        <v>0</v>
      </c>
      <c r="AD336" t="str">
        <f ca="1">IF(AND(ISNUMBER($AD$736),$B$427=1),$AD$736,HLOOKUP(INDIRECT(ADDRESS(2,COLUMN())),OFFSET($AM$2,0,0,ROW()-1,33),ROW()-1,FALSE))</f>
        <v/>
      </c>
      <c r="AE336" t="str">
        <f ca="1">IF(AND(ISNUMBER($AE$736),$B$427=1),$AE$736,HLOOKUP(INDIRECT(ADDRESS(2,COLUMN())),OFFSET($AM$2,0,0,ROW()-1,33),ROW()-1,FALSE))</f>
        <v/>
      </c>
      <c r="AF336" t="str">
        <f ca="1">IF(AND(ISNUMBER($AF$736),$B$427=1),$AF$736,HLOOKUP(INDIRECT(ADDRESS(2,COLUMN())),OFFSET($AM$2,0,0,ROW()-1,33),ROW()-1,FALSE))</f>
        <v/>
      </c>
      <c r="AG336" t="str">
        <f ca="1">IF(AND(ISNUMBER($AG$736),$B$427=1),$AG$736,HLOOKUP(INDIRECT(ADDRESS(2,COLUMN())),OFFSET($AM$2,0,0,ROW()-1,33),ROW()-1,FALSE))</f>
        <v/>
      </c>
      <c r="AH336" t="str">
        <f ca="1">IF(AND(ISNUMBER($AH$736),$B$427=1),$AH$736,HLOOKUP(INDIRECT(ADDRESS(2,COLUMN())),OFFSET($AM$2,0,0,ROW()-1,33),ROW()-1,FALSE))</f>
        <v/>
      </c>
      <c r="AI336" t="str">
        <f ca="1">IF(AND(ISNUMBER($AI$736),$B$427=1),$AI$736,HLOOKUP(INDIRECT(ADDRESS(2,COLUMN())),OFFSET($AM$2,0,0,ROW()-1,33),ROW()-1,FALSE))</f>
        <v/>
      </c>
      <c r="AJ336" t="str">
        <f ca="1">IF(AND(ISNUMBER($AJ$736),$B$427=1),$AJ$736,HLOOKUP(INDIRECT(ADDRESS(2,COLUMN())),OFFSET($AM$2,0,0,ROW()-1,33),ROW()-1,FALSE))</f>
        <v/>
      </c>
      <c r="AK336" t="str">
        <f ca="1">IF(AND(ISNUMBER($AK$736),$B$427=1),$AK$736,HLOOKUP(INDIRECT(ADDRESS(2,COLUMN())),OFFSET($AM$2,0,0,ROW()-1,33),ROW()-1,FALSE))</f>
        <v/>
      </c>
      <c r="AL336" t="str">
        <f ca="1">IF(AND(ISNUMBER($AL$736),$B$427=1),$AL$736,HLOOKUP(INDIRECT(ADDRESS(2,COLUMN())),OFFSET($AM$2,0,0,ROW()-1,33),ROW()-1,FALSE))</f>
        <v/>
      </c>
      <c r="AM336">
        <f>0.000712743</f>
        <v>7.1274299999999995E-4</v>
      </c>
      <c r="AN336">
        <f>0.002298035</f>
        <v>2.2980349999999999E-3</v>
      </c>
      <c r="AO336">
        <f>0.004578368</f>
        <v>4.5783680000000002E-3</v>
      </c>
      <c r="AP336">
        <f>0</f>
        <v>0</v>
      </c>
      <c r="AQ336">
        <f>0</f>
        <v>0</v>
      </c>
      <c r="AR336">
        <f>0</f>
        <v>0</v>
      </c>
      <c r="AS336">
        <f>0</f>
        <v>0</v>
      </c>
      <c r="AT336">
        <f>0</f>
        <v>0</v>
      </c>
      <c r="AU336">
        <f>0</f>
        <v>0</v>
      </c>
      <c r="AV336">
        <f>0</f>
        <v>0</v>
      </c>
      <c r="AW336">
        <f>0</f>
        <v>0</v>
      </c>
      <c r="AX336">
        <f>0</f>
        <v>0</v>
      </c>
      <c r="AY336">
        <f>0</f>
        <v>0</v>
      </c>
      <c r="AZ336">
        <f>0</f>
        <v>0</v>
      </c>
      <c r="BA336">
        <f>0</f>
        <v>0</v>
      </c>
      <c r="BB336">
        <f>0</f>
        <v>0</v>
      </c>
      <c r="BC336">
        <f>0</f>
        <v>0</v>
      </c>
      <c r="BD336">
        <f>0</f>
        <v>0</v>
      </c>
      <c r="BE336">
        <f>0</f>
        <v>0</v>
      </c>
      <c r="BF336">
        <f>0</f>
        <v>0</v>
      </c>
      <c r="BG336">
        <f>0</f>
        <v>0</v>
      </c>
      <c r="BH336">
        <f>0</f>
        <v>0</v>
      </c>
      <c r="BI336">
        <f>0</f>
        <v>0</v>
      </c>
      <c r="BJ336">
        <f>0</f>
        <v>0</v>
      </c>
      <c r="BK336" t="str">
        <f>""</f>
        <v/>
      </c>
      <c r="BL336" t="str">
        <f>""</f>
        <v/>
      </c>
      <c r="BM336" t="str">
        <f>""</f>
        <v/>
      </c>
      <c r="BN336" t="str">
        <f>""</f>
        <v/>
      </c>
      <c r="BO336" t="str">
        <f>""</f>
        <v/>
      </c>
      <c r="BP336" t="str">
        <f>""</f>
        <v/>
      </c>
      <c r="BQ336" t="str">
        <f>""</f>
        <v/>
      </c>
      <c r="BR336" t="str">
        <f>""</f>
        <v/>
      </c>
      <c r="BS336" t="str">
        <f>""</f>
        <v/>
      </c>
    </row>
    <row r="337" spans="1:71" x14ac:dyDescent="0.25">
      <c r="A337" t="str">
        <f>"        Flagstar Financial Inc"</f>
        <v xml:space="preserve">        Flagstar Financial Inc</v>
      </c>
      <c r="B337" t="str">
        <f>"FLG US Equity"</f>
        <v>FLG US Equity</v>
      </c>
      <c r="C337" t="str">
        <f t="shared" si="45"/>
        <v>F0125</v>
      </c>
      <c r="D337" t="str">
        <f t="shared" si="46"/>
        <v>FED_US_BANK_LOANS_%_TOT_LNS_LEAS</v>
      </c>
      <c r="E337" t="str">
        <f t="shared" si="47"/>
        <v>Dynamic</v>
      </c>
      <c r="F337">
        <f ca="1">IF(AND(ISNUMBER($F$737),$B$427=1),$F$737,HLOOKUP(INDIRECT(ADDRESS(2,COLUMN())),OFFSET($AM$2,0,0,ROW()-1,33),ROW()-1,FALSE))</f>
        <v>0</v>
      </c>
      <c r="G337">
        <f ca="1">IF(AND(ISNUMBER($G$737),$B$427=1),$G$737,HLOOKUP(INDIRECT(ADDRESS(2,COLUMN())),OFFSET($AM$2,0,0,ROW()-1,33),ROW()-1,FALSE))</f>
        <v>0</v>
      </c>
      <c r="H337">
        <f ca="1">IF(AND(ISNUMBER($H$737),$B$427=1),$H$737,HLOOKUP(INDIRECT(ADDRESS(2,COLUMN())),OFFSET($AM$2,0,0,ROW()-1,33),ROW()-1,FALSE))</f>
        <v>0</v>
      </c>
      <c r="I337">
        <f ca="1">IF(AND(ISNUMBER($I$737),$B$427=1),$I$737,HLOOKUP(INDIRECT(ADDRESS(2,COLUMN())),OFFSET($AM$2,0,0,ROW()-1,33),ROW()-1,FALSE))</f>
        <v>0</v>
      </c>
      <c r="J337">
        <f ca="1">IF(AND(ISNUMBER($J$737),$B$427=1),$J$737,HLOOKUP(INDIRECT(ADDRESS(2,COLUMN())),OFFSET($AM$2,0,0,ROW()-1,33),ROW()-1,FALSE))</f>
        <v>0</v>
      </c>
      <c r="K337">
        <f ca="1">IF(AND(ISNUMBER($K$737),$B$427=1),$K$737,HLOOKUP(INDIRECT(ADDRESS(2,COLUMN())),OFFSET($AM$2,0,0,ROW()-1,33),ROW()-1,FALSE))</f>
        <v>0</v>
      </c>
      <c r="L337">
        <f ca="1">IF(AND(ISNUMBER($L$737),$B$427=1),$L$737,HLOOKUP(INDIRECT(ADDRESS(2,COLUMN())),OFFSET($AM$2,0,0,ROW()-1,33),ROW()-1,FALSE))</f>
        <v>0</v>
      </c>
      <c r="M337">
        <f ca="1">IF(AND(ISNUMBER($M$737),$B$427=1),$M$737,HLOOKUP(INDIRECT(ADDRESS(2,COLUMN())),OFFSET($AM$2,0,0,ROW()-1,33),ROW()-1,FALSE))</f>
        <v>0</v>
      </c>
      <c r="N337">
        <f ca="1">IF(AND(ISNUMBER($N$737),$B$427=1),$N$737,HLOOKUP(INDIRECT(ADDRESS(2,COLUMN())),OFFSET($AM$2,0,0,ROW()-1,33),ROW()-1,FALSE))</f>
        <v>0</v>
      </c>
      <c r="O337">
        <f ca="1">IF(AND(ISNUMBER($O$737),$B$427=1),$O$737,HLOOKUP(INDIRECT(ADDRESS(2,COLUMN())),OFFSET($AM$2,0,0,ROW()-1,33),ROW()-1,FALSE))</f>
        <v>0</v>
      </c>
      <c r="P337">
        <f ca="1">IF(AND(ISNUMBER($P$737),$B$427=1),$P$737,HLOOKUP(INDIRECT(ADDRESS(2,COLUMN())),OFFSET($AM$2,0,0,ROW()-1,33),ROW()-1,FALSE))</f>
        <v>0</v>
      </c>
      <c r="Q337">
        <f ca="1">IF(AND(ISNUMBER($Q$737),$B$427=1),$Q$737,HLOOKUP(INDIRECT(ADDRESS(2,COLUMN())),OFFSET($AM$2,0,0,ROW()-1,33),ROW()-1,FALSE))</f>
        <v>0</v>
      </c>
      <c r="R337">
        <f ca="1">IF(AND(ISNUMBER($R$737),$B$427=1),$R$737,HLOOKUP(INDIRECT(ADDRESS(2,COLUMN())),OFFSET($AM$2,0,0,ROW()-1,33),ROW()-1,FALSE))</f>
        <v>0</v>
      </c>
      <c r="S337">
        <f ca="1">IF(AND(ISNUMBER($S$737),$B$427=1),$S$737,HLOOKUP(INDIRECT(ADDRESS(2,COLUMN())),OFFSET($AM$2,0,0,ROW()-1,33),ROW()-1,FALSE))</f>
        <v>0</v>
      </c>
      <c r="T337">
        <f ca="1">IF(AND(ISNUMBER($T$737),$B$427=1),$T$737,HLOOKUP(INDIRECT(ADDRESS(2,COLUMN())),OFFSET($AM$2,0,0,ROW()-1,33),ROW()-1,FALSE))</f>
        <v>0</v>
      </c>
      <c r="U337">
        <f ca="1">IF(AND(ISNUMBER($U$737),$B$427=1),$U$737,HLOOKUP(INDIRECT(ADDRESS(2,COLUMN())),OFFSET($AM$2,0,0,ROW()-1,33),ROW()-1,FALSE))</f>
        <v>0</v>
      </c>
      <c r="V337">
        <f ca="1">IF(AND(ISNUMBER($V$737),$B$427=1),$V$737,HLOOKUP(INDIRECT(ADDRESS(2,COLUMN())),OFFSET($AM$2,0,0,ROW()-1,33),ROW()-1,FALSE))</f>
        <v>0</v>
      </c>
      <c r="W337">
        <f ca="1">IF(AND(ISNUMBER($W$737),$B$427=1),$W$737,HLOOKUP(INDIRECT(ADDRESS(2,COLUMN())),OFFSET($AM$2,0,0,ROW()-1,33),ROW()-1,FALSE))</f>
        <v>0</v>
      </c>
      <c r="X337">
        <f ca="1">IF(AND(ISNUMBER($X$737),$B$427=1),$X$737,HLOOKUP(INDIRECT(ADDRESS(2,COLUMN())),OFFSET($AM$2,0,0,ROW()-1,33),ROW()-1,FALSE))</f>
        <v>0</v>
      </c>
      <c r="Y337">
        <f ca="1">IF(AND(ISNUMBER($Y$737),$B$427=1),$Y$737,HLOOKUP(INDIRECT(ADDRESS(2,COLUMN())),OFFSET($AM$2,0,0,ROW()-1,33),ROW()-1,FALSE))</f>
        <v>0</v>
      </c>
      <c r="Z337">
        <f ca="1">IF(AND(ISNUMBER($Z$737),$B$427=1),$Z$737,HLOOKUP(INDIRECT(ADDRESS(2,COLUMN())),OFFSET($AM$2,0,0,ROW()-1,33),ROW()-1,FALSE))</f>
        <v>0</v>
      </c>
      <c r="AA337">
        <f ca="1">IF(AND(ISNUMBER($AA$737),$B$427=1),$AA$737,HLOOKUP(INDIRECT(ADDRESS(2,COLUMN())),OFFSET($AM$2,0,0,ROW()-1,33),ROW()-1,FALSE))</f>
        <v>0</v>
      </c>
      <c r="AB337">
        <f ca="1">IF(AND(ISNUMBER($AB$737),$B$427=1),$AB$737,HLOOKUP(INDIRECT(ADDRESS(2,COLUMN())),OFFSET($AM$2,0,0,ROW()-1,33),ROW()-1,FALSE))</f>
        <v>0</v>
      </c>
      <c r="AC337">
        <f ca="1">IF(AND(ISNUMBER($AC$737),$B$427=1),$AC$737,HLOOKUP(INDIRECT(ADDRESS(2,COLUMN())),OFFSET($AM$2,0,0,ROW()-1,33),ROW()-1,FALSE))</f>
        <v>0</v>
      </c>
      <c r="AD337" t="str">
        <f ca="1">IF(AND(ISNUMBER($AD$737),$B$427=1),$AD$737,HLOOKUP(INDIRECT(ADDRESS(2,COLUMN())),OFFSET($AM$2,0,0,ROW()-1,33),ROW()-1,FALSE))</f>
        <v/>
      </c>
      <c r="AE337" t="str">
        <f ca="1">IF(AND(ISNUMBER($AE$737),$B$427=1),$AE$737,HLOOKUP(INDIRECT(ADDRESS(2,COLUMN())),OFFSET($AM$2,0,0,ROW()-1,33),ROW()-1,FALSE))</f>
        <v/>
      </c>
      <c r="AF337" t="str">
        <f ca="1">IF(AND(ISNUMBER($AF$737),$B$427=1),$AF$737,HLOOKUP(INDIRECT(ADDRESS(2,COLUMN())),OFFSET($AM$2,0,0,ROW()-1,33),ROW()-1,FALSE))</f>
        <v/>
      </c>
      <c r="AG337" t="str">
        <f ca="1">IF(AND(ISNUMBER($AG$737),$B$427=1),$AG$737,HLOOKUP(INDIRECT(ADDRESS(2,COLUMN())),OFFSET($AM$2,0,0,ROW()-1,33),ROW()-1,FALSE))</f>
        <v/>
      </c>
      <c r="AH337" t="str">
        <f ca="1">IF(AND(ISNUMBER($AH$737),$B$427=1),$AH$737,HLOOKUP(INDIRECT(ADDRESS(2,COLUMN())),OFFSET($AM$2,0,0,ROW()-1,33),ROW()-1,FALSE))</f>
        <v/>
      </c>
      <c r="AI337" t="str">
        <f ca="1">IF(AND(ISNUMBER($AI$737),$B$427=1),$AI$737,HLOOKUP(INDIRECT(ADDRESS(2,COLUMN())),OFFSET($AM$2,0,0,ROW()-1,33),ROW()-1,FALSE))</f>
        <v/>
      </c>
      <c r="AJ337" t="str">
        <f ca="1">IF(AND(ISNUMBER($AJ$737),$B$427=1),$AJ$737,HLOOKUP(INDIRECT(ADDRESS(2,COLUMN())),OFFSET($AM$2,0,0,ROW()-1,33),ROW()-1,FALSE))</f>
        <v/>
      </c>
      <c r="AK337" t="str">
        <f ca="1">IF(AND(ISNUMBER($AK$737),$B$427=1),$AK$737,HLOOKUP(INDIRECT(ADDRESS(2,COLUMN())),OFFSET($AM$2,0,0,ROW()-1,33),ROW()-1,FALSE))</f>
        <v/>
      </c>
      <c r="AL337" t="str">
        <f ca="1">IF(AND(ISNUMBER($AL$737),$B$427=1),$AL$737,HLOOKUP(INDIRECT(ADDRESS(2,COLUMN())),OFFSET($AM$2,0,0,ROW()-1,33),ROW()-1,FALSE))</f>
        <v/>
      </c>
      <c r="AM337">
        <f>0</f>
        <v>0</v>
      </c>
      <c r="AN337">
        <f>0</f>
        <v>0</v>
      </c>
      <c r="AO337">
        <f>0</f>
        <v>0</v>
      </c>
      <c r="AP337">
        <f>0</f>
        <v>0</v>
      </c>
      <c r="AQ337">
        <f>0</f>
        <v>0</v>
      </c>
      <c r="AR337">
        <f>0</f>
        <v>0</v>
      </c>
      <c r="AS337">
        <f>0</f>
        <v>0</v>
      </c>
      <c r="AT337">
        <f>0</f>
        <v>0</v>
      </c>
      <c r="AU337">
        <f>0</f>
        <v>0</v>
      </c>
      <c r="AV337">
        <f>0</f>
        <v>0</v>
      </c>
      <c r="AW337">
        <f>0</f>
        <v>0</v>
      </c>
      <c r="AX337">
        <f>0</f>
        <v>0</v>
      </c>
      <c r="AY337">
        <f>0</f>
        <v>0</v>
      </c>
      <c r="AZ337">
        <f>0</f>
        <v>0</v>
      </c>
      <c r="BA337">
        <f>0</f>
        <v>0</v>
      </c>
      <c r="BB337">
        <f>0</f>
        <v>0</v>
      </c>
      <c r="BC337">
        <f>0</f>
        <v>0</v>
      </c>
      <c r="BD337">
        <f>0</f>
        <v>0</v>
      </c>
      <c r="BE337">
        <f>0</f>
        <v>0</v>
      </c>
      <c r="BF337">
        <f>0</f>
        <v>0</v>
      </c>
      <c r="BG337">
        <f>0</f>
        <v>0</v>
      </c>
      <c r="BH337">
        <f>0</f>
        <v>0</v>
      </c>
      <c r="BI337">
        <f>0</f>
        <v>0</v>
      </c>
      <c r="BJ337">
        <f>0</f>
        <v>0</v>
      </c>
      <c r="BK337" t="str">
        <f>""</f>
        <v/>
      </c>
      <c r="BL337" t="str">
        <f>""</f>
        <v/>
      </c>
      <c r="BM337" t="str">
        <f>""</f>
        <v/>
      </c>
      <c r="BN337" t="str">
        <f>""</f>
        <v/>
      </c>
      <c r="BO337" t="str">
        <f>""</f>
        <v/>
      </c>
      <c r="BP337" t="str">
        <f>""</f>
        <v/>
      </c>
      <c r="BQ337" t="str">
        <f>""</f>
        <v/>
      </c>
      <c r="BR337" t="str">
        <f>""</f>
        <v/>
      </c>
      <c r="BS337" t="str">
        <f>""</f>
        <v/>
      </c>
    </row>
    <row r="338" spans="1:71" x14ac:dyDescent="0.25">
      <c r="A338" t="str">
        <f>"        Huntington Bancshares Inc/OH"</f>
        <v xml:space="preserve">        Huntington Bancshares Inc/OH</v>
      </c>
      <c r="B338" t="str">
        <f>"HBAN US Equity"</f>
        <v>HBAN US Equity</v>
      </c>
      <c r="C338" t="str">
        <f t="shared" si="45"/>
        <v>F0125</v>
      </c>
      <c r="D338" t="str">
        <f t="shared" si="46"/>
        <v>FED_US_BANK_LOANS_%_TOT_LNS_LEAS</v>
      </c>
      <c r="E338" t="str">
        <f t="shared" si="47"/>
        <v>Dynamic</v>
      </c>
      <c r="F338">
        <f ca="1">IF(AND(ISNUMBER($F$738),$B$427=1),$F$738,HLOOKUP(INDIRECT(ADDRESS(2,COLUMN())),OFFSET($AM$2,0,0,ROW()-1,33),ROW()-1,FALSE))</f>
        <v>2.4094139999999999E-3</v>
      </c>
      <c r="G338">
        <f ca="1">IF(AND(ISNUMBER($G$738),$B$427=1),$G$738,HLOOKUP(INDIRECT(ADDRESS(2,COLUMN())),OFFSET($AM$2,0,0,ROW()-1,33),ROW()-1,FALSE))</f>
        <v>3.1976000000000001E-3</v>
      </c>
      <c r="H338">
        <f ca="1">IF(AND(ISNUMBER($H$738),$B$427=1),$H$738,HLOOKUP(INDIRECT(ADDRESS(2,COLUMN())),OFFSET($AM$2,0,0,ROW()-1,33),ROW()-1,FALSE))</f>
        <v>3.9032149999999998E-3</v>
      </c>
      <c r="I338">
        <f ca="1">IF(AND(ISNUMBER($I$738),$B$427=1),$I$738,HLOOKUP(INDIRECT(ADDRESS(2,COLUMN())),OFFSET($AM$2,0,0,ROW()-1,33),ROW()-1,FALSE))</f>
        <v>5.9103769999999996E-3</v>
      </c>
      <c r="J338">
        <f ca="1">IF(AND(ISNUMBER($J$738),$B$427=1),$J$738,HLOOKUP(INDIRECT(ADDRESS(2,COLUMN())),OFFSET($AM$2,0,0,ROW()-1,33),ROW()-1,FALSE))</f>
        <v>1.8097799999999999E-4</v>
      </c>
      <c r="K338">
        <f ca="1">IF(AND(ISNUMBER($K$738),$B$427=1),$K$738,HLOOKUP(INDIRECT(ADDRESS(2,COLUMN())),OFFSET($AM$2,0,0,ROW()-1,33),ROW()-1,FALSE))</f>
        <v>6.5546800000000001E-5</v>
      </c>
      <c r="L338">
        <f ca="1">IF(AND(ISNUMBER($L$738),$B$427=1),$L$738,HLOOKUP(INDIRECT(ADDRESS(2,COLUMN())),OFFSET($AM$2,0,0,ROW()-1,33),ROW()-1,FALSE))</f>
        <v>1.2945200000000001E-4</v>
      </c>
      <c r="M338">
        <f ca="1">IF(AND(ISNUMBER($M$738),$B$427=1),$M$738,HLOOKUP(INDIRECT(ADDRESS(2,COLUMN())),OFFSET($AM$2,0,0,ROW()-1,33),ROW()-1,FALSE))</f>
        <v>0.132112229</v>
      </c>
      <c r="N338">
        <f ca="1">IF(AND(ISNUMBER($N$738),$B$427=1),$N$738,HLOOKUP(INDIRECT(ADDRESS(2,COLUMN())),OFFSET($AM$2,0,0,ROW()-1,33),ROW()-1,FALSE))</f>
        <v>8.9292481000000007E-2</v>
      </c>
      <c r="O338">
        <f ca="1">IF(AND(ISNUMBER($O$738),$B$427=1),$O$738,HLOOKUP(INDIRECT(ADDRESS(2,COLUMN())),OFFSET($AM$2,0,0,ROW()-1,33),ROW()-1,FALSE))</f>
        <v>4.0753641E-2</v>
      </c>
      <c r="P338">
        <f ca="1">IF(AND(ISNUMBER($P$738),$B$427=1),$P$738,HLOOKUP(INDIRECT(ADDRESS(2,COLUMN())),OFFSET($AM$2,0,0,ROW()-1,33),ROW()-1,FALSE))</f>
        <v>2.1638500000000001E-4</v>
      </c>
      <c r="Q338">
        <f ca="1">IF(AND(ISNUMBER($Q$738),$B$427=1),$Q$738,HLOOKUP(INDIRECT(ADDRESS(2,COLUMN())),OFFSET($AM$2,0,0,ROW()-1,33),ROW()-1,FALSE))</f>
        <v>2.4862799999999998E-4</v>
      </c>
      <c r="R338">
        <f ca="1">IF(AND(ISNUMBER($R$738),$B$427=1),$R$738,HLOOKUP(INDIRECT(ADDRESS(2,COLUMN())),OFFSET($AM$2,0,0,ROW()-1,33),ROW()-1,FALSE))</f>
        <v>2.26586E-4</v>
      </c>
      <c r="S338">
        <f ca="1">IF(AND(ISNUMBER($S$738),$B$427=1),$S$738,HLOOKUP(INDIRECT(ADDRESS(2,COLUMN())),OFFSET($AM$2,0,0,ROW()-1,33),ROW()-1,FALSE))</f>
        <v>3.7258700000000002E-4</v>
      </c>
      <c r="T338">
        <f ca="1">IF(AND(ISNUMBER($T$738),$B$427=1),$T$738,HLOOKUP(INDIRECT(ADDRESS(2,COLUMN())),OFFSET($AM$2,0,0,ROW()-1,33),ROW()-1,FALSE))</f>
        <v>5.4527099999999995E-4</v>
      </c>
      <c r="U338">
        <f ca="1">IF(AND(ISNUMBER($U$738),$B$427=1),$U$738,HLOOKUP(INDIRECT(ADDRESS(2,COLUMN())),OFFSET($AM$2,0,0,ROW()-1,33),ROW()-1,FALSE))</f>
        <v>6.7951399999999999E-4</v>
      </c>
      <c r="V338">
        <f ca="1">IF(AND(ISNUMBER($V$738),$B$427=1),$V$738,HLOOKUP(INDIRECT(ADDRESS(2,COLUMN())),OFFSET($AM$2,0,0,ROW()-1,33),ROW()-1,FALSE))</f>
        <v>9.11701E-4</v>
      </c>
      <c r="W338">
        <f ca="1">IF(AND(ISNUMBER($W$738),$B$427=1),$W$738,HLOOKUP(INDIRECT(ADDRESS(2,COLUMN())),OFFSET($AM$2,0,0,ROW()-1,33),ROW()-1,FALSE))</f>
        <v>1.0165440000000001E-3</v>
      </c>
      <c r="X338">
        <f ca="1">IF(AND(ISNUMBER($X$738),$B$427=1),$X$738,HLOOKUP(INDIRECT(ADDRESS(2,COLUMN())),OFFSET($AM$2,0,0,ROW()-1,33),ROW()-1,FALSE))</f>
        <v>1.052026E-3</v>
      </c>
      <c r="Y338">
        <f ca="1">IF(AND(ISNUMBER($Y$738),$B$427=1),$Y$738,HLOOKUP(INDIRECT(ADDRESS(2,COLUMN())),OFFSET($AM$2,0,0,ROW()-1,33),ROW()-1,FALSE))</f>
        <v>1.1354804E-2</v>
      </c>
      <c r="Z338">
        <f ca="1">IF(AND(ISNUMBER($Z$738),$B$427=1),$Z$738,HLOOKUP(INDIRECT(ADDRESS(2,COLUMN())),OFFSET($AM$2,0,0,ROW()-1,33),ROW()-1,FALSE))</f>
        <v>1.5782714E-2</v>
      </c>
      <c r="AA338">
        <f ca="1">IF(AND(ISNUMBER($AA$738),$B$427=1),$AA$738,HLOOKUP(INDIRECT(ADDRESS(2,COLUMN())),OFFSET($AM$2,0,0,ROW()-1,33),ROW()-1,FALSE))</f>
        <v>2.8943545000000001E-2</v>
      </c>
      <c r="AB338">
        <f ca="1">IF(AND(ISNUMBER($AB$738),$B$427=1),$AB$738,HLOOKUP(INDIRECT(ADDRESS(2,COLUMN())),OFFSET($AM$2,0,0,ROW()-1,33),ROW()-1,FALSE))</f>
        <v>9.0513907000000005E-2</v>
      </c>
      <c r="AC338">
        <f ca="1">IF(AND(ISNUMBER($AC$738),$B$427=1),$AC$738,HLOOKUP(INDIRECT(ADDRESS(2,COLUMN())),OFFSET($AM$2,0,0,ROW()-1,33),ROW()-1,FALSE))</f>
        <v>5.2945002999999997E-2</v>
      </c>
      <c r="AD338" t="str">
        <f ca="1">IF(AND(ISNUMBER($AD$738),$B$427=1),$AD$738,HLOOKUP(INDIRECT(ADDRESS(2,COLUMN())),OFFSET($AM$2,0,0,ROW()-1,33),ROW()-1,FALSE))</f>
        <v/>
      </c>
      <c r="AE338" t="str">
        <f ca="1">IF(AND(ISNUMBER($AE$738),$B$427=1),$AE$738,HLOOKUP(INDIRECT(ADDRESS(2,COLUMN())),OFFSET($AM$2,0,0,ROW()-1,33),ROW()-1,FALSE))</f>
        <v/>
      </c>
      <c r="AF338" t="str">
        <f ca="1">IF(AND(ISNUMBER($AF$738),$B$427=1),$AF$738,HLOOKUP(INDIRECT(ADDRESS(2,COLUMN())),OFFSET($AM$2,0,0,ROW()-1,33),ROW()-1,FALSE))</f>
        <v/>
      </c>
      <c r="AG338" t="str">
        <f ca="1">IF(AND(ISNUMBER($AG$738),$B$427=1),$AG$738,HLOOKUP(INDIRECT(ADDRESS(2,COLUMN())),OFFSET($AM$2,0,0,ROW()-1,33),ROW()-1,FALSE))</f>
        <v/>
      </c>
      <c r="AH338" t="str">
        <f ca="1">IF(AND(ISNUMBER($AH$738),$B$427=1),$AH$738,HLOOKUP(INDIRECT(ADDRESS(2,COLUMN())),OFFSET($AM$2,0,0,ROW()-1,33),ROW()-1,FALSE))</f>
        <v/>
      </c>
      <c r="AI338" t="str">
        <f ca="1">IF(AND(ISNUMBER($AI$738),$B$427=1),$AI$738,HLOOKUP(INDIRECT(ADDRESS(2,COLUMN())),OFFSET($AM$2,0,0,ROW()-1,33),ROW()-1,FALSE))</f>
        <v/>
      </c>
      <c r="AJ338" t="str">
        <f ca="1">IF(AND(ISNUMBER($AJ$738),$B$427=1),$AJ$738,HLOOKUP(INDIRECT(ADDRESS(2,COLUMN())),OFFSET($AM$2,0,0,ROW()-1,33),ROW()-1,FALSE))</f>
        <v/>
      </c>
      <c r="AK338" t="str">
        <f ca="1">IF(AND(ISNUMBER($AK$738),$B$427=1),$AK$738,HLOOKUP(INDIRECT(ADDRESS(2,COLUMN())),OFFSET($AM$2,0,0,ROW()-1,33),ROW()-1,FALSE))</f>
        <v/>
      </c>
      <c r="AL338" t="str">
        <f ca="1">IF(AND(ISNUMBER($AL$738),$B$427=1),$AL$738,HLOOKUP(INDIRECT(ADDRESS(2,COLUMN())),OFFSET($AM$2,0,0,ROW()-1,33),ROW()-1,FALSE))</f>
        <v/>
      </c>
      <c r="AM338">
        <f>0.002409414</f>
        <v>2.4094139999999999E-3</v>
      </c>
      <c r="AN338">
        <f>0.0031976</f>
        <v>3.1976000000000001E-3</v>
      </c>
      <c r="AO338">
        <f>0.003903215</f>
        <v>3.9032149999999998E-3</v>
      </c>
      <c r="AP338">
        <f>0.005910377</f>
        <v>5.9103769999999996E-3</v>
      </c>
      <c r="AQ338">
        <f>0.000180978</f>
        <v>1.8097799999999999E-4</v>
      </c>
      <c r="AR338">
        <f>0.0000655468</f>
        <v>6.5546800000000001E-5</v>
      </c>
      <c r="AS338">
        <f>0.000129452</f>
        <v>1.2945200000000001E-4</v>
      </c>
      <c r="AT338">
        <f>0.132112229</f>
        <v>0.132112229</v>
      </c>
      <c r="AU338">
        <f>0.089292481</f>
        <v>8.9292481000000007E-2</v>
      </c>
      <c r="AV338">
        <f>0.040753641</f>
        <v>4.0753641E-2</v>
      </c>
      <c r="AW338">
        <f>0.000216385</f>
        <v>2.1638500000000001E-4</v>
      </c>
      <c r="AX338">
        <f>0.000248628</f>
        <v>2.4862799999999998E-4</v>
      </c>
      <c r="AY338">
        <f>0.000226586</f>
        <v>2.26586E-4</v>
      </c>
      <c r="AZ338">
        <f>0.000372587</f>
        <v>3.7258700000000002E-4</v>
      </c>
      <c r="BA338">
        <f>0.000545271</f>
        <v>5.4527099999999995E-4</v>
      </c>
      <c r="BB338">
        <f>0.000679514</f>
        <v>6.7951399999999999E-4</v>
      </c>
      <c r="BC338">
        <f>0.000911701</f>
        <v>9.11701E-4</v>
      </c>
      <c r="BD338">
        <f>0.001016544</f>
        <v>1.0165440000000001E-3</v>
      </c>
      <c r="BE338">
        <f>0.001052026</f>
        <v>1.052026E-3</v>
      </c>
      <c r="BF338">
        <f>0.011354804</f>
        <v>1.1354804E-2</v>
      </c>
      <c r="BG338">
        <f>0.015782714</f>
        <v>1.5782714E-2</v>
      </c>
      <c r="BH338">
        <f>0.028943545</f>
        <v>2.8943545000000001E-2</v>
      </c>
      <c r="BI338">
        <f>0.090513907</f>
        <v>9.0513907000000005E-2</v>
      </c>
      <c r="BJ338">
        <f>0.052945003</f>
        <v>5.2945002999999997E-2</v>
      </c>
      <c r="BK338" t="str">
        <f>""</f>
        <v/>
      </c>
      <c r="BL338" t="str">
        <f>""</f>
        <v/>
      </c>
      <c r="BM338" t="str">
        <f>""</f>
        <v/>
      </c>
      <c r="BN338" t="str">
        <f>""</f>
        <v/>
      </c>
      <c r="BO338" t="str">
        <f>""</f>
        <v/>
      </c>
      <c r="BP338" t="str">
        <f>""</f>
        <v/>
      </c>
      <c r="BQ338" t="str">
        <f>""</f>
        <v/>
      </c>
      <c r="BR338" t="str">
        <f>""</f>
        <v/>
      </c>
      <c r="BS338" t="str">
        <f>""</f>
        <v/>
      </c>
    </row>
    <row r="339" spans="1:71" x14ac:dyDescent="0.25">
      <c r="A339" t="str">
        <f>"        JPMorgan Chase &amp; Co"</f>
        <v xml:space="preserve">        JPMorgan Chase &amp; Co</v>
      </c>
      <c r="B339" t="str">
        <f>"JPM US Equity"</f>
        <v>JPM US Equity</v>
      </c>
      <c r="C339" t="str">
        <f t="shared" si="45"/>
        <v>F0125</v>
      </c>
      <c r="D339" t="str">
        <f t="shared" si="46"/>
        <v>FED_US_BANK_LOANS_%_TOT_LNS_LEAS</v>
      </c>
      <c r="E339" t="str">
        <f t="shared" si="47"/>
        <v>Dynamic</v>
      </c>
      <c r="F339">
        <f ca="1">IF(AND(ISNUMBER($F$739),$B$427=1),$F$739,HLOOKUP(INDIRECT(ADDRESS(2,COLUMN())),OFFSET($AM$2,0,0,ROW()-1,33),ROW()-1,FALSE))</f>
        <v>4.2859700000000002E-4</v>
      </c>
      <c r="G339">
        <f ca="1">IF(AND(ISNUMBER($G$739),$B$427=1),$G$739,HLOOKUP(INDIRECT(ADDRESS(2,COLUMN())),OFFSET($AM$2,0,0,ROW()-1,33),ROW()-1,FALSE))</f>
        <v>6.5617400000000004E-4</v>
      </c>
      <c r="H339">
        <f ca="1">IF(AND(ISNUMBER($H$739),$B$427=1),$H$739,HLOOKUP(INDIRECT(ADDRESS(2,COLUMN())),OFFSET($AM$2,0,0,ROW()-1,33),ROW()-1,FALSE))</f>
        <v>1.097113E-3</v>
      </c>
      <c r="I339">
        <f ca="1">IF(AND(ISNUMBER($I$739),$B$427=1),$I$739,HLOOKUP(INDIRECT(ADDRESS(2,COLUMN())),OFFSET($AM$2,0,0,ROW()-1,33),ROW()-1,FALSE))</f>
        <v>9.6714299999999995E-4</v>
      </c>
      <c r="J339">
        <f ca="1">IF(AND(ISNUMBER($J$739),$B$427=1),$J$739,HLOOKUP(INDIRECT(ADDRESS(2,COLUMN())),OFFSET($AM$2,0,0,ROW()-1,33),ROW()-1,FALSE))</f>
        <v>8.4859400000000004E-4</v>
      </c>
      <c r="K339">
        <f ca="1">IF(AND(ISNUMBER($K$739),$B$427=1),$K$739,HLOOKUP(INDIRECT(ADDRESS(2,COLUMN())),OFFSET($AM$2,0,0,ROW()-1,33),ROW()-1,FALSE))</f>
        <v>3.1203200000000002E-3</v>
      </c>
      <c r="L339">
        <f ca="1">IF(AND(ISNUMBER($L$739),$B$427=1),$L$739,HLOOKUP(INDIRECT(ADDRESS(2,COLUMN())),OFFSET($AM$2,0,0,ROW()-1,33),ROW()-1,FALSE))</f>
        <v>4.1388889999999998E-3</v>
      </c>
      <c r="M339">
        <f ca="1">IF(AND(ISNUMBER($M$739),$B$427=1),$M$739,HLOOKUP(INDIRECT(ADDRESS(2,COLUMN())),OFFSET($AM$2,0,0,ROW()-1,33),ROW()-1,FALSE))</f>
        <v>7.7338789999999999E-3</v>
      </c>
      <c r="N339">
        <f ca="1">IF(AND(ISNUMBER($N$739),$B$427=1),$N$739,HLOOKUP(INDIRECT(ADDRESS(2,COLUMN())),OFFSET($AM$2,0,0,ROW()-1,33),ROW()-1,FALSE))</f>
        <v>1.249715E-2</v>
      </c>
      <c r="O339">
        <f ca="1">IF(AND(ISNUMBER($O$739),$B$427=1),$O$739,HLOOKUP(INDIRECT(ADDRESS(2,COLUMN())),OFFSET($AM$2,0,0,ROW()-1,33),ROW()-1,FALSE))</f>
        <v>2.3274075000000002E-2</v>
      </c>
      <c r="P339">
        <f ca="1">IF(AND(ISNUMBER($P$739),$B$427=1),$P$739,HLOOKUP(INDIRECT(ADDRESS(2,COLUMN())),OFFSET($AM$2,0,0,ROW()-1,33),ROW()-1,FALSE))</f>
        <v>2.1111884000000001E-2</v>
      </c>
      <c r="Q339">
        <f ca="1">IF(AND(ISNUMBER($Q$739),$B$427=1),$Q$739,HLOOKUP(INDIRECT(ADDRESS(2,COLUMN())),OFFSET($AM$2,0,0,ROW()-1,33),ROW()-1,FALSE))</f>
        <v>2.0389384999999999E-2</v>
      </c>
      <c r="R339">
        <f ca="1">IF(AND(ISNUMBER($R$739),$B$427=1),$R$739,HLOOKUP(INDIRECT(ADDRESS(2,COLUMN())),OFFSET($AM$2,0,0,ROW()-1,33),ROW()-1,FALSE))</f>
        <v>3.2556716999999999E-2</v>
      </c>
      <c r="S339">
        <f ca="1">IF(AND(ISNUMBER($S$739),$B$427=1),$S$739,HLOOKUP(INDIRECT(ADDRESS(2,COLUMN())),OFFSET($AM$2,0,0,ROW()-1,33),ROW()-1,FALSE))</f>
        <v>2.6536524999999998E-2</v>
      </c>
      <c r="T339">
        <f ca="1">IF(AND(ISNUMBER($T$739),$B$427=1),$T$739,HLOOKUP(INDIRECT(ADDRESS(2,COLUMN())),OFFSET($AM$2,0,0,ROW()-1,33),ROW()-1,FALSE))</f>
        <v>1.9671986999999998E-2</v>
      </c>
      <c r="U339">
        <f ca="1">IF(AND(ISNUMBER($U$739),$B$427=1),$U$739,HLOOKUP(INDIRECT(ADDRESS(2,COLUMN())),OFFSET($AM$2,0,0,ROW()-1,33),ROW()-1,FALSE))</f>
        <v>1.4289774999999999E-2</v>
      </c>
      <c r="V339">
        <f ca="1">IF(AND(ISNUMBER($V$739),$B$427=1),$V$739,HLOOKUP(INDIRECT(ADDRESS(2,COLUMN())),OFFSET($AM$2,0,0,ROW()-1,33),ROW()-1,FALSE))</f>
        <v>3.2449362000000002E-2</v>
      </c>
      <c r="W339">
        <f ca="1">IF(AND(ISNUMBER($W$739),$B$427=1),$W$739,HLOOKUP(INDIRECT(ADDRESS(2,COLUMN())),OFFSET($AM$2,0,0,ROW()-1,33),ROW()-1,FALSE))</f>
        <v>6.7683844000000007E-2</v>
      </c>
      <c r="X339">
        <f ca="1">IF(AND(ISNUMBER($X$739),$B$427=1),$X$739,HLOOKUP(INDIRECT(ADDRESS(2,COLUMN())),OFFSET($AM$2,0,0,ROW()-1,33),ROW()-1,FALSE))</f>
        <v>1.5937837999999999E-2</v>
      </c>
      <c r="Y339">
        <f ca="1">IF(AND(ISNUMBER($Y$739),$B$427=1),$Y$739,HLOOKUP(INDIRECT(ADDRESS(2,COLUMN())),OFFSET($AM$2,0,0,ROW()-1,33),ROW()-1,FALSE))</f>
        <v>3.5198089000000002E-2</v>
      </c>
      <c r="Z339">
        <f ca="1">IF(AND(ISNUMBER($Z$739),$B$427=1),$Z$739,HLOOKUP(INDIRECT(ADDRESS(2,COLUMN())),OFFSET($AM$2,0,0,ROW()-1,33),ROW()-1,FALSE))</f>
        <v>0.75512405599999999</v>
      </c>
      <c r="AA339">
        <f ca="1">IF(AND(ISNUMBER($AA$739),$B$427=1),$AA$739,HLOOKUP(INDIRECT(ADDRESS(2,COLUMN())),OFFSET($AM$2,0,0,ROW()-1,33),ROW()-1,FALSE))</f>
        <v>0.203172405</v>
      </c>
      <c r="AB339">
        <f ca="1">IF(AND(ISNUMBER($AB$739),$B$427=1),$AB$739,HLOOKUP(INDIRECT(ADDRESS(2,COLUMN())),OFFSET($AM$2,0,0,ROW()-1,33),ROW()-1,FALSE))</f>
        <v>1.8959275000000001E-2</v>
      </c>
      <c r="AC339">
        <f ca="1">IF(AND(ISNUMBER($AC$739),$B$427=1),$AC$739,HLOOKUP(INDIRECT(ADDRESS(2,COLUMN())),OFFSET($AM$2,0,0,ROW()-1,33),ROW()-1,FALSE))</f>
        <v>7.0838144000000006E-2</v>
      </c>
      <c r="AD339" t="str">
        <f ca="1">IF(AND(ISNUMBER($AD$739),$B$427=1),$AD$739,HLOOKUP(INDIRECT(ADDRESS(2,COLUMN())),OFFSET($AM$2,0,0,ROW()-1,33),ROW()-1,FALSE))</f>
        <v/>
      </c>
      <c r="AE339" t="str">
        <f ca="1">IF(AND(ISNUMBER($AE$739),$B$427=1),$AE$739,HLOOKUP(INDIRECT(ADDRESS(2,COLUMN())),OFFSET($AM$2,0,0,ROW()-1,33),ROW()-1,FALSE))</f>
        <v/>
      </c>
      <c r="AF339" t="str">
        <f ca="1">IF(AND(ISNUMBER($AF$739),$B$427=1),$AF$739,HLOOKUP(INDIRECT(ADDRESS(2,COLUMN())),OFFSET($AM$2,0,0,ROW()-1,33),ROW()-1,FALSE))</f>
        <v/>
      </c>
      <c r="AG339" t="str">
        <f ca="1">IF(AND(ISNUMBER($AG$739),$B$427=1),$AG$739,HLOOKUP(INDIRECT(ADDRESS(2,COLUMN())),OFFSET($AM$2,0,0,ROW()-1,33),ROW()-1,FALSE))</f>
        <v/>
      </c>
      <c r="AH339" t="str">
        <f ca="1">IF(AND(ISNUMBER($AH$739),$B$427=1),$AH$739,HLOOKUP(INDIRECT(ADDRESS(2,COLUMN())),OFFSET($AM$2,0,0,ROW()-1,33),ROW()-1,FALSE))</f>
        <v/>
      </c>
      <c r="AI339" t="str">
        <f ca="1">IF(AND(ISNUMBER($AI$739),$B$427=1),$AI$739,HLOOKUP(INDIRECT(ADDRESS(2,COLUMN())),OFFSET($AM$2,0,0,ROW()-1,33),ROW()-1,FALSE))</f>
        <v/>
      </c>
      <c r="AJ339" t="str">
        <f ca="1">IF(AND(ISNUMBER($AJ$739),$B$427=1),$AJ$739,HLOOKUP(INDIRECT(ADDRESS(2,COLUMN())),OFFSET($AM$2,0,0,ROW()-1,33),ROW()-1,FALSE))</f>
        <v/>
      </c>
      <c r="AK339" t="str">
        <f ca="1">IF(AND(ISNUMBER($AK$739),$B$427=1),$AK$739,HLOOKUP(INDIRECT(ADDRESS(2,COLUMN())),OFFSET($AM$2,0,0,ROW()-1,33),ROW()-1,FALSE))</f>
        <v/>
      </c>
      <c r="AL339" t="str">
        <f ca="1">IF(AND(ISNUMBER($AL$739),$B$427=1),$AL$739,HLOOKUP(INDIRECT(ADDRESS(2,COLUMN())),OFFSET($AM$2,0,0,ROW()-1,33),ROW()-1,FALSE))</f>
        <v/>
      </c>
      <c r="AM339">
        <f>0.000428597</f>
        <v>4.2859700000000002E-4</v>
      </c>
      <c r="AN339">
        <f>0.000656174</f>
        <v>6.5617400000000004E-4</v>
      </c>
      <c r="AO339">
        <f>0.001097113</f>
        <v>1.097113E-3</v>
      </c>
      <c r="AP339">
        <f>0.000967143</f>
        <v>9.6714299999999995E-4</v>
      </c>
      <c r="AQ339">
        <f>0.000848594</f>
        <v>8.4859400000000004E-4</v>
      </c>
      <c r="AR339">
        <f>0.00312032</f>
        <v>3.1203200000000002E-3</v>
      </c>
      <c r="AS339">
        <f>0.004138889</f>
        <v>4.1388889999999998E-3</v>
      </c>
      <c r="AT339">
        <f>0.007733879</f>
        <v>7.7338789999999999E-3</v>
      </c>
      <c r="AU339">
        <f>0.01249715</f>
        <v>1.249715E-2</v>
      </c>
      <c r="AV339">
        <f>0.023274075</f>
        <v>2.3274075000000002E-2</v>
      </c>
      <c r="AW339">
        <f>0.021111884</f>
        <v>2.1111884000000001E-2</v>
      </c>
      <c r="AX339">
        <f>0.020389385</f>
        <v>2.0389384999999999E-2</v>
      </c>
      <c r="AY339">
        <f>0.032556717</f>
        <v>3.2556716999999999E-2</v>
      </c>
      <c r="AZ339">
        <f>0.026536525</f>
        <v>2.6536524999999998E-2</v>
      </c>
      <c r="BA339">
        <f>0.019671987</f>
        <v>1.9671986999999998E-2</v>
      </c>
      <c r="BB339">
        <f>0.014289775</f>
        <v>1.4289774999999999E-2</v>
      </c>
      <c r="BC339">
        <f>0.032449362</f>
        <v>3.2449362000000002E-2</v>
      </c>
      <c r="BD339">
        <f>0.067683844</f>
        <v>6.7683844000000007E-2</v>
      </c>
      <c r="BE339">
        <f>0.015937838</f>
        <v>1.5937837999999999E-2</v>
      </c>
      <c r="BF339">
        <f>0.035198089</f>
        <v>3.5198089000000002E-2</v>
      </c>
      <c r="BG339">
        <f>0.755124056</f>
        <v>0.75512405599999999</v>
      </c>
      <c r="BH339">
        <f>0.203172405</f>
        <v>0.203172405</v>
      </c>
      <c r="BI339">
        <f>0.018959275</f>
        <v>1.8959275000000001E-2</v>
      </c>
      <c r="BJ339">
        <f>0.070838144</f>
        <v>7.0838144000000006E-2</v>
      </c>
      <c r="BK339" t="str">
        <f>""</f>
        <v/>
      </c>
      <c r="BL339" t="str">
        <f>""</f>
        <v/>
      </c>
      <c r="BM339" t="str">
        <f>""</f>
        <v/>
      </c>
      <c r="BN339" t="str">
        <f>""</f>
        <v/>
      </c>
      <c r="BO339" t="str">
        <f>""</f>
        <v/>
      </c>
      <c r="BP339" t="str">
        <f>""</f>
        <v/>
      </c>
      <c r="BQ339" t="str">
        <f>""</f>
        <v/>
      </c>
      <c r="BR339" t="str">
        <f>""</f>
        <v/>
      </c>
      <c r="BS339" t="str">
        <f>""</f>
        <v/>
      </c>
    </row>
    <row r="340" spans="1:71" x14ac:dyDescent="0.25">
      <c r="A340" t="str">
        <f>"        KeyCorp"</f>
        <v xml:space="preserve">        KeyCorp</v>
      </c>
      <c r="B340" t="str">
        <f>"KEY US Equity"</f>
        <v>KEY US Equity</v>
      </c>
      <c r="C340" t="str">
        <f t="shared" si="45"/>
        <v>F0125</v>
      </c>
      <c r="D340" t="str">
        <f t="shared" si="46"/>
        <v>FED_US_BANK_LOANS_%_TOT_LNS_LEAS</v>
      </c>
      <c r="E340" t="str">
        <f t="shared" si="47"/>
        <v>Dynamic</v>
      </c>
      <c r="F340">
        <f ca="1">IF(AND(ISNUMBER($F$740),$B$427=1),$F$740,HLOOKUP(INDIRECT(ADDRESS(2,COLUMN())),OFFSET($AM$2,0,0,ROW()-1,33),ROW()-1,FALSE))</f>
        <v>0</v>
      </c>
      <c r="G340">
        <f ca="1">IF(AND(ISNUMBER($G$740),$B$427=1),$G$740,HLOOKUP(INDIRECT(ADDRESS(2,COLUMN())),OFFSET($AM$2,0,0,ROW()-1,33),ROW()-1,FALSE))</f>
        <v>0</v>
      </c>
      <c r="H340">
        <f ca="1">IF(AND(ISNUMBER($H$740),$B$427=1),$H$740,HLOOKUP(INDIRECT(ADDRESS(2,COLUMN())),OFFSET($AM$2,0,0,ROW()-1,33),ROW()-1,FALSE))</f>
        <v>0</v>
      </c>
      <c r="I340">
        <f ca="1">IF(AND(ISNUMBER($I$740),$B$427=1),$I$740,HLOOKUP(INDIRECT(ADDRESS(2,COLUMN())),OFFSET($AM$2,0,0,ROW()-1,33),ROW()-1,FALSE))</f>
        <v>0</v>
      </c>
      <c r="J340">
        <f ca="1">IF(AND(ISNUMBER($J$740),$B$427=1),$J$740,HLOOKUP(INDIRECT(ADDRESS(2,COLUMN())),OFFSET($AM$2,0,0,ROW()-1,33),ROW()-1,FALSE))</f>
        <v>0</v>
      </c>
      <c r="K340">
        <f ca="1">IF(AND(ISNUMBER($K$740),$B$427=1),$K$740,HLOOKUP(INDIRECT(ADDRESS(2,COLUMN())),OFFSET($AM$2,0,0,ROW()-1,33),ROW()-1,FALSE))</f>
        <v>0</v>
      </c>
      <c r="L340">
        <f ca="1">IF(AND(ISNUMBER($L$740),$B$427=1),$L$740,HLOOKUP(INDIRECT(ADDRESS(2,COLUMN())),OFFSET($AM$2,0,0,ROW()-1,33),ROW()-1,FALSE))</f>
        <v>0</v>
      </c>
      <c r="M340">
        <f ca="1">IF(AND(ISNUMBER($M$740),$B$427=1),$M$740,HLOOKUP(INDIRECT(ADDRESS(2,COLUMN())),OFFSET($AM$2,0,0,ROW()-1,33),ROW()-1,FALSE))</f>
        <v>0</v>
      </c>
      <c r="N340">
        <f ca="1">IF(AND(ISNUMBER($N$740),$B$427=1),$N$740,HLOOKUP(INDIRECT(ADDRESS(2,COLUMN())),OFFSET($AM$2,0,0,ROW()-1,33),ROW()-1,FALSE))</f>
        <v>2.2532100000000001E-4</v>
      </c>
      <c r="O340">
        <f ca="1">IF(AND(ISNUMBER($O$740),$B$427=1),$O$740,HLOOKUP(INDIRECT(ADDRESS(2,COLUMN())),OFFSET($AM$2,0,0,ROW()-1,33),ROW()-1,FALSE))</f>
        <v>1.0564876000000001E-2</v>
      </c>
      <c r="P340">
        <f ca="1">IF(AND(ISNUMBER($P$740),$B$427=1),$P$740,HLOOKUP(INDIRECT(ADDRESS(2,COLUMN())),OFFSET($AM$2,0,0,ROW()-1,33),ROW()-1,FALSE))</f>
        <v>2.0392156000000002E-2</v>
      </c>
      <c r="Q340">
        <f ca="1">IF(AND(ISNUMBER($Q$740),$B$427=1),$Q$740,HLOOKUP(INDIRECT(ADDRESS(2,COLUMN())),OFFSET($AM$2,0,0,ROW()-1,33),ROW()-1,FALSE))</f>
        <v>3.5732343999999999E-2</v>
      </c>
      <c r="R340">
        <f ca="1">IF(AND(ISNUMBER($R$740),$B$427=1),$R$740,HLOOKUP(INDIRECT(ADDRESS(2,COLUMN())),OFFSET($AM$2,0,0,ROW()-1,33),ROW()-1,FALSE))</f>
        <v>4.3856821999999997E-2</v>
      </c>
      <c r="S340">
        <f ca="1">IF(AND(ISNUMBER($S$740),$B$427=1),$S$740,HLOOKUP(INDIRECT(ADDRESS(2,COLUMN())),OFFSET($AM$2,0,0,ROW()-1,33),ROW()-1,FALSE))</f>
        <v>5.0432000000000005E-4</v>
      </c>
      <c r="T340">
        <f ca="1">IF(AND(ISNUMBER($T$740),$B$427=1),$T$740,HLOOKUP(INDIRECT(ADDRESS(2,COLUMN())),OFFSET($AM$2,0,0,ROW()-1,33),ROW()-1,FALSE))</f>
        <v>1.5813649999999999E-3</v>
      </c>
      <c r="U340">
        <f ca="1">IF(AND(ISNUMBER($U$740),$B$427=1),$U$740,HLOOKUP(INDIRECT(ADDRESS(2,COLUMN())),OFFSET($AM$2,0,0,ROW()-1,33),ROW()-1,FALSE))</f>
        <v>2.327043E-3</v>
      </c>
      <c r="V340">
        <f ca="1">IF(AND(ISNUMBER($V$740),$B$427=1),$V$740,HLOOKUP(INDIRECT(ADDRESS(2,COLUMN())),OFFSET($AM$2,0,0,ROW()-1,33),ROW()-1,FALSE))</f>
        <v>5.9529354999999999E-2</v>
      </c>
      <c r="W340">
        <f ca="1">IF(AND(ISNUMBER($W$740),$B$427=1),$W$740,HLOOKUP(INDIRECT(ADDRESS(2,COLUMN())),OFFSET($AM$2,0,0,ROW()-1,33),ROW()-1,FALSE))</f>
        <v>8.0759176000000002E-2</v>
      </c>
      <c r="X340">
        <f ca="1">IF(AND(ISNUMBER($X$740),$B$427=1),$X$740,HLOOKUP(INDIRECT(ADDRESS(2,COLUMN())),OFFSET($AM$2,0,0,ROW()-1,33),ROW()-1,FALSE))</f>
        <v>1.1673774E-2</v>
      </c>
      <c r="Y340">
        <f ca="1">IF(AND(ISNUMBER($Y$740),$B$427=1),$Y$740,HLOOKUP(INDIRECT(ADDRESS(2,COLUMN())),OFFSET($AM$2,0,0,ROW()-1,33),ROW()-1,FALSE))</f>
        <v>4.9812293000000001E-2</v>
      </c>
      <c r="Z340">
        <f ca="1">IF(AND(ISNUMBER($Z$740),$B$427=1),$Z$740,HLOOKUP(INDIRECT(ADDRESS(2,COLUMN())),OFFSET($AM$2,0,0,ROW()-1,33),ROW()-1,FALSE))</f>
        <v>0.13220232200000001</v>
      </c>
      <c r="AA340">
        <f ca="1">IF(AND(ISNUMBER($AA$740),$B$427=1),$AA$740,HLOOKUP(INDIRECT(ADDRESS(2,COLUMN())),OFFSET($AM$2,0,0,ROW()-1,33),ROW()-1,FALSE))</f>
        <v>6.3089624999999996E-2</v>
      </c>
      <c r="AB340">
        <f ca="1">IF(AND(ISNUMBER($AB$740),$B$427=1),$AB$740,HLOOKUP(INDIRECT(ADDRESS(2,COLUMN())),OFFSET($AM$2,0,0,ROW()-1,33),ROW()-1,FALSE))</f>
        <v>6.9115194000000005E-2</v>
      </c>
      <c r="AC340">
        <f ca="1">IF(AND(ISNUMBER($AC$740),$B$427=1),$AC$740,HLOOKUP(INDIRECT(ADDRESS(2,COLUMN())),OFFSET($AM$2,0,0,ROW()-1,33),ROW()-1,FALSE))</f>
        <v>3.4467627000000001E-2</v>
      </c>
      <c r="AD340" t="str">
        <f ca="1">IF(AND(ISNUMBER($AD$740),$B$427=1),$AD$740,HLOOKUP(INDIRECT(ADDRESS(2,COLUMN())),OFFSET($AM$2,0,0,ROW()-1,33),ROW()-1,FALSE))</f>
        <v/>
      </c>
      <c r="AE340" t="str">
        <f ca="1">IF(AND(ISNUMBER($AE$740),$B$427=1),$AE$740,HLOOKUP(INDIRECT(ADDRESS(2,COLUMN())),OFFSET($AM$2,0,0,ROW()-1,33),ROW()-1,FALSE))</f>
        <v/>
      </c>
      <c r="AF340" t="str">
        <f ca="1">IF(AND(ISNUMBER($AF$740),$B$427=1),$AF$740,HLOOKUP(INDIRECT(ADDRESS(2,COLUMN())),OFFSET($AM$2,0,0,ROW()-1,33),ROW()-1,FALSE))</f>
        <v/>
      </c>
      <c r="AG340" t="str">
        <f ca="1">IF(AND(ISNUMBER($AG$740),$B$427=1),$AG$740,HLOOKUP(INDIRECT(ADDRESS(2,COLUMN())),OFFSET($AM$2,0,0,ROW()-1,33),ROW()-1,FALSE))</f>
        <v/>
      </c>
      <c r="AH340" t="str">
        <f ca="1">IF(AND(ISNUMBER($AH$740),$B$427=1),$AH$740,HLOOKUP(INDIRECT(ADDRESS(2,COLUMN())),OFFSET($AM$2,0,0,ROW()-1,33),ROW()-1,FALSE))</f>
        <v/>
      </c>
      <c r="AI340" t="str">
        <f ca="1">IF(AND(ISNUMBER($AI$740),$B$427=1),$AI$740,HLOOKUP(INDIRECT(ADDRESS(2,COLUMN())),OFFSET($AM$2,0,0,ROW()-1,33),ROW()-1,FALSE))</f>
        <v/>
      </c>
      <c r="AJ340" t="str">
        <f ca="1">IF(AND(ISNUMBER($AJ$740),$B$427=1),$AJ$740,HLOOKUP(INDIRECT(ADDRESS(2,COLUMN())),OFFSET($AM$2,0,0,ROW()-1,33),ROW()-1,FALSE))</f>
        <v/>
      </c>
      <c r="AK340" t="str">
        <f ca="1">IF(AND(ISNUMBER($AK$740),$B$427=1),$AK$740,HLOOKUP(INDIRECT(ADDRESS(2,COLUMN())),OFFSET($AM$2,0,0,ROW()-1,33),ROW()-1,FALSE))</f>
        <v/>
      </c>
      <c r="AL340" t="str">
        <f ca="1">IF(AND(ISNUMBER($AL$740),$B$427=1),$AL$740,HLOOKUP(INDIRECT(ADDRESS(2,COLUMN())),OFFSET($AM$2,0,0,ROW()-1,33),ROW()-1,FALSE))</f>
        <v/>
      </c>
      <c r="AM340">
        <f>0</f>
        <v>0</v>
      </c>
      <c r="AN340">
        <f>0</f>
        <v>0</v>
      </c>
      <c r="AO340">
        <f>0</f>
        <v>0</v>
      </c>
      <c r="AP340">
        <f>0</f>
        <v>0</v>
      </c>
      <c r="AQ340">
        <f>0</f>
        <v>0</v>
      </c>
      <c r="AR340">
        <f>0</f>
        <v>0</v>
      </c>
      <c r="AS340">
        <f>0</f>
        <v>0</v>
      </c>
      <c r="AT340">
        <f>0</f>
        <v>0</v>
      </c>
      <c r="AU340">
        <f>0.000225321</f>
        <v>2.2532100000000001E-4</v>
      </c>
      <c r="AV340">
        <f>0.010564876</f>
        <v>1.0564876000000001E-2</v>
      </c>
      <c r="AW340">
        <f>0.020392156</f>
        <v>2.0392156000000002E-2</v>
      </c>
      <c r="AX340">
        <f>0.035732344</f>
        <v>3.5732343999999999E-2</v>
      </c>
      <c r="AY340">
        <f>0.043856822</f>
        <v>4.3856821999999997E-2</v>
      </c>
      <c r="AZ340">
        <f>0.00050432</f>
        <v>5.0432000000000005E-4</v>
      </c>
      <c r="BA340">
        <f>0.001581365</f>
        <v>1.5813649999999999E-3</v>
      </c>
      <c r="BB340">
        <f>0.002327043</f>
        <v>2.327043E-3</v>
      </c>
      <c r="BC340">
        <f>0.059529355</f>
        <v>5.9529354999999999E-2</v>
      </c>
      <c r="BD340">
        <f>0.080759176</f>
        <v>8.0759176000000002E-2</v>
      </c>
      <c r="BE340">
        <f>0.011673774</f>
        <v>1.1673774E-2</v>
      </c>
      <c r="BF340">
        <f>0.049812293</f>
        <v>4.9812293000000001E-2</v>
      </c>
      <c r="BG340">
        <f>0.132202322</f>
        <v>0.13220232200000001</v>
      </c>
      <c r="BH340">
        <f>0.063089625</f>
        <v>6.3089624999999996E-2</v>
      </c>
      <c r="BI340">
        <f>0.069115194</f>
        <v>6.9115194000000005E-2</v>
      </c>
      <c r="BJ340">
        <f>0.034467627</f>
        <v>3.4467627000000001E-2</v>
      </c>
      <c r="BK340" t="str">
        <f>""</f>
        <v/>
      </c>
      <c r="BL340" t="str">
        <f>""</f>
        <v/>
      </c>
      <c r="BM340" t="str">
        <f>""</f>
        <v/>
      </c>
      <c r="BN340" t="str">
        <f>""</f>
        <v/>
      </c>
      <c r="BO340" t="str">
        <f>""</f>
        <v/>
      </c>
      <c r="BP340" t="str">
        <f>""</f>
        <v/>
      </c>
      <c r="BQ340" t="str">
        <f>""</f>
        <v/>
      </c>
      <c r="BR340" t="str">
        <f>""</f>
        <v/>
      </c>
      <c r="BS340" t="str">
        <f>""</f>
        <v/>
      </c>
    </row>
    <row r="341" spans="1:71" x14ac:dyDescent="0.25">
      <c r="A341" t="str">
        <f>"        M&amp;T Bank Corp"</f>
        <v xml:space="preserve">        M&amp;T Bank Corp</v>
      </c>
      <c r="B341" t="str">
        <f>"MTB US Equity"</f>
        <v>MTB US Equity</v>
      </c>
      <c r="C341" t="str">
        <f t="shared" si="45"/>
        <v>F0125</v>
      </c>
      <c r="D341" t="str">
        <f t="shared" si="46"/>
        <v>FED_US_BANK_LOANS_%_TOT_LNS_LEAS</v>
      </c>
      <c r="E341" t="str">
        <f t="shared" si="47"/>
        <v>Dynamic</v>
      </c>
      <c r="F341">
        <f ca="1">IF(AND(ISNUMBER($F$741),$B$427=1),$F$741,HLOOKUP(INDIRECT(ADDRESS(2,COLUMN())),OFFSET($AM$2,0,0,ROW()-1,33),ROW()-1,FALSE))</f>
        <v>6.8585069999999998E-3</v>
      </c>
      <c r="G341">
        <f ca="1">IF(AND(ISNUMBER($G$741),$B$427=1),$G$741,HLOOKUP(INDIRECT(ADDRESS(2,COLUMN())),OFFSET($AM$2,0,0,ROW()-1,33),ROW()-1,FALSE))</f>
        <v>9.7182680000000004E-3</v>
      </c>
      <c r="H341">
        <f ca="1">IF(AND(ISNUMBER($H$741),$B$427=1),$H$741,HLOOKUP(INDIRECT(ADDRESS(2,COLUMN())),OFFSET($AM$2,0,0,ROW()-1,33),ROW()-1,FALSE))</f>
        <v>9.230406E-3</v>
      </c>
      <c r="I341">
        <f ca="1">IF(AND(ISNUMBER($I$741),$B$427=1),$I$741,HLOOKUP(INDIRECT(ADDRESS(2,COLUMN())),OFFSET($AM$2,0,0,ROW()-1,33),ROW()-1,FALSE))</f>
        <v>2.9522419999999999E-3</v>
      </c>
      <c r="J341">
        <f ca="1">IF(AND(ISNUMBER($J$741),$B$427=1),$J$741,HLOOKUP(INDIRECT(ADDRESS(2,COLUMN())),OFFSET($AM$2,0,0,ROW()-1,33),ROW()-1,FALSE))</f>
        <v>2.056104E-3</v>
      </c>
      <c r="K341">
        <f ca="1">IF(AND(ISNUMBER($K$741),$B$427=1),$K$741,HLOOKUP(INDIRECT(ADDRESS(2,COLUMN())),OFFSET($AM$2,0,0,ROW()-1,33),ROW()-1,FALSE))</f>
        <v>2.7121889999999998E-3</v>
      </c>
      <c r="L341">
        <f ca="1">IF(AND(ISNUMBER($L$741),$B$427=1),$L$741,HLOOKUP(INDIRECT(ADDRESS(2,COLUMN())),OFFSET($AM$2,0,0,ROW()-1,33),ROW()-1,FALSE))</f>
        <v>3.1593889999999999E-3</v>
      </c>
      <c r="M341">
        <f ca="1">IF(AND(ISNUMBER($M$741),$B$427=1),$M$741,HLOOKUP(INDIRECT(ADDRESS(2,COLUMN())),OFFSET($AM$2,0,0,ROW()-1,33),ROW()-1,FALSE))</f>
        <v>3.2674549999999998E-3</v>
      </c>
      <c r="N341">
        <f ca="1">IF(AND(ISNUMBER($N$741),$B$427=1),$N$741,HLOOKUP(INDIRECT(ADDRESS(2,COLUMN())),OFFSET($AM$2,0,0,ROW()-1,33),ROW()-1,FALSE))</f>
        <v>1.9360860000000001E-3</v>
      </c>
      <c r="O341">
        <f ca="1">IF(AND(ISNUMBER($O$741),$B$427=1),$O$741,HLOOKUP(INDIRECT(ADDRESS(2,COLUMN())),OFFSET($AM$2,0,0,ROW()-1,33),ROW()-1,FALSE))</f>
        <v>1.3613060000000001E-3</v>
      </c>
      <c r="P341">
        <f ca="1">IF(AND(ISNUMBER($P$741),$B$427=1),$P$741,HLOOKUP(INDIRECT(ADDRESS(2,COLUMN())),OFFSET($AM$2,0,0,ROW()-1,33),ROW()-1,FALSE))</f>
        <v>1.318421E-3</v>
      </c>
      <c r="Q341">
        <f ca="1">IF(AND(ISNUMBER($Q$741),$B$427=1),$Q$741,HLOOKUP(INDIRECT(ADDRESS(2,COLUMN())),OFFSET($AM$2,0,0,ROW()-1,33),ROW()-1,FALSE))</f>
        <v>7.0544399999999995E-4</v>
      </c>
      <c r="R341">
        <f ca="1">IF(AND(ISNUMBER($R$741),$B$427=1),$R$741,HLOOKUP(INDIRECT(ADDRESS(2,COLUMN())),OFFSET($AM$2,0,0,ROW()-1,33),ROW()-1,FALSE))</f>
        <v>2.555168E-3</v>
      </c>
      <c r="S341">
        <f ca="1">IF(AND(ISNUMBER($S$741),$B$427=1),$S$741,HLOOKUP(INDIRECT(ADDRESS(2,COLUMN())),OFFSET($AM$2,0,0,ROW()-1,33),ROW()-1,FALSE))</f>
        <v>3.788937E-3</v>
      </c>
      <c r="T341">
        <f ca="1">IF(AND(ISNUMBER($T$741),$B$427=1),$T$741,HLOOKUP(INDIRECT(ADDRESS(2,COLUMN())),OFFSET($AM$2,0,0,ROW()-1,33),ROW()-1,FALSE))</f>
        <v>4.3392639999999998E-3</v>
      </c>
      <c r="U341">
        <f ca="1">IF(AND(ISNUMBER($U$741),$B$427=1),$U$741,HLOOKUP(INDIRECT(ADDRESS(2,COLUMN())),OFFSET($AM$2,0,0,ROW()-1,33),ROW()-1,FALSE))</f>
        <v>1.7534812E-2</v>
      </c>
      <c r="V341">
        <f ca="1">IF(AND(ISNUMBER($V$741),$B$427=1),$V$741,HLOOKUP(INDIRECT(ADDRESS(2,COLUMN())),OFFSET($AM$2,0,0,ROW()-1,33),ROW()-1,FALSE))</f>
        <v>1.9552876E-2</v>
      </c>
      <c r="W341">
        <f ca="1">IF(AND(ISNUMBER($W$741),$B$427=1),$W$741,HLOOKUP(INDIRECT(ADDRESS(2,COLUMN())),OFFSET($AM$2,0,0,ROW()-1,33),ROW()-1,FALSE))</f>
        <v>1.8722840000000001E-2</v>
      </c>
      <c r="X341">
        <f ca="1">IF(AND(ISNUMBER($X$741),$B$427=1),$X$741,HLOOKUP(INDIRECT(ADDRESS(2,COLUMN())),OFFSET($AM$2,0,0,ROW()-1,33),ROW()-1,FALSE))</f>
        <v>1.8760203E-2</v>
      </c>
      <c r="Y341">
        <f ca="1">IF(AND(ISNUMBER($Y$741),$B$427=1),$Y$741,HLOOKUP(INDIRECT(ADDRESS(2,COLUMN())),OFFSET($AM$2,0,0,ROW()-1,33),ROW()-1,FALSE))</f>
        <v>1.3317417E-2</v>
      </c>
      <c r="Z341">
        <f ca="1">IF(AND(ISNUMBER($Z$741),$B$427=1),$Z$741,HLOOKUP(INDIRECT(ADDRESS(2,COLUMN())),OFFSET($AM$2,0,0,ROW()-1,33),ROW()-1,FALSE))</f>
        <v>1.8649176999999999E-2</v>
      </c>
      <c r="AA341">
        <f ca="1">IF(AND(ISNUMBER($AA$741),$B$427=1),$AA$741,HLOOKUP(INDIRECT(ADDRESS(2,COLUMN())),OFFSET($AM$2,0,0,ROW()-1,33),ROW()-1,FALSE))</f>
        <v>5.6840943999999997E-2</v>
      </c>
      <c r="AB341">
        <f ca="1">IF(AND(ISNUMBER($AB$741),$B$427=1),$AB$741,HLOOKUP(INDIRECT(ADDRESS(2,COLUMN())),OFFSET($AM$2,0,0,ROW()-1,33),ROW()-1,FALSE))</f>
        <v>0</v>
      </c>
      <c r="AC341">
        <f ca="1">IF(AND(ISNUMBER($AC$741),$B$427=1),$AC$741,HLOOKUP(INDIRECT(ADDRESS(2,COLUMN())),OFFSET($AM$2,0,0,ROW()-1,33),ROW()-1,FALSE))</f>
        <v>0</v>
      </c>
      <c r="AD341" t="str">
        <f ca="1">IF(AND(ISNUMBER($AD$741),$B$427=1),$AD$741,HLOOKUP(INDIRECT(ADDRESS(2,COLUMN())),OFFSET($AM$2,0,0,ROW()-1,33),ROW()-1,FALSE))</f>
        <v/>
      </c>
      <c r="AE341" t="str">
        <f ca="1">IF(AND(ISNUMBER($AE$741),$B$427=1),$AE$741,HLOOKUP(INDIRECT(ADDRESS(2,COLUMN())),OFFSET($AM$2,0,0,ROW()-1,33),ROW()-1,FALSE))</f>
        <v/>
      </c>
      <c r="AF341" t="str">
        <f ca="1">IF(AND(ISNUMBER($AF$741),$B$427=1),$AF$741,HLOOKUP(INDIRECT(ADDRESS(2,COLUMN())),OFFSET($AM$2,0,0,ROW()-1,33),ROW()-1,FALSE))</f>
        <v/>
      </c>
      <c r="AG341" t="str">
        <f ca="1">IF(AND(ISNUMBER($AG$741),$B$427=1),$AG$741,HLOOKUP(INDIRECT(ADDRESS(2,COLUMN())),OFFSET($AM$2,0,0,ROW()-1,33),ROW()-1,FALSE))</f>
        <v/>
      </c>
      <c r="AH341" t="str">
        <f ca="1">IF(AND(ISNUMBER($AH$741),$B$427=1),$AH$741,HLOOKUP(INDIRECT(ADDRESS(2,COLUMN())),OFFSET($AM$2,0,0,ROW()-1,33),ROW()-1,FALSE))</f>
        <v/>
      </c>
      <c r="AI341" t="str">
        <f ca="1">IF(AND(ISNUMBER($AI$741),$B$427=1),$AI$741,HLOOKUP(INDIRECT(ADDRESS(2,COLUMN())),OFFSET($AM$2,0,0,ROW()-1,33),ROW()-1,FALSE))</f>
        <v/>
      </c>
      <c r="AJ341" t="str">
        <f ca="1">IF(AND(ISNUMBER($AJ$741),$B$427=1),$AJ$741,HLOOKUP(INDIRECT(ADDRESS(2,COLUMN())),OFFSET($AM$2,0,0,ROW()-1,33),ROW()-1,FALSE))</f>
        <v/>
      </c>
      <c r="AK341" t="str">
        <f ca="1">IF(AND(ISNUMBER($AK$741),$B$427=1),$AK$741,HLOOKUP(INDIRECT(ADDRESS(2,COLUMN())),OFFSET($AM$2,0,0,ROW()-1,33),ROW()-1,FALSE))</f>
        <v/>
      </c>
      <c r="AL341" t="str">
        <f ca="1">IF(AND(ISNUMBER($AL$741),$B$427=1),$AL$741,HLOOKUP(INDIRECT(ADDRESS(2,COLUMN())),OFFSET($AM$2,0,0,ROW()-1,33),ROW()-1,FALSE))</f>
        <v/>
      </c>
      <c r="AM341">
        <f>0.006858507</f>
        <v>6.8585069999999998E-3</v>
      </c>
      <c r="AN341">
        <f>0.009718268</f>
        <v>9.7182680000000004E-3</v>
      </c>
      <c r="AO341">
        <f>0.009230406</f>
        <v>9.230406E-3</v>
      </c>
      <c r="AP341">
        <f>0.002952242</f>
        <v>2.9522419999999999E-3</v>
      </c>
      <c r="AQ341">
        <f>0.002056104</f>
        <v>2.056104E-3</v>
      </c>
      <c r="AR341">
        <f>0.002712189</f>
        <v>2.7121889999999998E-3</v>
      </c>
      <c r="AS341">
        <f>0.003159389</f>
        <v>3.1593889999999999E-3</v>
      </c>
      <c r="AT341">
        <f>0.003267455</f>
        <v>3.2674549999999998E-3</v>
      </c>
      <c r="AU341">
        <f>0.001936086</f>
        <v>1.9360860000000001E-3</v>
      </c>
      <c r="AV341">
        <f>0.001361306</f>
        <v>1.3613060000000001E-3</v>
      </c>
      <c r="AW341">
        <f>0.001318421</f>
        <v>1.318421E-3</v>
      </c>
      <c r="AX341">
        <f>0.000705444</f>
        <v>7.0544399999999995E-4</v>
      </c>
      <c r="AY341">
        <f>0.002555168</f>
        <v>2.555168E-3</v>
      </c>
      <c r="AZ341">
        <f>0.003788937</f>
        <v>3.788937E-3</v>
      </c>
      <c r="BA341">
        <f>0.004339264</f>
        <v>4.3392639999999998E-3</v>
      </c>
      <c r="BB341">
        <f>0.017534812</f>
        <v>1.7534812E-2</v>
      </c>
      <c r="BC341">
        <f>0.019552876</f>
        <v>1.9552876E-2</v>
      </c>
      <c r="BD341">
        <f>0.01872284</f>
        <v>1.8722840000000001E-2</v>
      </c>
      <c r="BE341">
        <f>0.018760203</f>
        <v>1.8760203E-2</v>
      </c>
      <c r="BF341">
        <f>0.013317417</f>
        <v>1.3317417E-2</v>
      </c>
      <c r="BG341">
        <f>0.018649177</f>
        <v>1.8649176999999999E-2</v>
      </c>
      <c r="BH341">
        <f>0.056840944</f>
        <v>5.6840943999999997E-2</v>
      </c>
      <c r="BI341">
        <f>0</f>
        <v>0</v>
      </c>
      <c r="BJ341">
        <f>0</f>
        <v>0</v>
      </c>
      <c r="BK341" t="str">
        <f>""</f>
        <v/>
      </c>
      <c r="BL341" t="str">
        <f>""</f>
        <v/>
      </c>
      <c r="BM341" t="str">
        <f>""</f>
        <v/>
      </c>
      <c r="BN341" t="str">
        <f>""</f>
        <v/>
      </c>
      <c r="BO341" t="str">
        <f>""</f>
        <v/>
      </c>
      <c r="BP341" t="str">
        <f>""</f>
        <v/>
      </c>
      <c r="BQ341" t="str">
        <f>""</f>
        <v/>
      </c>
      <c r="BR341" t="str">
        <f>""</f>
        <v/>
      </c>
      <c r="BS341" t="str">
        <f>""</f>
        <v/>
      </c>
    </row>
    <row r="342" spans="1:71" x14ac:dyDescent="0.25">
      <c r="A342" t="str">
        <f>"        PNC Financial Services Group I"</f>
        <v xml:space="preserve">        PNC Financial Services Group I</v>
      </c>
      <c r="B342" t="str">
        <f>"PNC US Equity"</f>
        <v>PNC US Equity</v>
      </c>
      <c r="C342" t="str">
        <f t="shared" si="45"/>
        <v>F0125</v>
      </c>
      <c r="D342" t="str">
        <f t="shared" si="46"/>
        <v>FED_US_BANK_LOANS_%_TOT_LNS_LEAS</v>
      </c>
      <c r="E342" t="str">
        <f t="shared" si="47"/>
        <v>Dynamic</v>
      </c>
      <c r="F342" t="str">
        <f ca="1">IF(AND(ISNUMBER($F$742),$B$427=1),$F$742,HLOOKUP(INDIRECT(ADDRESS(2,COLUMN())),OFFSET($AM$2,0,0,ROW()-1,33),ROW()-1,FALSE))</f>
        <v/>
      </c>
      <c r="G342">
        <f ca="1">IF(AND(ISNUMBER($G$742),$B$427=1),$G$742,HLOOKUP(INDIRECT(ADDRESS(2,COLUMN())),OFFSET($AM$2,0,0,ROW()-1,33),ROW()-1,FALSE))</f>
        <v>1.5912839000000002E-2</v>
      </c>
      <c r="H342">
        <f ca="1">IF(AND(ISNUMBER($H$742),$B$427=1),$H$742,HLOOKUP(INDIRECT(ADDRESS(2,COLUMN())),OFFSET($AM$2,0,0,ROW()-1,33),ROW()-1,FALSE))</f>
        <v>1.3289252999999999E-2</v>
      </c>
      <c r="I342">
        <f ca="1">IF(AND(ISNUMBER($I$742),$B$427=1),$I$742,HLOOKUP(INDIRECT(ADDRESS(2,COLUMN())),OFFSET($AM$2,0,0,ROW()-1,33),ROW()-1,FALSE))</f>
        <v>3.03374E-3</v>
      </c>
      <c r="J342">
        <f ca="1">IF(AND(ISNUMBER($J$742),$B$427=1),$J$742,HLOOKUP(INDIRECT(ADDRESS(2,COLUMN())),OFFSET($AM$2,0,0,ROW()-1,33),ROW()-1,FALSE))</f>
        <v>6.7935579999999999E-3</v>
      </c>
      <c r="K342">
        <f ca="1">IF(AND(ISNUMBER($K$742),$B$427=1),$K$742,HLOOKUP(INDIRECT(ADDRESS(2,COLUMN())),OFFSET($AM$2,0,0,ROW()-1,33),ROW()-1,FALSE))</f>
        <v>3.248594E-3</v>
      </c>
      <c r="L342">
        <f ca="1">IF(AND(ISNUMBER($L$742),$B$427=1),$L$742,HLOOKUP(INDIRECT(ADDRESS(2,COLUMN())),OFFSET($AM$2,0,0,ROW()-1,33),ROW()-1,FALSE))</f>
        <v>4.8452410000000001E-3</v>
      </c>
      <c r="M342">
        <f ca="1">IF(AND(ISNUMBER($M$742),$B$427=1),$M$742,HLOOKUP(INDIRECT(ADDRESS(2,COLUMN())),OFFSET($AM$2,0,0,ROW()-1,33),ROW()-1,FALSE))</f>
        <v>8.0589449999999997E-3</v>
      </c>
      <c r="N342">
        <f ca="1">IF(AND(ISNUMBER($N$742),$B$427=1),$N$742,HLOOKUP(INDIRECT(ADDRESS(2,COLUMN())),OFFSET($AM$2,0,0,ROW()-1,33),ROW()-1,FALSE))</f>
        <v>9.4990700000000005E-4</v>
      </c>
      <c r="O342">
        <f ca="1">IF(AND(ISNUMBER($O$742),$B$427=1),$O$742,HLOOKUP(INDIRECT(ADDRESS(2,COLUMN())),OFFSET($AM$2,0,0,ROW()-1,33),ROW()-1,FALSE))</f>
        <v>2.2155421000000002E-2</v>
      </c>
      <c r="P342">
        <f ca="1">IF(AND(ISNUMBER($P$742),$B$427=1),$P$742,HLOOKUP(INDIRECT(ADDRESS(2,COLUMN())),OFFSET($AM$2,0,0,ROW()-1,33),ROW()-1,FALSE))</f>
        <v>1.9836739999999999E-2</v>
      </c>
      <c r="Q342">
        <f ca="1">IF(AND(ISNUMBER($Q$742),$B$427=1),$Q$742,HLOOKUP(INDIRECT(ADDRESS(2,COLUMN())),OFFSET($AM$2,0,0,ROW()-1,33),ROW()-1,FALSE))</f>
        <v>2.1245456999999999E-2</v>
      </c>
      <c r="R342">
        <f ca="1">IF(AND(ISNUMBER($R$742),$B$427=1),$R$742,HLOOKUP(INDIRECT(ADDRESS(2,COLUMN())),OFFSET($AM$2,0,0,ROW()-1,33),ROW()-1,FALSE))</f>
        <v>4.0117739999999999E-2</v>
      </c>
      <c r="S342">
        <f ca="1">IF(AND(ISNUMBER($S$742),$B$427=1),$S$742,HLOOKUP(INDIRECT(ADDRESS(2,COLUMN())),OFFSET($AM$2,0,0,ROW()-1,33),ROW()-1,FALSE))</f>
        <v>4.8852289999999996E-3</v>
      </c>
      <c r="T342">
        <f ca="1">IF(AND(ISNUMBER($T$742),$B$427=1),$T$742,HLOOKUP(INDIRECT(ADDRESS(2,COLUMN())),OFFSET($AM$2,0,0,ROW()-1,33),ROW()-1,FALSE))</f>
        <v>8.6812839999999992E-3</v>
      </c>
      <c r="U342">
        <f ca="1">IF(AND(ISNUMBER($U$742),$B$427=1),$U$742,HLOOKUP(INDIRECT(ADDRESS(2,COLUMN())),OFFSET($AM$2,0,0,ROW()-1,33),ROW()-1,FALSE))</f>
        <v>1.8106647E-2</v>
      </c>
      <c r="V342">
        <f ca="1">IF(AND(ISNUMBER($V$742),$B$427=1),$V$742,HLOOKUP(INDIRECT(ADDRESS(2,COLUMN())),OFFSET($AM$2,0,0,ROW()-1,33),ROW()-1,FALSE))</f>
        <v>1.3756536E-2</v>
      </c>
      <c r="W342">
        <f ca="1">IF(AND(ISNUMBER($W$742),$B$427=1),$W$742,HLOOKUP(INDIRECT(ADDRESS(2,COLUMN())),OFFSET($AM$2,0,0,ROW()-1,33),ROW()-1,FALSE))</f>
        <v>2.1337439E-2</v>
      </c>
      <c r="X342">
        <f ca="1">IF(AND(ISNUMBER($X$742),$B$427=1),$X$742,HLOOKUP(INDIRECT(ADDRESS(2,COLUMN())),OFFSET($AM$2,0,0,ROW()-1,33),ROW()-1,FALSE))</f>
        <v>1.0632005999999999E-2</v>
      </c>
      <c r="Y342">
        <f ca="1">IF(AND(ISNUMBER($Y$742),$B$427=1),$Y$742,HLOOKUP(INDIRECT(ADDRESS(2,COLUMN())),OFFSET($AM$2,0,0,ROW()-1,33),ROW()-1,FALSE))</f>
        <v>0</v>
      </c>
      <c r="Z342">
        <f ca="1">IF(AND(ISNUMBER($Z$742),$B$427=1),$Z$742,HLOOKUP(INDIRECT(ADDRESS(2,COLUMN())),OFFSET($AM$2,0,0,ROW()-1,33),ROW()-1,FALSE))</f>
        <v>2.21089E-6</v>
      </c>
      <c r="AA342">
        <f ca="1">IF(AND(ISNUMBER($AA$742),$B$427=1),$AA$742,HLOOKUP(INDIRECT(ADDRESS(2,COLUMN())),OFFSET($AM$2,0,0,ROW()-1,33),ROW()-1,FALSE))</f>
        <v>3.2626699999999998E-4</v>
      </c>
      <c r="AB342">
        <f ca="1">IF(AND(ISNUMBER($AB$742),$B$427=1),$AB$742,HLOOKUP(INDIRECT(ADDRESS(2,COLUMN())),OFFSET($AM$2,0,0,ROW()-1,33),ROW()-1,FALSE))</f>
        <v>7.8100499999999995E-5</v>
      </c>
      <c r="AC342">
        <f ca="1">IF(AND(ISNUMBER($AC$742),$B$427=1),$AC$742,HLOOKUP(INDIRECT(ADDRESS(2,COLUMN())),OFFSET($AM$2,0,0,ROW()-1,33),ROW()-1,FALSE))</f>
        <v>0</v>
      </c>
      <c r="AD342" t="str">
        <f ca="1">IF(AND(ISNUMBER($AD$742),$B$427=1),$AD$742,HLOOKUP(INDIRECT(ADDRESS(2,COLUMN())),OFFSET($AM$2,0,0,ROW()-1,33),ROW()-1,FALSE))</f>
        <v/>
      </c>
      <c r="AE342" t="str">
        <f ca="1">IF(AND(ISNUMBER($AE$742),$B$427=1),$AE$742,HLOOKUP(INDIRECT(ADDRESS(2,COLUMN())),OFFSET($AM$2,0,0,ROW()-1,33),ROW()-1,FALSE))</f>
        <v/>
      </c>
      <c r="AF342" t="str">
        <f ca="1">IF(AND(ISNUMBER($AF$742),$B$427=1),$AF$742,HLOOKUP(INDIRECT(ADDRESS(2,COLUMN())),OFFSET($AM$2,0,0,ROW()-1,33),ROW()-1,FALSE))</f>
        <v/>
      </c>
      <c r="AG342" t="str">
        <f ca="1">IF(AND(ISNUMBER($AG$742),$B$427=1),$AG$742,HLOOKUP(INDIRECT(ADDRESS(2,COLUMN())),OFFSET($AM$2,0,0,ROW()-1,33),ROW()-1,FALSE))</f>
        <v/>
      </c>
      <c r="AH342" t="str">
        <f ca="1">IF(AND(ISNUMBER($AH$742),$B$427=1),$AH$742,HLOOKUP(INDIRECT(ADDRESS(2,COLUMN())),OFFSET($AM$2,0,0,ROW()-1,33),ROW()-1,FALSE))</f>
        <v/>
      </c>
      <c r="AI342" t="str">
        <f ca="1">IF(AND(ISNUMBER($AI$742),$B$427=1),$AI$742,HLOOKUP(INDIRECT(ADDRESS(2,COLUMN())),OFFSET($AM$2,0,0,ROW()-1,33),ROW()-1,FALSE))</f>
        <v/>
      </c>
      <c r="AJ342" t="str">
        <f ca="1">IF(AND(ISNUMBER($AJ$742),$B$427=1),$AJ$742,HLOOKUP(INDIRECT(ADDRESS(2,COLUMN())),OFFSET($AM$2,0,0,ROW()-1,33),ROW()-1,FALSE))</f>
        <v/>
      </c>
      <c r="AK342" t="str">
        <f ca="1">IF(AND(ISNUMBER($AK$742),$B$427=1),$AK$742,HLOOKUP(INDIRECT(ADDRESS(2,COLUMN())),OFFSET($AM$2,0,0,ROW()-1,33),ROW()-1,FALSE))</f>
        <v/>
      </c>
      <c r="AL342" t="str">
        <f ca="1">IF(AND(ISNUMBER($AL$742),$B$427=1),$AL$742,HLOOKUP(INDIRECT(ADDRESS(2,COLUMN())),OFFSET($AM$2,0,0,ROW()-1,33),ROW()-1,FALSE))</f>
        <v/>
      </c>
      <c r="AM342" t="str">
        <f>""</f>
        <v/>
      </c>
      <c r="AN342">
        <f>0.015912839</f>
        <v>1.5912839000000002E-2</v>
      </c>
      <c r="AO342">
        <f>0.013289253</f>
        <v>1.3289252999999999E-2</v>
      </c>
      <c r="AP342">
        <f>0.00303374</f>
        <v>3.03374E-3</v>
      </c>
      <c r="AQ342">
        <f>0.006793558</f>
        <v>6.7935579999999999E-3</v>
      </c>
      <c r="AR342">
        <f>0.003248594</f>
        <v>3.248594E-3</v>
      </c>
      <c r="AS342">
        <f>0.004845241</f>
        <v>4.8452410000000001E-3</v>
      </c>
      <c r="AT342">
        <f>0.008058945</f>
        <v>8.0589449999999997E-3</v>
      </c>
      <c r="AU342">
        <f>0.000949907</f>
        <v>9.4990700000000005E-4</v>
      </c>
      <c r="AV342">
        <f>0.022155421</f>
        <v>2.2155421000000002E-2</v>
      </c>
      <c r="AW342">
        <f>0.01983674</f>
        <v>1.9836739999999999E-2</v>
      </c>
      <c r="AX342">
        <f>0.021245457</f>
        <v>2.1245456999999999E-2</v>
      </c>
      <c r="AY342">
        <f>0.04011774</f>
        <v>4.0117739999999999E-2</v>
      </c>
      <c r="AZ342">
        <f>0.004885229</f>
        <v>4.8852289999999996E-3</v>
      </c>
      <c r="BA342">
        <f>0.008681284</f>
        <v>8.6812839999999992E-3</v>
      </c>
      <c r="BB342">
        <f>0.018106647</f>
        <v>1.8106647E-2</v>
      </c>
      <c r="BC342">
        <f>0.013756536</f>
        <v>1.3756536E-2</v>
      </c>
      <c r="BD342">
        <f>0.021337439</f>
        <v>2.1337439E-2</v>
      </c>
      <c r="BE342">
        <f>0.010632006</f>
        <v>1.0632005999999999E-2</v>
      </c>
      <c r="BF342">
        <f>0</f>
        <v>0</v>
      </c>
      <c r="BG342">
        <f>0.00000221089</f>
        <v>2.21089E-6</v>
      </c>
      <c r="BH342">
        <f>0.000326267</f>
        <v>3.2626699999999998E-4</v>
      </c>
      <c r="BI342">
        <f>0.0000781005</f>
        <v>7.8100499999999995E-5</v>
      </c>
      <c r="BJ342">
        <f>0</f>
        <v>0</v>
      </c>
      <c r="BK342" t="str">
        <f>""</f>
        <v/>
      </c>
      <c r="BL342" t="str">
        <f>""</f>
        <v/>
      </c>
      <c r="BM342" t="str">
        <f>""</f>
        <v/>
      </c>
      <c r="BN342" t="str">
        <f>""</f>
        <v/>
      </c>
      <c r="BO342" t="str">
        <f>""</f>
        <v/>
      </c>
      <c r="BP342" t="str">
        <f>""</f>
        <v/>
      </c>
      <c r="BQ342" t="str">
        <f>""</f>
        <v/>
      </c>
      <c r="BR342" t="str">
        <f>""</f>
        <v/>
      </c>
      <c r="BS342" t="str">
        <f>""</f>
        <v/>
      </c>
    </row>
    <row r="343" spans="1:71" x14ac:dyDescent="0.25">
      <c r="A343" t="str">
        <f>"        Regions Financial Corp"</f>
        <v xml:space="preserve">        Regions Financial Corp</v>
      </c>
      <c r="B343" t="str">
        <f>"RF US Equity"</f>
        <v>RF US Equity</v>
      </c>
      <c r="C343" t="str">
        <f t="shared" si="45"/>
        <v>F0125</v>
      </c>
      <c r="D343" t="str">
        <f t="shared" si="46"/>
        <v>FED_US_BANK_LOANS_%_TOT_LNS_LEAS</v>
      </c>
      <c r="E343" t="str">
        <f t="shared" si="47"/>
        <v>Dynamic</v>
      </c>
      <c r="F343" t="str">
        <f ca="1">IF(AND(ISNUMBER($F$743),$B$427=1),$F$743,HLOOKUP(INDIRECT(ADDRESS(2,COLUMN())),OFFSET($AM$2,0,0,ROW()-1,33),ROW()-1,FALSE))</f>
        <v/>
      </c>
      <c r="G343">
        <f ca="1">IF(AND(ISNUMBER($G$743),$B$427=1),$G$743,HLOOKUP(INDIRECT(ADDRESS(2,COLUMN())),OFFSET($AM$2,0,0,ROW()-1,33),ROW()-1,FALSE))</f>
        <v>0</v>
      </c>
      <c r="H343">
        <f ca="1">IF(AND(ISNUMBER($H$743),$B$427=1),$H$743,HLOOKUP(INDIRECT(ADDRESS(2,COLUMN())),OFFSET($AM$2,0,0,ROW()-1,33),ROW()-1,FALSE))</f>
        <v>0</v>
      </c>
      <c r="I343">
        <f ca="1">IF(AND(ISNUMBER($I$743),$B$427=1),$I$743,HLOOKUP(INDIRECT(ADDRESS(2,COLUMN())),OFFSET($AM$2,0,0,ROW()-1,33),ROW()-1,FALSE))</f>
        <v>0</v>
      </c>
      <c r="J343">
        <f ca="1">IF(AND(ISNUMBER($J$743),$B$427=1),$J$743,HLOOKUP(INDIRECT(ADDRESS(2,COLUMN())),OFFSET($AM$2,0,0,ROW()-1,33),ROW()-1,FALSE))</f>
        <v>0</v>
      </c>
      <c r="K343">
        <f ca="1">IF(AND(ISNUMBER($K$743),$B$427=1),$K$743,HLOOKUP(INDIRECT(ADDRESS(2,COLUMN())),OFFSET($AM$2,0,0,ROW()-1,33),ROW()-1,FALSE))</f>
        <v>0</v>
      </c>
      <c r="L343">
        <f ca="1">IF(AND(ISNUMBER($L$743),$B$427=1),$L$743,HLOOKUP(INDIRECT(ADDRESS(2,COLUMN())),OFFSET($AM$2,0,0,ROW()-1,33),ROW()-1,FALSE))</f>
        <v>0</v>
      </c>
      <c r="M343">
        <f ca="1">IF(AND(ISNUMBER($M$743),$B$427=1),$M$743,HLOOKUP(INDIRECT(ADDRESS(2,COLUMN())),OFFSET($AM$2,0,0,ROW()-1,33),ROW()-1,FALSE))</f>
        <v>1.6937399999999999E-4</v>
      </c>
      <c r="N343">
        <f ca="1">IF(AND(ISNUMBER($N$743),$B$427=1),$N$743,HLOOKUP(INDIRECT(ADDRESS(2,COLUMN())),OFFSET($AM$2,0,0,ROW()-1,33),ROW()-1,FALSE))</f>
        <v>2.1716930000000001E-3</v>
      </c>
      <c r="O343">
        <f ca="1">IF(AND(ISNUMBER($O$743),$B$427=1),$O$743,HLOOKUP(INDIRECT(ADDRESS(2,COLUMN())),OFFSET($AM$2,0,0,ROW()-1,33),ROW()-1,FALSE))</f>
        <v>5.6059179999999997E-3</v>
      </c>
      <c r="P343">
        <f ca="1">IF(AND(ISNUMBER($P$743),$B$427=1),$P$743,HLOOKUP(INDIRECT(ADDRESS(2,COLUMN())),OFFSET($AM$2,0,0,ROW()-1,33),ROW()-1,FALSE))</f>
        <v>0</v>
      </c>
      <c r="Q343">
        <f ca="1">IF(AND(ISNUMBER($Q$743),$B$427=1),$Q$743,HLOOKUP(INDIRECT(ADDRESS(2,COLUMN())),OFFSET($AM$2,0,0,ROW()-1,33),ROW()-1,FALSE))</f>
        <v>0</v>
      </c>
      <c r="R343">
        <f ca="1">IF(AND(ISNUMBER($R$743),$B$427=1),$R$743,HLOOKUP(INDIRECT(ADDRESS(2,COLUMN())),OFFSET($AM$2,0,0,ROW()-1,33),ROW()-1,FALSE))</f>
        <v>0</v>
      </c>
      <c r="S343">
        <f ca="1">IF(AND(ISNUMBER($S$743),$B$427=1),$S$743,HLOOKUP(INDIRECT(ADDRESS(2,COLUMN())),OFFSET($AM$2,0,0,ROW()-1,33),ROW()-1,FALSE))</f>
        <v>0</v>
      </c>
      <c r="T343">
        <f ca="1">IF(AND(ISNUMBER($T$743),$B$427=1),$T$743,HLOOKUP(INDIRECT(ADDRESS(2,COLUMN())),OFFSET($AM$2,0,0,ROW()-1,33),ROW()-1,FALSE))</f>
        <v>0</v>
      </c>
      <c r="U343">
        <f ca="1">IF(AND(ISNUMBER($U$743),$B$427=1),$U$743,HLOOKUP(INDIRECT(ADDRESS(2,COLUMN())),OFFSET($AM$2,0,0,ROW()-1,33),ROW()-1,FALSE))</f>
        <v>0</v>
      </c>
      <c r="V343">
        <f ca="1">IF(AND(ISNUMBER($V$743),$B$427=1),$V$743,HLOOKUP(INDIRECT(ADDRESS(2,COLUMN())),OFFSET($AM$2,0,0,ROW()-1,33),ROW()-1,FALSE))</f>
        <v>0.14714556400000001</v>
      </c>
      <c r="W343">
        <f ca="1">IF(AND(ISNUMBER($W$743),$B$427=1),$W$743,HLOOKUP(INDIRECT(ADDRESS(2,COLUMN())),OFFSET($AM$2,0,0,ROW()-1,33),ROW()-1,FALSE))</f>
        <v>0.207194979</v>
      </c>
      <c r="X343">
        <f ca="1">IF(AND(ISNUMBER($X$743),$B$427=1),$X$743,HLOOKUP(INDIRECT(ADDRESS(2,COLUMN())),OFFSET($AM$2,0,0,ROW()-1,33),ROW()-1,FALSE))</f>
        <v>0.183742711</v>
      </c>
      <c r="Y343">
        <f ca="1">IF(AND(ISNUMBER($Y$743),$B$427=1),$Y$743,HLOOKUP(INDIRECT(ADDRESS(2,COLUMN())),OFFSET($AM$2,0,0,ROW()-1,33),ROW()-1,FALSE))</f>
        <v>0.11957463</v>
      </c>
      <c r="Z343">
        <f ca="1">IF(AND(ISNUMBER($Z$743),$B$427=1),$Z$743,HLOOKUP(INDIRECT(ADDRESS(2,COLUMN())),OFFSET($AM$2,0,0,ROW()-1,33),ROW()-1,FALSE))</f>
        <v>4.7459962000000001E-2</v>
      </c>
      <c r="AA343" t="str">
        <f ca="1">IF(AND(ISNUMBER($AA$743),$B$427=1),$AA$743,HLOOKUP(INDIRECT(ADDRESS(2,COLUMN())),OFFSET($AM$2,0,0,ROW()-1,33),ROW()-1,FALSE))</f>
        <v/>
      </c>
      <c r="AB343" t="str">
        <f ca="1">IF(AND(ISNUMBER($AB$743),$B$427=1),$AB$743,HLOOKUP(INDIRECT(ADDRESS(2,COLUMN())),OFFSET($AM$2,0,0,ROW()-1,33),ROW()-1,FALSE))</f>
        <v/>
      </c>
      <c r="AC343" t="str">
        <f ca="1">IF(AND(ISNUMBER($AC$743),$B$427=1),$AC$743,HLOOKUP(INDIRECT(ADDRESS(2,COLUMN())),OFFSET($AM$2,0,0,ROW()-1,33),ROW()-1,FALSE))</f>
        <v/>
      </c>
      <c r="AD343" t="str">
        <f ca="1">IF(AND(ISNUMBER($AD$743),$B$427=1),$AD$743,HLOOKUP(INDIRECT(ADDRESS(2,COLUMN())),OFFSET($AM$2,0,0,ROW()-1,33),ROW()-1,FALSE))</f>
        <v/>
      </c>
      <c r="AE343" t="str">
        <f ca="1">IF(AND(ISNUMBER($AE$743),$B$427=1),$AE$743,HLOOKUP(INDIRECT(ADDRESS(2,COLUMN())),OFFSET($AM$2,0,0,ROW()-1,33),ROW()-1,FALSE))</f>
        <v/>
      </c>
      <c r="AF343" t="str">
        <f ca="1">IF(AND(ISNUMBER($AF$743),$B$427=1),$AF$743,HLOOKUP(INDIRECT(ADDRESS(2,COLUMN())),OFFSET($AM$2,0,0,ROW()-1,33),ROW()-1,FALSE))</f>
        <v/>
      </c>
      <c r="AG343" t="str">
        <f ca="1">IF(AND(ISNUMBER($AG$743),$B$427=1),$AG$743,HLOOKUP(INDIRECT(ADDRESS(2,COLUMN())),OFFSET($AM$2,0,0,ROW()-1,33),ROW()-1,FALSE))</f>
        <v/>
      </c>
      <c r="AH343" t="str">
        <f ca="1">IF(AND(ISNUMBER($AH$743),$B$427=1),$AH$743,HLOOKUP(INDIRECT(ADDRESS(2,COLUMN())),OFFSET($AM$2,0,0,ROW()-1,33),ROW()-1,FALSE))</f>
        <v/>
      </c>
      <c r="AI343" t="str">
        <f ca="1">IF(AND(ISNUMBER($AI$743),$B$427=1),$AI$743,HLOOKUP(INDIRECT(ADDRESS(2,COLUMN())),OFFSET($AM$2,0,0,ROW()-1,33),ROW()-1,FALSE))</f>
        <v/>
      </c>
      <c r="AJ343" t="str">
        <f ca="1">IF(AND(ISNUMBER($AJ$743),$B$427=1),$AJ$743,HLOOKUP(INDIRECT(ADDRESS(2,COLUMN())),OFFSET($AM$2,0,0,ROW()-1,33),ROW()-1,FALSE))</f>
        <v/>
      </c>
      <c r="AK343" t="str">
        <f ca="1">IF(AND(ISNUMBER($AK$743),$B$427=1),$AK$743,HLOOKUP(INDIRECT(ADDRESS(2,COLUMN())),OFFSET($AM$2,0,0,ROW()-1,33),ROW()-1,FALSE))</f>
        <v/>
      </c>
      <c r="AL343" t="str">
        <f ca="1">IF(AND(ISNUMBER($AL$743),$B$427=1),$AL$743,HLOOKUP(INDIRECT(ADDRESS(2,COLUMN())),OFFSET($AM$2,0,0,ROW()-1,33),ROW()-1,FALSE))</f>
        <v/>
      </c>
      <c r="AM343" t="str">
        <f>""</f>
        <v/>
      </c>
      <c r="AN343">
        <f>0</f>
        <v>0</v>
      </c>
      <c r="AO343">
        <f>0</f>
        <v>0</v>
      </c>
      <c r="AP343">
        <f>0</f>
        <v>0</v>
      </c>
      <c r="AQ343">
        <f>0</f>
        <v>0</v>
      </c>
      <c r="AR343">
        <f>0</f>
        <v>0</v>
      </c>
      <c r="AS343">
        <f>0</f>
        <v>0</v>
      </c>
      <c r="AT343">
        <f>0.000169374</f>
        <v>1.6937399999999999E-4</v>
      </c>
      <c r="AU343">
        <f>0.002171693</f>
        <v>2.1716930000000001E-3</v>
      </c>
      <c r="AV343">
        <f>0.005605918</f>
        <v>5.6059179999999997E-3</v>
      </c>
      <c r="AW343">
        <f>0</f>
        <v>0</v>
      </c>
      <c r="AX343">
        <f>0</f>
        <v>0</v>
      </c>
      <c r="AY343">
        <f>0</f>
        <v>0</v>
      </c>
      <c r="AZ343">
        <f>0</f>
        <v>0</v>
      </c>
      <c r="BA343">
        <f>0</f>
        <v>0</v>
      </c>
      <c r="BB343">
        <f>0</f>
        <v>0</v>
      </c>
      <c r="BC343">
        <f>0.147145564</f>
        <v>0.14714556400000001</v>
      </c>
      <c r="BD343">
        <f>0.207194979</f>
        <v>0.207194979</v>
      </c>
      <c r="BE343">
        <f>0.183742711</f>
        <v>0.183742711</v>
      </c>
      <c r="BF343">
        <f>0.11957463</f>
        <v>0.11957463</v>
      </c>
      <c r="BG343">
        <f>0.047459962</f>
        <v>4.7459962000000001E-2</v>
      </c>
      <c r="BH343" t="str">
        <f>""</f>
        <v/>
      </c>
      <c r="BI343" t="str">
        <f>""</f>
        <v/>
      </c>
      <c r="BJ343" t="str">
        <f>""</f>
        <v/>
      </c>
      <c r="BK343" t="str">
        <f>""</f>
        <v/>
      </c>
      <c r="BL343" t="str">
        <f>""</f>
        <v/>
      </c>
      <c r="BM343" t="str">
        <f>""</f>
        <v/>
      </c>
      <c r="BN343" t="str">
        <f>""</f>
        <v/>
      </c>
      <c r="BO343" t="str">
        <f>""</f>
        <v/>
      </c>
      <c r="BP343" t="str">
        <f>""</f>
        <v/>
      </c>
      <c r="BQ343" t="str">
        <f>""</f>
        <v/>
      </c>
      <c r="BR343" t="str">
        <f>""</f>
        <v/>
      </c>
      <c r="BS343" t="str">
        <f>""</f>
        <v/>
      </c>
    </row>
    <row r="344" spans="1:71" x14ac:dyDescent="0.25">
      <c r="A344" t="str">
        <f>"        Truist Financial Corp"</f>
        <v xml:space="preserve">        Truist Financial Corp</v>
      </c>
      <c r="B344" t="str">
        <f>"TFC US Equity"</f>
        <v>TFC US Equity</v>
      </c>
      <c r="C344" t="str">
        <f t="shared" si="45"/>
        <v>F0125</v>
      </c>
      <c r="D344" t="str">
        <f t="shared" si="46"/>
        <v>FED_US_BANK_LOANS_%_TOT_LNS_LEAS</v>
      </c>
      <c r="E344" t="str">
        <f t="shared" si="47"/>
        <v>Dynamic</v>
      </c>
      <c r="F344">
        <f ca="1">IF(AND(ISNUMBER($F$744),$B$427=1),$F$744,HLOOKUP(INDIRECT(ADDRESS(2,COLUMN())),OFFSET($AM$2,0,0,ROW()-1,33),ROW()-1,FALSE))</f>
        <v>0</v>
      </c>
      <c r="G344">
        <f ca="1">IF(AND(ISNUMBER($G$744),$B$427=1),$G$744,HLOOKUP(INDIRECT(ADDRESS(2,COLUMN())),OFFSET($AM$2,0,0,ROW()-1,33),ROW()-1,FALSE))</f>
        <v>0</v>
      </c>
      <c r="H344">
        <f ca="1">IF(AND(ISNUMBER($H$744),$B$427=1),$H$744,HLOOKUP(INDIRECT(ADDRESS(2,COLUMN())),OFFSET($AM$2,0,0,ROW()-1,33),ROW()-1,FALSE))</f>
        <v>0</v>
      </c>
      <c r="I344">
        <f ca="1">IF(AND(ISNUMBER($I$744),$B$427=1),$I$744,HLOOKUP(INDIRECT(ADDRESS(2,COLUMN())),OFFSET($AM$2,0,0,ROW()-1,33),ROW()-1,FALSE))</f>
        <v>0</v>
      </c>
      <c r="J344">
        <f ca="1">IF(AND(ISNUMBER($J$744),$B$427=1),$J$744,HLOOKUP(INDIRECT(ADDRESS(2,COLUMN())),OFFSET($AM$2,0,0,ROW()-1,33),ROW()-1,FALSE))</f>
        <v>3.2701900000000001E-4</v>
      </c>
      <c r="K344">
        <f ca="1">IF(AND(ISNUMBER($K$744),$B$427=1),$K$744,HLOOKUP(INDIRECT(ADDRESS(2,COLUMN())),OFFSET($AM$2,0,0,ROW()-1,33),ROW()-1,FALSE))</f>
        <v>3.3418231E-2</v>
      </c>
      <c r="L344">
        <f ca="1">IF(AND(ISNUMBER($L$744),$B$427=1),$L$744,HLOOKUP(INDIRECT(ADDRESS(2,COLUMN())),OFFSET($AM$2,0,0,ROW()-1,33),ROW()-1,FALSE))</f>
        <v>6.6666200000000005E-4</v>
      </c>
      <c r="M344">
        <f ca="1">IF(AND(ISNUMBER($M$744),$B$427=1),$M$744,HLOOKUP(INDIRECT(ADDRESS(2,COLUMN())),OFFSET($AM$2,0,0,ROW()-1,33),ROW()-1,FALSE))</f>
        <v>1.3812150000000001E-3</v>
      </c>
      <c r="N344">
        <f ca="1">IF(AND(ISNUMBER($N$744),$B$427=1),$N$744,HLOOKUP(INDIRECT(ADDRESS(2,COLUMN())),OFFSET($AM$2,0,0,ROW()-1,33),ROW()-1,FALSE))</f>
        <v>5.7295499999999999E-4</v>
      </c>
      <c r="O344">
        <f ca="1">IF(AND(ISNUMBER($O$744),$B$427=1),$O$744,HLOOKUP(INDIRECT(ADDRESS(2,COLUMN())),OFFSET($AM$2,0,0,ROW()-1,33),ROW()-1,FALSE))</f>
        <v>3.3018000000000001E-3</v>
      </c>
      <c r="P344">
        <f ca="1">IF(AND(ISNUMBER($P$744),$B$427=1),$P$744,HLOOKUP(INDIRECT(ADDRESS(2,COLUMN())),OFFSET($AM$2,0,0,ROW()-1,33),ROW()-1,FALSE))</f>
        <v>6.1678159999999996E-3</v>
      </c>
      <c r="Q344">
        <f ca="1">IF(AND(ISNUMBER($Q$744),$B$427=1),$Q$744,HLOOKUP(INDIRECT(ADDRESS(2,COLUMN())),OFFSET($AM$2,0,0,ROW()-1,33),ROW()-1,FALSE))</f>
        <v>1.1715086E-2</v>
      </c>
      <c r="R344">
        <f ca="1">IF(AND(ISNUMBER($R$744),$B$427=1),$R$744,HLOOKUP(INDIRECT(ADDRESS(2,COLUMN())),OFFSET($AM$2,0,0,ROW()-1,33),ROW()-1,FALSE))</f>
        <v>0</v>
      </c>
      <c r="S344">
        <f ca="1">IF(AND(ISNUMBER($S$744),$B$427=1),$S$744,HLOOKUP(INDIRECT(ADDRESS(2,COLUMN())),OFFSET($AM$2,0,0,ROW()-1,33),ROW()-1,FALSE))</f>
        <v>0</v>
      </c>
      <c r="T344">
        <f ca="1">IF(AND(ISNUMBER($T$744),$B$427=1),$T$744,HLOOKUP(INDIRECT(ADDRESS(2,COLUMN())),OFFSET($AM$2,0,0,ROW()-1,33),ROW()-1,FALSE))</f>
        <v>2.5171600000000001E-5</v>
      </c>
      <c r="U344">
        <f ca="1">IF(AND(ISNUMBER($U$744),$B$427=1),$U$744,HLOOKUP(INDIRECT(ADDRESS(2,COLUMN())),OFFSET($AM$2,0,0,ROW()-1,33),ROW()-1,FALSE))</f>
        <v>1.7628716999999999E-2</v>
      </c>
      <c r="V344">
        <f ca="1">IF(AND(ISNUMBER($V$744),$B$427=1),$V$744,HLOOKUP(INDIRECT(ADDRESS(2,COLUMN())),OFFSET($AM$2,0,0,ROW()-1,33),ROW()-1,FALSE))</f>
        <v>1.3542960000000001E-3</v>
      </c>
      <c r="W344">
        <f ca="1">IF(AND(ISNUMBER($W$744),$B$427=1),$W$744,HLOOKUP(INDIRECT(ADDRESS(2,COLUMN())),OFFSET($AM$2,0,0,ROW()-1,33),ROW()-1,FALSE))</f>
        <v>6.9746469999999996E-3</v>
      </c>
      <c r="X344">
        <f ca="1">IF(AND(ISNUMBER($X$744),$B$427=1),$X$744,HLOOKUP(INDIRECT(ADDRESS(2,COLUMN())),OFFSET($AM$2,0,0,ROW()-1,33),ROW()-1,FALSE))</f>
        <v>9.8395949999999996E-3</v>
      </c>
      <c r="Y344">
        <f ca="1">IF(AND(ISNUMBER($Y$744),$B$427=1),$Y$744,HLOOKUP(INDIRECT(ADDRESS(2,COLUMN())),OFFSET($AM$2,0,0,ROW()-1,33),ROW()-1,FALSE))</f>
        <v>1.1998949E-2</v>
      </c>
      <c r="Z344">
        <f ca="1">IF(AND(ISNUMBER($Z$744),$B$427=1),$Z$744,HLOOKUP(INDIRECT(ADDRESS(2,COLUMN())),OFFSET($AM$2,0,0,ROW()-1,33),ROW()-1,FALSE))</f>
        <v>1.4536801E-2</v>
      </c>
      <c r="AA344">
        <f ca="1">IF(AND(ISNUMBER($AA$744),$B$427=1),$AA$744,HLOOKUP(INDIRECT(ADDRESS(2,COLUMN())),OFFSET($AM$2,0,0,ROW()-1,33),ROW()-1,FALSE))</f>
        <v>5.5759131000000003E-2</v>
      </c>
      <c r="AB344">
        <f ca="1">IF(AND(ISNUMBER($AB$744),$B$427=1),$AB$744,HLOOKUP(INDIRECT(ADDRESS(2,COLUMN())),OFFSET($AM$2,0,0,ROW()-1,33),ROW()-1,FALSE))</f>
        <v>9.7065769999999996E-2</v>
      </c>
      <c r="AC344">
        <f ca="1">IF(AND(ISNUMBER($AC$744),$B$427=1),$AC$744,HLOOKUP(INDIRECT(ADDRESS(2,COLUMN())),OFFSET($AM$2,0,0,ROW()-1,33),ROW()-1,FALSE))</f>
        <v>6.7932352000000001E-2</v>
      </c>
      <c r="AD344" t="str">
        <f ca="1">IF(AND(ISNUMBER($AD$744),$B$427=1),$AD$744,HLOOKUP(INDIRECT(ADDRESS(2,COLUMN())),OFFSET($AM$2,0,0,ROW()-1,33),ROW()-1,FALSE))</f>
        <v/>
      </c>
      <c r="AE344" t="str">
        <f ca="1">IF(AND(ISNUMBER($AE$744),$B$427=1),$AE$744,HLOOKUP(INDIRECT(ADDRESS(2,COLUMN())),OFFSET($AM$2,0,0,ROW()-1,33),ROW()-1,FALSE))</f>
        <v/>
      </c>
      <c r="AF344" t="str">
        <f ca="1">IF(AND(ISNUMBER($AF$744),$B$427=1),$AF$744,HLOOKUP(INDIRECT(ADDRESS(2,COLUMN())),OFFSET($AM$2,0,0,ROW()-1,33),ROW()-1,FALSE))</f>
        <v/>
      </c>
      <c r="AG344" t="str">
        <f ca="1">IF(AND(ISNUMBER($AG$744),$B$427=1),$AG$744,HLOOKUP(INDIRECT(ADDRESS(2,COLUMN())),OFFSET($AM$2,0,0,ROW()-1,33),ROW()-1,FALSE))</f>
        <v/>
      </c>
      <c r="AH344" t="str">
        <f ca="1">IF(AND(ISNUMBER($AH$744),$B$427=1),$AH$744,HLOOKUP(INDIRECT(ADDRESS(2,COLUMN())),OFFSET($AM$2,0,0,ROW()-1,33),ROW()-1,FALSE))</f>
        <v/>
      </c>
      <c r="AI344" t="str">
        <f ca="1">IF(AND(ISNUMBER($AI$744),$B$427=1),$AI$744,HLOOKUP(INDIRECT(ADDRESS(2,COLUMN())),OFFSET($AM$2,0,0,ROW()-1,33),ROW()-1,FALSE))</f>
        <v/>
      </c>
      <c r="AJ344" t="str">
        <f ca="1">IF(AND(ISNUMBER($AJ$744),$B$427=1),$AJ$744,HLOOKUP(INDIRECT(ADDRESS(2,COLUMN())),OFFSET($AM$2,0,0,ROW()-1,33),ROW()-1,FALSE))</f>
        <v/>
      </c>
      <c r="AK344" t="str">
        <f ca="1">IF(AND(ISNUMBER($AK$744),$B$427=1),$AK$744,HLOOKUP(INDIRECT(ADDRESS(2,COLUMN())),OFFSET($AM$2,0,0,ROW()-1,33),ROW()-1,FALSE))</f>
        <v/>
      </c>
      <c r="AL344" t="str">
        <f ca="1">IF(AND(ISNUMBER($AL$744),$B$427=1),$AL$744,HLOOKUP(INDIRECT(ADDRESS(2,COLUMN())),OFFSET($AM$2,0,0,ROW()-1,33),ROW()-1,FALSE))</f>
        <v/>
      </c>
      <c r="AM344">
        <f>0</f>
        <v>0</v>
      </c>
      <c r="AN344">
        <f>0</f>
        <v>0</v>
      </c>
      <c r="AO344">
        <f>0</f>
        <v>0</v>
      </c>
      <c r="AP344">
        <f>0</f>
        <v>0</v>
      </c>
      <c r="AQ344">
        <f>0.000327019</f>
        <v>3.2701900000000001E-4</v>
      </c>
      <c r="AR344">
        <f>0.033418231</f>
        <v>3.3418231E-2</v>
      </c>
      <c r="AS344">
        <f>0.000666662</f>
        <v>6.6666200000000005E-4</v>
      </c>
      <c r="AT344">
        <f>0.001381215</f>
        <v>1.3812150000000001E-3</v>
      </c>
      <c r="AU344">
        <f>0.000572955</f>
        <v>5.7295499999999999E-4</v>
      </c>
      <c r="AV344">
        <f>0.0033018</f>
        <v>3.3018000000000001E-3</v>
      </c>
      <c r="AW344">
        <f>0.006167816</f>
        <v>6.1678159999999996E-3</v>
      </c>
      <c r="AX344">
        <f>0.011715086</f>
        <v>1.1715086E-2</v>
      </c>
      <c r="AY344">
        <f>0</f>
        <v>0</v>
      </c>
      <c r="AZ344">
        <f>0</f>
        <v>0</v>
      </c>
      <c r="BA344">
        <f>0.0000251716</f>
        <v>2.5171600000000001E-5</v>
      </c>
      <c r="BB344">
        <f>0.017628717</f>
        <v>1.7628716999999999E-2</v>
      </c>
      <c r="BC344">
        <f>0.001354296</f>
        <v>1.3542960000000001E-3</v>
      </c>
      <c r="BD344">
        <f>0.006974647</f>
        <v>6.9746469999999996E-3</v>
      </c>
      <c r="BE344">
        <f>0.009839595</f>
        <v>9.8395949999999996E-3</v>
      </c>
      <c r="BF344">
        <f>0.011998949</f>
        <v>1.1998949E-2</v>
      </c>
      <c r="BG344">
        <f>0.014536801</f>
        <v>1.4536801E-2</v>
      </c>
      <c r="BH344">
        <f>0.055759131</f>
        <v>5.5759131000000003E-2</v>
      </c>
      <c r="BI344">
        <f>0.09706577</f>
        <v>9.7065769999999996E-2</v>
      </c>
      <c r="BJ344">
        <f>0.067932352</f>
        <v>6.7932352000000001E-2</v>
      </c>
      <c r="BK344" t="str">
        <f>""</f>
        <v/>
      </c>
      <c r="BL344" t="str">
        <f>""</f>
        <v/>
      </c>
      <c r="BM344" t="str">
        <f>""</f>
        <v/>
      </c>
      <c r="BN344" t="str">
        <f>""</f>
        <v/>
      </c>
      <c r="BO344" t="str">
        <f>""</f>
        <v/>
      </c>
      <c r="BP344" t="str">
        <f>""</f>
        <v/>
      </c>
      <c r="BQ344" t="str">
        <f>""</f>
        <v/>
      </c>
      <c r="BR344" t="str">
        <f>""</f>
        <v/>
      </c>
      <c r="BS344" t="str">
        <f>""</f>
        <v/>
      </c>
    </row>
    <row r="345" spans="1:71" x14ac:dyDescent="0.25">
      <c r="A345" t="str">
        <f>"        US Bancorp"</f>
        <v xml:space="preserve">        US Bancorp</v>
      </c>
      <c r="B345" t="str">
        <f>"USB US Equity"</f>
        <v>USB US Equity</v>
      </c>
      <c r="C345" t="str">
        <f t="shared" si="45"/>
        <v>F0125</v>
      </c>
      <c r="D345" t="str">
        <f t="shared" si="46"/>
        <v>FED_US_BANK_LOANS_%_TOT_LNS_LEAS</v>
      </c>
      <c r="E345" t="str">
        <f t="shared" si="47"/>
        <v>Dynamic</v>
      </c>
      <c r="F345">
        <f ca="1">IF(AND(ISNUMBER($F$745),$B$427=1),$F$745,HLOOKUP(INDIRECT(ADDRESS(2,COLUMN())),OFFSET($AM$2,0,0,ROW()-1,33),ROW()-1,FALSE))</f>
        <v>1.4905663E-2</v>
      </c>
      <c r="G345">
        <f ca="1">IF(AND(ISNUMBER($G$745),$B$427=1),$G$745,HLOOKUP(INDIRECT(ADDRESS(2,COLUMN())),OFFSET($AM$2,0,0,ROW()-1,33),ROW()-1,FALSE))</f>
        <v>2.1008626999999998E-2</v>
      </c>
      <c r="H345">
        <f ca="1">IF(AND(ISNUMBER($H$745),$B$427=1),$H$745,HLOOKUP(INDIRECT(ADDRESS(2,COLUMN())),OFFSET($AM$2,0,0,ROW()-1,33),ROW()-1,FALSE))</f>
        <v>2.0234981999999999E-2</v>
      </c>
      <c r="I345">
        <f ca="1">IF(AND(ISNUMBER($I$745),$B$427=1),$I$745,HLOOKUP(INDIRECT(ADDRESS(2,COLUMN())),OFFSET($AM$2,0,0,ROW()-1,33),ROW()-1,FALSE))</f>
        <v>1.8761549999999998E-2</v>
      </c>
      <c r="J345">
        <f ca="1">IF(AND(ISNUMBER($J$745),$B$427=1),$J$745,HLOOKUP(INDIRECT(ADDRESS(2,COLUMN())),OFFSET($AM$2,0,0,ROW()-1,33),ROW()-1,FALSE))</f>
        <v>1.7946409E-2</v>
      </c>
      <c r="K345">
        <f ca="1">IF(AND(ISNUMBER($K$745),$B$427=1),$K$745,HLOOKUP(INDIRECT(ADDRESS(2,COLUMN())),OFFSET($AM$2,0,0,ROW()-1,33),ROW()-1,FALSE))</f>
        <v>2.1877486000000002E-2</v>
      </c>
      <c r="L345">
        <f ca="1">IF(AND(ISNUMBER($L$745),$B$427=1),$L$745,HLOOKUP(INDIRECT(ADDRESS(2,COLUMN())),OFFSET($AM$2,0,0,ROW()-1,33),ROW()-1,FALSE))</f>
        <v>2.5971866999999999E-2</v>
      </c>
      <c r="M345">
        <f ca="1">IF(AND(ISNUMBER($M$745),$B$427=1),$M$745,HLOOKUP(INDIRECT(ADDRESS(2,COLUMN())),OFFSET($AM$2,0,0,ROW()-1,33),ROW()-1,FALSE))</f>
        <v>1.5524224999999999E-2</v>
      </c>
      <c r="N345">
        <f ca="1">IF(AND(ISNUMBER($N$745),$B$427=1),$N$745,HLOOKUP(INDIRECT(ADDRESS(2,COLUMN())),OFFSET($AM$2,0,0,ROW()-1,33),ROW()-1,FALSE))</f>
        <v>3.7514113000000002E-2</v>
      </c>
      <c r="O345">
        <f ca="1">IF(AND(ISNUMBER($O$745),$B$427=1),$O$745,HLOOKUP(INDIRECT(ADDRESS(2,COLUMN())),OFFSET($AM$2,0,0,ROW()-1,33),ROW()-1,FALSE))</f>
        <v>1.8250881E-2</v>
      </c>
      <c r="P345">
        <f ca="1">IF(AND(ISNUMBER($P$745),$B$427=1),$P$745,HLOOKUP(INDIRECT(ADDRESS(2,COLUMN())),OFFSET($AM$2,0,0,ROW()-1,33),ROW()-1,FALSE))</f>
        <v>8.1918972000000007E-2</v>
      </c>
      <c r="Q345">
        <f ca="1">IF(AND(ISNUMBER($Q$745),$B$427=1),$Q$745,HLOOKUP(INDIRECT(ADDRESS(2,COLUMN())),OFFSET($AM$2,0,0,ROW()-1,33),ROW()-1,FALSE))</f>
        <v>0.154071498</v>
      </c>
      <c r="R345">
        <f ca="1">IF(AND(ISNUMBER($R$745),$B$427=1),$R$745,HLOOKUP(INDIRECT(ADDRESS(2,COLUMN())),OFFSET($AM$2,0,0,ROW()-1,33),ROW()-1,FALSE))</f>
        <v>0.21388979499999999</v>
      </c>
      <c r="S345">
        <f ca="1">IF(AND(ISNUMBER($S$745),$B$427=1),$S$745,HLOOKUP(INDIRECT(ADDRESS(2,COLUMN())),OFFSET($AM$2,0,0,ROW()-1,33),ROW()-1,FALSE))</f>
        <v>0.23686848699999999</v>
      </c>
      <c r="T345">
        <f ca="1">IF(AND(ISNUMBER($T$745),$B$427=1),$T$745,HLOOKUP(INDIRECT(ADDRESS(2,COLUMN())),OFFSET($AM$2,0,0,ROW()-1,33),ROW()-1,FALSE))</f>
        <v>0.35294989999999998</v>
      </c>
      <c r="U345">
        <f ca="1">IF(AND(ISNUMBER($U$745),$B$427=1),$U$745,HLOOKUP(INDIRECT(ADDRESS(2,COLUMN())),OFFSET($AM$2,0,0,ROW()-1,33),ROW()-1,FALSE))</f>
        <v>0.32176096500000001</v>
      </c>
      <c r="V345">
        <f ca="1">IF(AND(ISNUMBER($V$745),$B$427=1),$V$745,HLOOKUP(INDIRECT(ADDRESS(2,COLUMN())),OFFSET($AM$2,0,0,ROW()-1,33),ROW()-1,FALSE))</f>
        <v>0.42197008000000003</v>
      </c>
      <c r="W345">
        <f ca="1">IF(AND(ISNUMBER($W$745),$B$427=1),$W$745,HLOOKUP(INDIRECT(ADDRESS(2,COLUMN())),OFFSET($AM$2,0,0,ROW()-1,33),ROW()-1,FALSE))</f>
        <v>0.49355168100000002</v>
      </c>
      <c r="X345">
        <f ca="1">IF(AND(ISNUMBER($X$745),$B$427=1),$X$745,HLOOKUP(INDIRECT(ADDRESS(2,COLUMN())),OFFSET($AM$2,0,0,ROW()-1,33),ROW()-1,FALSE))</f>
        <v>0.410614696</v>
      </c>
      <c r="Y345">
        <f ca="1">IF(AND(ISNUMBER($Y$745),$B$427=1),$Y$745,HLOOKUP(INDIRECT(ADDRESS(2,COLUMN())),OFFSET($AM$2,0,0,ROW()-1,33),ROW()-1,FALSE))</f>
        <v>0.29894187500000002</v>
      </c>
      <c r="Z345">
        <f ca="1">IF(AND(ISNUMBER($Z$745),$B$427=1),$Z$745,HLOOKUP(INDIRECT(ADDRESS(2,COLUMN())),OFFSET($AM$2,0,0,ROW()-1,33),ROW()-1,FALSE))</f>
        <v>0.244219359</v>
      </c>
      <c r="AA345">
        <f ca="1">IF(AND(ISNUMBER($AA$745),$B$427=1),$AA$745,HLOOKUP(INDIRECT(ADDRESS(2,COLUMN())),OFFSET($AM$2,0,0,ROW()-1,33),ROW()-1,FALSE))</f>
        <v>0.20222615899999999</v>
      </c>
      <c r="AB345">
        <f ca="1">IF(AND(ISNUMBER($AB$745),$B$427=1),$AB$745,HLOOKUP(INDIRECT(ADDRESS(2,COLUMN())),OFFSET($AM$2,0,0,ROW()-1,33),ROW()-1,FALSE))</f>
        <v>0.19184453100000001</v>
      </c>
      <c r="AC345">
        <f ca="1">IF(AND(ISNUMBER($AC$745),$B$427=1),$AC$745,HLOOKUP(INDIRECT(ADDRESS(2,COLUMN())),OFFSET($AM$2,0,0,ROW()-1,33),ROW()-1,FALSE))</f>
        <v>7.6775432000000005E-2</v>
      </c>
      <c r="AD345" t="str">
        <f ca="1">IF(AND(ISNUMBER($AD$745),$B$427=1),$AD$745,HLOOKUP(INDIRECT(ADDRESS(2,COLUMN())),OFFSET($AM$2,0,0,ROW()-1,33),ROW()-1,FALSE))</f>
        <v/>
      </c>
      <c r="AE345" t="str">
        <f ca="1">IF(AND(ISNUMBER($AE$745),$B$427=1),$AE$745,HLOOKUP(INDIRECT(ADDRESS(2,COLUMN())),OFFSET($AM$2,0,0,ROW()-1,33),ROW()-1,FALSE))</f>
        <v/>
      </c>
      <c r="AF345" t="str">
        <f ca="1">IF(AND(ISNUMBER($AF$745),$B$427=1),$AF$745,HLOOKUP(INDIRECT(ADDRESS(2,COLUMN())),OFFSET($AM$2,0,0,ROW()-1,33),ROW()-1,FALSE))</f>
        <v/>
      </c>
      <c r="AG345" t="str">
        <f ca="1">IF(AND(ISNUMBER($AG$745),$B$427=1),$AG$745,HLOOKUP(INDIRECT(ADDRESS(2,COLUMN())),OFFSET($AM$2,0,0,ROW()-1,33),ROW()-1,FALSE))</f>
        <v/>
      </c>
      <c r="AH345" t="str">
        <f ca="1">IF(AND(ISNUMBER($AH$745),$B$427=1),$AH$745,HLOOKUP(INDIRECT(ADDRESS(2,COLUMN())),OFFSET($AM$2,0,0,ROW()-1,33),ROW()-1,FALSE))</f>
        <v/>
      </c>
      <c r="AI345" t="str">
        <f ca="1">IF(AND(ISNUMBER($AI$745),$B$427=1),$AI$745,HLOOKUP(INDIRECT(ADDRESS(2,COLUMN())),OFFSET($AM$2,0,0,ROW()-1,33),ROW()-1,FALSE))</f>
        <v/>
      </c>
      <c r="AJ345" t="str">
        <f ca="1">IF(AND(ISNUMBER($AJ$745),$B$427=1),$AJ$745,HLOOKUP(INDIRECT(ADDRESS(2,COLUMN())),OFFSET($AM$2,0,0,ROW()-1,33),ROW()-1,FALSE))</f>
        <v/>
      </c>
      <c r="AK345" t="str">
        <f ca="1">IF(AND(ISNUMBER($AK$745),$B$427=1),$AK$745,HLOOKUP(INDIRECT(ADDRESS(2,COLUMN())),OFFSET($AM$2,0,0,ROW()-1,33),ROW()-1,FALSE))</f>
        <v/>
      </c>
      <c r="AL345" t="str">
        <f ca="1">IF(AND(ISNUMBER($AL$745),$B$427=1),$AL$745,HLOOKUP(INDIRECT(ADDRESS(2,COLUMN())),OFFSET($AM$2,0,0,ROW()-1,33),ROW()-1,FALSE))</f>
        <v/>
      </c>
      <c r="AM345">
        <f>0.014905663</f>
        <v>1.4905663E-2</v>
      </c>
      <c r="AN345">
        <f>0.021008627</f>
        <v>2.1008626999999998E-2</v>
      </c>
      <c r="AO345">
        <f>0.020234982</f>
        <v>2.0234981999999999E-2</v>
      </c>
      <c r="AP345">
        <f>0.01876155</f>
        <v>1.8761549999999998E-2</v>
      </c>
      <c r="AQ345">
        <f>0.017946409</f>
        <v>1.7946409E-2</v>
      </c>
      <c r="AR345">
        <f>0.021877486</f>
        <v>2.1877486000000002E-2</v>
      </c>
      <c r="AS345">
        <f>0.025971867</f>
        <v>2.5971866999999999E-2</v>
      </c>
      <c r="AT345">
        <f>0.015524225</f>
        <v>1.5524224999999999E-2</v>
      </c>
      <c r="AU345">
        <f>0.037514113</f>
        <v>3.7514113000000002E-2</v>
      </c>
      <c r="AV345">
        <f>0.018250881</f>
        <v>1.8250881E-2</v>
      </c>
      <c r="AW345">
        <f>0.081918972</f>
        <v>8.1918972000000007E-2</v>
      </c>
      <c r="AX345">
        <f>0.154071498</f>
        <v>0.154071498</v>
      </c>
      <c r="AY345">
        <f>0.213889795</f>
        <v>0.21388979499999999</v>
      </c>
      <c r="AZ345">
        <f>0.236868487</f>
        <v>0.23686848699999999</v>
      </c>
      <c r="BA345">
        <f>0.3529499</f>
        <v>0.35294989999999998</v>
      </c>
      <c r="BB345">
        <f>0.321760965</f>
        <v>0.32176096500000001</v>
      </c>
      <c r="BC345">
        <f>0.42197008</f>
        <v>0.42197008000000003</v>
      </c>
      <c r="BD345">
        <f>0.493551681</f>
        <v>0.49355168100000002</v>
      </c>
      <c r="BE345">
        <f>0.410614696</f>
        <v>0.410614696</v>
      </c>
      <c r="BF345">
        <f>0.298941875</f>
        <v>0.29894187500000002</v>
      </c>
      <c r="BG345">
        <f>0.244219359</f>
        <v>0.244219359</v>
      </c>
      <c r="BH345">
        <f>0.202226159</f>
        <v>0.20222615899999999</v>
      </c>
      <c r="BI345">
        <f>0.191844531</f>
        <v>0.19184453100000001</v>
      </c>
      <c r="BJ345">
        <f>0.076775432</f>
        <v>7.6775432000000005E-2</v>
      </c>
      <c r="BK345" t="str">
        <f>""</f>
        <v/>
      </c>
      <c r="BL345" t="str">
        <f>""</f>
        <v/>
      </c>
      <c r="BM345" t="str">
        <f>""</f>
        <v/>
      </c>
      <c r="BN345" t="str">
        <f>""</f>
        <v/>
      </c>
      <c r="BO345" t="str">
        <f>""</f>
        <v/>
      </c>
      <c r="BP345" t="str">
        <f>""</f>
        <v/>
      </c>
      <c r="BQ345" t="str">
        <f>""</f>
        <v/>
      </c>
      <c r="BR345" t="str">
        <f>""</f>
        <v/>
      </c>
      <c r="BS345" t="str">
        <f>""</f>
        <v/>
      </c>
    </row>
    <row r="346" spans="1:71" x14ac:dyDescent="0.25">
      <c r="A346" t="str">
        <f>"        Wells Fargo &amp; Co"</f>
        <v xml:space="preserve">        Wells Fargo &amp; Co</v>
      </c>
      <c r="B346" t="str">
        <f>"WFC US Equity"</f>
        <v>WFC US Equity</v>
      </c>
      <c r="C346" t="str">
        <f t="shared" si="45"/>
        <v>F0125</v>
      </c>
      <c r="D346" t="str">
        <f t="shared" si="46"/>
        <v>FED_US_BANK_LOANS_%_TOT_LNS_LEAS</v>
      </c>
      <c r="E346" t="str">
        <f t="shared" si="47"/>
        <v>Dynamic</v>
      </c>
      <c r="F346">
        <f ca="1">IF(AND(ISNUMBER($F$746),$B$427=1),$F$746,HLOOKUP(INDIRECT(ADDRESS(2,COLUMN())),OFFSET($AM$2,0,0,ROW()-1,33),ROW()-1,FALSE))</f>
        <v>2.3158819000000001E-2</v>
      </c>
      <c r="G346">
        <f ca="1">IF(AND(ISNUMBER($G$746),$B$427=1),$G$746,HLOOKUP(INDIRECT(ADDRESS(2,COLUMN())),OFFSET($AM$2,0,0,ROW()-1,33),ROW()-1,FALSE))</f>
        <v>5.9585560000000003E-3</v>
      </c>
      <c r="H346">
        <f ca="1">IF(AND(ISNUMBER($H$746),$B$427=1),$H$746,HLOOKUP(INDIRECT(ADDRESS(2,COLUMN())),OFFSET($AM$2,0,0,ROW()-1,33),ROW()-1,FALSE))</f>
        <v>6.344194E-3</v>
      </c>
      <c r="I346">
        <f ca="1">IF(AND(ISNUMBER($I$746),$B$427=1),$I$746,HLOOKUP(INDIRECT(ADDRESS(2,COLUMN())),OFFSET($AM$2,0,0,ROW()-1,33),ROW()-1,FALSE))</f>
        <v>2.4904368999999999E-2</v>
      </c>
      <c r="J346">
        <f ca="1">IF(AND(ISNUMBER($J$746),$B$427=1),$J$746,HLOOKUP(INDIRECT(ADDRESS(2,COLUMN())),OFFSET($AM$2,0,0,ROW()-1,33),ROW()-1,FALSE))</f>
        <v>3.4579789999999999E-3</v>
      </c>
      <c r="K346">
        <f ca="1">IF(AND(ISNUMBER($K$746),$B$427=1),$K$746,HLOOKUP(INDIRECT(ADDRESS(2,COLUMN())),OFFSET($AM$2,0,0,ROW()-1,33),ROW()-1,FALSE))</f>
        <v>3.3578290000000001E-3</v>
      </c>
      <c r="L346">
        <f ca="1">IF(AND(ISNUMBER($L$746),$B$427=1),$L$746,HLOOKUP(INDIRECT(ADDRESS(2,COLUMN())),OFFSET($AM$2,0,0,ROW()-1,33),ROW()-1,FALSE))</f>
        <v>5.3894720000000002E-3</v>
      </c>
      <c r="M346">
        <f ca="1">IF(AND(ISNUMBER($M$746),$B$427=1),$M$746,HLOOKUP(INDIRECT(ADDRESS(2,COLUMN())),OFFSET($AM$2,0,0,ROW()-1,33),ROW()-1,FALSE))</f>
        <v>4.11168E-4</v>
      </c>
      <c r="N346">
        <f ca="1">IF(AND(ISNUMBER($N$746),$B$427=1),$N$746,HLOOKUP(INDIRECT(ADDRESS(2,COLUMN())),OFFSET($AM$2,0,0,ROW()-1,33),ROW()-1,FALSE))</f>
        <v>3.0340599999999999E-4</v>
      </c>
      <c r="O346">
        <f ca="1">IF(AND(ISNUMBER($O$746),$B$427=1),$O$746,HLOOKUP(INDIRECT(ADDRESS(2,COLUMN())),OFFSET($AM$2,0,0,ROW()-1,33),ROW()-1,FALSE))</f>
        <v>6.5456400000000001E-3</v>
      </c>
      <c r="P346">
        <f ca="1">IF(AND(ISNUMBER($P$746),$B$427=1),$P$746,HLOOKUP(INDIRECT(ADDRESS(2,COLUMN())),OFFSET($AM$2,0,0,ROW()-1,33),ROW()-1,FALSE))</f>
        <v>2.3918099999999999E-3</v>
      </c>
      <c r="Q346">
        <f ca="1">IF(AND(ISNUMBER($Q$746),$B$427=1),$Q$746,HLOOKUP(INDIRECT(ADDRESS(2,COLUMN())),OFFSET($AM$2,0,0,ROW()-1,33),ROW()-1,FALSE))</f>
        <v>4.0476770000000004E-3</v>
      </c>
      <c r="R346">
        <f ca="1">IF(AND(ISNUMBER($R$746),$B$427=1),$R$746,HLOOKUP(INDIRECT(ADDRESS(2,COLUMN())),OFFSET($AM$2,0,0,ROW()-1,33),ROW()-1,FALSE))</f>
        <v>3.5871499000000001E-2</v>
      </c>
      <c r="S346">
        <f ca="1">IF(AND(ISNUMBER($S$746),$B$427=1),$S$746,HLOOKUP(INDIRECT(ADDRESS(2,COLUMN())),OFFSET($AM$2,0,0,ROW()-1,33),ROW()-1,FALSE))</f>
        <v>5.4434986999999997E-2</v>
      </c>
      <c r="T346">
        <f ca="1">IF(AND(ISNUMBER($T$746),$B$427=1),$T$746,HLOOKUP(INDIRECT(ADDRESS(2,COLUMN())),OFFSET($AM$2,0,0,ROW()-1,33),ROW()-1,FALSE))</f>
        <v>0.17120248499999999</v>
      </c>
      <c r="U346">
        <f ca="1">IF(AND(ISNUMBER($U$746),$B$427=1),$U$746,HLOOKUP(INDIRECT(ADDRESS(2,COLUMN())),OFFSET($AM$2,0,0,ROW()-1,33),ROW()-1,FALSE))</f>
        <v>5.570344E-2</v>
      </c>
      <c r="V346">
        <f ca="1">IF(AND(ISNUMBER($V$746),$B$427=1),$V$746,HLOOKUP(INDIRECT(ADDRESS(2,COLUMN())),OFFSET($AM$2,0,0,ROW()-1,33),ROW()-1,FALSE))</f>
        <v>6.8113776000000001E-2</v>
      </c>
      <c r="W346">
        <f ca="1">IF(AND(ISNUMBER($W$746),$B$427=1),$W$746,HLOOKUP(INDIRECT(ADDRESS(2,COLUMN())),OFFSET($AM$2,0,0,ROW()-1,33),ROW()-1,FALSE))</f>
        <v>2.7319871999999999E-2</v>
      </c>
      <c r="X346">
        <f ca="1">IF(AND(ISNUMBER($X$746),$B$427=1),$X$746,HLOOKUP(INDIRECT(ADDRESS(2,COLUMN())),OFFSET($AM$2,0,0,ROW()-1,33),ROW()-1,FALSE))</f>
        <v>0.38542376900000003</v>
      </c>
      <c r="Y346">
        <f ca="1">IF(AND(ISNUMBER($Y$746),$B$427=1),$Y$746,HLOOKUP(INDIRECT(ADDRESS(2,COLUMN())),OFFSET($AM$2,0,0,ROW()-1,33),ROW()-1,FALSE))</f>
        <v>4.2899799000000002E-2</v>
      </c>
      <c r="Z346">
        <f ca="1">IF(AND(ISNUMBER($Z$746),$B$427=1),$Z$746,HLOOKUP(INDIRECT(ADDRESS(2,COLUMN())),OFFSET($AM$2,0,0,ROW()-1,33),ROW()-1,FALSE))</f>
        <v>5.0912749E-2</v>
      </c>
      <c r="AA346">
        <f ca="1">IF(AND(ISNUMBER($AA$746),$B$427=1),$AA$746,HLOOKUP(INDIRECT(ADDRESS(2,COLUMN())),OFFSET($AM$2,0,0,ROW()-1,33),ROW()-1,FALSE))</f>
        <v>2.7969903000000001E-2</v>
      </c>
      <c r="AB346">
        <f ca="1">IF(AND(ISNUMBER($AB$746),$B$427=1),$AB$746,HLOOKUP(INDIRECT(ADDRESS(2,COLUMN())),OFFSET($AM$2,0,0,ROW()-1,33),ROW()-1,FALSE))</f>
        <v>3.5369989999999997E-2</v>
      </c>
      <c r="AC346">
        <f ca="1">IF(AND(ISNUMBER($AC$746),$B$427=1),$AC$746,HLOOKUP(INDIRECT(ADDRESS(2,COLUMN())),OFFSET($AM$2,0,0,ROW()-1,33),ROW()-1,FALSE))</f>
        <v>4.0452879999999997E-2</v>
      </c>
      <c r="AD346" t="str">
        <f ca="1">IF(AND(ISNUMBER($AD$746),$B$427=1),$AD$746,HLOOKUP(INDIRECT(ADDRESS(2,COLUMN())),OFFSET($AM$2,0,0,ROW()-1,33),ROW()-1,FALSE))</f>
        <v/>
      </c>
      <c r="AE346" t="str">
        <f ca="1">IF(AND(ISNUMBER($AE$746),$B$427=1),$AE$746,HLOOKUP(INDIRECT(ADDRESS(2,COLUMN())),OFFSET($AM$2,0,0,ROW()-1,33),ROW()-1,FALSE))</f>
        <v/>
      </c>
      <c r="AF346" t="str">
        <f ca="1">IF(AND(ISNUMBER($AF$746),$B$427=1),$AF$746,HLOOKUP(INDIRECT(ADDRESS(2,COLUMN())),OFFSET($AM$2,0,0,ROW()-1,33),ROW()-1,FALSE))</f>
        <v/>
      </c>
      <c r="AG346" t="str">
        <f ca="1">IF(AND(ISNUMBER($AG$746),$B$427=1),$AG$746,HLOOKUP(INDIRECT(ADDRESS(2,COLUMN())),OFFSET($AM$2,0,0,ROW()-1,33),ROW()-1,FALSE))</f>
        <v/>
      </c>
      <c r="AH346" t="str">
        <f ca="1">IF(AND(ISNUMBER($AH$746),$B$427=1),$AH$746,HLOOKUP(INDIRECT(ADDRESS(2,COLUMN())),OFFSET($AM$2,0,0,ROW()-1,33),ROW()-1,FALSE))</f>
        <v/>
      </c>
      <c r="AI346" t="str">
        <f ca="1">IF(AND(ISNUMBER($AI$746),$B$427=1),$AI$746,HLOOKUP(INDIRECT(ADDRESS(2,COLUMN())),OFFSET($AM$2,0,0,ROW()-1,33),ROW()-1,FALSE))</f>
        <v/>
      </c>
      <c r="AJ346" t="str">
        <f ca="1">IF(AND(ISNUMBER($AJ$746),$B$427=1),$AJ$746,HLOOKUP(INDIRECT(ADDRESS(2,COLUMN())),OFFSET($AM$2,0,0,ROW()-1,33),ROW()-1,FALSE))</f>
        <v/>
      </c>
      <c r="AK346" t="str">
        <f ca="1">IF(AND(ISNUMBER($AK$746),$B$427=1),$AK$746,HLOOKUP(INDIRECT(ADDRESS(2,COLUMN())),OFFSET($AM$2,0,0,ROW()-1,33),ROW()-1,FALSE))</f>
        <v/>
      </c>
      <c r="AL346" t="str">
        <f ca="1">IF(AND(ISNUMBER($AL$746),$B$427=1),$AL$746,HLOOKUP(INDIRECT(ADDRESS(2,COLUMN())),OFFSET($AM$2,0,0,ROW()-1,33),ROW()-1,FALSE))</f>
        <v/>
      </c>
      <c r="AM346">
        <f>0.023158819</f>
        <v>2.3158819000000001E-2</v>
      </c>
      <c r="AN346">
        <f>0.005958556</f>
        <v>5.9585560000000003E-3</v>
      </c>
      <c r="AO346">
        <f>0.006344194</f>
        <v>6.344194E-3</v>
      </c>
      <c r="AP346">
        <f>0.024904369</f>
        <v>2.4904368999999999E-2</v>
      </c>
      <c r="AQ346">
        <f>0.003457979</f>
        <v>3.4579789999999999E-3</v>
      </c>
      <c r="AR346">
        <f>0.003357829</f>
        <v>3.3578290000000001E-3</v>
      </c>
      <c r="AS346">
        <f>0.005389472</f>
        <v>5.3894720000000002E-3</v>
      </c>
      <c r="AT346">
        <f>0.000411168</f>
        <v>4.11168E-4</v>
      </c>
      <c r="AU346">
        <f>0.000303406</f>
        <v>3.0340599999999999E-4</v>
      </c>
      <c r="AV346">
        <f>0.00654564</f>
        <v>6.5456400000000001E-3</v>
      </c>
      <c r="AW346">
        <f>0.00239181</f>
        <v>2.3918099999999999E-3</v>
      </c>
      <c r="AX346">
        <f>0.004047677</f>
        <v>4.0476770000000004E-3</v>
      </c>
      <c r="AY346">
        <f>0.035871499</f>
        <v>3.5871499000000001E-2</v>
      </c>
      <c r="AZ346">
        <f>0.054434987</f>
        <v>5.4434986999999997E-2</v>
      </c>
      <c r="BA346">
        <f>0.171202485</f>
        <v>0.17120248499999999</v>
      </c>
      <c r="BB346">
        <f>0.05570344</f>
        <v>5.570344E-2</v>
      </c>
      <c r="BC346">
        <f>0.068113776</f>
        <v>6.8113776000000001E-2</v>
      </c>
      <c r="BD346">
        <f>0.027319872</f>
        <v>2.7319871999999999E-2</v>
      </c>
      <c r="BE346">
        <f>0.385423769</f>
        <v>0.38542376900000003</v>
      </c>
      <c r="BF346">
        <f>0.042899799</f>
        <v>4.2899799000000002E-2</v>
      </c>
      <c r="BG346">
        <f>0.050912749</f>
        <v>5.0912749E-2</v>
      </c>
      <c r="BH346">
        <f>0.027969903</f>
        <v>2.7969903000000001E-2</v>
      </c>
      <c r="BI346">
        <f>0.03536999</f>
        <v>3.5369989999999997E-2</v>
      </c>
      <c r="BJ346">
        <f>0.04045288</f>
        <v>4.0452879999999997E-2</v>
      </c>
      <c r="BK346" t="str">
        <f>""</f>
        <v/>
      </c>
      <c r="BL346" t="str">
        <f>""</f>
        <v/>
      </c>
      <c r="BM346" t="str">
        <f>""</f>
        <v/>
      </c>
      <c r="BN346" t="str">
        <f>""</f>
        <v/>
      </c>
      <c r="BO346" t="str">
        <f>""</f>
        <v/>
      </c>
      <c r="BP346" t="str">
        <f>""</f>
        <v/>
      </c>
      <c r="BQ346" t="str">
        <f>""</f>
        <v/>
      </c>
      <c r="BR346" t="str">
        <f>""</f>
        <v/>
      </c>
      <c r="BS346" t="str">
        <f>""</f>
        <v/>
      </c>
    </row>
    <row r="347" spans="1:71" x14ac:dyDescent="0.25">
      <c r="A347" t="str">
        <f>"        Western Alliance Bancorp"</f>
        <v xml:space="preserve">        Western Alliance Bancorp</v>
      </c>
      <c r="B347" t="str">
        <f>"WAL US Equity"</f>
        <v>WAL US Equity</v>
      </c>
      <c r="C347" t="str">
        <f t="shared" si="45"/>
        <v>F0125</v>
      </c>
      <c r="D347" t="str">
        <f t="shared" si="46"/>
        <v>FED_US_BANK_LOANS_%_TOT_LNS_LEAS</v>
      </c>
      <c r="E347" t="str">
        <f t="shared" si="47"/>
        <v>Dynamic</v>
      </c>
      <c r="F347">
        <f ca="1">IF(AND(ISNUMBER($F$747),$B$427=1),$F$747,HLOOKUP(INDIRECT(ADDRESS(2,COLUMN())),OFFSET($AM$2,0,0,ROW()-1,33),ROW()-1,FALSE))</f>
        <v>0</v>
      </c>
      <c r="G347">
        <f ca="1">IF(AND(ISNUMBER($G$747),$B$427=1),$G$747,HLOOKUP(INDIRECT(ADDRESS(2,COLUMN())),OFFSET($AM$2,0,0,ROW()-1,33),ROW()-1,FALSE))</f>
        <v>0</v>
      </c>
      <c r="H347">
        <f ca="1">IF(AND(ISNUMBER($H$747),$B$427=1),$H$747,HLOOKUP(INDIRECT(ADDRESS(2,COLUMN())),OFFSET($AM$2,0,0,ROW()-1,33),ROW()-1,FALSE))</f>
        <v>0</v>
      </c>
      <c r="I347">
        <f ca="1">IF(AND(ISNUMBER($I$747),$B$427=1),$I$747,HLOOKUP(INDIRECT(ADDRESS(2,COLUMN())),OFFSET($AM$2,0,0,ROW()-1,33),ROW()-1,FALSE))</f>
        <v>0</v>
      </c>
      <c r="J347">
        <f ca="1">IF(AND(ISNUMBER($J$747),$B$427=1),$J$747,HLOOKUP(INDIRECT(ADDRESS(2,COLUMN())),OFFSET($AM$2,0,0,ROW()-1,33),ROW()-1,FALSE))</f>
        <v>0</v>
      </c>
      <c r="K347">
        <f ca="1">IF(AND(ISNUMBER($K$747),$B$427=1),$K$747,HLOOKUP(INDIRECT(ADDRESS(2,COLUMN())),OFFSET($AM$2,0,0,ROW()-1,33),ROW()-1,FALSE))</f>
        <v>0</v>
      </c>
      <c r="L347">
        <f ca="1">IF(AND(ISNUMBER($L$747),$B$427=1),$L$747,HLOOKUP(INDIRECT(ADDRESS(2,COLUMN())),OFFSET($AM$2,0,0,ROW()-1,33),ROW()-1,FALSE))</f>
        <v>0</v>
      </c>
      <c r="M347">
        <f ca="1">IF(AND(ISNUMBER($M$747),$B$427=1),$M$747,HLOOKUP(INDIRECT(ADDRESS(2,COLUMN())),OFFSET($AM$2,0,0,ROW()-1,33),ROW()-1,FALSE))</f>
        <v>0</v>
      </c>
      <c r="N347">
        <f ca="1">IF(AND(ISNUMBER($N$747),$B$427=1),$N$747,HLOOKUP(INDIRECT(ADDRESS(2,COLUMN())),OFFSET($AM$2,0,0,ROW()-1,33),ROW()-1,FALSE))</f>
        <v>0</v>
      </c>
      <c r="O347">
        <f ca="1">IF(AND(ISNUMBER($O$747),$B$427=1),$O$747,HLOOKUP(INDIRECT(ADDRESS(2,COLUMN())),OFFSET($AM$2,0,0,ROW()-1,33),ROW()-1,FALSE))</f>
        <v>0</v>
      </c>
      <c r="P347">
        <f ca="1">IF(AND(ISNUMBER($P$747),$B$427=1),$P$747,HLOOKUP(INDIRECT(ADDRESS(2,COLUMN())),OFFSET($AM$2,0,0,ROW()-1,33),ROW()-1,FALSE))</f>
        <v>0</v>
      </c>
      <c r="Q347">
        <f ca="1">IF(AND(ISNUMBER($Q$747),$B$427=1),$Q$747,HLOOKUP(INDIRECT(ADDRESS(2,COLUMN())),OFFSET($AM$2,0,0,ROW()-1,33),ROW()-1,FALSE))</f>
        <v>0</v>
      </c>
      <c r="R347">
        <f ca="1">IF(AND(ISNUMBER($R$747),$B$427=1),$R$747,HLOOKUP(INDIRECT(ADDRESS(2,COLUMN())),OFFSET($AM$2,0,0,ROW()-1,33),ROW()-1,FALSE))</f>
        <v>0</v>
      </c>
      <c r="S347">
        <f ca="1">IF(AND(ISNUMBER($S$747),$B$427=1),$S$747,HLOOKUP(INDIRECT(ADDRESS(2,COLUMN())),OFFSET($AM$2,0,0,ROW()-1,33),ROW()-1,FALSE))</f>
        <v>0</v>
      </c>
      <c r="T347">
        <f ca="1">IF(AND(ISNUMBER($T$747),$B$427=1),$T$747,HLOOKUP(INDIRECT(ADDRESS(2,COLUMN())),OFFSET($AM$2,0,0,ROW()-1,33),ROW()-1,FALSE))</f>
        <v>0</v>
      </c>
      <c r="U347">
        <f ca="1">IF(AND(ISNUMBER($U$747),$B$427=1),$U$747,HLOOKUP(INDIRECT(ADDRESS(2,COLUMN())),OFFSET($AM$2,0,0,ROW()-1,33),ROW()-1,FALSE))</f>
        <v>0</v>
      </c>
      <c r="V347">
        <f ca="1">IF(AND(ISNUMBER($V$747),$B$427=1),$V$747,HLOOKUP(INDIRECT(ADDRESS(2,COLUMN())),OFFSET($AM$2,0,0,ROW()-1,33),ROW()-1,FALSE))</f>
        <v>0</v>
      </c>
      <c r="W347">
        <f ca="1">IF(AND(ISNUMBER($W$747),$B$427=1),$W$747,HLOOKUP(INDIRECT(ADDRESS(2,COLUMN())),OFFSET($AM$2,0,0,ROW()-1,33),ROW()-1,FALSE))</f>
        <v>0</v>
      </c>
      <c r="X347">
        <f ca="1">IF(AND(ISNUMBER($X$747),$B$427=1),$X$747,HLOOKUP(INDIRECT(ADDRESS(2,COLUMN())),OFFSET($AM$2,0,0,ROW()-1,33),ROW()-1,FALSE))</f>
        <v>0</v>
      </c>
      <c r="Y347">
        <f ca="1">IF(AND(ISNUMBER($Y$747),$B$427=1),$Y$747,HLOOKUP(INDIRECT(ADDRESS(2,COLUMN())),OFFSET($AM$2,0,0,ROW()-1,33),ROW()-1,FALSE))</f>
        <v>0</v>
      </c>
      <c r="Z347">
        <f ca="1">IF(AND(ISNUMBER($Z$747),$B$427=1),$Z$747,HLOOKUP(INDIRECT(ADDRESS(2,COLUMN())),OFFSET($AM$2,0,0,ROW()-1,33),ROW()-1,FALSE))</f>
        <v>0</v>
      </c>
      <c r="AA347">
        <f ca="1">IF(AND(ISNUMBER($AA$747),$B$427=1),$AA$747,HLOOKUP(INDIRECT(ADDRESS(2,COLUMN())),OFFSET($AM$2,0,0,ROW()-1,33),ROW()-1,FALSE))</f>
        <v>0</v>
      </c>
      <c r="AB347">
        <f ca="1">IF(AND(ISNUMBER($AB$747),$B$427=1),$AB$747,HLOOKUP(INDIRECT(ADDRESS(2,COLUMN())),OFFSET($AM$2,0,0,ROW()-1,33),ROW()-1,FALSE))</f>
        <v>0</v>
      </c>
      <c r="AC347">
        <f ca="1">IF(AND(ISNUMBER($AC$747),$B$427=1),$AC$747,HLOOKUP(INDIRECT(ADDRESS(2,COLUMN())),OFFSET($AM$2,0,0,ROW()-1,33),ROW()-1,FALSE))</f>
        <v>0</v>
      </c>
      <c r="AD347" t="str">
        <f ca="1">IF(AND(ISNUMBER($AD$747),$B$427=1),$AD$747,HLOOKUP(INDIRECT(ADDRESS(2,COLUMN())),OFFSET($AM$2,0,0,ROW()-1,33),ROW()-1,FALSE))</f>
        <v/>
      </c>
      <c r="AE347" t="str">
        <f ca="1">IF(AND(ISNUMBER($AE$747),$B$427=1),$AE$747,HLOOKUP(INDIRECT(ADDRESS(2,COLUMN())),OFFSET($AM$2,0,0,ROW()-1,33),ROW()-1,FALSE))</f>
        <v/>
      </c>
      <c r="AF347" t="str">
        <f ca="1">IF(AND(ISNUMBER($AF$747),$B$427=1),$AF$747,HLOOKUP(INDIRECT(ADDRESS(2,COLUMN())),OFFSET($AM$2,0,0,ROW()-1,33),ROW()-1,FALSE))</f>
        <v/>
      </c>
      <c r="AG347" t="str">
        <f ca="1">IF(AND(ISNUMBER($AG$747),$B$427=1),$AG$747,HLOOKUP(INDIRECT(ADDRESS(2,COLUMN())),OFFSET($AM$2,0,0,ROW()-1,33),ROW()-1,FALSE))</f>
        <v/>
      </c>
      <c r="AH347" t="str">
        <f ca="1">IF(AND(ISNUMBER($AH$747),$B$427=1),$AH$747,HLOOKUP(INDIRECT(ADDRESS(2,COLUMN())),OFFSET($AM$2,0,0,ROW()-1,33),ROW()-1,FALSE))</f>
        <v/>
      </c>
      <c r="AI347" t="str">
        <f ca="1">IF(AND(ISNUMBER($AI$747),$B$427=1),$AI$747,HLOOKUP(INDIRECT(ADDRESS(2,COLUMN())),OFFSET($AM$2,0,0,ROW()-1,33),ROW()-1,FALSE))</f>
        <v/>
      </c>
      <c r="AJ347" t="str">
        <f ca="1">IF(AND(ISNUMBER($AJ$747),$B$427=1),$AJ$747,HLOOKUP(INDIRECT(ADDRESS(2,COLUMN())),OFFSET($AM$2,0,0,ROW()-1,33),ROW()-1,FALSE))</f>
        <v/>
      </c>
      <c r="AK347" t="str">
        <f ca="1">IF(AND(ISNUMBER($AK$747),$B$427=1),$AK$747,HLOOKUP(INDIRECT(ADDRESS(2,COLUMN())),OFFSET($AM$2,0,0,ROW()-1,33),ROW()-1,FALSE))</f>
        <v/>
      </c>
      <c r="AL347" t="str">
        <f ca="1">IF(AND(ISNUMBER($AL$747),$B$427=1),$AL$747,HLOOKUP(INDIRECT(ADDRESS(2,COLUMN())),OFFSET($AM$2,0,0,ROW()-1,33),ROW()-1,FALSE))</f>
        <v/>
      </c>
      <c r="AM347">
        <f>0</f>
        <v>0</v>
      </c>
      <c r="AN347">
        <f>0</f>
        <v>0</v>
      </c>
      <c r="AO347">
        <f>0</f>
        <v>0</v>
      </c>
      <c r="AP347">
        <f>0</f>
        <v>0</v>
      </c>
      <c r="AQ347">
        <f>0</f>
        <v>0</v>
      </c>
      <c r="AR347">
        <f>0</f>
        <v>0</v>
      </c>
      <c r="AS347">
        <f>0</f>
        <v>0</v>
      </c>
      <c r="AT347">
        <f>0</f>
        <v>0</v>
      </c>
      <c r="AU347">
        <f>0</f>
        <v>0</v>
      </c>
      <c r="AV347">
        <f>0</f>
        <v>0</v>
      </c>
      <c r="AW347">
        <f>0</f>
        <v>0</v>
      </c>
      <c r="AX347">
        <f>0</f>
        <v>0</v>
      </c>
      <c r="AY347">
        <f>0</f>
        <v>0</v>
      </c>
      <c r="AZ347">
        <f>0</f>
        <v>0</v>
      </c>
      <c r="BA347">
        <f>0</f>
        <v>0</v>
      </c>
      <c r="BB347">
        <f>0</f>
        <v>0</v>
      </c>
      <c r="BC347">
        <f>0</f>
        <v>0</v>
      </c>
      <c r="BD347">
        <f>0</f>
        <v>0</v>
      </c>
      <c r="BE347">
        <f>0</f>
        <v>0</v>
      </c>
      <c r="BF347">
        <f>0</f>
        <v>0</v>
      </c>
      <c r="BG347">
        <f>0</f>
        <v>0</v>
      </c>
      <c r="BH347">
        <f>0</f>
        <v>0</v>
      </c>
      <c r="BI347">
        <f>0</f>
        <v>0</v>
      </c>
      <c r="BJ347">
        <f>0</f>
        <v>0</v>
      </c>
      <c r="BK347" t="str">
        <f>""</f>
        <v/>
      </c>
      <c r="BL347" t="str">
        <f>""</f>
        <v/>
      </c>
      <c r="BM347" t="str">
        <f>""</f>
        <v/>
      </c>
      <c r="BN347" t="str">
        <f>""</f>
        <v/>
      </c>
      <c r="BO347" t="str">
        <f>""</f>
        <v/>
      </c>
      <c r="BP347" t="str">
        <f>""</f>
        <v/>
      </c>
      <c r="BQ347" t="str">
        <f>""</f>
        <v/>
      </c>
      <c r="BR347" t="str">
        <f>""</f>
        <v/>
      </c>
      <c r="BS347" t="str">
        <f>""</f>
        <v/>
      </c>
    </row>
    <row r="348" spans="1:71" x14ac:dyDescent="0.25">
      <c r="A348" t="str">
        <f>"        Zions Bancorp NA"</f>
        <v xml:space="preserve">        Zions Bancorp NA</v>
      </c>
      <c r="B348" t="str">
        <f>"ZION US Equity"</f>
        <v>ZION US Equity</v>
      </c>
      <c r="C348" t="str">
        <f t="shared" si="45"/>
        <v>F0125</v>
      </c>
      <c r="D348" t="str">
        <f t="shared" si="46"/>
        <v>FED_US_BANK_LOANS_%_TOT_LNS_LEAS</v>
      </c>
      <c r="E348" t="str">
        <f t="shared" si="47"/>
        <v>Dynamic</v>
      </c>
      <c r="F348" t="str">
        <f ca="1">IF(AND(ISNUMBER($F$748),$B$427=1),$F$748,HLOOKUP(INDIRECT(ADDRESS(2,COLUMN())),OFFSET($AM$2,0,0,ROW()-1,33),ROW()-1,FALSE))</f>
        <v/>
      </c>
      <c r="G348" t="str">
        <f ca="1">IF(AND(ISNUMBER($G$748),$B$427=1),$G$748,HLOOKUP(INDIRECT(ADDRESS(2,COLUMN())),OFFSET($AM$2,0,0,ROW()-1,33),ROW()-1,FALSE))</f>
        <v/>
      </c>
      <c r="H348" t="str">
        <f ca="1">IF(AND(ISNUMBER($H$748),$B$427=1),$H$748,HLOOKUP(INDIRECT(ADDRESS(2,COLUMN())),OFFSET($AM$2,0,0,ROW()-1,33),ROW()-1,FALSE))</f>
        <v/>
      </c>
      <c r="I348" t="str">
        <f ca="1">IF(AND(ISNUMBER($I$748),$B$427=1),$I$748,HLOOKUP(INDIRECT(ADDRESS(2,COLUMN())),OFFSET($AM$2,0,0,ROW()-1,33),ROW()-1,FALSE))</f>
        <v/>
      </c>
      <c r="J348" t="str">
        <f ca="1">IF(AND(ISNUMBER($J$748),$B$427=1),$J$748,HLOOKUP(INDIRECT(ADDRESS(2,COLUMN())),OFFSET($AM$2,0,0,ROW()-1,33),ROW()-1,FALSE))</f>
        <v/>
      </c>
      <c r="K348" t="str">
        <f ca="1">IF(AND(ISNUMBER($K$748),$B$427=1),$K$748,HLOOKUP(INDIRECT(ADDRESS(2,COLUMN())),OFFSET($AM$2,0,0,ROW()-1,33),ROW()-1,FALSE))</f>
        <v/>
      </c>
      <c r="L348" t="str">
        <f ca="1">IF(AND(ISNUMBER($L$748),$B$427=1),$L$748,HLOOKUP(INDIRECT(ADDRESS(2,COLUMN())),OFFSET($AM$2,0,0,ROW()-1,33),ROW()-1,FALSE))</f>
        <v/>
      </c>
      <c r="M348" t="str">
        <f ca="1">IF(AND(ISNUMBER($M$748),$B$427=1),$M$748,HLOOKUP(INDIRECT(ADDRESS(2,COLUMN())),OFFSET($AM$2,0,0,ROW()-1,33),ROW()-1,FALSE))</f>
        <v/>
      </c>
      <c r="N348" t="str">
        <f ca="1">IF(AND(ISNUMBER($N$748),$B$427=1),$N$748,HLOOKUP(INDIRECT(ADDRESS(2,COLUMN())),OFFSET($AM$2,0,0,ROW()-1,33),ROW()-1,FALSE))</f>
        <v/>
      </c>
      <c r="O348" t="str">
        <f ca="1">IF(AND(ISNUMBER($O$748),$B$427=1),$O$748,HLOOKUP(INDIRECT(ADDRESS(2,COLUMN())),OFFSET($AM$2,0,0,ROW()-1,33),ROW()-1,FALSE))</f>
        <v/>
      </c>
      <c r="P348" t="str">
        <f ca="1">IF(AND(ISNUMBER($P$748),$B$427=1),$P$748,HLOOKUP(INDIRECT(ADDRESS(2,COLUMN())),OFFSET($AM$2,0,0,ROW()-1,33),ROW()-1,FALSE))</f>
        <v/>
      </c>
      <c r="Q348" t="str">
        <f ca="1">IF(AND(ISNUMBER($Q$748),$B$427=1),$Q$748,HLOOKUP(INDIRECT(ADDRESS(2,COLUMN())),OFFSET($AM$2,0,0,ROW()-1,33),ROW()-1,FALSE))</f>
        <v/>
      </c>
      <c r="R348" t="str">
        <f ca="1">IF(AND(ISNUMBER($R$748),$B$427=1),$R$748,HLOOKUP(INDIRECT(ADDRESS(2,COLUMN())),OFFSET($AM$2,0,0,ROW()-1,33),ROW()-1,FALSE))</f>
        <v/>
      </c>
      <c r="S348" t="str">
        <f ca="1">IF(AND(ISNUMBER($S$748),$B$427=1),$S$748,HLOOKUP(INDIRECT(ADDRESS(2,COLUMN())),OFFSET($AM$2,0,0,ROW()-1,33),ROW()-1,FALSE))</f>
        <v/>
      </c>
      <c r="T348" t="str">
        <f ca="1">IF(AND(ISNUMBER($T$748),$B$427=1),$T$748,HLOOKUP(INDIRECT(ADDRESS(2,COLUMN())),OFFSET($AM$2,0,0,ROW()-1,33),ROW()-1,FALSE))</f>
        <v/>
      </c>
      <c r="U348" t="str">
        <f ca="1">IF(AND(ISNUMBER($U$748),$B$427=1),$U$748,HLOOKUP(INDIRECT(ADDRESS(2,COLUMN())),OFFSET($AM$2,0,0,ROW()-1,33),ROW()-1,FALSE))</f>
        <v/>
      </c>
      <c r="V348" t="str">
        <f ca="1">IF(AND(ISNUMBER($V$748),$B$427=1),$V$748,HLOOKUP(INDIRECT(ADDRESS(2,COLUMN())),OFFSET($AM$2,0,0,ROW()-1,33),ROW()-1,FALSE))</f>
        <v/>
      </c>
      <c r="W348" t="str">
        <f ca="1">IF(AND(ISNUMBER($W$748),$B$427=1),$W$748,HLOOKUP(INDIRECT(ADDRESS(2,COLUMN())),OFFSET($AM$2,0,0,ROW()-1,33),ROW()-1,FALSE))</f>
        <v/>
      </c>
      <c r="X348" t="str">
        <f ca="1">IF(AND(ISNUMBER($X$748),$B$427=1),$X$748,HLOOKUP(INDIRECT(ADDRESS(2,COLUMN())),OFFSET($AM$2,0,0,ROW()-1,33),ROW()-1,FALSE))</f>
        <v/>
      </c>
      <c r="Y348" t="str">
        <f ca="1">IF(AND(ISNUMBER($Y$748),$B$427=1),$Y$748,HLOOKUP(INDIRECT(ADDRESS(2,COLUMN())),OFFSET($AM$2,0,0,ROW()-1,33),ROW()-1,FALSE))</f>
        <v/>
      </c>
      <c r="Z348" t="str">
        <f ca="1">IF(AND(ISNUMBER($Z$748),$B$427=1),$Z$748,HLOOKUP(INDIRECT(ADDRESS(2,COLUMN())),OFFSET($AM$2,0,0,ROW()-1,33),ROW()-1,FALSE))</f>
        <v/>
      </c>
      <c r="AA348" t="str">
        <f ca="1">IF(AND(ISNUMBER($AA$748),$B$427=1),$AA$748,HLOOKUP(INDIRECT(ADDRESS(2,COLUMN())),OFFSET($AM$2,0,0,ROW()-1,33),ROW()-1,FALSE))</f>
        <v/>
      </c>
      <c r="AB348" t="str">
        <f ca="1">IF(AND(ISNUMBER($AB$748),$B$427=1),$AB$748,HLOOKUP(INDIRECT(ADDRESS(2,COLUMN())),OFFSET($AM$2,0,0,ROW()-1,33),ROW()-1,FALSE))</f>
        <v/>
      </c>
      <c r="AC348" t="str">
        <f ca="1">IF(AND(ISNUMBER($AC$748),$B$427=1),$AC$748,HLOOKUP(INDIRECT(ADDRESS(2,COLUMN())),OFFSET($AM$2,0,0,ROW()-1,33),ROW()-1,FALSE))</f>
        <v/>
      </c>
      <c r="AD348" t="str">
        <f ca="1">IF(AND(ISNUMBER($AD$748),$B$427=1),$AD$748,HLOOKUP(INDIRECT(ADDRESS(2,COLUMN())),OFFSET($AM$2,0,0,ROW()-1,33),ROW()-1,FALSE))</f>
        <v/>
      </c>
      <c r="AE348" t="str">
        <f ca="1">IF(AND(ISNUMBER($AE$748),$B$427=1),$AE$748,HLOOKUP(INDIRECT(ADDRESS(2,COLUMN())),OFFSET($AM$2,0,0,ROW()-1,33),ROW()-1,FALSE))</f>
        <v/>
      </c>
      <c r="AF348" t="str">
        <f ca="1">IF(AND(ISNUMBER($AF$748),$B$427=1),$AF$748,HLOOKUP(INDIRECT(ADDRESS(2,COLUMN())),OFFSET($AM$2,0,0,ROW()-1,33),ROW()-1,FALSE))</f>
        <v/>
      </c>
      <c r="AG348" t="str">
        <f ca="1">IF(AND(ISNUMBER($AG$748),$B$427=1),$AG$748,HLOOKUP(INDIRECT(ADDRESS(2,COLUMN())),OFFSET($AM$2,0,0,ROW()-1,33),ROW()-1,FALSE))</f>
        <v/>
      </c>
      <c r="AH348" t="str">
        <f ca="1">IF(AND(ISNUMBER($AH$748),$B$427=1),$AH$748,HLOOKUP(INDIRECT(ADDRESS(2,COLUMN())),OFFSET($AM$2,0,0,ROW()-1,33),ROW()-1,FALSE))</f>
        <v/>
      </c>
      <c r="AI348" t="str">
        <f ca="1">IF(AND(ISNUMBER($AI$748),$B$427=1),$AI$748,HLOOKUP(INDIRECT(ADDRESS(2,COLUMN())),OFFSET($AM$2,0,0,ROW()-1,33),ROW()-1,FALSE))</f>
        <v/>
      </c>
      <c r="AJ348" t="str">
        <f ca="1">IF(AND(ISNUMBER($AJ$748),$B$427=1),$AJ$748,HLOOKUP(INDIRECT(ADDRESS(2,COLUMN())),OFFSET($AM$2,0,0,ROW()-1,33),ROW()-1,FALSE))</f>
        <v/>
      </c>
      <c r="AK348" t="str">
        <f ca="1">IF(AND(ISNUMBER($AK$748),$B$427=1),$AK$748,HLOOKUP(INDIRECT(ADDRESS(2,COLUMN())),OFFSET($AM$2,0,0,ROW()-1,33),ROW()-1,FALSE))</f>
        <v/>
      </c>
      <c r="AL348" t="str">
        <f ca="1">IF(AND(ISNUMBER($AL$748),$B$427=1),$AL$748,HLOOKUP(INDIRECT(ADDRESS(2,COLUMN())),OFFSET($AM$2,0,0,ROW()-1,33),ROW()-1,FALSE))</f>
        <v/>
      </c>
      <c r="AM348" t="str">
        <f>""</f>
        <v/>
      </c>
      <c r="AN348" t="str">
        <f>""</f>
        <v/>
      </c>
      <c r="AO348" t="str">
        <f>""</f>
        <v/>
      </c>
      <c r="AP348" t="str">
        <f>""</f>
        <v/>
      </c>
      <c r="AQ348" t="str">
        <f>""</f>
        <v/>
      </c>
      <c r="AR348" t="str">
        <f>""</f>
        <v/>
      </c>
      <c r="AS348" t="str">
        <f>""</f>
        <v/>
      </c>
      <c r="AT348" t="str">
        <f>""</f>
        <v/>
      </c>
      <c r="AU348" t="str">
        <f>""</f>
        <v/>
      </c>
      <c r="AV348" t="str">
        <f>""</f>
        <v/>
      </c>
      <c r="AW348" t="str">
        <f>""</f>
        <v/>
      </c>
      <c r="AX348" t="str">
        <f>""</f>
        <v/>
      </c>
      <c r="AY348" t="str">
        <f>""</f>
        <v/>
      </c>
      <c r="AZ348" t="str">
        <f>""</f>
        <v/>
      </c>
      <c r="BA348" t="str">
        <f>""</f>
        <v/>
      </c>
      <c r="BB348" t="str">
        <f>""</f>
        <v/>
      </c>
      <c r="BC348" t="str">
        <f>""</f>
        <v/>
      </c>
      <c r="BD348" t="str">
        <f>""</f>
        <v/>
      </c>
      <c r="BE348" t="str">
        <f>""</f>
        <v/>
      </c>
      <c r="BF348" t="str">
        <f>""</f>
        <v/>
      </c>
      <c r="BG348" t="str">
        <f>""</f>
        <v/>
      </c>
      <c r="BH348" t="str">
        <f>""</f>
        <v/>
      </c>
      <c r="BI348" t="str">
        <f>""</f>
        <v/>
      </c>
      <c r="BJ348" t="str">
        <f>""</f>
        <v/>
      </c>
      <c r="BK348" t="str">
        <f>""</f>
        <v/>
      </c>
      <c r="BL348" t="str">
        <f>""</f>
        <v/>
      </c>
      <c r="BM348" t="str">
        <f>""</f>
        <v/>
      </c>
      <c r="BN348" t="str">
        <f>""</f>
        <v/>
      </c>
      <c r="BO348" t="str">
        <f>""</f>
        <v/>
      </c>
      <c r="BP348" t="str">
        <f>""</f>
        <v/>
      </c>
      <c r="BQ348" t="str">
        <f>""</f>
        <v/>
      </c>
      <c r="BR348" t="str">
        <f>""</f>
        <v/>
      </c>
      <c r="BS348" t="str">
        <f>""</f>
        <v/>
      </c>
    </row>
    <row r="349" spans="1:71" x14ac:dyDescent="0.25">
      <c r="A349" t="str">
        <f>"    Sovereign Loans"</f>
        <v xml:space="preserve">    Sovereign Loans</v>
      </c>
      <c r="B349" t="str">
        <f>""</f>
        <v/>
      </c>
      <c r="E349" t="str">
        <f>"Median"</f>
        <v>Median</v>
      </c>
      <c r="F349" t="str">
        <f ca="1">IF(ISERROR(IF(MEDIAN($F$350:$F$369) = 0, "", MEDIAN($F$350:$F$369))), "", (IF(MEDIAN($F$350:$F$369) = 0, "", MEDIAN($F$350:$F$369))))</f>
        <v/>
      </c>
      <c r="G349" t="str">
        <f ca="1">IF(ISERROR(IF(MEDIAN($G$350:$G$369) = 0, "", MEDIAN($G$350:$G$369))), "", (IF(MEDIAN($G$350:$G$369) = 0, "", MEDIAN($G$350:$G$369))))</f>
        <v/>
      </c>
      <c r="H349" t="str">
        <f ca="1">IF(ISERROR(IF(MEDIAN($H$350:$H$369) = 0, "", MEDIAN($H$350:$H$369))), "", (IF(MEDIAN($H$350:$H$369) = 0, "", MEDIAN($H$350:$H$369))))</f>
        <v/>
      </c>
      <c r="I349" t="str">
        <f ca="1">IF(ISERROR(IF(MEDIAN($I$350:$I$369) = 0, "", MEDIAN($I$350:$I$369))), "", (IF(MEDIAN($I$350:$I$369) = 0, "", MEDIAN($I$350:$I$369))))</f>
        <v/>
      </c>
      <c r="J349" t="str">
        <f ca="1">IF(ISERROR(IF(MEDIAN($J$350:$J$369) = 0, "", MEDIAN($J$350:$J$369))), "", (IF(MEDIAN($J$350:$J$369) = 0, "", MEDIAN($J$350:$J$369))))</f>
        <v/>
      </c>
      <c r="K349" t="str">
        <f ca="1">IF(ISERROR(IF(MEDIAN($K$350:$K$369) = 0, "", MEDIAN($K$350:$K$369))), "", (IF(MEDIAN($K$350:$K$369) = 0, "", MEDIAN($K$350:$K$369))))</f>
        <v/>
      </c>
      <c r="L349" t="str">
        <f ca="1">IF(ISERROR(IF(MEDIAN($L$350:$L$369) = 0, "", MEDIAN($L$350:$L$369))), "", (IF(MEDIAN($L$350:$L$369) = 0, "", MEDIAN($L$350:$L$369))))</f>
        <v/>
      </c>
      <c r="M349" t="str">
        <f ca="1">IF(ISERROR(IF(MEDIAN($M$350:$M$369) = 0, "", MEDIAN($M$350:$M$369))), "", (IF(MEDIAN($M$350:$M$369) = 0, "", MEDIAN($M$350:$M$369))))</f>
        <v/>
      </c>
      <c r="N349" t="str">
        <f ca="1">IF(ISERROR(IF(MEDIAN($N$350:$N$369) = 0, "", MEDIAN($N$350:$N$369))), "", (IF(MEDIAN($N$350:$N$369) = 0, "", MEDIAN($N$350:$N$369))))</f>
        <v/>
      </c>
      <c r="O349" t="str">
        <f ca="1">IF(ISERROR(IF(MEDIAN($O$350:$O$369) = 0, "", MEDIAN($O$350:$O$369))), "", (IF(MEDIAN($O$350:$O$369) = 0, "", MEDIAN($O$350:$O$369))))</f>
        <v/>
      </c>
      <c r="P349" t="str">
        <f ca="1">IF(ISERROR(IF(MEDIAN($P$350:$P$369) = 0, "", MEDIAN($P$350:$P$369))), "", (IF(MEDIAN($P$350:$P$369) = 0, "", MEDIAN($P$350:$P$369))))</f>
        <v/>
      </c>
      <c r="Q349" t="str">
        <f ca="1">IF(ISERROR(IF(MEDIAN($Q$350:$Q$369) = 0, "", MEDIAN($Q$350:$Q$369))), "", (IF(MEDIAN($Q$350:$Q$369) = 0, "", MEDIAN($Q$350:$Q$369))))</f>
        <v/>
      </c>
      <c r="R349" t="str">
        <f ca="1">IF(ISERROR(IF(MEDIAN($R$350:$R$369) = 0, "", MEDIAN($R$350:$R$369))), "", (IF(MEDIAN($R$350:$R$369) = 0, "", MEDIAN($R$350:$R$369))))</f>
        <v/>
      </c>
      <c r="S349" t="str">
        <f ca="1">IF(ISERROR(IF(MEDIAN($S$350:$S$369) = 0, "", MEDIAN($S$350:$S$369))), "", (IF(MEDIAN($S$350:$S$369) = 0, "", MEDIAN($S$350:$S$369))))</f>
        <v/>
      </c>
      <c r="T349" t="str">
        <f ca="1">IF(ISERROR(IF(MEDIAN($T$350:$T$369) = 0, "", MEDIAN($T$350:$T$369))), "", (IF(MEDIAN($T$350:$T$369) = 0, "", MEDIAN($T$350:$T$369))))</f>
        <v/>
      </c>
      <c r="U349" t="str">
        <f ca="1">IF(ISERROR(IF(MEDIAN($U$350:$U$369) = 0, "", MEDIAN($U$350:$U$369))), "", (IF(MEDIAN($U$350:$U$369) = 0, "", MEDIAN($U$350:$U$369))))</f>
        <v/>
      </c>
      <c r="V349" t="str">
        <f ca="1">IF(ISERROR(IF(MEDIAN($V$350:$V$369) = 0, "", MEDIAN($V$350:$V$369))), "", (IF(MEDIAN($V$350:$V$369) = 0, "", MEDIAN($V$350:$V$369))))</f>
        <v/>
      </c>
      <c r="W349" t="str">
        <f ca="1">IF(ISERROR(IF(MEDIAN($W$350:$W$369) = 0, "", MEDIAN($W$350:$W$369))), "", (IF(MEDIAN($W$350:$W$369) = 0, "", MEDIAN($W$350:$W$369))))</f>
        <v/>
      </c>
      <c r="X349" t="str">
        <f ca="1">IF(ISERROR(IF(MEDIAN($X$350:$X$369) = 0, "", MEDIAN($X$350:$X$369))), "", (IF(MEDIAN($X$350:$X$369) = 0, "", MEDIAN($X$350:$X$369))))</f>
        <v/>
      </c>
      <c r="Y349" t="str">
        <f ca="1">IF(ISERROR(IF(MEDIAN($Y$350:$Y$369) = 0, "", MEDIAN($Y$350:$Y$369))), "", (IF(MEDIAN($Y$350:$Y$369) = 0, "", MEDIAN($Y$350:$Y$369))))</f>
        <v/>
      </c>
      <c r="Z349" t="str">
        <f ca="1">IF(ISERROR(IF(MEDIAN($Z$350:$Z$369) = 0, "", MEDIAN($Z$350:$Z$369))), "", (IF(MEDIAN($Z$350:$Z$369) = 0, "", MEDIAN($Z$350:$Z$369))))</f>
        <v/>
      </c>
      <c r="AA349" t="str">
        <f ca="1">IF(ISERROR(IF(MEDIAN($AA$350:$AA$369) = 0, "", MEDIAN($AA$350:$AA$369))), "", (IF(MEDIAN($AA$350:$AA$369) = 0, "", MEDIAN($AA$350:$AA$369))))</f>
        <v/>
      </c>
      <c r="AB349" t="str">
        <f ca="1">IF(ISERROR(IF(MEDIAN($AB$350:$AB$369) = 0, "", MEDIAN($AB$350:$AB$369))), "", (IF(MEDIAN($AB$350:$AB$369) = 0, "", MEDIAN($AB$350:$AB$369))))</f>
        <v/>
      </c>
      <c r="AC349" t="str">
        <f ca="1">IF(ISERROR(IF(MEDIAN($AC$350:$AC$369) = 0, "", MEDIAN($AC$350:$AC$369))), "", (IF(MEDIAN($AC$350:$AC$369) = 0, "", MEDIAN($AC$350:$AC$369))))</f>
        <v/>
      </c>
      <c r="AD349" t="str">
        <f ca="1">IF(ISERROR(IF(MEDIAN($AD$350:$AD$369) = 0, "", MEDIAN($AD$350:$AD$369))), "", (IF(MEDIAN($AD$350:$AD$369) = 0, "", MEDIAN($AD$350:$AD$369))))</f>
        <v/>
      </c>
      <c r="AE349" t="str">
        <f ca="1">IF(ISERROR(IF(MEDIAN($AE$350:$AE$369) = 0, "", MEDIAN($AE$350:$AE$369))), "", (IF(MEDIAN($AE$350:$AE$369) = 0, "", MEDIAN($AE$350:$AE$369))))</f>
        <v/>
      </c>
      <c r="AF349" t="str">
        <f ca="1">IF(ISERROR(IF(MEDIAN($AF$350:$AF$369) = 0, "", MEDIAN($AF$350:$AF$369))), "", (IF(MEDIAN($AF$350:$AF$369) = 0, "", MEDIAN($AF$350:$AF$369))))</f>
        <v/>
      </c>
      <c r="AG349" t="str">
        <f ca="1">IF(ISERROR(IF(MEDIAN($AG$350:$AG$369) = 0, "", MEDIAN($AG$350:$AG$369))), "", (IF(MEDIAN($AG$350:$AG$369) = 0, "", MEDIAN($AG$350:$AG$369))))</f>
        <v/>
      </c>
      <c r="AH349" t="str">
        <f ca="1">IF(ISERROR(IF(MEDIAN($AH$350:$AH$369) = 0, "", MEDIAN($AH$350:$AH$369))), "", (IF(MEDIAN($AH$350:$AH$369) = 0, "", MEDIAN($AH$350:$AH$369))))</f>
        <v/>
      </c>
      <c r="AI349" t="str">
        <f ca="1">IF(ISERROR(IF(MEDIAN($AI$350:$AI$369) = 0, "", MEDIAN($AI$350:$AI$369))), "", (IF(MEDIAN($AI$350:$AI$369) = 0, "", MEDIAN($AI$350:$AI$369))))</f>
        <v/>
      </c>
      <c r="AJ349" t="str">
        <f ca="1">IF(ISERROR(IF(MEDIAN($AJ$350:$AJ$369) = 0, "", MEDIAN($AJ$350:$AJ$369))), "", (IF(MEDIAN($AJ$350:$AJ$369) = 0, "", MEDIAN($AJ$350:$AJ$369))))</f>
        <v/>
      </c>
      <c r="AK349" t="str">
        <f ca="1">IF(ISERROR(IF(MEDIAN($AK$350:$AK$369) = 0, "", MEDIAN($AK$350:$AK$369))), "", (IF(MEDIAN($AK$350:$AK$369) = 0, "", MEDIAN($AK$350:$AK$369))))</f>
        <v/>
      </c>
      <c r="AL349" t="str">
        <f ca="1">IF(ISERROR(IF(MEDIAN($AL$350:$AL$369) = 0, "", MEDIAN($AL$350:$AL$369))), "", (IF(MEDIAN($AL$350:$AL$369) = 0, "", MEDIAN($AL$350:$AL$369))))</f>
        <v/>
      </c>
      <c r="AM349">
        <f>0</f>
        <v>0</v>
      </c>
      <c r="AN349">
        <f>0</f>
        <v>0</v>
      </c>
      <c r="AO349">
        <f>0</f>
        <v>0</v>
      </c>
      <c r="AP349">
        <f>0</f>
        <v>0</v>
      </c>
      <c r="AQ349">
        <f>0</f>
        <v>0</v>
      </c>
      <c r="AR349">
        <f>0</f>
        <v>0</v>
      </c>
      <c r="AS349">
        <f>0</f>
        <v>0</v>
      </c>
      <c r="AT349">
        <f>0</f>
        <v>0</v>
      </c>
      <c r="AU349">
        <f>0</f>
        <v>0</v>
      </c>
      <c r="AV349">
        <f>0</f>
        <v>0</v>
      </c>
      <c r="AW349">
        <f>0</f>
        <v>0</v>
      </c>
      <c r="AX349">
        <f>0</f>
        <v>0</v>
      </c>
      <c r="AY349">
        <f>0</f>
        <v>0</v>
      </c>
      <c r="AZ349">
        <f>0</f>
        <v>0</v>
      </c>
      <c r="BA349">
        <f>0</f>
        <v>0</v>
      </c>
      <c r="BB349">
        <f>0</f>
        <v>0</v>
      </c>
      <c r="BC349">
        <f>0</f>
        <v>0</v>
      </c>
      <c r="BD349">
        <f>0</f>
        <v>0</v>
      </c>
      <c r="BE349">
        <f>0</f>
        <v>0</v>
      </c>
      <c r="BF349">
        <f>0</f>
        <v>0</v>
      </c>
      <c r="BG349">
        <f>0</f>
        <v>0</v>
      </c>
      <c r="BH349">
        <f>0</f>
        <v>0</v>
      </c>
      <c r="BI349">
        <f>0</f>
        <v>0</v>
      </c>
      <c r="BJ349">
        <f>0</f>
        <v>0</v>
      </c>
      <c r="BK349" t="str">
        <f>""</f>
        <v/>
      </c>
      <c r="BL349" t="str">
        <f>""</f>
        <v/>
      </c>
      <c r="BM349" t="str">
        <f>""</f>
        <v/>
      </c>
      <c r="BN349" t="str">
        <f>""</f>
        <v/>
      </c>
      <c r="BO349" t="str">
        <f>""</f>
        <v/>
      </c>
      <c r="BP349" t="str">
        <f>""</f>
        <v/>
      </c>
      <c r="BQ349" t="str">
        <f>""</f>
        <v/>
      </c>
      <c r="BR349" t="str">
        <f>""</f>
        <v/>
      </c>
      <c r="BS349" t="str">
        <f>""</f>
        <v/>
      </c>
    </row>
    <row r="350" spans="1:71" x14ac:dyDescent="0.25">
      <c r="A350" t="str">
        <f>"        Bank of America Corp"</f>
        <v xml:space="preserve">        Bank of America Corp</v>
      </c>
      <c r="B350" t="str">
        <f>"BAC US Equity"</f>
        <v>BAC US Equity</v>
      </c>
      <c r="C350" t="str">
        <f t="shared" ref="C350:C369" si="48">"F0126"</f>
        <v>F0126</v>
      </c>
      <c r="D350" t="str">
        <f t="shared" ref="D350:D369" si="49">"FED_SOV_LOANS_%_TOT_LOANS_LEASES"</f>
        <v>FED_SOV_LOANS_%_TOT_LOANS_LEASES</v>
      </c>
      <c r="E350" t="str">
        <f t="shared" ref="E350:E369" si="50">"Dynamic"</f>
        <v>Dynamic</v>
      </c>
      <c r="F350">
        <f ca="1">IF(AND(ISNUMBER($F$749),$B$427=1),$F$749,HLOOKUP(INDIRECT(ADDRESS(2,COLUMN())),OFFSET($AM$2,0,0,ROW()-1,33),ROW()-1,FALSE))</f>
        <v>3.7179509999999999E-2</v>
      </c>
      <c r="G350">
        <f ca="1">IF(AND(ISNUMBER($G$749),$B$427=1),$G$749,HLOOKUP(INDIRECT(ADDRESS(2,COLUMN())),OFFSET($AM$2,0,0,ROW()-1,33),ROW()-1,FALSE))</f>
        <v>3.9346001999999998E-2</v>
      </c>
      <c r="H350">
        <f ca="1">IF(AND(ISNUMBER($H$749),$B$427=1),$H$749,HLOOKUP(INDIRECT(ADDRESS(2,COLUMN())),OFFSET($AM$2,0,0,ROW()-1,33),ROW()-1,FALSE))</f>
        <v>8.2622935999999994E-2</v>
      </c>
      <c r="I350">
        <f ca="1">IF(AND(ISNUMBER($I$749),$B$427=1),$I$749,HLOOKUP(INDIRECT(ADDRESS(2,COLUMN())),OFFSET($AM$2,0,0,ROW()-1,33),ROW()-1,FALSE))</f>
        <v>0.10929119499999999</v>
      </c>
      <c r="J350">
        <f ca="1">IF(AND(ISNUMBER($J$749),$B$427=1),$J$749,HLOOKUP(INDIRECT(ADDRESS(2,COLUMN())),OFFSET($AM$2,0,0,ROW()-1,33),ROW()-1,FALSE))</f>
        <v>0.138721339</v>
      </c>
      <c r="K350">
        <f ca="1">IF(AND(ISNUMBER($K$749),$B$427=1),$K$749,HLOOKUP(INDIRECT(ADDRESS(2,COLUMN())),OFFSET($AM$2,0,0,ROW()-1,33),ROW()-1,FALSE))</f>
        <v>0.216606568</v>
      </c>
      <c r="L350">
        <f ca="1">IF(AND(ISNUMBER($L$749),$B$427=1),$L$749,HLOOKUP(INDIRECT(ADDRESS(2,COLUMN())),OFFSET($AM$2,0,0,ROW()-1,33),ROW()-1,FALSE))</f>
        <v>0.157387952</v>
      </c>
      <c r="M350">
        <f ca="1">IF(AND(ISNUMBER($M$749),$B$427=1),$M$749,HLOOKUP(INDIRECT(ADDRESS(2,COLUMN())),OFFSET($AM$2,0,0,ROW()-1,33),ROW()-1,FALSE))</f>
        <v>0.14931878300000001</v>
      </c>
      <c r="N350">
        <f ca="1">IF(AND(ISNUMBER($N$749),$B$427=1),$N$749,HLOOKUP(INDIRECT(ADDRESS(2,COLUMN())),OFFSET($AM$2,0,0,ROW()-1,33),ROW()-1,FALSE))</f>
        <v>0.27012927799999997</v>
      </c>
      <c r="O350">
        <f ca="1">IF(AND(ISNUMBER($O$749),$B$427=1),$O$749,HLOOKUP(INDIRECT(ADDRESS(2,COLUMN())),OFFSET($AM$2,0,0,ROW()-1,33),ROW()-1,FALSE))</f>
        <v>0.28683214800000001</v>
      </c>
      <c r="P350">
        <f ca="1">IF(AND(ISNUMBER($P$749),$B$427=1),$P$749,HLOOKUP(INDIRECT(ADDRESS(2,COLUMN())),OFFSET($AM$2,0,0,ROW()-1,33),ROW()-1,FALSE))</f>
        <v>0.142475764</v>
      </c>
      <c r="Q350">
        <f ca="1">IF(AND(ISNUMBER($Q$749),$B$427=1),$Q$749,HLOOKUP(INDIRECT(ADDRESS(2,COLUMN())),OFFSET($AM$2,0,0,ROW()-1,33),ROW()-1,FALSE))</f>
        <v>9.8000683000000005E-2</v>
      </c>
      <c r="R350">
        <f ca="1">IF(AND(ISNUMBER($R$749),$B$427=1),$R$749,HLOOKUP(INDIRECT(ADDRESS(2,COLUMN())),OFFSET($AM$2,0,0,ROW()-1,33),ROW()-1,FALSE))</f>
        <v>0.10015792599999999</v>
      </c>
      <c r="S350">
        <f ca="1">IF(AND(ISNUMBER($S$749),$B$427=1),$S$749,HLOOKUP(INDIRECT(ADDRESS(2,COLUMN())),OFFSET($AM$2,0,0,ROW()-1,33),ROW()-1,FALSE))</f>
        <v>9.4617475000000006E-2</v>
      </c>
      <c r="T350">
        <f ca="1">IF(AND(ISNUMBER($T$749),$B$427=1),$T$749,HLOOKUP(INDIRECT(ADDRESS(2,COLUMN())),OFFSET($AM$2,0,0,ROW()-1,33),ROW()-1,FALSE))</f>
        <v>6.1511506000000001E-2</v>
      </c>
      <c r="U350">
        <f ca="1">IF(AND(ISNUMBER($U$749),$B$427=1),$U$749,HLOOKUP(INDIRECT(ADDRESS(2,COLUMN())),OFFSET($AM$2,0,0,ROW()-1,33),ROW()-1,FALSE))</f>
        <v>3.5457667999999998E-2</v>
      </c>
      <c r="V350">
        <f ca="1">IF(AND(ISNUMBER($V$749),$B$427=1),$V$749,HLOOKUP(INDIRECT(ADDRESS(2,COLUMN())),OFFSET($AM$2,0,0,ROW()-1,33),ROW()-1,FALSE))</f>
        <v>1.9930105E-2</v>
      </c>
      <c r="W350">
        <f ca="1">IF(AND(ISNUMBER($W$749),$B$427=1),$W$749,HLOOKUP(INDIRECT(ADDRESS(2,COLUMN())),OFFSET($AM$2,0,0,ROW()-1,33),ROW()-1,FALSE))</f>
        <v>2.6883636999999998E-2</v>
      </c>
      <c r="X350">
        <f ca="1">IF(AND(ISNUMBER($X$749),$B$427=1),$X$749,HLOOKUP(INDIRECT(ADDRESS(2,COLUMN())),OFFSET($AM$2,0,0,ROW()-1,33),ROW()-1,FALSE))</f>
        <v>5.8562337999999999E-2</v>
      </c>
      <c r="Y350">
        <f ca="1">IF(AND(ISNUMBER($Y$749),$B$427=1),$Y$749,HLOOKUP(INDIRECT(ADDRESS(2,COLUMN())),OFFSET($AM$2,0,0,ROW()-1,33),ROW()-1,FALSE))</f>
        <v>6.2527533999999996E-2</v>
      </c>
      <c r="Z350">
        <f ca="1">IF(AND(ISNUMBER($Z$749),$B$427=1),$Z$749,HLOOKUP(INDIRECT(ADDRESS(2,COLUMN())),OFFSET($AM$2,0,0,ROW()-1,33),ROW()-1,FALSE))</f>
        <v>6.6133835000000002E-2</v>
      </c>
      <c r="AA350">
        <f ca="1">IF(AND(ISNUMBER($AA$749),$B$427=1),$AA$749,HLOOKUP(INDIRECT(ADDRESS(2,COLUMN())),OFFSET($AM$2,0,0,ROW()-1,33),ROW()-1,FALSE))</f>
        <v>7.7938724000000001E-2</v>
      </c>
      <c r="AB350">
        <f ca="1">IF(AND(ISNUMBER($AB$749),$B$427=1),$AB$749,HLOOKUP(INDIRECT(ADDRESS(2,COLUMN())),OFFSET($AM$2,0,0,ROW()-1,33),ROW()-1,FALSE))</f>
        <v>7.2913687000000005E-2</v>
      </c>
      <c r="AC350">
        <f ca="1">IF(AND(ISNUMBER($AC$749),$B$427=1),$AC$749,HLOOKUP(INDIRECT(ADDRESS(2,COLUMN())),OFFSET($AM$2,0,0,ROW()-1,33),ROW()-1,FALSE))</f>
        <v>0.13305044099999999</v>
      </c>
      <c r="AD350" t="str">
        <f ca="1">IF(AND(ISNUMBER($AD$749),$B$427=1),$AD$749,HLOOKUP(INDIRECT(ADDRESS(2,COLUMN())),OFFSET($AM$2,0,0,ROW()-1,33),ROW()-1,FALSE))</f>
        <v/>
      </c>
      <c r="AE350" t="str">
        <f ca="1">IF(AND(ISNUMBER($AE$749),$B$427=1),$AE$749,HLOOKUP(INDIRECT(ADDRESS(2,COLUMN())),OFFSET($AM$2,0,0,ROW()-1,33),ROW()-1,FALSE))</f>
        <v/>
      </c>
      <c r="AF350" t="str">
        <f ca="1">IF(AND(ISNUMBER($AF$749),$B$427=1),$AF$749,HLOOKUP(INDIRECT(ADDRESS(2,COLUMN())),OFFSET($AM$2,0,0,ROW()-1,33),ROW()-1,FALSE))</f>
        <v/>
      </c>
      <c r="AG350" t="str">
        <f ca="1">IF(AND(ISNUMBER($AG$749),$B$427=1),$AG$749,HLOOKUP(INDIRECT(ADDRESS(2,COLUMN())),OFFSET($AM$2,0,0,ROW()-1,33),ROW()-1,FALSE))</f>
        <v/>
      </c>
      <c r="AH350" t="str">
        <f ca="1">IF(AND(ISNUMBER($AH$749),$B$427=1),$AH$749,HLOOKUP(INDIRECT(ADDRESS(2,COLUMN())),OFFSET($AM$2,0,0,ROW()-1,33),ROW()-1,FALSE))</f>
        <v/>
      </c>
      <c r="AI350" t="str">
        <f ca="1">IF(AND(ISNUMBER($AI$749),$B$427=1),$AI$749,HLOOKUP(INDIRECT(ADDRESS(2,COLUMN())),OFFSET($AM$2,0,0,ROW()-1,33),ROW()-1,FALSE))</f>
        <v/>
      </c>
      <c r="AJ350" t="str">
        <f ca="1">IF(AND(ISNUMBER($AJ$749),$B$427=1),$AJ$749,HLOOKUP(INDIRECT(ADDRESS(2,COLUMN())),OFFSET($AM$2,0,0,ROW()-1,33),ROW()-1,FALSE))</f>
        <v/>
      </c>
      <c r="AK350" t="str">
        <f ca="1">IF(AND(ISNUMBER($AK$749),$B$427=1),$AK$749,HLOOKUP(INDIRECT(ADDRESS(2,COLUMN())),OFFSET($AM$2,0,0,ROW()-1,33),ROW()-1,FALSE))</f>
        <v/>
      </c>
      <c r="AL350" t="str">
        <f ca="1">IF(AND(ISNUMBER($AL$749),$B$427=1),$AL$749,HLOOKUP(INDIRECT(ADDRESS(2,COLUMN())),OFFSET($AM$2,0,0,ROW()-1,33),ROW()-1,FALSE))</f>
        <v/>
      </c>
      <c r="AM350">
        <f>0.03717951</f>
        <v>3.7179509999999999E-2</v>
      </c>
      <c r="AN350">
        <f>0.039346002</f>
        <v>3.9346001999999998E-2</v>
      </c>
      <c r="AO350">
        <f>0.082622936</f>
        <v>8.2622935999999994E-2</v>
      </c>
      <c r="AP350">
        <f>0.109291195</f>
        <v>0.10929119499999999</v>
      </c>
      <c r="AQ350">
        <f>0.138721339</f>
        <v>0.138721339</v>
      </c>
      <c r="AR350">
        <f>0.216606568</f>
        <v>0.216606568</v>
      </c>
      <c r="AS350">
        <f>0.157387952</f>
        <v>0.157387952</v>
      </c>
      <c r="AT350">
        <f>0.149318783</f>
        <v>0.14931878300000001</v>
      </c>
      <c r="AU350">
        <f>0.270129278</f>
        <v>0.27012927799999997</v>
      </c>
      <c r="AV350">
        <f>0.286832148</f>
        <v>0.28683214800000001</v>
      </c>
      <c r="AW350">
        <f>0.142475764</f>
        <v>0.142475764</v>
      </c>
      <c r="AX350">
        <f>0.098000683</f>
        <v>9.8000683000000005E-2</v>
      </c>
      <c r="AY350">
        <f>0.100157926</f>
        <v>0.10015792599999999</v>
      </c>
      <c r="AZ350">
        <f>0.094617475</f>
        <v>9.4617475000000006E-2</v>
      </c>
      <c r="BA350">
        <f>0.061511506</f>
        <v>6.1511506000000001E-2</v>
      </c>
      <c r="BB350">
        <f>0.035457668</f>
        <v>3.5457667999999998E-2</v>
      </c>
      <c r="BC350">
        <f>0.019930105</f>
        <v>1.9930105E-2</v>
      </c>
      <c r="BD350">
        <f>0.026883637</f>
        <v>2.6883636999999998E-2</v>
      </c>
      <c r="BE350">
        <f>0.058562338</f>
        <v>5.8562337999999999E-2</v>
      </c>
      <c r="BF350">
        <f>0.062527534</f>
        <v>6.2527533999999996E-2</v>
      </c>
      <c r="BG350">
        <f>0.066133835</f>
        <v>6.6133835000000002E-2</v>
      </c>
      <c r="BH350">
        <f>0.077938724</f>
        <v>7.7938724000000001E-2</v>
      </c>
      <c r="BI350">
        <f>0.072913687</f>
        <v>7.2913687000000005E-2</v>
      </c>
      <c r="BJ350">
        <f>0.133050441</f>
        <v>0.13305044099999999</v>
      </c>
      <c r="BK350" t="str">
        <f>""</f>
        <v/>
      </c>
      <c r="BL350" t="str">
        <f>""</f>
        <v/>
      </c>
      <c r="BM350" t="str">
        <f>""</f>
        <v/>
      </c>
      <c r="BN350" t="str">
        <f>""</f>
        <v/>
      </c>
      <c r="BO350" t="str">
        <f>""</f>
        <v/>
      </c>
      <c r="BP350" t="str">
        <f>""</f>
        <v/>
      </c>
      <c r="BQ350" t="str">
        <f>""</f>
        <v/>
      </c>
      <c r="BR350" t="str">
        <f>""</f>
        <v/>
      </c>
      <c r="BS350" t="str">
        <f>""</f>
        <v/>
      </c>
    </row>
    <row r="351" spans="1:71" x14ac:dyDescent="0.25">
      <c r="A351" t="str">
        <f>"        Citigroup Inc"</f>
        <v xml:space="preserve">        Citigroup Inc</v>
      </c>
      <c r="B351" t="str">
        <f>"C US Equity"</f>
        <v>C US Equity</v>
      </c>
      <c r="C351" t="str">
        <f t="shared" si="48"/>
        <v>F0126</v>
      </c>
      <c r="D351" t="str">
        <f t="shared" si="49"/>
        <v>FED_SOV_LOANS_%_TOT_LOANS_LEASES</v>
      </c>
      <c r="E351" t="str">
        <f t="shared" si="50"/>
        <v>Dynamic</v>
      </c>
      <c r="F351">
        <f ca="1">IF(AND(ISNUMBER($F$750),$B$427=1),$F$750,HLOOKUP(INDIRECT(ADDRESS(2,COLUMN())),OFFSET($AM$2,0,0,ROW()-1,33),ROW()-1,FALSE))</f>
        <v>0.73268202900000001</v>
      </c>
      <c r="G351">
        <f ca="1">IF(AND(ISNUMBER($G$750),$B$427=1),$G$750,HLOOKUP(INDIRECT(ADDRESS(2,COLUMN())),OFFSET($AM$2,0,0,ROW()-1,33),ROW()-1,FALSE))</f>
        <v>0.68194785199999997</v>
      </c>
      <c r="H351">
        <f ca="1">IF(AND(ISNUMBER($H$750),$B$427=1),$H$750,HLOOKUP(INDIRECT(ADDRESS(2,COLUMN())),OFFSET($AM$2,0,0,ROW()-1,33),ROW()-1,FALSE))</f>
        <v>0.77096520400000002</v>
      </c>
      <c r="I351">
        <f ca="1">IF(AND(ISNUMBER($I$750),$B$427=1),$I$750,HLOOKUP(INDIRECT(ADDRESS(2,COLUMN())),OFFSET($AM$2,0,0,ROW()-1,33),ROW()-1,FALSE))</f>
        <v>0.78096858800000002</v>
      </c>
      <c r="J351">
        <f ca="1">IF(AND(ISNUMBER($J$750),$B$427=1),$J$750,HLOOKUP(INDIRECT(ADDRESS(2,COLUMN())),OFFSET($AM$2,0,0,ROW()-1,33),ROW()-1,FALSE))</f>
        <v>0.69979580299999999</v>
      </c>
      <c r="K351">
        <f ca="1">IF(AND(ISNUMBER($K$750),$B$427=1),$K$750,HLOOKUP(INDIRECT(ADDRESS(2,COLUMN())),OFFSET($AM$2,0,0,ROW()-1,33),ROW()-1,FALSE))</f>
        <v>0.715726788</v>
      </c>
      <c r="L351">
        <f ca="1">IF(AND(ISNUMBER($L$750),$B$427=1),$L$750,HLOOKUP(INDIRECT(ADDRESS(2,COLUMN())),OFFSET($AM$2,0,0,ROW()-1,33),ROW()-1,FALSE))</f>
        <v>0.93108197100000001</v>
      </c>
      <c r="M351">
        <f ca="1">IF(AND(ISNUMBER($M$750),$B$427=1),$M$750,HLOOKUP(INDIRECT(ADDRESS(2,COLUMN())),OFFSET($AM$2,0,0,ROW()-1,33),ROW()-1,FALSE))</f>
        <v>1.081830589</v>
      </c>
      <c r="N351">
        <f ca="1">IF(AND(ISNUMBER($N$750),$B$427=1),$N$750,HLOOKUP(INDIRECT(ADDRESS(2,COLUMN())),OFFSET($AM$2,0,0,ROW()-1,33),ROW()-1,FALSE))</f>
        <v>1.287258445</v>
      </c>
      <c r="O351">
        <f ca="1">IF(AND(ISNUMBER($O$750),$B$427=1),$O$750,HLOOKUP(INDIRECT(ADDRESS(2,COLUMN())),OFFSET($AM$2,0,0,ROW()-1,33),ROW()-1,FALSE))</f>
        <v>1.192255493</v>
      </c>
      <c r="P351">
        <f ca="1">IF(AND(ISNUMBER($P$750),$B$427=1),$P$750,HLOOKUP(INDIRECT(ADDRESS(2,COLUMN())),OFFSET($AM$2,0,0,ROW()-1,33),ROW()-1,FALSE))</f>
        <v>0.754194802</v>
      </c>
      <c r="Q351">
        <f ca="1">IF(AND(ISNUMBER($Q$750),$B$427=1),$Q$750,HLOOKUP(INDIRECT(ADDRESS(2,COLUMN())),OFFSET($AM$2,0,0,ROW()-1,33),ROW()-1,FALSE))</f>
        <v>0.76694862200000002</v>
      </c>
      <c r="R351">
        <f ca="1">IF(AND(ISNUMBER($R$750),$B$427=1),$R$750,HLOOKUP(INDIRECT(ADDRESS(2,COLUMN())),OFFSET($AM$2,0,0,ROW()-1,33),ROW()-1,FALSE))</f>
        <v>0.607755025</v>
      </c>
      <c r="S351">
        <f ca="1">IF(AND(ISNUMBER($S$750),$B$427=1),$S$750,HLOOKUP(INDIRECT(ADDRESS(2,COLUMN())),OFFSET($AM$2,0,0,ROW()-1,33),ROW()-1,FALSE))</f>
        <v>0.656251798</v>
      </c>
      <c r="T351">
        <f ca="1">IF(AND(ISNUMBER($T$750),$B$427=1),$T$750,HLOOKUP(INDIRECT(ADDRESS(2,COLUMN())),OFFSET($AM$2,0,0,ROW()-1,33),ROW()-1,FALSE))</f>
        <v>0.84083219799999998</v>
      </c>
      <c r="U351">
        <f ca="1">IF(AND(ISNUMBER($U$750),$B$427=1),$U$750,HLOOKUP(INDIRECT(ADDRESS(2,COLUMN())),OFFSET($AM$2,0,0,ROW()-1,33),ROW()-1,FALSE))</f>
        <v>0.22360443299999999</v>
      </c>
      <c r="V351">
        <f ca="1">IF(AND(ISNUMBER($V$750),$B$427=1),$V$750,HLOOKUP(INDIRECT(ADDRESS(2,COLUMN())),OFFSET($AM$2,0,0,ROW()-1,33),ROW()-1,FALSE))</f>
        <v>8.2911329000000006E-2</v>
      </c>
      <c r="W351">
        <f ca="1">IF(AND(ISNUMBER($W$750),$B$427=1),$W$750,HLOOKUP(INDIRECT(ADDRESS(2,COLUMN())),OFFSET($AM$2,0,0,ROW()-1,33),ROW()-1,FALSE))</f>
        <v>9.0624380000000004E-2</v>
      </c>
      <c r="X351">
        <f ca="1">IF(AND(ISNUMBER($X$750),$B$427=1),$X$750,HLOOKUP(INDIRECT(ADDRESS(2,COLUMN())),OFFSET($AM$2,0,0,ROW()-1,33),ROW()-1,FALSE))</f>
        <v>0.28355492399999999</v>
      </c>
      <c r="Y351">
        <f ca="1">IF(AND(ISNUMBER($Y$750),$B$427=1),$Y$750,HLOOKUP(INDIRECT(ADDRESS(2,COLUMN())),OFFSET($AM$2,0,0,ROW()-1,33),ROW()-1,FALSE))</f>
        <v>0.18261005299999999</v>
      </c>
      <c r="Z351">
        <f ca="1">IF(AND(ISNUMBER($Z$750),$B$427=1),$Z$750,HLOOKUP(INDIRECT(ADDRESS(2,COLUMN())),OFFSET($AM$2,0,0,ROW()-1,33),ROW()-1,FALSE))</f>
        <v>0.241400326</v>
      </c>
      <c r="AA351">
        <f ca="1">IF(AND(ISNUMBER($AA$750),$B$427=1),$AA$750,HLOOKUP(INDIRECT(ADDRESS(2,COLUMN())),OFFSET($AM$2,0,0,ROW()-1,33),ROW()-1,FALSE))</f>
        <v>0.52443694900000004</v>
      </c>
      <c r="AB351">
        <f ca="1">IF(AND(ISNUMBER($AB$750),$B$427=1),$AB$750,HLOOKUP(INDIRECT(ADDRESS(2,COLUMN())),OFFSET($AM$2,0,0,ROW()-1,33),ROW()-1,FALSE))</f>
        <v>0.93990357599999996</v>
      </c>
      <c r="AC351">
        <f ca="1">IF(AND(ISNUMBER($AC$750),$B$427=1),$AC$750,HLOOKUP(INDIRECT(ADDRESS(2,COLUMN())),OFFSET($AM$2,0,0,ROW()-1,33),ROW()-1,FALSE))</f>
        <v>1.247105897</v>
      </c>
      <c r="AD351" t="str">
        <f ca="1">IF(AND(ISNUMBER($AD$750),$B$427=1),$AD$750,HLOOKUP(INDIRECT(ADDRESS(2,COLUMN())),OFFSET($AM$2,0,0,ROW()-1,33),ROW()-1,FALSE))</f>
        <v/>
      </c>
      <c r="AE351" t="str">
        <f ca="1">IF(AND(ISNUMBER($AE$750),$B$427=1),$AE$750,HLOOKUP(INDIRECT(ADDRESS(2,COLUMN())),OFFSET($AM$2,0,0,ROW()-1,33),ROW()-1,FALSE))</f>
        <v/>
      </c>
      <c r="AF351" t="str">
        <f ca="1">IF(AND(ISNUMBER($AF$750),$B$427=1),$AF$750,HLOOKUP(INDIRECT(ADDRESS(2,COLUMN())),OFFSET($AM$2,0,0,ROW()-1,33),ROW()-1,FALSE))</f>
        <v/>
      </c>
      <c r="AG351" t="str">
        <f ca="1">IF(AND(ISNUMBER($AG$750),$B$427=1),$AG$750,HLOOKUP(INDIRECT(ADDRESS(2,COLUMN())),OFFSET($AM$2,0,0,ROW()-1,33),ROW()-1,FALSE))</f>
        <v/>
      </c>
      <c r="AH351" t="str">
        <f ca="1">IF(AND(ISNUMBER($AH$750),$B$427=1),$AH$750,HLOOKUP(INDIRECT(ADDRESS(2,COLUMN())),OFFSET($AM$2,0,0,ROW()-1,33),ROW()-1,FALSE))</f>
        <v/>
      </c>
      <c r="AI351" t="str">
        <f ca="1">IF(AND(ISNUMBER($AI$750),$B$427=1),$AI$750,HLOOKUP(INDIRECT(ADDRESS(2,COLUMN())),OFFSET($AM$2,0,0,ROW()-1,33),ROW()-1,FALSE))</f>
        <v/>
      </c>
      <c r="AJ351" t="str">
        <f ca="1">IF(AND(ISNUMBER($AJ$750),$B$427=1),$AJ$750,HLOOKUP(INDIRECT(ADDRESS(2,COLUMN())),OFFSET($AM$2,0,0,ROW()-1,33),ROW()-1,FALSE))</f>
        <v/>
      </c>
      <c r="AK351" t="str">
        <f ca="1">IF(AND(ISNUMBER($AK$750),$B$427=1),$AK$750,HLOOKUP(INDIRECT(ADDRESS(2,COLUMN())),OFFSET($AM$2,0,0,ROW()-1,33),ROW()-1,FALSE))</f>
        <v/>
      </c>
      <c r="AL351" t="str">
        <f ca="1">IF(AND(ISNUMBER($AL$750),$B$427=1),$AL$750,HLOOKUP(INDIRECT(ADDRESS(2,COLUMN())),OFFSET($AM$2,0,0,ROW()-1,33),ROW()-1,FALSE))</f>
        <v/>
      </c>
      <c r="AM351">
        <f>0.732682029</f>
        <v>0.73268202900000001</v>
      </c>
      <c r="AN351">
        <f>0.681947852</f>
        <v>0.68194785199999997</v>
      </c>
      <c r="AO351">
        <f>0.770965204</f>
        <v>0.77096520400000002</v>
      </c>
      <c r="AP351">
        <f>0.780968588</f>
        <v>0.78096858800000002</v>
      </c>
      <c r="AQ351">
        <f>0.699795803</f>
        <v>0.69979580299999999</v>
      </c>
      <c r="AR351">
        <f>0.715726788</f>
        <v>0.715726788</v>
      </c>
      <c r="AS351">
        <f>0.931081971</f>
        <v>0.93108197100000001</v>
      </c>
      <c r="AT351">
        <f>1.081830589</f>
        <v>1.081830589</v>
      </c>
      <c r="AU351">
        <f>1.287258445</f>
        <v>1.287258445</v>
      </c>
      <c r="AV351">
        <f>1.192255493</f>
        <v>1.192255493</v>
      </c>
      <c r="AW351">
        <f>0.754194802</f>
        <v>0.754194802</v>
      </c>
      <c r="AX351">
        <f>0.766948622</f>
        <v>0.76694862200000002</v>
      </c>
      <c r="AY351">
        <f>0.607755025</f>
        <v>0.607755025</v>
      </c>
      <c r="AZ351">
        <f>0.656251798</f>
        <v>0.656251798</v>
      </c>
      <c r="BA351">
        <f>0.840832198</f>
        <v>0.84083219799999998</v>
      </c>
      <c r="BB351">
        <f>0.223604433</f>
        <v>0.22360443299999999</v>
      </c>
      <c r="BC351">
        <f>0.082911329</f>
        <v>8.2911329000000006E-2</v>
      </c>
      <c r="BD351">
        <f>0.09062438</f>
        <v>9.0624380000000004E-2</v>
      </c>
      <c r="BE351">
        <f>0.283554924</f>
        <v>0.28355492399999999</v>
      </c>
      <c r="BF351">
        <f>0.182610053</f>
        <v>0.18261005299999999</v>
      </c>
      <c r="BG351">
        <f>0.241400326</f>
        <v>0.241400326</v>
      </c>
      <c r="BH351">
        <f>0.524436949</f>
        <v>0.52443694900000004</v>
      </c>
      <c r="BI351">
        <f>0.939903576</f>
        <v>0.93990357599999996</v>
      </c>
      <c r="BJ351">
        <f>1.247105897</f>
        <v>1.247105897</v>
      </c>
      <c r="BK351" t="str">
        <f>""</f>
        <v/>
      </c>
      <c r="BL351" t="str">
        <f>""</f>
        <v/>
      </c>
      <c r="BM351" t="str">
        <f>""</f>
        <v/>
      </c>
      <c r="BN351" t="str">
        <f>""</f>
        <v/>
      </c>
      <c r="BO351" t="str">
        <f>""</f>
        <v/>
      </c>
      <c r="BP351" t="str">
        <f>""</f>
        <v/>
      </c>
      <c r="BQ351" t="str">
        <f>""</f>
        <v/>
      </c>
      <c r="BR351" t="str">
        <f>""</f>
        <v/>
      </c>
      <c r="BS351" t="str">
        <f>""</f>
        <v/>
      </c>
    </row>
    <row r="352" spans="1:71" x14ac:dyDescent="0.25">
      <c r="A352" t="str">
        <f>"        Citizens Financial Group Inc"</f>
        <v xml:space="preserve">        Citizens Financial Group Inc</v>
      </c>
      <c r="B352" t="str">
        <f>"CFG US Equity"</f>
        <v>CFG US Equity</v>
      </c>
      <c r="C352" t="str">
        <f t="shared" si="48"/>
        <v>F0126</v>
      </c>
      <c r="D352" t="str">
        <f t="shared" si="49"/>
        <v>FED_SOV_LOANS_%_TOT_LOANS_LEASES</v>
      </c>
      <c r="E352" t="str">
        <f t="shared" si="50"/>
        <v>Dynamic</v>
      </c>
      <c r="F352">
        <f ca="1">IF(AND(ISNUMBER($F$751),$B$427=1),$F$751,HLOOKUP(INDIRECT(ADDRESS(2,COLUMN())),OFFSET($AM$2,0,0,ROW()-1,33),ROW()-1,FALSE))</f>
        <v>0</v>
      </c>
      <c r="G352">
        <f ca="1">IF(AND(ISNUMBER($G$751),$B$427=1),$G$751,HLOOKUP(INDIRECT(ADDRESS(2,COLUMN())),OFFSET($AM$2,0,0,ROW()-1,33),ROW()-1,FALSE))</f>
        <v>0</v>
      </c>
      <c r="H352">
        <f ca="1">IF(AND(ISNUMBER($H$751),$B$427=1),$H$751,HLOOKUP(INDIRECT(ADDRESS(2,COLUMN())),OFFSET($AM$2,0,0,ROW()-1,33),ROW()-1,FALSE))</f>
        <v>0</v>
      </c>
      <c r="I352">
        <f ca="1">IF(AND(ISNUMBER($I$751),$B$427=1),$I$751,HLOOKUP(INDIRECT(ADDRESS(2,COLUMN())),OFFSET($AM$2,0,0,ROW()-1,33),ROW()-1,FALSE))</f>
        <v>0</v>
      </c>
      <c r="J352">
        <f ca="1">IF(AND(ISNUMBER($J$751),$B$427=1),$J$751,HLOOKUP(INDIRECT(ADDRESS(2,COLUMN())),OFFSET($AM$2,0,0,ROW()-1,33),ROW()-1,FALSE))</f>
        <v>0</v>
      </c>
      <c r="K352">
        <f ca="1">IF(AND(ISNUMBER($K$751),$B$427=1),$K$751,HLOOKUP(INDIRECT(ADDRESS(2,COLUMN())),OFFSET($AM$2,0,0,ROW()-1,33),ROW()-1,FALSE))</f>
        <v>0</v>
      </c>
      <c r="L352">
        <f ca="1">IF(AND(ISNUMBER($L$751),$B$427=1),$L$751,HLOOKUP(INDIRECT(ADDRESS(2,COLUMN())),OFFSET($AM$2,0,0,ROW()-1,33),ROW()-1,FALSE))</f>
        <v>0</v>
      </c>
      <c r="M352">
        <f ca="1">IF(AND(ISNUMBER($M$751),$B$427=1),$M$751,HLOOKUP(INDIRECT(ADDRESS(2,COLUMN())),OFFSET($AM$2,0,0,ROW()-1,33),ROW()-1,FALSE))</f>
        <v>0</v>
      </c>
      <c r="N352">
        <f ca="1">IF(AND(ISNUMBER($N$751),$B$427=1),$N$751,HLOOKUP(INDIRECT(ADDRESS(2,COLUMN())),OFFSET($AM$2,0,0,ROW()-1,33),ROW()-1,FALSE))</f>
        <v>0</v>
      </c>
      <c r="O352">
        <f ca="1">IF(AND(ISNUMBER($O$751),$B$427=1),$O$751,HLOOKUP(INDIRECT(ADDRESS(2,COLUMN())),OFFSET($AM$2,0,0,ROW()-1,33),ROW()-1,FALSE))</f>
        <v>0</v>
      </c>
      <c r="P352">
        <f ca="1">IF(AND(ISNUMBER($P$751),$B$427=1),$P$751,HLOOKUP(INDIRECT(ADDRESS(2,COLUMN())),OFFSET($AM$2,0,0,ROW()-1,33),ROW()-1,FALSE))</f>
        <v>0</v>
      </c>
      <c r="Q352">
        <f ca="1">IF(AND(ISNUMBER($Q$751),$B$427=1),$Q$751,HLOOKUP(INDIRECT(ADDRESS(2,COLUMN())),OFFSET($AM$2,0,0,ROW()-1,33),ROW()-1,FALSE))</f>
        <v>0</v>
      </c>
      <c r="R352">
        <f ca="1">IF(AND(ISNUMBER($R$751),$B$427=1),$R$751,HLOOKUP(INDIRECT(ADDRESS(2,COLUMN())),OFFSET($AM$2,0,0,ROW()-1,33),ROW()-1,FALSE))</f>
        <v>0</v>
      </c>
      <c r="S352">
        <f ca="1">IF(AND(ISNUMBER($S$751),$B$427=1),$S$751,HLOOKUP(INDIRECT(ADDRESS(2,COLUMN())),OFFSET($AM$2,0,0,ROW()-1,33),ROW()-1,FALSE))</f>
        <v>0</v>
      </c>
      <c r="T352">
        <f ca="1">IF(AND(ISNUMBER($T$751),$B$427=1),$T$751,HLOOKUP(INDIRECT(ADDRESS(2,COLUMN())),OFFSET($AM$2,0,0,ROW()-1,33),ROW()-1,FALSE))</f>
        <v>0</v>
      </c>
      <c r="U352">
        <f ca="1">IF(AND(ISNUMBER($U$751),$B$427=1),$U$751,HLOOKUP(INDIRECT(ADDRESS(2,COLUMN())),OFFSET($AM$2,0,0,ROW()-1,33),ROW()-1,FALSE))</f>
        <v>0</v>
      </c>
      <c r="V352">
        <f ca="1">IF(AND(ISNUMBER($V$751),$B$427=1),$V$751,HLOOKUP(INDIRECT(ADDRESS(2,COLUMN())),OFFSET($AM$2,0,0,ROW()-1,33),ROW()-1,FALSE))</f>
        <v>0</v>
      </c>
      <c r="W352">
        <f ca="1">IF(AND(ISNUMBER($W$751),$B$427=1),$W$751,HLOOKUP(INDIRECT(ADDRESS(2,COLUMN())),OFFSET($AM$2,0,0,ROW()-1,33),ROW()-1,FALSE))</f>
        <v>0</v>
      </c>
      <c r="X352">
        <f ca="1">IF(AND(ISNUMBER($X$751),$B$427=1),$X$751,HLOOKUP(INDIRECT(ADDRESS(2,COLUMN())),OFFSET($AM$2,0,0,ROW()-1,33),ROW()-1,FALSE))</f>
        <v>0</v>
      </c>
      <c r="Y352">
        <f ca="1">IF(AND(ISNUMBER($Y$751),$B$427=1),$Y$751,HLOOKUP(INDIRECT(ADDRESS(2,COLUMN())),OFFSET($AM$2,0,0,ROW()-1,33),ROW()-1,FALSE))</f>
        <v>0</v>
      </c>
      <c r="Z352">
        <f ca="1">IF(AND(ISNUMBER($Z$751),$B$427=1),$Z$751,HLOOKUP(INDIRECT(ADDRESS(2,COLUMN())),OFFSET($AM$2,0,0,ROW()-1,33),ROW()-1,FALSE))</f>
        <v>0</v>
      </c>
      <c r="AA352">
        <f ca="1">IF(AND(ISNUMBER($AA$751),$B$427=1),$AA$751,HLOOKUP(INDIRECT(ADDRESS(2,COLUMN())),OFFSET($AM$2,0,0,ROW()-1,33),ROW()-1,FALSE))</f>
        <v>0</v>
      </c>
      <c r="AB352">
        <f ca="1">IF(AND(ISNUMBER($AB$751),$B$427=1),$AB$751,HLOOKUP(INDIRECT(ADDRESS(2,COLUMN())),OFFSET($AM$2,0,0,ROW()-1,33),ROW()-1,FALSE))</f>
        <v>0</v>
      </c>
      <c r="AC352">
        <f ca="1">IF(AND(ISNUMBER($AC$751),$B$427=1),$AC$751,HLOOKUP(INDIRECT(ADDRESS(2,COLUMN())),OFFSET($AM$2,0,0,ROW()-1,33),ROW()-1,FALSE))</f>
        <v>0</v>
      </c>
      <c r="AD352" t="str">
        <f ca="1">IF(AND(ISNUMBER($AD$751),$B$427=1),$AD$751,HLOOKUP(INDIRECT(ADDRESS(2,COLUMN())),OFFSET($AM$2,0,0,ROW()-1,33),ROW()-1,FALSE))</f>
        <v/>
      </c>
      <c r="AE352" t="str">
        <f ca="1">IF(AND(ISNUMBER($AE$751),$B$427=1),$AE$751,HLOOKUP(INDIRECT(ADDRESS(2,COLUMN())),OFFSET($AM$2,0,0,ROW()-1,33),ROW()-1,FALSE))</f>
        <v/>
      </c>
      <c r="AF352" t="str">
        <f ca="1">IF(AND(ISNUMBER($AF$751),$B$427=1),$AF$751,HLOOKUP(INDIRECT(ADDRESS(2,COLUMN())),OFFSET($AM$2,0,0,ROW()-1,33),ROW()-1,FALSE))</f>
        <v/>
      </c>
      <c r="AG352" t="str">
        <f ca="1">IF(AND(ISNUMBER($AG$751),$B$427=1),$AG$751,HLOOKUP(INDIRECT(ADDRESS(2,COLUMN())),OFFSET($AM$2,0,0,ROW()-1,33),ROW()-1,FALSE))</f>
        <v/>
      </c>
      <c r="AH352" t="str">
        <f ca="1">IF(AND(ISNUMBER($AH$751),$B$427=1),$AH$751,HLOOKUP(INDIRECT(ADDRESS(2,COLUMN())),OFFSET($AM$2,0,0,ROW()-1,33),ROW()-1,FALSE))</f>
        <v/>
      </c>
      <c r="AI352" t="str">
        <f ca="1">IF(AND(ISNUMBER($AI$751),$B$427=1),$AI$751,HLOOKUP(INDIRECT(ADDRESS(2,COLUMN())),OFFSET($AM$2,0,0,ROW()-1,33),ROW()-1,FALSE))</f>
        <v/>
      </c>
      <c r="AJ352" t="str">
        <f ca="1">IF(AND(ISNUMBER($AJ$751),$B$427=1),$AJ$751,HLOOKUP(INDIRECT(ADDRESS(2,COLUMN())),OFFSET($AM$2,0,0,ROW()-1,33),ROW()-1,FALSE))</f>
        <v/>
      </c>
      <c r="AK352" t="str">
        <f ca="1">IF(AND(ISNUMBER($AK$751),$B$427=1),$AK$751,HLOOKUP(INDIRECT(ADDRESS(2,COLUMN())),OFFSET($AM$2,0,0,ROW()-1,33),ROW()-1,FALSE))</f>
        <v/>
      </c>
      <c r="AL352" t="str">
        <f ca="1">IF(AND(ISNUMBER($AL$751),$B$427=1),$AL$751,HLOOKUP(INDIRECT(ADDRESS(2,COLUMN())),OFFSET($AM$2,0,0,ROW()-1,33),ROW()-1,FALSE))</f>
        <v/>
      </c>
      <c r="AM352">
        <f>0</f>
        <v>0</v>
      </c>
      <c r="AN352">
        <f>0</f>
        <v>0</v>
      </c>
      <c r="AO352">
        <f>0</f>
        <v>0</v>
      </c>
      <c r="AP352">
        <f>0</f>
        <v>0</v>
      </c>
      <c r="AQ352">
        <f>0</f>
        <v>0</v>
      </c>
      <c r="AR352">
        <f>0</f>
        <v>0</v>
      </c>
      <c r="AS352">
        <f>0</f>
        <v>0</v>
      </c>
      <c r="AT352">
        <f>0</f>
        <v>0</v>
      </c>
      <c r="AU352">
        <f>0</f>
        <v>0</v>
      </c>
      <c r="AV352">
        <f>0</f>
        <v>0</v>
      </c>
      <c r="AW352">
        <f>0</f>
        <v>0</v>
      </c>
      <c r="AX352">
        <f>0</f>
        <v>0</v>
      </c>
      <c r="AY352">
        <f>0</f>
        <v>0</v>
      </c>
      <c r="AZ352">
        <f>0</f>
        <v>0</v>
      </c>
      <c r="BA352">
        <f>0</f>
        <v>0</v>
      </c>
      <c r="BB352">
        <f>0</f>
        <v>0</v>
      </c>
      <c r="BC352">
        <f>0</f>
        <v>0</v>
      </c>
      <c r="BD352">
        <f>0</f>
        <v>0</v>
      </c>
      <c r="BE352">
        <f>0</f>
        <v>0</v>
      </c>
      <c r="BF352">
        <f>0</f>
        <v>0</v>
      </c>
      <c r="BG352">
        <f>0</f>
        <v>0</v>
      </c>
      <c r="BH352">
        <f>0</f>
        <v>0</v>
      </c>
      <c r="BI352">
        <f>0</f>
        <v>0</v>
      </c>
      <c r="BJ352">
        <f>0</f>
        <v>0</v>
      </c>
      <c r="BK352" t="str">
        <f>""</f>
        <v/>
      </c>
      <c r="BL352" t="str">
        <f>""</f>
        <v/>
      </c>
      <c r="BM352" t="str">
        <f>""</f>
        <v/>
      </c>
      <c r="BN352" t="str">
        <f>""</f>
        <v/>
      </c>
      <c r="BO352" t="str">
        <f>""</f>
        <v/>
      </c>
      <c r="BP352" t="str">
        <f>""</f>
        <v/>
      </c>
      <c r="BQ352" t="str">
        <f>""</f>
        <v/>
      </c>
      <c r="BR352" t="str">
        <f>""</f>
        <v/>
      </c>
      <c r="BS352" t="str">
        <f>""</f>
        <v/>
      </c>
    </row>
    <row r="353" spans="1:71" x14ac:dyDescent="0.25">
      <c r="A353" t="str">
        <f>"        Capital One Financial Corp"</f>
        <v xml:space="preserve">        Capital One Financial Corp</v>
      </c>
      <c r="B353" t="str">
        <f>"COF US Equity"</f>
        <v>COF US Equity</v>
      </c>
      <c r="C353" t="str">
        <f t="shared" si="48"/>
        <v>F0126</v>
      </c>
      <c r="D353" t="str">
        <f t="shared" si="49"/>
        <v>FED_SOV_LOANS_%_TOT_LOANS_LEASES</v>
      </c>
      <c r="E353" t="str">
        <f t="shared" si="50"/>
        <v>Dynamic</v>
      </c>
      <c r="F353">
        <f ca="1">IF(AND(ISNUMBER($F$752),$B$427=1),$F$752,HLOOKUP(INDIRECT(ADDRESS(2,COLUMN())),OFFSET($AM$2,0,0,ROW()-1,33),ROW()-1,FALSE))</f>
        <v>0</v>
      </c>
      <c r="G353">
        <f ca="1">IF(AND(ISNUMBER($G$752),$B$427=1),$G$752,HLOOKUP(INDIRECT(ADDRESS(2,COLUMN())),OFFSET($AM$2,0,0,ROW()-1,33),ROW()-1,FALSE))</f>
        <v>0</v>
      </c>
      <c r="H353">
        <f ca="1">IF(AND(ISNUMBER($H$752),$B$427=1),$H$752,HLOOKUP(INDIRECT(ADDRESS(2,COLUMN())),OFFSET($AM$2,0,0,ROW()-1,33),ROW()-1,FALSE))</f>
        <v>0</v>
      </c>
      <c r="I353">
        <f ca="1">IF(AND(ISNUMBER($I$752),$B$427=1),$I$752,HLOOKUP(INDIRECT(ADDRESS(2,COLUMN())),OFFSET($AM$2,0,0,ROW()-1,33),ROW()-1,FALSE))</f>
        <v>0</v>
      </c>
      <c r="J353">
        <f ca="1">IF(AND(ISNUMBER($J$752),$B$427=1),$J$752,HLOOKUP(INDIRECT(ADDRESS(2,COLUMN())),OFFSET($AM$2,0,0,ROW()-1,33),ROW()-1,FALSE))</f>
        <v>0</v>
      </c>
      <c r="K353">
        <f ca="1">IF(AND(ISNUMBER($K$752),$B$427=1),$K$752,HLOOKUP(INDIRECT(ADDRESS(2,COLUMN())),OFFSET($AM$2,0,0,ROW()-1,33),ROW()-1,FALSE))</f>
        <v>0</v>
      </c>
      <c r="L353">
        <f ca="1">IF(AND(ISNUMBER($L$752),$B$427=1),$L$752,HLOOKUP(INDIRECT(ADDRESS(2,COLUMN())),OFFSET($AM$2,0,0,ROW()-1,33),ROW()-1,FALSE))</f>
        <v>0</v>
      </c>
      <c r="M353">
        <f ca="1">IF(AND(ISNUMBER($M$752),$B$427=1),$M$752,HLOOKUP(INDIRECT(ADDRESS(2,COLUMN())),OFFSET($AM$2,0,0,ROW()-1,33),ROW()-1,FALSE))</f>
        <v>0</v>
      </c>
      <c r="N353">
        <f ca="1">IF(AND(ISNUMBER($N$752),$B$427=1),$N$752,HLOOKUP(INDIRECT(ADDRESS(2,COLUMN())),OFFSET($AM$2,0,0,ROW()-1,33),ROW()-1,FALSE))</f>
        <v>0</v>
      </c>
      <c r="O353">
        <f ca="1">IF(AND(ISNUMBER($O$752),$B$427=1),$O$752,HLOOKUP(INDIRECT(ADDRESS(2,COLUMN())),OFFSET($AM$2,0,0,ROW()-1,33),ROW()-1,FALSE))</f>
        <v>0</v>
      </c>
      <c r="P353">
        <f ca="1">IF(AND(ISNUMBER($P$752),$B$427=1),$P$752,HLOOKUP(INDIRECT(ADDRESS(2,COLUMN())),OFFSET($AM$2,0,0,ROW()-1,33),ROW()-1,FALSE))</f>
        <v>0</v>
      </c>
      <c r="Q353">
        <f ca="1">IF(AND(ISNUMBER($Q$752),$B$427=1),$Q$752,HLOOKUP(INDIRECT(ADDRESS(2,COLUMN())),OFFSET($AM$2,0,0,ROW()-1,33),ROW()-1,FALSE))</f>
        <v>0</v>
      </c>
      <c r="R353">
        <f ca="1">IF(AND(ISNUMBER($R$752),$B$427=1),$R$752,HLOOKUP(INDIRECT(ADDRESS(2,COLUMN())),OFFSET($AM$2,0,0,ROW()-1,33),ROW()-1,FALSE))</f>
        <v>0</v>
      </c>
      <c r="S353">
        <f ca="1">IF(AND(ISNUMBER($S$752),$B$427=1),$S$752,HLOOKUP(INDIRECT(ADDRESS(2,COLUMN())),OFFSET($AM$2,0,0,ROW()-1,33),ROW()-1,FALSE))</f>
        <v>0</v>
      </c>
      <c r="T353">
        <f ca="1">IF(AND(ISNUMBER($T$752),$B$427=1),$T$752,HLOOKUP(INDIRECT(ADDRESS(2,COLUMN())),OFFSET($AM$2,0,0,ROW()-1,33),ROW()-1,FALSE))</f>
        <v>0</v>
      </c>
      <c r="U353">
        <f ca="1">IF(AND(ISNUMBER($U$752),$B$427=1),$U$752,HLOOKUP(INDIRECT(ADDRESS(2,COLUMN())),OFFSET($AM$2,0,0,ROW()-1,33),ROW()-1,FALSE))</f>
        <v>0</v>
      </c>
      <c r="V353">
        <f ca="1">IF(AND(ISNUMBER($V$752),$B$427=1),$V$752,HLOOKUP(INDIRECT(ADDRESS(2,COLUMN())),OFFSET($AM$2,0,0,ROW()-1,33),ROW()-1,FALSE))</f>
        <v>0</v>
      </c>
      <c r="W353">
        <f ca="1">IF(AND(ISNUMBER($W$752),$B$427=1),$W$752,HLOOKUP(INDIRECT(ADDRESS(2,COLUMN())),OFFSET($AM$2,0,0,ROW()-1,33),ROW()-1,FALSE))</f>
        <v>0</v>
      </c>
      <c r="X353">
        <f ca="1">IF(AND(ISNUMBER($X$752),$B$427=1),$X$752,HLOOKUP(INDIRECT(ADDRESS(2,COLUMN())),OFFSET($AM$2,0,0,ROW()-1,33),ROW()-1,FALSE))</f>
        <v>0</v>
      </c>
      <c r="Y353">
        <f ca="1">IF(AND(ISNUMBER($Y$752),$B$427=1),$Y$752,HLOOKUP(INDIRECT(ADDRESS(2,COLUMN())),OFFSET($AM$2,0,0,ROW()-1,33),ROW()-1,FALSE))</f>
        <v>0</v>
      </c>
      <c r="Z353">
        <f ca="1">IF(AND(ISNUMBER($Z$752),$B$427=1),$Z$752,HLOOKUP(INDIRECT(ADDRESS(2,COLUMN())),OFFSET($AM$2,0,0,ROW()-1,33),ROW()-1,FALSE))</f>
        <v>0</v>
      </c>
      <c r="AA353" t="str">
        <f ca="1">IF(AND(ISNUMBER($AA$752),$B$427=1),$AA$752,HLOOKUP(INDIRECT(ADDRESS(2,COLUMN())),OFFSET($AM$2,0,0,ROW()-1,33),ROW()-1,FALSE))</f>
        <v/>
      </c>
      <c r="AB353" t="str">
        <f ca="1">IF(AND(ISNUMBER($AB$752),$B$427=1),$AB$752,HLOOKUP(INDIRECT(ADDRESS(2,COLUMN())),OFFSET($AM$2,0,0,ROW()-1,33),ROW()-1,FALSE))</f>
        <v/>
      </c>
      <c r="AC353" t="str">
        <f ca="1">IF(AND(ISNUMBER($AC$752),$B$427=1),$AC$752,HLOOKUP(INDIRECT(ADDRESS(2,COLUMN())),OFFSET($AM$2,0,0,ROW()-1,33),ROW()-1,FALSE))</f>
        <v/>
      </c>
      <c r="AD353" t="str">
        <f ca="1">IF(AND(ISNUMBER($AD$752),$B$427=1),$AD$752,HLOOKUP(INDIRECT(ADDRESS(2,COLUMN())),OFFSET($AM$2,0,0,ROW()-1,33),ROW()-1,FALSE))</f>
        <v/>
      </c>
      <c r="AE353" t="str">
        <f ca="1">IF(AND(ISNUMBER($AE$752),$B$427=1),$AE$752,HLOOKUP(INDIRECT(ADDRESS(2,COLUMN())),OFFSET($AM$2,0,0,ROW()-1,33),ROW()-1,FALSE))</f>
        <v/>
      </c>
      <c r="AF353" t="str">
        <f ca="1">IF(AND(ISNUMBER($AF$752),$B$427=1),$AF$752,HLOOKUP(INDIRECT(ADDRESS(2,COLUMN())),OFFSET($AM$2,0,0,ROW()-1,33),ROW()-1,FALSE))</f>
        <v/>
      </c>
      <c r="AG353" t="str">
        <f ca="1">IF(AND(ISNUMBER($AG$752),$B$427=1),$AG$752,HLOOKUP(INDIRECT(ADDRESS(2,COLUMN())),OFFSET($AM$2,0,0,ROW()-1,33),ROW()-1,FALSE))</f>
        <v/>
      </c>
      <c r="AH353" t="str">
        <f ca="1">IF(AND(ISNUMBER($AH$752),$B$427=1),$AH$752,HLOOKUP(INDIRECT(ADDRESS(2,COLUMN())),OFFSET($AM$2,0,0,ROW()-1,33),ROW()-1,FALSE))</f>
        <v/>
      </c>
      <c r="AI353" t="str">
        <f ca="1">IF(AND(ISNUMBER($AI$752),$B$427=1),$AI$752,HLOOKUP(INDIRECT(ADDRESS(2,COLUMN())),OFFSET($AM$2,0,0,ROW()-1,33),ROW()-1,FALSE))</f>
        <v/>
      </c>
      <c r="AJ353" t="str">
        <f ca="1">IF(AND(ISNUMBER($AJ$752),$B$427=1),$AJ$752,HLOOKUP(INDIRECT(ADDRESS(2,COLUMN())),OFFSET($AM$2,0,0,ROW()-1,33),ROW()-1,FALSE))</f>
        <v/>
      </c>
      <c r="AK353" t="str">
        <f ca="1">IF(AND(ISNUMBER($AK$752),$B$427=1),$AK$752,HLOOKUP(INDIRECT(ADDRESS(2,COLUMN())),OFFSET($AM$2,0,0,ROW()-1,33),ROW()-1,FALSE))</f>
        <v/>
      </c>
      <c r="AL353" t="str">
        <f ca="1">IF(AND(ISNUMBER($AL$752),$B$427=1),$AL$752,HLOOKUP(INDIRECT(ADDRESS(2,COLUMN())),OFFSET($AM$2,0,0,ROW()-1,33),ROW()-1,FALSE))</f>
        <v/>
      </c>
      <c r="AM353">
        <f>0</f>
        <v>0</v>
      </c>
      <c r="AN353">
        <f>0</f>
        <v>0</v>
      </c>
      <c r="AO353">
        <f>0</f>
        <v>0</v>
      </c>
      <c r="AP353">
        <f>0</f>
        <v>0</v>
      </c>
      <c r="AQ353">
        <f>0</f>
        <v>0</v>
      </c>
      <c r="AR353">
        <f>0</f>
        <v>0</v>
      </c>
      <c r="AS353">
        <f>0</f>
        <v>0</v>
      </c>
      <c r="AT353">
        <f>0</f>
        <v>0</v>
      </c>
      <c r="AU353">
        <f>0</f>
        <v>0</v>
      </c>
      <c r="AV353">
        <f>0</f>
        <v>0</v>
      </c>
      <c r="AW353">
        <f>0</f>
        <v>0</v>
      </c>
      <c r="AX353">
        <f>0</f>
        <v>0</v>
      </c>
      <c r="AY353">
        <f>0</f>
        <v>0</v>
      </c>
      <c r="AZ353">
        <f>0</f>
        <v>0</v>
      </c>
      <c r="BA353">
        <f>0</f>
        <v>0</v>
      </c>
      <c r="BB353">
        <f>0</f>
        <v>0</v>
      </c>
      <c r="BC353">
        <f>0</f>
        <v>0</v>
      </c>
      <c r="BD353">
        <f>0</f>
        <v>0</v>
      </c>
      <c r="BE353">
        <f>0</f>
        <v>0</v>
      </c>
      <c r="BF353">
        <f>0</f>
        <v>0</v>
      </c>
      <c r="BG353">
        <f>0</f>
        <v>0</v>
      </c>
      <c r="BH353" t="str">
        <f>""</f>
        <v/>
      </c>
      <c r="BI353" t="str">
        <f>""</f>
        <v/>
      </c>
      <c r="BJ353" t="str">
        <f>""</f>
        <v/>
      </c>
      <c r="BK353" t="str">
        <f>""</f>
        <v/>
      </c>
      <c r="BL353" t="str">
        <f>""</f>
        <v/>
      </c>
      <c r="BM353" t="str">
        <f>""</f>
        <v/>
      </c>
      <c r="BN353" t="str">
        <f>""</f>
        <v/>
      </c>
      <c r="BO353" t="str">
        <f>""</f>
        <v/>
      </c>
      <c r="BP353" t="str">
        <f>""</f>
        <v/>
      </c>
      <c r="BQ353" t="str">
        <f>""</f>
        <v/>
      </c>
      <c r="BR353" t="str">
        <f>""</f>
        <v/>
      </c>
      <c r="BS353" t="str">
        <f>""</f>
        <v/>
      </c>
    </row>
    <row r="354" spans="1:71" x14ac:dyDescent="0.25">
      <c r="A354" t="str">
        <f>"        Comerica Inc"</f>
        <v xml:space="preserve">        Comerica Inc</v>
      </c>
      <c r="B354" t="str">
        <f>"CMA US Equity"</f>
        <v>CMA US Equity</v>
      </c>
      <c r="C354" t="str">
        <f t="shared" si="48"/>
        <v>F0126</v>
      </c>
      <c r="D354" t="str">
        <f t="shared" si="49"/>
        <v>FED_SOV_LOANS_%_TOT_LOANS_LEASES</v>
      </c>
      <c r="E354" t="str">
        <f t="shared" si="50"/>
        <v>Dynamic</v>
      </c>
      <c r="F354" t="str">
        <f ca="1">IF(AND(ISNUMBER($F$753),$B$427=1),$F$753,HLOOKUP(INDIRECT(ADDRESS(2,COLUMN())),OFFSET($AM$2,0,0,ROW()-1,33),ROW()-1,FALSE))</f>
        <v/>
      </c>
      <c r="G354">
        <f ca="1">IF(AND(ISNUMBER($G$753),$B$427=1),$G$753,HLOOKUP(INDIRECT(ADDRESS(2,COLUMN())),OFFSET($AM$2,0,0,ROW()-1,33),ROW()-1,FALSE))</f>
        <v>0</v>
      </c>
      <c r="H354">
        <f ca="1">IF(AND(ISNUMBER($H$753),$B$427=1),$H$753,HLOOKUP(INDIRECT(ADDRESS(2,COLUMN())),OFFSET($AM$2,0,0,ROW()-1,33),ROW()-1,FALSE))</f>
        <v>0</v>
      </c>
      <c r="I354">
        <f ca="1">IF(AND(ISNUMBER($I$753),$B$427=1),$I$753,HLOOKUP(INDIRECT(ADDRESS(2,COLUMN())),OFFSET($AM$2,0,0,ROW()-1,33),ROW()-1,FALSE))</f>
        <v>0</v>
      </c>
      <c r="J354">
        <f ca="1">IF(AND(ISNUMBER($J$753),$B$427=1),$J$753,HLOOKUP(INDIRECT(ADDRESS(2,COLUMN())),OFFSET($AM$2,0,0,ROW()-1,33),ROW()-1,FALSE))</f>
        <v>0</v>
      </c>
      <c r="K354">
        <f ca="1">IF(AND(ISNUMBER($K$753),$B$427=1),$K$753,HLOOKUP(INDIRECT(ADDRESS(2,COLUMN())),OFFSET($AM$2,0,0,ROW()-1,33),ROW()-1,FALSE))</f>
        <v>0</v>
      </c>
      <c r="L354">
        <f ca="1">IF(AND(ISNUMBER($L$753),$B$427=1),$L$753,HLOOKUP(INDIRECT(ADDRESS(2,COLUMN())),OFFSET($AM$2,0,0,ROW()-1,33),ROW()-1,FALSE))</f>
        <v>0</v>
      </c>
      <c r="M354">
        <f ca="1">IF(AND(ISNUMBER($M$753),$B$427=1),$M$753,HLOOKUP(INDIRECT(ADDRESS(2,COLUMN())),OFFSET($AM$2,0,0,ROW()-1,33),ROW()-1,FALSE))</f>
        <v>0</v>
      </c>
      <c r="N354">
        <f ca="1">IF(AND(ISNUMBER($N$753),$B$427=1),$N$753,HLOOKUP(INDIRECT(ADDRESS(2,COLUMN())),OFFSET($AM$2,0,0,ROW()-1,33),ROW()-1,FALSE))</f>
        <v>0</v>
      </c>
      <c r="O354">
        <f ca="1">IF(AND(ISNUMBER($O$753),$B$427=1),$O$753,HLOOKUP(INDIRECT(ADDRESS(2,COLUMN())),OFFSET($AM$2,0,0,ROW()-1,33),ROW()-1,FALSE))</f>
        <v>0</v>
      </c>
      <c r="P354">
        <f ca="1">IF(AND(ISNUMBER($P$753),$B$427=1),$P$753,HLOOKUP(INDIRECT(ADDRESS(2,COLUMN())),OFFSET($AM$2,0,0,ROW()-1,33),ROW()-1,FALSE))</f>
        <v>0</v>
      </c>
      <c r="Q354">
        <f ca="1">IF(AND(ISNUMBER($Q$753),$B$427=1),$Q$753,HLOOKUP(INDIRECT(ADDRESS(2,COLUMN())),OFFSET($AM$2,0,0,ROW()-1,33),ROW()-1,FALSE))</f>
        <v>0</v>
      </c>
      <c r="R354">
        <f ca="1">IF(AND(ISNUMBER($R$753),$B$427=1),$R$753,HLOOKUP(INDIRECT(ADDRESS(2,COLUMN())),OFFSET($AM$2,0,0,ROW()-1,33),ROW()-1,FALSE))</f>
        <v>0</v>
      </c>
      <c r="S354">
        <f ca="1">IF(AND(ISNUMBER($S$753),$B$427=1),$S$753,HLOOKUP(INDIRECT(ADDRESS(2,COLUMN())),OFFSET($AM$2,0,0,ROW()-1,33),ROW()-1,FALSE))</f>
        <v>0</v>
      </c>
      <c r="T354">
        <f ca="1">IF(AND(ISNUMBER($T$753),$B$427=1),$T$753,HLOOKUP(INDIRECT(ADDRESS(2,COLUMN())),OFFSET($AM$2,0,0,ROW()-1,33),ROW()-1,FALSE))</f>
        <v>0</v>
      </c>
      <c r="U354">
        <f ca="1">IF(AND(ISNUMBER($U$753),$B$427=1),$U$753,HLOOKUP(INDIRECT(ADDRESS(2,COLUMN())),OFFSET($AM$2,0,0,ROW()-1,33),ROW()-1,FALSE))</f>
        <v>0</v>
      </c>
      <c r="V354">
        <f ca="1">IF(AND(ISNUMBER($V$753),$B$427=1),$V$753,HLOOKUP(INDIRECT(ADDRESS(2,COLUMN())),OFFSET($AM$2,0,0,ROW()-1,33),ROW()-1,FALSE))</f>
        <v>0</v>
      </c>
      <c r="W354">
        <f ca="1">IF(AND(ISNUMBER($W$753),$B$427=1),$W$753,HLOOKUP(INDIRECT(ADDRESS(2,COLUMN())),OFFSET($AM$2,0,0,ROW()-1,33),ROW()-1,FALSE))</f>
        <v>0</v>
      </c>
      <c r="X354">
        <f ca="1">IF(AND(ISNUMBER($X$753),$B$427=1),$X$753,HLOOKUP(INDIRECT(ADDRESS(2,COLUMN())),OFFSET($AM$2,0,0,ROW()-1,33),ROW()-1,FALSE))</f>
        <v>0</v>
      </c>
      <c r="Y354">
        <f ca="1">IF(AND(ISNUMBER($Y$753),$B$427=1),$Y$753,HLOOKUP(INDIRECT(ADDRESS(2,COLUMN())),OFFSET($AM$2,0,0,ROW()-1,33),ROW()-1,FALSE))</f>
        <v>4.544017E-3</v>
      </c>
      <c r="Z354">
        <f ca="1">IF(AND(ISNUMBER($Z$753),$B$427=1),$Z$753,HLOOKUP(INDIRECT(ADDRESS(2,COLUMN())),OFFSET($AM$2,0,0,ROW()-1,33),ROW()-1,FALSE))</f>
        <v>8.4227529999999998E-3</v>
      </c>
      <c r="AA354">
        <f ca="1">IF(AND(ISNUMBER($AA$753),$B$427=1),$AA$753,HLOOKUP(INDIRECT(ADDRESS(2,COLUMN())),OFFSET($AM$2,0,0,ROW()-1,33),ROW()-1,FALSE))</f>
        <v>1.3636963E-2</v>
      </c>
      <c r="AB354">
        <f ca="1">IF(AND(ISNUMBER($AB$753),$B$427=1),$AB$753,HLOOKUP(INDIRECT(ADDRESS(2,COLUMN())),OFFSET($AM$2,0,0,ROW()-1,33),ROW()-1,FALSE))</f>
        <v>2.1702250999999999E-2</v>
      </c>
      <c r="AC354">
        <f ca="1">IF(AND(ISNUMBER($AC$753),$B$427=1),$AC$753,HLOOKUP(INDIRECT(ADDRESS(2,COLUMN())),OFFSET($AM$2,0,0,ROW()-1,33),ROW()-1,FALSE))</f>
        <v>2.1520979999999999E-2</v>
      </c>
      <c r="AD354" t="str">
        <f ca="1">IF(AND(ISNUMBER($AD$753),$B$427=1),$AD$753,HLOOKUP(INDIRECT(ADDRESS(2,COLUMN())),OFFSET($AM$2,0,0,ROW()-1,33),ROW()-1,FALSE))</f>
        <v/>
      </c>
      <c r="AE354" t="str">
        <f ca="1">IF(AND(ISNUMBER($AE$753),$B$427=1),$AE$753,HLOOKUP(INDIRECT(ADDRESS(2,COLUMN())),OFFSET($AM$2,0,0,ROW()-1,33),ROW()-1,FALSE))</f>
        <v/>
      </c>
      <c r="AF354" t="str">
        <f ca="1">IF(AND(ISNUMBER($AF$753),$B$427=1),$AF$753,HLOOKUP(INDIRECT(ADDRESS(2,COLUMN())),OFFSET($AM$2,0,0,ROW()-1,33),ROW()-1,FALSE))</f>
        <v/>
      </c>
      <c r="AG354" t="str">
        <f ca="1">IF(AND(ISNUMBER($AG$753),$B$427=1),$AG$753,HLOOKUP(INDIRECT(ADDRESS(2,COLUMN())),OFFSET($AM$2,0,0,ROW()-1,33),ROW()-1,FALSE))</f>
        <v/>
      </c>
      <c r="AH354" t="str">
        <f ca="1">IF(AND(ISNUMBER($AH$753),$B$427=1),$AH$753,HLOOKUP(INDIRECT(ADDRESS(2,COLUMN())),OFFSET($AM$2,0,0,ROW()-1,33),ROW()-1,FALSE))</f>
        <v/>
      </c>
      <c r="AI354" t="str">
        <f ca="1">IF(AND(ISNUMBER($AI$753),$B$427=1),$AI$753,HLOOKUP(INDIRECT(ADDRESS(2,COLUMN())),OFFSET($AM$2,0,0,ROW()-1,33),ROW()-1,FALSE))</f>
        <v/>
      </c>
      <c r="AJ354" t="str">
        <f ca="1">IF(AND(ISNUMBER($AJ$753),$B$427=1),$AJ$753,HLOOKUP(INDIRECT(ADDRESS(2,COLUMN())),OFFSET($AM$2,0,0,ROW()-1,33),ROW()-1,FALSE))</f>
        <v/>
      </c>
      <c r="AK354" t="str">
        <f ca="1">IF(AND(ISNUMBER($AK$753),$B$427=1),$AK$753,HLOOKUP(INDIRECT(ADDRESS(2,COLUMN())),OFFSET($AM$2,0,0,ROW()-1,33),ROW()-1,FALSE))</f>
        <v/>
      </c>
      <c r="AL354" t="str">
        <f ca="1">IF(AND(ISNUMBER($AL$753),$B$427=1),$AL$753,HLOOKUP(INDIRECT(ADDRESS(2,COLUMN())),OFFSET($AM$2,0,0,ROW()-1,33),ROW()-1,FALSE))</f>
        <v/>
      </c>
      <c r="AM354" t="str">
        <f>""</f>
        <v/>
      </c>
      <c r="AN354">
        <f>0</f>
        <v>0</v>
      </c>
      <c r="AO354">
        <f>0</f>
        <v>0</v>
      </c>
      <c r="AP354">
        <f>0</f>
        <v>0</v>
      </c>
      <c r="AQ354">
        <f>0</f>
        <v>0</v>
      </c>
      <c r="AR354">
        <f>0</f>
        <v>0</v>
      </c>
      <c r="AS354">
        <f>0</f>
        <v>0</v>
      </c>
      <c r="AT354">
        <f>0</f>
        <v>0</v>
      </c>
      <c r="AU354">
        <f>0</f>
        <v>0</v>
      </c>
      <c r="AV354">
        <f>0</f>
        <v>0</v>
      </c>
      <c r="AW354">
        <f>0</f>
        <v>0</v>
      </c>
      <c r="AX354">
        <f>0</f>
        <v>0</v>
      </c>
      <c r="AY354">
        <f>0</f>
        <v>0</v>
      </c>
      <c r="AZ354">
        <f>0</f>
        <v>0</v>
      </c>
      <c r="BA354">
        <f>0</f>
        <v>0</v>
      </c>
      <c r="BB354">
        <f>0</f>
        <v>0</v>
      </c>
      <c r="BC354">
        <f>0</f>
        <v>0</v>
      </c>
      <c r="BD354">
        <f>0</f>
        <v>0</v>
      </c>
      <c r="BE354">
        <f>0</f>
        <v>0</v>
      </c>
      <c r="BF354">
        <f>0.004544017</f>
        <v>4.544017E-3</v>
      </c>
      <c r="BG354">
        <f>0.008422753</f>
        <v>8.4227529999999998E-3</v>
      </c>
      <c r="BH354">
        <f>0.013636963</f>
        <v>1.3636963E-2</v>
      </c>
      <c r="BI354">
        <f>0.021702251</f>
        <v>2.1702250999999999E-2</v>
      </c>
      <c r="BJ354">
        <f>0.02152098</f>
        <v>2.1520979999999999E-2</v>
      </c>
      <c r="BK354" t="str">
        <f>""</f>
        <v/>
      </c>
      <c r="BL354" t="str">
        <f>""</f>
        <v/>
      </c>
      <c r="BM354" t="str">
        <f>""</f>
        <v/>
      </c>
      <c r="BN354" t="str">
        <f>""</f>
        <v/>
      </c>
      <c r="BO354" t="str">
        <f>""</f>
        <v/>
      </c>
      <c r="BP354" t="str">
        <f>""</f>
        <v/>
      </c>
      <c r="BQ354" t="str">
        <f>""</f>
        <v/>
      </c>
      <c r="BR354" t="str">
        <f>""</f>
        <v/>
      </c>
      <c r="BS354" t="str">
        <f>""</f>
        <v/>
      </c>
    </row>
    <row r="355" spans="1:71" x14ac:dyDescent="0.25">
      <c r="A355" t="str">
        <f>"        East West Bancorp Inc"</f>
        <v xml:space="preserve">        East West Bancorp Inc</v>
      </c>
      <c r="B355" t="str">
        <f>"EWBC US Equity"</f>
        <v>EWBC US Equity</v>
      </c>
      <c r="C355" t="str">
        <f t="shared" si="48"/>
        <v>F0126</v>
      </c>
      <c r="D355" t="str">
        <f t="shared" si="49"/>
        <v>FED_SOV_LOANS_%_TOT_LOANS_LEASES</v>
      </c>
      <c r="E355" t="str">
        <f t="shared" si="50"/>
        <v>Dynamic</v>
      </c>
      <c r="F355" t="str">
        <f ca="1">IF(AND(ISNUMBER($F$754),$B$427=1),$F$754,HLOOKUP(INDIRECT(ADDRESS(2,COLUMN())),OFFSET($AM$2,0,0,ROW()-1,33),ROW()-1,FALSE))</f>
        <v/>
      </c>
      <c r="G355">
        <f ca="1">IF(AND(ISNUMBER($G$754),$B$427=1),$G$754,HLOOKUP(INDIRECT(ADDRESS(2,COLUMN())),OFFSET($AM$2,0,0,ROW()-1,33),ROW()-1,FALSE))</f>
        <v>0</v>
      </c>
      <c r="H355">
        <f ca="1">IF(AND(ISNUMBER($H$754),$B$427=1),$H$754,HLOOKUP(INDIRECT(ADDRESS(2,COLUMN())),OFFSET($AM$2,0,0,ROW()-1,33),ROW()-1,FALSE))</f>
        <v>0</v>
      </c>
      <c r="I355">
        <f ca="1">IF(AND(ISNUMBER($I$754),$B$427=1),$I$754,HLOOKUP(INDIRECT(ADDRESS(2,COLUMN())),OFFSET($AM$2,0,0,ROW()-1,33),ROW()-1,FALSE))</f>
        <v>0</v>
      </c>
      <c r="J355">
        <f ca="1">IF(AND(ISNUMBER($J$754),$B$427=1),$J$754,HLOOKUP(INDIRECT(ADDRESS(2,COLUMN())),OFFSET($AM$2,0,0,ROW()-1,33),ROW()-1,FALSE))</f>
        <v>0</v>
      </c>
      <c r="K355">
        <f ca="1">IF(AND(ISNUMBER($K$754),$B$427=1),$K$754,HLOOKUP(INDIRECT(ADDRESS(2,COLUMN())),OFFSET($AM$2,0,0,ROW()-1,33),ROW()-1,FALSE))</f>
        <v>0</v>
      </c>
      <c r="L355">
        <f ca="1">IF(AND(ISNUMBER($L$754),$B$427=1),$L$754,HLOOKUP(INDIRECT(ADDRESS(2,COLUMN())),OFFSET($AM$2,0,0,ROW()-1,33),ROW()-1,FALSE))</f>
        <v>0</v>
      </c>
      <c r="M355">
        <f ca="1">IF(AND(ISNUMBER($M$754),$B$427=1),$M$754,HLOOKUP(INDIRECT(ADDRESS(2,COLUMN())),OFFSET($AM$2,0,0,ROW()-1,33),ROW()-1,FALSE))</f>
        <v>0</v>
      </c>
      <c r="N355">
        <f ca="1">IF(AND(ISNUMBER($N$754),$B$427=1),$N$754,HLOOKUP(INDIRECT(ADDRESS(2,COLUMN())),OFFSET($AM$2,0,0,ROW()-1,33),ROW()-1,FALSE))</f>
        <v>0</v>
      </c>
      <c r="O355">
        <f ca="1">IF(AND(ISNUMBER($O$754),$B$427=1),$O$754,HLOOKUP(INDIRECT(ADDRESS(2,COLUMN())),OFFSET($AM$2,0,0,ROW()-1,33),ROW()-1,FALSE))</f>
        <v>0</v>
      </c>
      <c r="P355">
        <f ca="1">IF(AND(ISNUMBER($P$754),$B$427=1),$P$754,HLOOKUP(INDIRECT(ADDRESS(2,COLUMN())),OFFSET($AM$2,0,0,ROW()-1,33),ROW()-1,FALSE))</f>
        <v>0.41942221499999999</v>
      </c>
      <c r="Q355">
        <f ca="1">IF(AND(ISNUMBER($Q$754),$B$427=1),$Q$754,HLOOKUP(INDIRECT(ADDRESS(2,COLUMN())),OFFSET($AM$2,0,0,ROW()-1,33),ROW()-1,FALSE))</f>
        <v>0.49065646099999999</v>
      </c>
      <c r="R355">
        <f ca="1">IF(AND(ISNUMBER($R$754),$B$427=1),$R$754,HLOOKUP(INDIRECT(ADDRESS(2,COLUMN())),OFFSET($AM$2,0,0,ROW()-1,33),ROW()-1,FALSE))</f>
        <v>0</v>
      </c>
      <c r="S355">
        <f ca="1">IF(AND(ISNUMBER($S$754),$B$427=1),$S$754,HLOOKUP(INDIRECT(ADDRESS(2,COLUMN())),OFFSET($AM$2,0,0,ROW()-1,33),ROW()-1,FALSE))</f>
        <v>0</v>
      </c>
      <c r="T355">
        <f ca="1">IF(AND(ISNUMBER($T$754),$B$427=1),$T$754,HLOOKUP(INDIRECT(ADDRESS(2,COLUMN())),OFFSET($AM$2,0,0,ROW()-1,33),ROW()-1,FALSE))</f>
        <v>0</v>
      </c>
      <c r="U355">
        <f ca="1">IF(AND(ISNUMBER($U$754),$B$427=1),$U$754,HLOOKUP(INDIRECT(ADDRESS(2,COLUMN())),OFFSET($AM$2,0,0,ROW()-1,33),ROW()-1,FALSE))</f>
        <v>0</v>
      </c>
      <c r="V355">
        <f ca="1">IF(AND(ISNUMBER($V$754),$B$427=1),$V$754,HLOOKUP(INDIRECT(ADDRESS(2,COLUMN())),OFFSET($AM$2,0,0,ROW()-1,33),ROW()-1,FALSE))</f>
        <v>0</v>
      </c>
      <c r="W355">
        <f ca="1">IF(AND(ISNUMBER($W$754),$B$427=1),$W$754,HLOOKUP(INDIRECT(ADDRESS(2,COLUMN())),OFFSET($AM$2,0,0,ROW()-1,33),ROW()-1,FALSE))</f>
        <v>0</v>
      </c>
      <c r="X355">
        <f ca="1">IF(AND(ISNUMBER($X$754),$B$427=1),$X$754,HLOOKUP(INDIRECT(ADDRESS(2,COLUMN())),OFFSET($AM$2,0,0,ROW()-1,33),ROW()-1,FALSE))</f>
        <v>0</v>
      </c>
      <c r="Y355">
        <f ca="1">IF(AND(ISNUMBER($Y$754),$B$427=1),$Y$754,HLOOKUP(INDIRECT(ADDRESS(2,COLUMN())),OFFSET($AM$2,0,0,ROW()-1,33),ROW()-1,FALSE))</f>
        <v>7.3551152999999994E-2</v>
      </c>
      <c r="Z355">
        <f ca="1">IF(AND(ISNUMBER($Z$754),$B$427=1),$Z$754,HLOOKUP(INDIRECT(ADDRESS(2,COLUMN())),OFFSET($AM$2,0,0,ROW()-1,33),ROW()-1,FALSE))</f>
        <v>9.7345713E-2</v>
      </c>
      <c r="AA355">
        <f ca="1">IF(AND(ISNUMBER($AA$754),$B$427=1),$AA$754,HLOOKUP(INDIRECT(ADDRESS(2,COLUMN())),OFFSET($AM$2,0,0,ROW()-1,33),ROW()-1,FALSE))</f>
        <v>0.15259645899999999</v>
      </c>
      <c r="AB355">
        <f ca="1">IF(AND(ISNUMBER($AB$754),$B$427=1),$AB$754,HLOOKUP(INDIRECT(ADDRESS(2,COLUMN())),OFFSET($AM$2,0,0,ROW()-1,33),ROW()-1,FALSE))</f>
        <v>0</v>
      </c>
      <c r="AC355">
        <f ca="1">IF(AND(ISNUMBER($AC$754),$B$427=1),$AC$754,HLOOKUP(INDIRECT(ADDRESS(2,COLUMN())),OFFSET($AM$2,0,0,ROW()-1,33),ROW()-1,FALSE))</f>
        <v>0</v>
      </c>
      <c r="AD355" t="str">
        <f ca="1">IF(AND(ISNUMBER($AD$754),$B$427=1),$AD$754,HLOOKUP(INDIRECT(ADDRESS(2,COLUMN())),OFFSET($AM$2,0,0,ROW()-1,33),ROW()-1,FALSE))</f>
        <v/>
      </c>
      <c r="AE355" t="str">
        <f ca="1">IF(AND(ISNUMBER($AE$754),$B$427=1),$AE$754,HLOOKUP(INDIRECT(ADDRESS(2,COLUMN())),OFFSET($AM$2,0,0,ROW()-1,33),ROW()-1,FALSE))</f>
        <v/>
      </c>
      <c r="AF355" t="str">
        <f ca="1">IF(AND(ISNUMBER($AF$754),$B$427=1),$AF$754,HLOOKUP(INDIRECT(ADDRESS(2,COLUMN())),OFFSET($AM$2,0,0,ROW()-1,33),ROW()-1,FALSE))</f>
        <v/>
      </c>
      <c r="AG355" t="str">
        <f ca="1">IF(AND(ISNUMBER($AG$754),$B$427=1),$AG$754,HLOOKUP(INDIRECT(ADDRESS(2,COLUMN())),OFFSET($AM$2,0,0,ROW()-1,33),ROW()-1,FALSE))</f>
        <v/>
      </c>
      <c r="AH355" t="str">
        <f ca="1">IF(AND(ISNUMBER($AH$754),$B$427=1),$AH$754,HLOOKUP(INDIRECT(ADDRESS(2,COLUMN())),OFFSET($AM$2,0,0,ROW()-1,33),ROW()-1,FALSE))</f>
        <v/>
      </c>
      <c r="AI355" t="str">
        <f ca="1">IF(AND(ISNUMBER($AI$754),$B$427=1),$AI$754,HLOOKUP(INDIRECT(ADDRESS(2,COLUMN())),OFFSET($AM$2,0,0,ROW()-1,33),ROW()-1,FALSE))</f>
        <v/>
      </c>
      <c r="AJ355" t="str">
        <f ca="1">IF(AND(ISNUMBER($AJ$754),$B$427=1),$AJ$754,HLOOKUP(INDIRECT(ADDRESS(2,COLUMN())),OFFSET($AM$2,0,0,ROW()-1,33),ROW()-1,FALSE))</f>
        <v/>
      </c>
      <c r="AK355" t="str">
        <f ca="1">IF(AND(ISNUMBER($AK$754),$B$427=1),$AK$754,HLOOKUP(INDIRECT(ADDRESS(2,COLUMN())),OFFSET($AM$2,0,0,ROW()-1,33),ROW()-1,FALSE))</f>
        <v/>
      </c>
      <c r="AL355" t="str">
        <f ca="1">IF(AND(ISNUMBER($AL$754),$B$427=1),$AL$754,HLOOKUP(INDIRECT(ADDRESS(2,COLUMN())),OFFSET($AM$2,0,0,ROW()-1,33),ROW()-1,FALSE))</f>
        <v/>
      </c>
      <c r="AM355" t="str">
        <f>""</f>
        <v/>
      </c>
      <c r="AN355">
        <f>0</f>
        <v>0</v>
      </c>
      <c r="AO355">
        <f>0</f>
        <v>0</v>
      </c>
      <c r="AP355">
        <f>0</f>
        <v>0</v>
      </c>
      <c r="AQ355">
        <f>0</f>
        <v>0</v>
      </c>
      <c r="AR355">
        <f>0</f>
        <v>0</v>
      </c>
      <c r="AS355">
        <f>0</f>
        <v>0</v>
      </c>
      <c r="AT355">
        <f>0</f>
        <v>0</v>
      </c>
      <c r="AU355">
        <f>0</f>
        <v>0</v>
      </c>
      <c r="AV355">
        <f>0</f>
        <v>0</v>
      </c>
      <c r="AW355">
        <f>0.419422215</f>
        <v>0.41942221499999999</v>
      </c>
      <c r="AX355">
        <f>0.490656461</f>
        <v>0.49065646099999999</v>
      </c>
      <c r="AY355">
        <f>0</f>
        <v>0</v>
      </c>
      <c r="AZ355">
        <f>0</f>
        <v>0</v>
      </c>
      <c r="BA355">
        <f>0</f>
        <v>0</v>
      </c>
      <c r="BB355">
        <f>0</f>
        <v>0</v>
      </c>
      <c r="BC355">
        <f>0</f>
        <v>0</v>
      </c>
      <c r="BD355">
        <f>0</f>
        <v>0</v>
      </c>
      <c r="BE355">
        <f>0</f>
        <v>0</v>
      </c>
      <c r="BF355">
        <f>0.073551153</f>
        <v>7.3551152999999994E-2</v>
      </c>
      <c r="BG355">
        <f>0.097345713</f>
        <v>9.7345713E-2</v>
      </c>
      <c r="BH355">
        <f>0.152596459</f>
        <v>0.15259645899999999</v>
      </c>
      <c r="BI355">
        <f>0</f>
        <v>0</v>
      </c>
      <c r="BJ355">
        <f>0</f>
        <v>0</v>
      </c>
      <c r="BK355" t="str">
        <f>""</f>
        <v/>
      </c>
      <c r="BL355" t="str">
        <f>""</f>
        <v/>
      </c>
      <c r="BM355" t="str">
        <f>""</f>
        <v/>
      </c>
      <c r="BN355" t="str">
        <f>""</f>
        <v/>
      </c>
      <c r="BO355" t="str">
        <f>""</f>
        <v/>
      </c>
      <c r="BP355" t="str">
        <f>""</f>
        <v/>
      </c>
      <c r="BQ355" t="str">
        <f>""</f>
        <v/>
      </c>
      <c r="BR355" t="str">
        <f>""</f>
        <v/>
      </c>
      <c r="BS355" t="str">
        <f>""</f>
        <v/>
      </c>
    </row>
    <row r="356" spans="1:71" x14ac:dyDescent="0.25">
      <c r="A356" t="str">
        <f>"        Fifth Third Bancorp"</f>
        <v xml:space="preserve">        Fifth Third Bancorp</v>
      </c>
      <c r="B356" t="str">
        <f>"FITB US Equity"</f>
        <v>FITB US Equity</v>
      </c>
      <c r="C356" t="str">
        <f t="shared" si="48"/>
        <v>F0126</v>
      </c>
      <c r="D356" t="str">
        <f t="shared" si="49"/>
        <v>FED_SOV_LOANS_%_TOT_LOANS_LEASES</v>
      </c>
      <c r="E356" t="str">
        <f t="shared" si="50"/>
        <v>Dynamic</v>
      </c>
      <c r="F356">
        <f ca="1">IF(AND(ISNUMBER($F$755),$B$427=1),$F$755,HLOOKUP(INDIRECT(ADDRESS(2,COLUMN())),OFFSET($AM$2,0,0,ROW()-1,33),ROW()-1,FALSE))</f>
        <v>0</v>
      </c>
      <c r="G356">
        <f ca="1">IF(AND(ISNUMBER($G$755),$B$427=1),$G$755,HLOOKUP(INDIRECT(ADDRESS(2,COLUMN())),OFFSET($AM$2,0,0,ROW()-1,33),ROW()-1,FALSE))</f>
        <v>0</v>
      </c>
      <c r="H356">
        <f ca="1">IF(AND(ISNUMBER($H$755),$B$427=1),$H$755,HLOOKUP(INDIRECT(ADDRESS(2,COLUMN())),OFFSET($AM$2,0,0,ROW()-1,33),ROW()-1,FALSE))</f>
        <v>0</v>
      </c>
      <c r="I356">
        <f ca="1">IF(AND(ISNUMBER($I$755),$B$427=1),$I$755,HLOOKUP(INDIRECT(ADDRESS(2,COLUMN())),OFFSET($AM$2,0,0,ROW()-1,33),ROW()-1,FALSE))</f>
        <v>0</v>
      </c>
      <c r="J356">
        <f ca="1">IF(AND(ISNUMBER($J$755),$B$427=1),$J$755,HLOOKUP(INDIRECT(ADDRESS(2,COLUMN())),OFFSET($AM$2,0,0,ROW()-1,33),ROW()-1,FALSE))</f>
        <v>0</v>
      </c>
      <c r="K356">
        <f ca="1">IF(AND(ISNUMBER($K$755),$B$427=1),$K$755,HLOOKUP(INDIRECT(ADDRESS(2,COLUMN())),OFFSET($AM$2,0,0,ROW()-1,33),ROW()-1,FALSE))</f>
        <v>0</v>
      </c>
      <c r="L356">
        <f ca="1">IF(AND(ISNUMBER($L$755),$B$427=1),$L$755,HLOOKUP(INDIRECT(ADDRESS(2,COLUMN())),OFFSET($AM$2,0,0,ROW()-1,33),ROW()-1,FALSE))</f>
        <v>0</v>
      </c>
      <c r="M356">
        <f ca="1">IF(AND(ISNUMBER($M$755),$B$427=1),$M$755,HLOOKUP(INDIRECT(ADDRESS(2,COLUMN())),OFFSET($AM$2,0,0,ROW()-1,33),ROW()-1,FALSE))</f>
        <v>0</v>
      </c>
      <c r="N356">
        <f ca="1">IF(AND(ISNUMBER($N$755),$B$427=1),$N$755,HLOOKUP(INDIRECT(ADDRESS(2,COLUMN())),OFFSET($AM$2,0,0,ROW()-1,33),ROW()-1,FALSE))</f>
        <v>0</v>
      </c>
      <c r="O356">
        <f ca="1">IF(AND(ISNUMBER($O$755),$B$427=1),$O$755,HLOOKUP(INDIRECT(ADDRESS(2,COLUMN())),OFFSET($AM$2,0,0,ROW()-1,33),ROW()-1,FALSE))</f>
        <v>0</v>
      </c>
      <c r="P356">
        <f ca="1">IF(AND(ISNUMBER($P$755),$B$427=1),$P$755,HLOOKUP(INDIRECT(ADDRESS(2,COLUMN())),OFFSET($AM$2,0,0,ROW()-1,33),ROW()-1,FALSE))</f>
        <v>0</v>
      </c>
      <c r="Q356">
        <f ca="1">IF(AND(ISNUMBER($Q$755),$B$427=1),$Q$755,HLOOKUP(INDIRECT(ADDRESS(2,COLUMN())),OFFSET($AM$2,0,0,ROW()-1,33),ROW()-1,FALSE))</f>
        <v>0</v>
      </c>
      <c r="R356">
        <f ca="1">IF(AND(ISNUMBER($R$755),$B$427=1),$R$755,HLOOKUP(INDIRECT(ADDRESS(2,COLUMN())),OFFSET($AM$2,0,0,ROW()-1,33),ROW()-1,FALSE))</f>
        <v>0</v>
      </c>
      <c r="S356">
        <f ca="1">IF(AND(ISNUMBER($S$755),$B$427=1),$S$755,HLOOKUP(INDIRECT(ADDRESS(2,COLUMN())),OFFSET($AM$2,0,0,ROW()-1,33),ROW()-1,FALSE))</f>
        <v>0</v>
      </c>
      <c r="T356">
        <f ca="1">IF(AND(ISNUMBER($T$755),$B$427=1),$T$755,HLOOKUP(INDIRECT(ADDRESS(2,COLUMN())),OFFSET($AM$2,0,0,ROW()-1,33),ROW()-1,FALSE))</f>
        <v>0</v>
      </c>
      <c r="U356">
        <f ca="1">IF(AND(ISNUMBER($U$755),$B$427=1),$U$755,HLOOKUP(INDIRECT(ADDRESS(2,COLUMN())),OFFSET($AM$2,0,0,ROW()-1,33),ROW()-1,FALSE))</f>
        <v>0</v>
      </c>
      <c r="V356">
        <f ca="1">IF(AND(ISNUMBER($V$755),$B$427=1),$V$755,HLOOKUP(INDIRECT(ADDRESS(2,COLUMN())),OFFSET($AM$2,0,0,ROW()-1,33),ROW()-1,FALSE))</f>
        <v>0</v>
      </c>
      <c r="W356">
        <f ca="1">IF(AND(ISNUMBER($W$755),$B$427=1),$W$755,HLOOKUP(INDIRECT(ADDRESS(2,COLUMN())),OFFSET($AM$2,0,0,ROW()-1,33),ROW()-1,FALSE))</f>
        <v>0</v>
      </c>
      <c r="X356">
        <f ca="1">IF(AND(ISNUMBER($X$755),$B$427=1),$X$755,HLOOKUP(INDIRECT(ADDRESS(2,COLUMN())),OFFSET($AM$2,0,0,ROW()-1,33),ROW()-1,FALSE))</f>
        <v>0</v>
      </c>
      <c r="Y356">
        <f ca="1">IF(AND(ISNUMBER($Y$755),$B$427=1),$Y$755,HLOOKUP(INDIRECT(ADDRESS(2,COLUMN())),OFFSET($AM$2,0,0,ROW()-1,33),ROW()-1,FALSE))</f>
        <v>0</v>
      </c>
      <c r="Z356">
        <f ca="1">IF(AND(ISNUMBER($Z$755),$B$427=1),$Z$755,HLOOKUP(INDIRECT(ADDRESS(2,COLUMN())),OFFSET($AM$2,0,0,ROW()-1,33),ROW()-1,FALSE))</f>
        <v>0</v>
      </c>
      <c r="AA356">
        <f ca="1">IF(AND(ISNUMBER($AA$755),$B$427=1),$AA$755,HLOOKUP(INDIRECT(ADDRESS(2,COLUMN())),OFFSET($AM$2,0,0,ROW()-1,33),ROW()-1,FALSE))</f>
        <v>0</v>
      </c>
      <c r="AB356">
        <f ca="1">IF(AND(ISNUMBER($AB$755),$B$427=1),$AB$755,HLOOKUP(INDIRECT(ADDRESS(2,COLUMN())),OFFSET($AM$2,0,0,ROW()-1,33),ROW()-1,FALSE))</f>
        <v>0</v>
      </c>
      <c r="AC356">
        <f ca="1">IF(AND(ISNUMBER($AC$755),$B$427=1),$AC$755,HLOOKUP(INDIRECT(ADDRESS(2,COLUMN())),OFFSET($AM$2,0,0,ROW()-1,33),ROW()-1,FALSE))</f>
        <v>4.9589600000000001E-4</v>
      </c>
      <c r="AD356" t="str">
        <f ca="1">IF(AND(ISNUMBER($AD$755),$B$427=1),$AD$755,HLOOKUP(INDIRECT(ADDRESS(2,COLUMN())),OFFSET($AM$2,0,0,ROW()-1,33),ROW()-1,FALSE))</f>
        <v/>
      </c>
      <c r="AE356" t="str">
        <f ca="1">IF(AND(ISNUMBER($AE$755),$B$427=1),$AE$755,HLOOKUP(INDIRECT(ADDRESS(2,COLUMN())),OFFSET($AM$2,0,0,ROW()-1,33),ROW()-1,FALSE))</f>
        <v/>
      </c>
      <c r="AF356" t="str">
        <f ca="1">IF(AND(ISNUMBER($AF$755),$B$427=1),$AF$755,HLOOKUP(INDIRECT(ADDRESS(2,COLUMN())),OFFSET($AM$2,0,0,ROW()-1,33),ROW()-1,FALSE))</f>
        <v/>
      </c>
      <c r="AG356" t="str">
        <f ca="1">IF(AND(ISNUMBER($AG$755),$B$427=1),$AG$755,HLOOKUP(INDIRECT(ADDRESS(2,COLUMN())),OFFSET($AM$2,0,0,ROW()-1,33),ROW()-1,FALSE))</f>
        <v/>
      </c>
      <c r="AH356" t="str">
        <f ca="1">IF(AND(ISNUMBER($AH$755),$B$427=1),$AH$755,HLOOKUP(INDIRECT(ADDRESS(2,COLUMN())),OFFSET($AM$2,0,0,ROW()-1,33),ROW()-1,FALSE))</f>
        <v/>
      </c>
      <c r="AI356" t="str">
        <f ca="1">IF(AND(ISNUMBER($AI$755),$B$427=1),$AI$755,HLOOKUP(INDIRECT(ADDRESS(2,COLUMN())),OFFSET($AM$2,0,0,ROW()-1,33),ROW()-1,FALSE))</f>
        <v/>
      </c>
      <c r="AJ356" t="str">
        <f ca="1">IF(AND(ISNUMBER($AJ$755),$B$427=1),$AJ$755,HLOOKUP(INDIRECT(ADDRESS(2,COLUMN())),OFFSET($AM$2,0,0,ROW()-1,33),ROW()-1,FALSE))</f>
        <v/>
      </c>
      <c r="AK356" t="str">
        <f ca="1">IF(AND(ISNUMBER($AK$755),$B$427=1),$AK$755,HLOOKUP(INDIRECT(ADDRESS(2,COLUMN())),OFFSET($AM$2,0,0,ROW()-1,33),ROW()-1,FALSE))</f>
        <v/>
      </c>
      <c r="AL356" t="str">
        <f ca="1">IF(AND(ISNUMBER($AL$755),$B$427=1),$AL$755,HLOOKUP(INDIRECT(ADDRESS(2,COLUMN())),OFFSET($AM$2,0,0,ROW()-1,33),ROW()-1,FALSE))</f>
        <v/>
      </c>
      <c r="AM356">
        <f>0</f>
        <v>0</v>
      </c>
      <c r="AN356">
        <f>0</f>
        <v>0</v>
      </c>
      <c r="AO356">
        <f>0</f>
        <v>0</v>
      </c>
      <c r="AP356">
        <f>0</f>
        <v>0</v>
      </c>
      <c r="AQ356">
        <f>0</f>
        <v>0</v>
      </c>
      <c r="AR356">
        <f>0</f>
        <v>0</v>
      </c>
      <c r="AS356">
        <f>0</f>
        <v>0</v>
      </c>
      <c r="AT356">
        <f>0</f>
        <v>0</v>
      </c>
      <c r="AU356">
        <f>0</f>
        <v>0</v>
      </c>
      <c r="AV356">
        <f>0</f>
        <v>0</v>
      </c>
      <c r="AW356">
        <f>0</f>
        <v>0</v>
      </c>
      <c r="AX356">
        <f>0</f>
        <v>0</v>
      </c>
      <c r="AY356">
        <f>0</f>
        <v>0</v>
      </c>
      <c r="AZ356">
        <f>0</f>
        <v>0</v>
      </c>
      <c r="BA356">
        <f>0</f>
        <v>0</v>
      </c>
      <c r="BB356">
        <f>0</f>
        <v>0</v>
      </c>
      <c r="BC356">
        <f>0</f>
        <v>0</v>
      </c>
      <c r="BD356">
        <f>0</f>
        <v>0</v>
      </c>
      <c r="BE356">
        <f>0</f>
        <v>0</v>
      </c>
      <c r="BF356">
        <f>0</f>
        <v>0</v>
      </c>
      <c r="BG356">
        <f>0</f>
        <v>0</v>
      </c>
      <c r="BH356">
        <f>0</f>
        <v>0</v>
      </c>
      <c r="BI356">
        <f>0</f>
        <v>0</v>
      </c>
      <c r="BJ356">
        <f>0.000495896</f>
        <v>4.9589600000000001E-4</v>
      </c>
      <c r="BK356" t="str">
        <f>""</f>
        <v/>
      </c>
      <c r="BL356" t="str">
        <f>""</f>
        <v/>
      </c>
      <c r="BM356" t="str">
        <f>""</f>
        <v/>
      </c>
      <c r="BN356" t="str">
        <f>""</f>
        <v/>
      </c>
      <c r="BO356" t="str">
        <f>""</f>
        <v/>
      </c>
      <c r="BP356" t="str">
        <f>""</f>
        <v/>
      </c>
      <c r="BQ356" t="str">
        <f>""</f>
        <v/>
      </c>
      <c r="BR356" t="str">
        <f>""</f>
        <v/>
      </c>
      <c r="BS356" t="str">
        <f>""</f>
        <v/>
      </c>
    </row>
    <row r="357" spans="1:71" x14ac:dyDescent="0.25">
      <c r="A357" t="str">
        <f>"        First Citizens BancShares Inc/"</f>
        <v xml:space="preserve">        First Citizens BancShares Inc/</v>
      </c>
      <c r="B357" t="str">
        <f>"FCNCA US Equity"</f>
        <v>FCNCA US Equity</v>
      </c>
      <c r="C357" t="str">
        <f t="shared" si="48"/>
        <v>F0126</v>
      </c>
      <c r="D357" t="str">
        <f t="shared" si="49"/>
        <v>FED_SOV_LOANS_%_TOT_LOANS_LEASES</v>
      </c>
      <c r="E357" t="str">
        <f t="shared" si="50"/>
        <v>Dynamic</v>
      </c>
      <c r="F357">
        <f ca="1">IF(AND(ISNUMBER($F$756),$B$427=1),$F$756,HLOOKUP(INDIRECT(ADDRESS(2,COLUMN())),OFFSET($AM$2,0,0,ROW()-1,33),ROW()-1,FALSE))</f>
        <v>0</v>
      </c>
      <c r="G357">
        <f ca="1">IF(AND(ISNUMBER($G$756),$B$427=1),$G$756,HLOOKUP(INDIRECT(ADDRESS(2,COLUMN())),OFFSET($AM$2,0,0,ROW()-1,33),ROW()-1,FALSE))</f>
        <v>0</v>
      </c>
      <c r="H357">
        <f ca="1">IF(AND(ISNUMBER($H$756),$B$427=1),$H$756,HLOOKUP(INDIRECT(ADDRESS(2,COLUMN())),OFFSET($AM$2,0,0,ROW()-1,33),ROW()-1,FALSE))</f>
        <v>0</v>
      </c>
      <c r="I357">
        <f ca="1">IF(AND(ISNUMBER($I$756),$B$427=1),$I$756,HLOOKUP(INDIRECT(ADDRESS(2,COLUMN())),OFFSET($AM$2,0,0,ROW()-1,33),ROW()-1,FALSE))</f>
        <v>0</v>
      </c>
      <c r="J357">
        <f ca="1">IF(AND(ISNUMBER($J$756),$B$427=1),$J$756,HLOOKUP(INDIRECT(ADDRESS(2,COLUMN())),OFFSET($AM$2,0,0,ROW()-1,33),ROW()-1,FALSE))</f>
        <v>0</v>
      </c>
      <c r="K357">
        <f ca="1">IF(AND(ISNUMBER($K$756),$B$427=1),$K$756,HLOOKUP(INDIRECT(ADDRESS(2,COLUMN())),OFFSET($AM$2,0,0,ROW()-1,33),ROW()-1,FALSE))</f>
        <v>0</v>
      </c>
      <c r="L357">
        <f ca="1">IF(AND(ISNUMBER($L$756),$B$427=1),$L$756,HLOOKUP(INDIRECT(ADDRESS(2,COLUMN())),OFFSET($AM$2,0,0,ROW()-1,33),ROW()-1,FALSE))</f>
        <v>0</v>
      </c>
      <c r="M357">
        <f ca="1">IF(AND(ISNUMBER($M$756),$B$427=1),$M$756,HLOOKUP(INDIRECT(ADDRESS(2,COLUMN())),OFFSET($AM$2,0,0,ROW()-1,33),ROW()-1,FALSE))</f>
        <v>0</v>
      </c>
      <c r="N357">
        <f ca="1">IF(AND(ISNUMBER($N$756),$B$427=1),$N$756,HLOOKUP(INDIRECT(ADDRESS(2,COLUMN())),OFFSET($AM$2,0,0,ROW()-1,33),ROW()-1,FALSE))</f>
        <v>0</v>
      </c>
      <c r="O357">
        <f ca="1">IF(AND(ISNUMBER($O$756),$B$427=1),$O$756,HLOOKUP(INDIRECT(ADDRESS(2,COLUMN())),OFFSET($AM$2,0,0,ROW()-1,33),ROW()-1,FALSE))</f>
        <v>0</v>
      </c>
      <c r="P357">
        <f ca="1">IF(AND(ISNUMBER($P$756),$B$427=1),$P$756,HLOOKUP(INDIRECT(ADDRESS(2,COLUMN())),OFFSET($AM$2,0,0,ROW()-1,33),ROW()-1,FALSE))</f>
        <v>0</v>
      </c>
      <c r="Q357">
        <f ca="1">IF(AND(ISNUMBER($Q$756),$B$427=1),$Q$756,HLOOKUP(INDIRECT(ADDRESS(2,COLUMN())),OFFSET($AM$2,0,0,ROW()-1,33),ROW()-1,FALSE))</f>
        <v>0</v>
      </c>
      <c r="R357">
        <f ca="1">IF(AND(ISNUMBER($R$756),$B$427=1),$R$756,HLOOKUP(INDIRECT(ADDRESS(2,COLUMN())),OFFSET($AM$2,0,0,ROW()-1,33),ROW()-1,FALSE))</f>
        <v>0</v>
      </c>
      <c r="S357">
        <f ca="1">IF(AND(ISNUMBER($S$756),$B$427=1),$S$756,HLOOKUP(INDIRECT(ADDRESS(2,COLUMN())),OFFSET($AM$2,0,0,ROW()-1,33),ROW()-1,FALSE))</f>
        <v>0</v>
      </c>
      <c r="T357">
        <f ca="1">IF(AND(ISNUMBER($T$756),$B$427=1),$T$756,HLOOKUP(INDIRECT(ADDRESS(2,COLUMN())),OFFSET($AM$2,0,0,ROW()-1,33),ROW()-1,FALSE))</f>
        <v>0</v>
      </c>
      <c r="U357">
        <f ca="1">IF(AND(ISNUMBER($U$756),$B$427=1),$U$756,HLOOKUP(INDIRECT(ADDRESS(2,COLUMN())),OFFSET($AM$2,0,0,ROW()-1,33),ROW()-1,FALSE))</f>
        <v>0</v>
      </c>
      <c r="V357">
        <f ca="1">IF(AND(ISNUMBER($V$756),$B$427=1),$V$756,HLOOKUP(INDIRECT(ADDRESS(2,COLUMN())),OFFSET($AM$2,0,0,ROW()-1,33),ROW()-1,FALSE))</f>
        <v>0</v>
      </c>
      <c r="W357">
        <f ca="1">IF(AND(ISNUMBER($W$756),$B$427=1),$W$756,HLOOKUP(INDIRECT(ADDRESS(2,COLUMN())),OFFSET($AM$2,0,0,ROW()-1,33),ROW()-1,FALSE))</f>
        <v>0</v>
      </c>
      <c r="X357">
        <f ca="1">IF(AND(ISNUMBER($X$756),$B$427=1),$X$756,HLOOKUP(INDIRECT(ADDRESS(2,COLUMN())),OFFSET($AM$2,0,0,ROW()-1,33),ROW()-1,FALSE))</f>
        <v>0</v>
      </c>
      <c r="Y357">
        <f ca="1">IF(AND(ISNUMBER($Y$756),$B$427=1),$Y$756,HLOOKUP(INDIRECT(ADDRESS(2,COLUMN())),OFFSET($AM$2,0,0,ROW()-1,33),ROW()-1,FALSE))</f>
        <v>0</v>
      </c>
      <c r="Z357">
        <f ca="1">IF(AND(ISNUMBER($Z$756),$B$427=1),$Z$756,HLOOKUP(INDIRECT(ADDRESS(2,COLUMN())),OFFSET($AM$2,0,0,ROW()-1,33),ROW()-1,FALSE))</f>
        <v>0</v>
      </c>
      <c r="AA357">
        <f ca="1">IF(AND(ISNUMBER($AA$756),$B$427=1),$AA$756,HLOOKUP(INDIRECT(ADDRESS(2,COLUMN())),OFFSET($AM$2,0,0,ROW()-1,33),ROW()-1,FALSE))</f>
        <v>0</v>
      </c>
      <c r="AB357">
        <f ca="1">IF(AND(ISNUMBER($AB$756),$B$427=1),$AB$756,HLOOKUP(INDIRECT(ADDRESS(2,COLUMN())),OFFSET($AM$2,0,0,ROW()-1,33),ROW()-1,FALSE))</f>
        <v>0</v>
      </c>
      <c r="AC357">
        <f ca="1">IF(AND(ISNUMBER($AC$756),$B$427=1),$AC$756,HLOOKUP(INDIRECT(ADDRESS(2,COLUMN())),OFFSET($AM$2,0,0,ROW()-1,33),ROW()-1,FALSE))</f>
        <v>0</v>
      </c>
      <c r="AD357" t="str">
        <f ca="1">IF(AND(ISNUMBER($AD$756),$B$427=1),$AD$756,HLOOKUP(INDIRECT(ADDRESS(2,COLUMN())),OFFSET($AM$2,0,0,ROW()-1,33),ROW()-1,FALSE))</f>
        <v/>
      </c>
      <c r="AE357" t="str">
        <f ca="1">IF(AND(ISNUMBER($AE$756),$B$427=1),$AE$756,HLOOKUP(INDIRECT(ADDRESS(2,COLUMN())),OFFSET($AM$2,0,0,ROW()-1,33),ROW()-1,FALSE))</f>
        <v/>
      </c>
      <c r="AF357" t="str">
        <f ca="1">IF(AND(ISNUMBER($AF$756),$B$427=1),$AF$756,HLOOKUP(INDIRECT(ADDRESS(2,COLUMN())),OFFSET($AM$2,0,0,ROW()-1,33),ROW()-1,FALSE))</f>
        <v/>
      </c>
      <c r="AG357" t="str">
        <f ca="1">IF(AND(ISNUMBER($AG$756),$B$427=1),$AG$756,HLOOKUP(INDIRECT(ADDRESS(2,COLUMN())),OFFSET($AM$2,0,0,ROW()-1,33),ROW()-1,FALSE))</f>
        <v/>
      </c>
      <c r="AH357" t="str">
        <f ca="1">IF(AND(ISNUMBER($AH$756),$B$427=1),$AH$756,HLOOKUP(INDIRECT(ADDRESS(2,COLUMN())),OFFSET($AM$2,0,0,ROW()-1,33),ROW()-1,FALSE))</f>
        <v/>
      </c>
      <c r="AI357" t="str">
        <f ca="1">IF(AND(ISNUMBER($AI$756),$B$427=1),$AI$756,HLOOKUP(INDIRECT(ADDRESS(2,COLUMN())),OFFSET($AM$2,0,0,ROW()-1,33),ROW()-1,FALSE))</f>
        <v/>
      </c>
      <c r="AJ357" t="str">
        <f ca="1">IF(AND(ISNUMBER($AJ$756),$B$427=1),$AJ$756,HLOOKUP(INDIRECT(ADDRESS(2,COLUMN())),OFFSET($AM$2,0,0,ROW()-1,33),ROW()-1,FALSE))</f>
        <v/>
      </c>
      <c r="AK357" t="str">
        <f ca="1">IF(AND(ISNUMBER($AK$756),$B$427=1),$AK$756,HLOOKUP(INDIRECT(ADDRESS(2,COLUMN())),OFFSET($AM$2,0,0,ROW()-1,33),ROW()-1,FALSE))</f>
        <v/>
      </c>
      <c r="AL357" t="str">
        <f ca="1">IF(AND(ISNUMBER($AL$756),$B$427=1),$AL$756,HLOOKUP(INDIRECT(ADDRESS(2,COLUMN())),OFFSET($AM$2,0,0,ROW()-1,33),ROW()-1,FALSE))</f>
        <v/>
      </c>
      <c r="AM357">
        <f>0</f>
        <v>0</v>
      </c>
      <c r="AN357">
        <f>0</f>
        <v>0</v>
      </c>
      <c r="AO357">
        <f>0</f>
        <v>0</v>
      </c>
      <c r="AP357">
        <f>0</f>
        <v>0</v>
      </c>
      <c r="AQ357">
        <f>0</f>
        <v>0</v>
      </c>
      <c r="AR357">
        <f>0</f>
        <v>0</v>
      </c>
      <c r="AS357">
        <f>0</f>
        <v>0</v>
      </c>
      <c r="AT357">
        <f>0</f>
        <v>0</v>
      </c>
      <c r="AU357">
        <f>0</f>
        <v>0</v>
      </c>
      <c r="AV357">
        <f>0</f>
        <v>0</v>
      </c>
      <c r="AW357">
        <f>0</f>
        <v>0</v>
      </c>
      <c r="AX357">
        <f>0</f>
        <v>0</v>
      </c>
      <c r="AY357">
        <f>0</f>
        <v>0</v>
      </c>
      <c r="AZ357">
        <f>0</f>
        <v>0</v>
      </c>
      <c r="BA357">
        <f>0</f>
        <v>0</v>
      </c>
      <c r="BB357">
        <f>0</f>
        <v>0</v>
      </c>
      <c r="BC357">
        <f>0</f>
        <v>0</v>
      </c>
      <c r="BD357">
        <f>0</f>
        <v>0</v>
      </c>
      <c r="BE357">
        <f>0</f>
        <v>0</v>
      </c>
      <c r="BF357">
        <f>0</f>
        <v>0</v>
      </c>
      <c r="BG357">
        <f>0</f>
        <v>0</v>
      </c>
      <c r="BH357">
        <f>0</f>
        <v>0</v>
      </c>
      <c r="BI357">
        <f>0</f>
        <v>0</v>
      </c>
      <c r="BJ357">
        <f>0</f>
        <v>0</v>
      </c>
      <c r="BK357" t="str">
        <f>""</f>
        <v/>
      </c>
      <c r="BL357" t="str">
        <f>""</f>
        <v/>
      </c>
      <c r="BM357" t="str">
        <f>""</f>
        <v/>
      </c>
      <c r="BN357" t="str">
        <f>""</f>
        <v/>
      </c>
      <c r="BO357" t="str">
        <f>""</f>
        <v/>
      </c>
      <c r="BP357" t="str">
        <f>""</f>
        <v/>
      </c>
      <c r="BQ357" t="str">
        <f>""</f>
        <v/>
      </c>
      <c r="BR357" t="str">
        <f>""</f>
        <v/>
      </c>
      <c r="BS357" t="str">
        <f>""</f>
        <v/>
      </c>
    </row>
    <row r="358" spans="1:71" x14ac:dyDescent="0.25">
      <c r="A358" t="str">
        <f>"        Flagstar Financial Inc"</f>
        <v xml:space="preserve">        Flagstar Financial Inc</v>
      </c>
      <c r="B358" t="str">
        <f>"FLG US Equity"</f>
        <v>FLG US Equity</v>
      </c>
      <c r="C358" t="str">
        <f t="shared" si="48"/>
        <v>F0126</v>
      </c>
      <c r="D358" t="str">
        <f t="shared" si="49"/>
        <v>FED_SOV_LOANS_%_TOT_LOANS_LEASES</v>
      </c>
      <c r="E358" t="str">
        <f t="shared" si="50"/>
        <v>Dynamic</v>
      </c>
      <c r="F358">
        <f ca="1">IF(AND(ISNUMBER($F$757),$B$427=1),$F$757,HLOOKUP(INDIRECT(ADDRESS(2,COLUMN())),OFFSET($AM$2,0,0,ROW()-1,33),ROW()-1,FALSE))</f>
        <v>0</v>
      </c>
      <c r="G358">
        <f ca="1">IF(AND(ISNUMBER($G$757),$B$427=1),$G$757,HLOOKUP(INDIRECT(ADDRESS(2,COLUMN())),OFFSET($AM$2,0,0,ROW()-1,33),ROW()-1,FALSE))</f>
        <v>0</v>
      </c>
      <c r="H358">
        <f ca="1">IF(AND(ISNUMBER($H$757),$B$427=1),$H$757,HLOOKUP(INDIRECT(ADDRESS(2,COLUMN())),OFFSET($AM$2,0,0,ROW()-1,33),ROW()-1,FALSE))</f>
        <v>0</v>
      </c>
      <c r="I358">
        <f ca="1">IF(AND(ISNUMBER($I$757),$B$427=1),$I$757,HLOOKUP(INDIRECT(ADDRESS(2,COLUMN())),OFFSET($AM$2,0,0,ROW()-1,33),ROW()-1,FALSE))</f>
        <v>0</v>
      </c>
      <c r="J358">
        <f ca="1">IF(AND(ISNUMBER($J$757),$B$427=1),$J$757,HLOOKUP(INDIRECT(ADDRESS(2,COLUMN())),OFFSET($AM$2,0,0,ROW()-1,33),ROW()-1,FALSE))</f>
        <v>0</v>
      </c>
      <c r="K358">
        <f ca="1">IF(AND(ISNUMBER($K$757),$B$427=1),$K$757,HLOOKUP(INDIRECT(ADDRESS(2,COLUMN())),OFFSET($AM$2,0,0,ROW()-1,33),ROW()-1,FALSE))</f>
        <v>0</v>
      </c>
      <c r="L358">
        <f ca="1">IF(AND(ISNUMBER($L$757),$B$427=1),$L$757,HLOOKUP(INDIRECT(ADDRESS(2,COLUMN())),OFFSET($AM$2,0,0,ROW()-1,33),ROW()-1,FALSE))</f>
        <v>0</v>
      </c>
      <c r="M358">
        <f ca="1">IF(AND(ISNUMBER($M$757),$B$427=1),$M$757,HLOOKUP(INDIRECT(ADDRESS(2,COLUMN())),OFFSET($AM$2,0,0,ROW()-1,33),ROW()-1,FALSE))</f>
        <v>0</v>
      </c>
      <c r="N358">
        <f ca="1">IF(AND(ISNUMBER($N$757),$B$427=1),$N$757,HLOOKUP(INDIRECT(ADDRESS(2,COLUMN())),OFFSET($AM$2,0,0,ROW()-1,33),ROW()-1,FALSE))</f>
        <v>0</v>
      </c>
      <c r="O358">
        <f ca="1">IF(AND(ISNUMBER($O$757),$B$427=1),$O$757,HLOOKUP(INDIRECT(ADDRESS(2,COLUMN())),OFFSET($AM$2,0,0,ROW()-1,33),ROW()-1,FALSE))</f>
        <v>0</v>
      </c>
      <c r="P358">
        <f ca="1">IF(AND(ISNUMBER($P$757),$B$427=1),$P$757,HLOOKUP(INDIRECT(ADDRESS(2,COLUMN())),OFFSET($AM$2,0,0,ROW()-1,33),ROW()-1,FALSE))</f>
        <v>0</v>
      </c>
      <c r="Q358">
        <f ca="1">IF(AND(ISNUMBER($Q$757),$B$427=1),$Q$757,HLOOKUP(INDIRECT(ADDRESS(2,COLUMN())),OFFSET($AM$2,0,0,ROW()-1,33),ROW()-1,FALSE))</f>
        <v>0</v>
      </c>
      <c r="R358">
        <f ca="1">IF(AND(ISNUMBER($R$757),$B$427=1),$R$757,HLOOKUP(INDIRECT(ADDRESS(2,COLUMN())),OFFSET($AM$2,0,0,ROW()-1,33),ROW()-1,FALSE))</f>
        <v>0</v>
      </c>
      <c r="S358">
        <f ca="1">IF(AND(ISNUMBER($S$757),$B$427=1),$S$757,HLOOKUP(INDIRECT(ADDRESS(2,COLUMN())),OFFSET($AM$2,0,0,ROW()-1,33),ROW()-1,FALSE))</f>
        <v>0</v>
      </c>
      <c r="T358">
        <f ca="1">IF(AND(ISNUMBER($T$757),$B$427=1),$T$757,HLOOKUP(INDIRECT(ADDRESS(2,COLUMN())),OFFSET($AM$2,0,0,ROW()-1,33),ROW()-1,FALSE))</f>
        <v>0</v>
      </c>
      <c r="U358">
        <f ca="1">IF(AND(ISNUMBER($U$757),$B$427=1),$U$757,HLOOKUP(INDIRECT(ADDRESS(2,COLUMN())),OFFSET($AM$2,0,0,ROW()-1,33),ROW()-1,FALSE))</f>
        <v>0</v>
      </c>
      <c r="V358">
        <f ca="1">IF(AND(ISNUMBER($V$757),$B$427=1),$V$757,HLOOKUP(INDIRECT(ADDRESS(2,COLUMN())),OFFSET($AM$2,0,0,ROW()-1,33),ROW()-1,FALSE))</f>
        <v>0</v>
      </c>
      <c r="W358">
        <f ca="1">IF(AND(ISNUMBER($W$757),$B$427=1),$W$757,HLOOKUP(INDIRECT(ADDRESS(2,COLUMN())),OFFSET($AM$2,0,0,ROW()-1,33),ROW()-1,FALSE))</f>
        <v>0</v>
      </c>
      <c r="X358">
        <f ca="1">IF(AND(ISNUMBER($X$757),$B$427=1),$X$757,HLOOKUP(INDIRECT(ADDRESS(2,COLUMN())),OFFSET($AM$2,0,0,ROW()-1,33),ROW()-1,FALSE))</f>
        <v>0</v>
      </c>
      <c r="Y358">
        <f ca="1">IF(AND(ISNUMBER($Y$757),$B$427=1),$Y$757,HLOOKUP(INDIRECT(ADDRESS(2,COLUMN())),OFFSET($AM$2,0,0,ROW()-1,33),ROW()-1,FALSE))</f>
        <v>0</v>
      </c>
      <c r="Z358">
        <f ca="1">IF(AND(ISNUMBER($Z$757),$B$427=1),$Z$757,HLOOKUP(INDIRECT(ADDRESS(2,COLUMN())),OFFSET($AM$2,0,0,ROW()-1,33),ROW()-1,FALSE))</f>
        <v>0</v>
      </c>
      <c r="AA358">
        <f ca="1">IF(AND(ISNUMBER($AA$757),$B$427=1),$AA$757,HLOOKUP(INDIRECT(ADDRESS(2,COLUMN())),OFFSET($AM$2,0,0,ROW()-1,33),ROW()-1,FALSE))</f>
        <v>0</v>
      </c>
      <c r="AB358">
        <f ca="1">IF(AND(ISNUMBER($AB$757),$B$427=1),$AB$757,HLOOKUP(INDIRECT(ADDRESS(2,COLUMN())),OFFSET($AM$2,0,0,ROW()-1,33),ROW()-1,FALSE))</f>
        <v>0</v>
      </c>
      <c r="AC358">
        <f ca="1">IF(AND(ISNUMBER($AC$757),$B$427=1),$AC$757,HLOOKUP(INDIRECT(ADDRESS(2,COLUMN())),OFFSET($AM$2,0,0,ROW()-1,33),ROW()-1,FALSE))</f>
        <v>0</v>
      </c>
      <c r="AD358" t="str">
        <f ca="1">IF(AND(ISNUMBER($AD$757),$B$427=1),$AD$757,HLOOKUP(INDIRECT(ADDRESS(2,COLUMN())),OFFSET($AM$2,0,0,ROW()-1,33),ROW()-1,FALSE))</f>
        <v/>
      </c>
      <c r="AE358" t="str">
        <f ca="1">IF(AND(ISNUMBER($AE$757),$B$427=1),$AE$757,HLOOKUP(INDIRECT(ADDRESS(2,COLUMN())),OFFSET($AM$2,0,0,ROW()-1,33),ROW()-1,FALSE))</f>
        <v/>
      </c>
      <c r="AF358" t="str">
        <f ca="1">IF(AND(ISNUMBER($AF$757),$B$427=1),$AF$757,HLOOKUP(INDIRECT(ADDRESS(2,COLUMN())),OFFSET($AM$2,0,0,ROW()-1,33),ROW()-1,FALSE))</f>
        <v/>
      </c>
      <c r="AG358" t="str">
        <f ca="1">IF(AND(ISNUMBER($AG$757),$B$427=1),$AG$757,HLOOKUP(INDIRECT(ADDRESS(2,COLUMN())),OFFSET($AM$2,0,0,ROW()-1,33),ROW()-1,FALSE))</f>
        <v/>
      </c>
      <c r="AH358" t="str">
        <f ca="1">IF(AND(ISNUMBER($AH$757),$B$427=1),$AH$757,HLOOKUP(INDIRECT(ADDRESS(2,COLUMN())),OFFSET($AM$2,0,0,ROW()-1,33),ROW()-1,FALSE))</f>
        <v/>
      </c>
      <c r="AI358" t="str">
        <f ca="1">IF(AND(ISNUMBER($AI$757),$B$427=1),$AI$757,HLOOKUP(INDIRECT(ADDRESS(2,COLUMN())),OFFSET($AM$2,0,0,ROW()-1,33),ROW()-1,FALSE))</f>
        <v/>
      </c>
      <c r="AJ358" t="str">
        <f ca="1">IF(AND(ISNUMBER($AJ$757),$B$427=1),$AJ$757,HLOOKUP(INDIRECT(ADDRESS(2,COLUMN())),OFFSET($AM$2,0,0,ROW()-1,33),ROW()-1,FALSE))</f>
        <v/>
      </c>
      <c r="AK358" t="str">
        <f ca="1">IF(AND(ISNUMBER($AK$757),$B$427=1),$AK$757,HLOOKUP(INDIRECT(ADDRESS(2,COLUMN())),OFFSET($AM$2,0,0,ROW()-1,33),ROW()-1,FALSE))</f>
        <v/>
      </c>
      <c r="AL358" t="str">
        <f ca="1">IF(AND(ISNUMBER($AL$757),$B$427=1),$AL$757,HLOOKUP(INDIRECT(ADDRESS(2,COLUMN())),OFFSET($AM$2,0,0,ROW()-1,33),ROW()-1,FALSE))</f>
        <v/>
      </c>
      <c r="AM358">
        <f>0</f>
        <v>0</v>
      </c>
      <c r="AN358">
        <f>0</f>
        <v>0</v>
      </c>
      <c r="AO358">
        <f>0</f>
        <v>0</v>
      </c>
      <c r="AP358">
        <f>0</f>
        <v>0</v>
      </c>
      <c r="AQ358">
        <f>0</f>
        <v>0</v>
      </c>
      <c r="AR358">
        <f>0</f>
        <v>0</v>
      </c>
      <c r="AS358">
        <f>0</f>
        <v>0</v>
      </c>
      <c r="AT358">
        <f>0</f>
        <v>0</v>
      </c>
      <c r="AU358">
        <f>0</f>
        <v>0</v>
      </c>
      <c r="AV358">
        <f>0</f>
        <v>0</v>
      </c>
      <c r="AW358">
        <f>0</f>
        <v>0</v>
      </c>
      <c r="AX358">
        <f>0</f>
        <v>0</v>
      </c>
      <c r="AY358">
        <f>0</f>
        <v>0</v>
      </c>
      <c r="AZ358">
        <f>0</f>
        <v>0</v>
      </c>
      <c r="BA358">
        <f>0</f>
        <v>0</v>
      </c>
      <c r="BB358">
        <f>0</f>
        <v>0</v>
      </c>
      <c r="BC358">
        <f>0</f>
        <v>0</v>
      </c>
      <c r="BD358">
        <f>0</f>
        <v>0</v>
      </c>
      <c r="BE358">
        <f>0</f>
        <v>0</v>
      </c>
      <c r="BF358">
        <f>0</f>
        <v>0</v>
      </c>
      <c r="BG358">
        <f>0</f>
        <v>0</v>
      </c>
      <c r="BH358">
        <f>0</f>
        <v>0</v>
      </c>
      <c r="BI358">
        <f>0</f>
        <v>0</v>
      </c>
      <c r="BJ358">
        <f>0</f>
        <v>0</v>
      </c>
      <c r="BK358" t="str">
        <f>""</f>
        <v/>
      </c>
      <c r="BL358" t="str">
        <f>""</f>
        <v/>
      </c>
      <c r="BM358" t="str">
        <f>""</f>
        <v/>
      </c>
      <c r="BN358" t="str">
        <f>""</f>
        <v/>
      </c>
      <c r="BO358" t="str">
        <f>""</f>
        <v/>
      </c>
      <c r="BP358" t="str">
        <f>""</f>
        <v/>
      </c>
      <c r="BQ358" t="str">
        <f>""</f>
        <v/>
      </c>
      <c r="BR358" t="str">
        <f>""</f>
        <v/>
      </c>
      <c r="BS358" t="str">
        <f>""</f>
        <v/>
      </c>
    </row>
    <row r="359" spans="1:71" x14ac:dyDescent="0.25">
      <c r="A359" t="str">
        <f>"        Huntington Bancshares Inc/OH"</f>
        <v xml:space="preserve">        Huntington Bancshares Inc/OH</v>
      </c>
      <c r="B359" t="str">
        <f>"HBAN US Equity"</f>
        <v>HBAN US Equity</v>
      </c>
      <c r="C359" t="str">
        <f t="shared" si="48"/>
        <v>F0126</v>
      </c>
      <c r="D359" t="str">
        <f t="shared" si="49"/>
        <v>FED_SOV_LOANS_%_TOT_LOANS_LEASES</v>
      </c>
      <c r="E359" t="str">
        <f t="shared" si="50"/>
        <v>Dynamic</v>
      </c>
      <c r="F359">
        <f ca="1">IF(AND(ISNUMBER($F$758),$B$427=1),$F$758,HLOOKUP(INDIRECT(ADDRESS(2,COLUMN())),OFFSET($AM$2,0,0,ROW()-1,33),ROW()-1,FALSE))</f>
        <v>0</v>
      </c>
      <c r="G359">
        <f ca="1">IF(AND(ISNUMBER($G$758),$B$427=1),$G$758,HLOOKUP(INDIRECT(ADDRESS(2,COLUMN())),OFFSET($AM$2,0,0,ROW()-1,33),ROW()-1,FALSE))</f>
        <v>0</v>
      </c>
      <c r="H359">
        <f ca="1">IF(AND(ISNUMBER($H$758),$B$427=1),$H$758,HLOOKUP(INDIRECT(ADDRESS(2,COLUMN())),OFFSET($AM$2,0,0,ROW()-1,33),ROW()-1,FALSE))</f>
        <v>0</v>
      </c>
      <c r="I359">
        <f ca="1">IF(AND(ISNUMBER($I$758),$B$427=1),$I$758,HLOOKUP(INDIRECT(ADDRESS(2,COLUMN())),OFFSET($AM$2,0,0,ROW()-1,33),ROW()-1,FALSE))</f>
        <v>0</v>
      </c>
      <c r="J359">
        <f ca="1">IF(AND(ISNUMBER($J$758),$B$427=1),$J$758,HLOOKUP(INDIRECT(ADDRESS(2,COLUMN())),OFFSET($AM$2,0,0,ROW()-1,33),ROW()-1,FALSE))</f>
        <v>0</v>
      </c>
      <c r="K359">
        <f ca="1">IF(AND(ISNUMBER($K$758),$B$427=1),$K$758,HLOOKUP(INDIRECT(ADDRESS(2,COLUMN())),OFFSET($AM$2,0,0,ROW()-1,33),ROW()-1,FALSE))</f>
        <v>0</v>
      </c>
      <c r="L359">
        <f ca="1">IF(AND(ISNUMBER($L$758),$B$427=1),$L$758,HLOOKUP(INDIRECT(ADDRESS(2,COLUMN())),OFFSET($AM$2,0,0,ROW()-1,33),ROW()-1,FALSE))</f>
        <v>0</v>
      </c>
      <c r="M359">
        <f ca="1">IF(AND(ISNUMBER($M$758),$B$427=1),$M$758,HLOOKUP(INDIRECT(ADDRESS(2,COLUMN())),OFFSET($AM$2,0,0,ROW()-1,33),ROW()-1,FALSE))</f>
        <v>0</v>
      </c>
      <c r="N359">
        <f ca="1">IF(AND(ISNUMBER($N$758),$B$427=1),$N$758,HLOOKUP(INDIRECT(ADDRESS(2,COLUMN())),OFFSET($AM$2,0,0,ROW()-1,33),ROW()-1,FALSE))</f>
        <v>0</v>
      </c>
      <c r="O359">
        <f ca="1">IF(AND(ISNUMBER($O$758),$B$427=1),$O$758,HLOOKUP(INDIRECT(ADDRESS(2,COLUMN())),OFFSET($AM$2,0,0,ROW()-1,33),ROW()-1,FALSE))</f>
        <v>0</v>
      </c>
      <c r="P359">
        <f ca="1">IF(AND(ISNUMBER($P$758),$B$427=1),$P$758,HLOOKUP(INDIRECT(ADDRESS(2,COLUMN())),OFFSET($AM$2,0,0,ROW()-1,33),ROW()-1,FALSE))</f>
        <v>0</v>
      </c>
      <c r="Q359">
        <f ca="1">IF(AND(ISNUMBER($Q$758),$B$427=1),$Q$758,HLOOKUP(INDIRECT(ADDRESS(2,COLUMN())),OFFSET($AM$2,0,0,ROW()-1,33),ROW()-1,FALSE))</f>
        <v>0</v>
      </c>
      <c r="R359">
        <f ca="1">IF(AND(ISNUMBER($R$758),$B$427=1),$R$758,HLOOKUP(INDIRECT(ADDRESS(2,COLUMN())),OFFSET($AM$2,0,0,ROW()-1,33),ROW()-1,FALSE))</f>
        <v>0</v>
      </c>
      <c r="S359">
        <f ca="1">IF(AND(ISNUMBER($S$758),$B$427=1),$S$758,HLOOKUP(INDIRECT(ADDRESS(2,COLUMN())),OFFSET($AM$2,0,0,ROW()-1,33),ROW()-1,FALSE))</f>
        <v>0</v>
      </c>
      <c r="T359">
        <f ca="1">IF(AND(ISNUMBER($T$758),$B$427=1),$T$758,HLOOKUP(INDIRECT(ADDRESS(2,COLUMN())),OFFSET($AM$2,0,0,ROW()-1,33),ROW()-1,FALSE))</f>
        <v>0</v>
      </c>
      <c r="U359">
        <f ca="1">IF(AND(ISNUMBER($U$758),$B$427=1),$U$758,HLOOKUP(INDIRECT(ADDRESS(2,COLUMN())),OFFSET($AM$2,0,0,ROW()-1,33),ROW()-1,FALSE))</f>
        <v>0</v>
      </c>
      <c r="V359">
        <f ca="1">IF(AND(ISNUMBER($V$758),$B$427=1),$V$758,HLOOKUP(INDIRECT(ADDRESS(2,COLUMN())),OFFSET($AM$2,0,0,ROW()-1,33),ROW()-1,FALSE))</f>
        <v>0</v>
      </c>
      <c r="W359">
        <f ca="1">IF(AND(ISNUMBER($W$758),$B$427=1),$W$758,HLOOKUP(INDIRECT(ADDRESS(2,COLUMN())),OFFSET($AM$2,0,0,ROW()-1,33),ROW()-1,FALSE))</f>
        <v>0</v>
      </c>
      <c r="X359">
        <f ca="1">IF(AND(ISNUMBER($X$758),$B$427=1),$X$758,HLOOKUP(INDIRECT(ADDRESS(2,COLUMN())),OFFSET($AM$2,0,0,ROW()-1,33),ROW()-1,FALSE))</f>
        <v>0</v>
      </c>
      <c r="Y359">
        <f ca="1">IF(AND(ISNUMBER($Y$758),$B$427=1),$Y$758,HLOOKUP(INDIRECT(ADDRESS(2,COLUMN())),OFFSET($AM$2,0,0,ROW()-1,33),ROW()-1,FALSE))</f>
        <v>0</v>
      </c>
      <c r="Z359">
        <f ca="1">IF(AND(ISNUMBER($Z$758),$B$427=1),$Z$758,HLOOKUP(INDIRECT(ADDRESS(2,COLUMN())),OFFSET($AM$2,0,0,ROW()-1,33),ROW()-1,FALSE))</f>
        <v>0</v>
      </c>
      <c r="AA359">
        <f ca="1">IF(AND(ISNUMBER($AA$758),$B$427=1),$AA$758,HLOOKUP(INDIRECT(ADDRESS(2,COLUMN())),OFFSET($AM$2,0,0,ROW()-1,33),ROW()-1,FALSE))</f>
        <v>0</v>
      </c>
      <c r="AB359">
        <f ca="1">IF(AND(ISNUMBER($AB$758),$B$427=1),$AB$758,HLOOKUP(INDIRECT(ADDRESS(2,COLUMN())),OFFSET($AM$2,0,0,ROW()-1,33),ROW()-1,FALSE))</f>
        <v>0</v>
      </c>
      <c r="AC359">
        <f ca="1">IF(AND(ISNUMBER($AC$758),$B$427=1),$AC$758,HLOOKUP(INDIRECT(ADDRESS(2,COLUMN())),OFFSET($AM$2,0,0,ROW()-1,33),ROW()-1,FALSE))</f>
        <v>0</v>
      </c>
      <c r="AD359" t="str">
        <f ca="1">IF(AND(ISNUMBER($AD$758),$B$427=1),$AD$758,HLOOKUP(INDIRECT(ADDRESS(2,COLUMN())),OFFSET($AM$2,0,0,ROW()-1,33),ROW()-1,FALSE))</f>
        <v/>
      </c>
      <c r="AE359" t="str">
        <f ca="1">IF(AND(ISNUMBER($AE$758),$B$427=1),$AE$758,HLOOKUP(INDIRECT(ADDRESS(2,COLUMN())),OFFSET($AM$2,0,0,ROW()-1,33),ROW()-1,FALSE))</f>
        <v/>
      </c>
      <c r="AF359" t="str">
        <f ca="1">IF(AND(ISNUMBER($AF$758),$B$427=1),$AF$758,HLOOKUP(INDIRECT(ADDRESS(2,COLUMN())),OFFSET($AM$2,0,0,ROW()-1,33),ROW()-1,FALSE))</f>
        <v/>
      </c>
      <c r="AG359" t="str">
        <f ca="1">IF(AND(ISNUMBER($AG$758),$B$427=1),$AG$758,HLOOKUP(INDIRECT(ADDRESS(2,COLUMN())),OFFSET($AM$2,0,0,ROW()-1,33),ROW()-1,FALSE))</f>
        <v/>
      </c>
      <c r="AH359" t="str">
        <f ca="1">IF(AND(ISNUMBER($AH$758),$B$427=1),$AH$758,HLOOKUP(INDIRECT(ADDRESS(2,COLUMN())),OFFSET($AM$2,0,0,ROW()-1,33),ROW()-1,FALSE))</f>
        <v/>
      </c>
      <c r="AI359" t="str">
        <f ca="1">IF(AND(ISNUMBER($AI$758),$B$427=1),$AI$758,HLOOKUP(INDIRECT(ADDRESS(2,COLUMN())),OFFSET($AM$2,0,0,ROW()-1,33),ROW()-1,FALSE))</f>
        <v/>
      </c>
      <c r="AJ359" t="str">
        <f ca="1">IF(AND(ISNUMBER($AJ$758),$B$427=1),$AJ$758,HLOOKUP(INDIRECT(ADDRESS(2,COLUMN())),OFFSET($AM$2,0,0,ROW()-1,33),ROW()-1,FALSE))</f>
        <v/>
      </c>
      <c r="AK359" t="str">
        <f ca="1">IF(AND(ISNUMBER($AK$758),$B$427=1),$AK$758,HLOOKUP(INDIRECT(ADDRESS(2,COLUMN())),OFFSET($AM$2,0,0,ROW()-1,33),ROW()-1,FALSE))</f>
        <v/>
      </c>
      <c r="AL359" t="str">
        <f ca="1">IF(AND(ISNUMBER($AL$758),$B$427=1),$AL$758,HLOOKUP(INDIRECT(ADDRESS(2,COLUMN())),OFFSET($AM$2,0,0,ROW()-1,33),ROW()-1,FALSE))</f>
        <v/>
      </c>
      <c r="AM359">
        <f>0</f>
        <v>0</v>
      </c>
      <c r="AN359">
        <f>0</f>
        <v>0</v>
      </c>
      <c r="AO359">
        <f>0</f>
        <v>0</v>
      </c>
      <c r="AP359">
        <f>0</f>
        <v>0</v>
      </c>
      <c r="AQ359">
        <f>0</f>
        <v>0</v>
      </c>
      <c r="AR359">
        <f>0</f>
        <v>0</v>
      </c>
      <c r="AS359">
        <f>0</f>
        <v>0</v>
      </c>
      <c r="AT359">
        <f>0</f>
        <v>0</v>
      </c>
      <c r="AU359">
        <f>0</f>
        <v>0</v>
      </c>
      <c r="AV359">
        <f>0</f>
        <v>0</v>
      </c>
      <c r="AW359">
        <f>0</f>
        <v>0</v>
      </c>
      <c r="AX359">
        <f>0</f>
        <v>0</v>
      </c>
      <c r="AY359">
        <f>0</f>
        <v>0</v>
      </c>
      <c r="AZ359">
        <f>0</f>
        <v>0</v>
      </c>
      <c r="BA359">
        <f>0</f>
        <v>0</v>
      </c>
      <c r="BB359">
        <f>0</f>
        <v>0</v>
      </c>
      <c r="BC359">
        <f>0</f>
        <v>0</v>
      </c>
      <c r="BD359">
        <f>0</f>
        <v>0</v>
      </c>
      <c r="BE359">
        <f>0</f>
        <v>0</v>
      </c>
      <c r="BF359">
        <f>0</f>
        <v>0</v>
      </c>
      <c r="BG359">
        <f>0</f>
        <v>0</v>
      </c>
      <c r="BH359">
        <f>0</f>
        <v>0</v>
      </c>
      <c r="BI359">
        <f>0</f>
        <v>0</v>
      </c>
      <c r="BJ359">
        <f>0</f>
        <v>0</v>
      </c>
      <c r="BK359" t="str">
        <f>""</f>
        <v/>
      </c>
      <c r="BL359" t="str">
        <f>""</f>
        <v/>
      </c>
      <c r="BM359" t="str">
        <f>""</f>
        <v/>
      </c>
      <c r="BN359" t="str">
        <f>""</f>
        <v/>
      </c>
      <c r="BO359" t="str">
        <f>""</f>
        <v/>
      </c>
      <c r="BP359" t="str">
        <f>""</f>
        <v/>
      </c>
      <c r="BQ359" t="str">
        <f>""</f>
        <v/>
      </c>
      <c r="BR359" t="str">
        <f>""</f>
        <v/>
      </c>
      <c r="BS359" t="str">
        <f>""</f>
        <v/>
      </c>
    </row>
    <row r="360" spans="1:71" x14ac:dyDescent="0.25">
      <c r="A360" t="str">
        <f>"        JPMorgan Chase &amp; Co"</f>
        <v xml:space="preserve">        JPMorgan Chase &amp; Co</v>
      </c>
      <c r="B360" t="str">
        <f>"JPM US Equity"</f>
        <v>JPM US Equity</v>
      </c>
      <c r="C360" t="str">
        <f t="shared" si="48"/>
        <v>F0126</v>
      </c>
      <c r="D360" t="str">
        <f t="shared" si="49"/>
        <v>FED_SOV_LOANS_%_TOT_LOANS_LEASES</v>
      </c>
      <c r="E360" t="str">
        <f t="shared" si="50"/>
        <v>Dynamic</v>
      </c>
      <c r="F360">
        <f ca="1">IF(AND(ISNUMBER($F$759),$B$427=1),$F$759,HLOOKUP(INDIRECT(ADDRESS(2,COLUMN())),OFFSET($AM$2,0,0,ROW()-1,33),ROW()-1,FALSE))</f>
        <v>0.29144585000000001</v>
      </c>
      <c r="G360">
        <f ca="1">IF(AND(ISNUMBER($G$759),$B$427=1),$G$759,HLOOKUP(INDIRECT(ADDRESS(2,COLUMN())),OFFSET($AM$2,0,0,ROW()-1,33),ROW()-1,FALSE))</f>
        <v>0.35768784599999998</v>
      </c>
      <c r="H360">
        <f ca="1">IF(AND(ISNUMBER($H$759),$B$427=1),$H$759,HLOOKUP(INDIRECT(ADDRESS(2,COLUMN())),OFFSET($AM$2,0,0,ROW()-1,33),ROW()-1,FALSE))</f>
        <v>0.258581112</v>
      </c>
      <c r="I360">
        <f ca="1">IF(AND(ISNUMBER($I$759),$B$427=1),$I$759,HLOOKUP(INDIRECT(ADDRESS(2,COLUMN())),OFFSET($AM$2,0,0,ROW()-1,33),ROW()-1,FALSE))</f>
        <v>0.17487697499999999</v>
      </c>
      <c r="J360">
        <f ca="1">IF(AND(ISNUMBER($J$759),$B$427=1),$J$759,HLOOKUP(INDIRECT(ADDRESS(2,COLUMN())),OFFSET($AM$2,0,0,ROW()-1,33),ROW()-1,FALSE))</f>
        <v>0.244677902</v>
      </c>
      <c r="K360">
        <f ca="1">IF(AND(ISNUMBER($K$759),$B$427=1),$K$759,HLOOKUP(INDIRECT(ADDRESS(2,COLUMN())),OFFSET($AM$2,0,0,ROW()-1,33),ROW()-1,FALSE))</f>
        <v>0.29894674100000002</v>
      </c>
      <c r="L360">
        <f ca="1">IF(AND(ISNUMBER($L$759),$B$427=1),$L$759,HLOOKUP(INDIRECT(ADDRESS(2,COLUMN())),OFFSET($AM$2,0,0,ROW()-1,33),ROW()-1,FALSE))</f>
        <v>0.304503998</v>
      </c>
      <c r="M360">
        <f ca="1">IF(AND(ISNUMBER($M$759),$B$427=1),$M$759,HLOOKUP(INDIRECT(ADDRESS(2,COLUMN())),OFFSET($AM$2,0,0,ROW()-1,33),ROW()-1,FALSE))</f>
        <v>0.232956986</v>
      </c>
      <c r="N360">
        <f ca="1">IF(AND(ISNUMBER($N$759),$B$427=1),$N$759,HLOOKUP(INDIRECT(ADDRESS(2,COLUMN())),OFFSET($AM$2,0,0,ROW()-1,33),ROW()-1,FALSE))</f>
        <v>0.331064845</v>
      </c>
      <c r="O360">
        <f ca="1">IF(AND(ISNUMBER($O$759),$B$427=1),$O$759,HLOOKUP(INDIRECT(ADDRESS(2,COLUMN())),OFFSET($AM$2,0,0,ROW()-1,33),ROW()-1,FALSE))</f>
        <v>0.105908794</v>
      </c>
      <c r="P360">
        <f ca="1">IF(AND(ISNUMBER($P$759),$B$427=1),$P$759,HLOOKUP(INDIRECT(ADDRESS(2,COLUMN())),OFFSET($AM$2,0,0,ROW()-1,33),ROW()-1,FALSE))</f>
        <v>0.123618984</v>
      </c>
      <c r="Q360">
        <f ca="1">IF(AND(ISNUMBER($Q$759),$B$427=1),$Q$759,HLOOKUP(INDIRECT(ADDRESS(2,COLUMN())),OFFSET($AM$2,0,0,ROW()-1,33),ROW()-1,FALSE))</f>
        <v>0.134752923</v>
      </c>
      <c r="R360">
        <f ca="1">IF(AND(ISNUMBER($R$759),$B$427=1),$R$759,HLOOKUP(INDIRECT(ADDRESS(2,COLUMN())),OFFSET($AM$2,0,0,ROW()-1,33),ROW()-1,FALSE))</f>
        <v>1.4235326E-2</v>
      </c>
      <c r="S360">
        <f ca="1">IF(AND(ISNUMBER($S$759),$B$427=1),$S$759,HLOOKUP(INDIRECT(ADDRESS(2,COLUMN())),OFFSET($AM$2,0,0,ROW()-1,33),ROW()-1,FALSE))</f>
        <v>1.1180364E-2</v>
      </c>
      <c r="T360">
        <f ca="1">IF(AND(ISNUMBER($T$759),$B$427=1),$T$759,HLOOKUP(INDIRECT(ADDRESS(2,COLUMN())),OFFSET($AM$2,0,0,ROW()-1,33),ROW()-1,FALSE))</f>
        <v>1.6507959999999999E-3</v>
      </c>
      <c r="U360">
        <f ca="1">IF(AND(ISNUMBER($U$759),$B$427=1),$U$759,HLOOKUP(INDIRECT(ADDRESS(2,COLUMN())),OFFSET($AM$2,0,0,ROW()-1,33),ROW()-1,FALSE))</f>
        <v>0.211427211</v>
      </c>
      <c r="V360">
        <f ca="1">IF(AND(ISNUMBER($V$759),$B$427=1),$V$759,HLOOKUP(INDIRECT(ADDRESS(2,COLUMN())),OFFSET($AM$2,0,0,ROW()-1,33),ROW()-1,FALSE))</f>
        <v>4.3222024999999997E-2</v>
      </c>
      <c r="W360">
        <f ca="1">IF(AND(ISNUMBER($W$759),$B$427=1),$W$759,HLOOKUP(INDIRECT(ADDRESS(2,COLUMN())),OFFSET($AM$2,0,0,ROW()-1,33),ROW()-1,FALSE))</f>
        <v>2.9161656000000001E-2</v>
      </c>
      <c r="X360">
        <f ca="1">IF(AND(ISNUMBER($X$759),$B$427=1),$X$759,HLOOKUP(INDIRECT(ADDRESS(2,COLUMN())),OFFSET($AM$2,0,0,ROW()-1,33),ROW()-1,FALSE))</f>
        <v>0.52677660299999995</v>
      </c>
      <c r="Y360">
        <f ca="1">IF(AND(ISNUMBER($Y$759),$B$427=1),$Y$759,HLOOKUP(INDIRECT(ADDRESS(2,COLUMN())),OFFSET($AM$2,0,0,ROW()-1,33),ROW()-1,FALSE))</f>
        <v>0.28893621600000002</v>
      </c>
      <c r="Z360">
        <f ca="1">IF(AND(ISNUMBER($Z$759),$B$427=1),$Z$759,HLOOKUP(INDIRECT(ADDRESS(2,COLUMN())),OFFSET($AM$2,0,0,ROW()-1,33),ROW()-1,FALSE))</f>
        <v>0.641256143</v>
      </c>
      <c r="AA360">
        <f ca="1">IF(AND(ISNUMBER($AA$759),$B$427=1),$AA$759,HLOOKUP(INDIRECT(ADDRESS(2,COLUMN())),OFFSET($AM$2,0,0,ROW()-1,33),ROW()-1,FALSE))</f>
        <v>0.32115817400000002</v>
      </c>
      <c r="AB360">
        <f ca="1">IF(AND(ISNUMBER($AB$759),$B$427=1),$AB$759,HLOOKUP(INDIRECT(ADDRESS(2,COLUMN())),OFFSET($AM$2,0,0,ROW()-1,33),ROW()-1,FALSE))</f>
        <v>0.27930248400000002</v>
      </c>
      <c r="AC360">
        <f ca="1">IF(AND(ISNUMBER($AC$759),$B$427=1),$AC$759,HLOOKUP(INDIRECT(ADDRESS(2,COLUMN())),OFFSET($AM$2,0,0,ROW()-1,33),ROW()-1,FALSE))</f>
        <v>0.64582307900000002</v>
      </c>
      <c r="AD360" t="str">
        <f ca="1">IF(AND(ISNUMBER($AD$759),$B$427=1),$AD$759,HLOOKUP(INDIRECT(ADDRESS(2,COLUMN())),OFFSET($AM$2,0,0,ROW()-1,33),ROW()-1,FALSE))</f>
        <v/>
      </c>
      <c r="AE360" t="str">
        <f ca="1">IF(AND(ISNUMBER($AE$759),$B$427=1),$AE$759,HLOOKUP(INDIRECT(ADDRESS(2,COLUMN())),OFFSET($AM$2,0,0,ROW()-1,33),ROW()-1,FALSE))</f>
        <v/>
      </c>
      <c r="AF360" t="str">
        <f ca="1">IF(AND(ISNUMBER($AF$759),$B$427=1),$AF$759,HLOOKUP(INDIRECT(ADDRESS(2,COLUMN())),OFFSET($AM$2,0,0,ROW()-1,33),ROW()-1,FALSE))</f>
        <v/>
      </c>
      <c r="AG360" t="str">
        <f ca="1">IF(AND(ISNUMBER($AG$759),$B$427=1),$AG$759,HLOOKUP(INDIRECT(ADDRESS(2,COLUMN())),OFFSET($AM$2,0,0,ROW()-1,33),ROW()-1,FALSE))</f>
        <v/>
      </c>
      <c r="AH360" t="str">
        <f ca="1">IF(AND(ISNUMBER($AH$759),$B$427=1),$AH$759,HLOOKUP(INDIRECT(ADDRESS(2,COLUMN())),OFFSET($AM$2,0,0,ROW()-1,33),ROW()-1,FALSE))</f>
        <v/>
      </c>
      <c r="AI360" t="str">
        <f ca="1">IF(AND(ISNUMBER($AI$759),$B$427=1),$AI$759,HLOOKUP(INDIRECT(ADDRESS(2,COLUMN())),OFFSET($AM$2,0,0,ROW()-1,33),ROW()-1,FALSE))</f>
        <v/>
      </c>
      <c r="AJ360" t="str">
        <f ca="1">IF(AND(ISNUMBER($AJ$759),$B$427=1),$AJ$759,HLOOKUP(INDIRECT(ADDRESS(2,COLUMN())),OFFSET($AM$2,0,0,ROW()-1,33),ROW()-1,FALSE))</f>
        <v/>
      </c>
      <c r="AK360" t="str">
        <f ca="1">IF(AND(ISNUMBER($AK$759),$B$427=1),$AK$759,HLOOKUP(INDIRECT(ADDRESS(2,COLUMN())),OFFSET($AM$2,0,0,ROW()-1,33),ROW()-1,FALSE))</f>
        <v/>
      </c>
      <c r="AL360" t="str">
        <f ca="1">IF(AND(ISNUMBER($AL$759),$B$427=1),$AL$759,HLOOKUP(INDIRECT(ADDRESS(2,COLUMN())),OFFSET($AM$2,0,0,ROW()-1,33),ROW()-1,FALSE))</f>
        <v/>
      </c>
      <c r="AM360">
        <f>0.29144585</f>
        <v>0.29144585000000001</v>
      </c>
      <c r="AN360">
        <f>0.357687846</f>
        <v>0.35768784599999998</v>
      </c>
      <c r="AO360">
        <f>0.258581112</f>
        <v>0.258581112</v>
      </c>
      <c r="AP360">
        <f>0.174876975</f>
        <v>0.17487697499999999</v>
      </c>
      <c r="AQ360">
        <f>0.244677902</f>
        <v>0.244677902</v>
      </c>
      <c r="AR360">
        <f>0.298946741</f>
        <v>0.29894674100000002</v>
      </c>
      <c r="AS360">
        <f>0.304503998</f>
        <v>0.304503998</v>
      </c>
      <c r="AT360">
        <f>0.232956986</f>
        <v>0.232956986</v>
      </c>
      <c r="AU360">
        <f>0.331064845</f>
        <v>0.331064845</v>
      </c>
      <c r="AV360">
        <f>0.105908794</f>
        <v>0.105908794</v>
      </c>
      <c r="AW360">
        <f>0.123618984</f>
        <v>0.123618984</v>
      </c>
      <c r="AX360">
        <f>0.134752923</f>
        <v>0.134752923</v>
      </c>
      <c r="AY360">
        <f>0.014235326</f>
        <v>1.4235326E-2</v>
      </c>
      <c r="AZ360">
        <f>0.011180364</f>
        <v>1.1180364E-2</v>
      </c>
      <c r="BA360">
        <f>0.001650796</f>
        <v>1.6507959999999999E-3</v>
      </c>
      <c r="BB360">
        <f>0.211427211</f>
        <v>0.211427211</v>
      </c>
      <c r="BC360">
        <f>0.043222025</f>
        <v>4.3222024999999997E-2</v>
      </c>
      <c r="BD360">
        <f>0.029161656</f>
        <v>2.9161656000000001E-2</v>
      </c>
      <c r="BE360">
        <f>0.526776603</f>
        <v>0.52677660299999995</v>
      </c>
      <c r="BF360">
        <f>0.288936216</f>
        <v>0.28893621600000002</v>
      </c>
      <c r="BG360">
        <f>0.641256143</f>
        <v>0.641256143</v>
      </c>
      <c r="BH360">
        <f>0.321158174</f>
        <v>0.32115817400000002</v>
      </c>
      <c r="BI360">
        <f>0.279302484</f>
        <v>0.27930248400000002</v>
      </c>
      <c r="BJ360">
        <f>0.645823079</f>
        <v>0.64582307900000002</v>
      </c>
      <c r="BK360" t="str">
        <f>""</f>
        <v/>
      </c>
      <c r="BL360" t="str">
        <f>""</f>
        <v/>
      </c>
      <c r="BM360" t="str">
        <f>""</f>
        <v/>
      </c>
      <c r="BN360" t="str">
        <f>""</f>
        <v/>
      </c>
      <c r="BO360" t="str">
        <f>""</f>
        <v/>
      </c>
      <c r="BP360" t="str">
        <f>""</f>
        <v/>
      </c>
      <c r="BQ360" t="str">
        <f>""</f>
        <v/>
      </c>
      <c r="BR360" t="str">
        <f>""</f>
        <v/>
      </c>
      <c r="BS360" t="str">
        <f>""</f>
        <v/>
      </c>
    </row>
    <row r="361" spans="1:71" x14ac:dyDescent="0.25">
      <c r="A361" t="str">
        <f>"        KeyCorp"</f>
        <v xml:space="preserve">        KeyCorp</v>
      </c>
      <c r="B361" t="str">
        <f>"KEY US Equity"</f>
        <v>KEY US Equity</v>
      </c>
      <c r="C361" t="str">
        <f t="shared" si="48"/>
        <v>F0126</v>
      </c>
      <c r="D361" t="str">
        <f t="shared" si="49"/>
        <v>FED_SOV_LOANS_%_TOT_LOANS_LEASES</v>
      </c>
      <c r="E361" t="str">
        <f t="shared" si="50"/>
        <v>Dynamic</v>
      </c>
      <c r="F361">
        <f ca="1">IF(AND(ISNUMBER($F$760),$B$427=1),$F$760,HLOOKUP(INDIRECT(ADDRESS(2,COLUMN())),OFFSET($AM$2,0,0,ROW()-1,33),ROW()-1,FALSE))</f>
        <v>0</v>
      </c>
      <c r="G361">
        <f ca="1">IF(AND(ISNUMBER($G$760),$B$427=1),$G$760,HLOOKUP(INDIRECT(ADDRESS(2,COLUMN())),OFFSET($AM$2,0,0,ROW()-1,33),ROW()-1,FALSE))</f>
        <v>0</v>
      </c>
      <c r="H361">
        <f ca="1">IF(AND(ISNUMBER($H$760),$B$427=1),$H$760,HLOOKUP(INDIRECT(ADDRESS(2,COLUMN())),OFFSET($AM$2,0,0,ROW()-1,33),ROW()-1,FALSE))</f>
        <v>0</v>
      </c>
      <c r="I361">
        <f ca="1">IF(AND(ISNUMBER($I$760),$B$427=1),$I$760,HLOOKUP(INDIRECT(ADDRESS(2,COLUMN())),OFFSET($AM$2,0,0,ROW()-1,33),ROW()-1,FALSE))</f>
        <v>0</v>
      </c>
      <c r="J361">
        <f ca="1">IF(AND(ISNUMBER($J$760),$B$427=1),$J$760,HLOOKUP(INDIRECT(ADDRESS(2,COLUMN())),OFFSET($AM$2,0,0,ROW()-1,33),ROW()-1,FALSE))</f>
        <v>0</v>
      </c>
      <c r="K361">
        <f ca="1">IF(AND(ISNUMBER($K$760),$B$427=1),$K$760,HLOOKUP(INDIRECT(ADDRESS(2,COLUMN())),OFFSET($AM$2,0,0,ROW()-1,33),ROW()-1,FALSE))</f>
        <v>0</v>
      </c>
      <c r="L361">
        <f ca="1">IF(AND(ISNUMBER($L$760),$B$427=1),$L$760,HLOOKUP(INDIRECT(ADDRESS(2,COLUMN())),OFFSET($AM$2,0,0,ROW()-1,33),ROW()-1,FALSE))</f>
        <v>0</v>
      </c>
      <c r="M361">
        <f ca="1">IF(AND(ISNUMBER($M$760),$B$427=1),$M$760,HLOOKUP(INDIRECT(ADDRESS(2,COLUMN())),OFFSET($AM$2,0,0,ROW()-1,33),ROW()-1,FALSE))</f>
        <v>0</v>
      </c>
      <c r="N361">
        <f ca="1">IF(AND(ISNUMBER($N$760),$B$427=1),$N$760,HLOOKUP(INDIRECT(ADDRESS(2,COLUMN())),OFFSET($AM$2,0,0,ROW()-1,33),ROW()-1,FALSE))</f>
        <v>0</v>
      </c>
      <c r="O361">
        <f ca="1">IF(AND(ISNUMBER($O$760),$B$427=1),$O$760,HLOOKUP(INDIRECT(ADDRESS(2,COLUMN())),OFFSET($AM$2,0,0,ROW()-1,33),ROW()-1,FALSE))</f>
        <v>0</v>
      </c>
      <c r="P361">
        <f ca="1">IF(AND(ISNUMBER($P$760),$B$427=1),$P$760,HLOOKUP(INDIRECT(ADDRESS(2,COLUMN())),OFFSET($AM$2,0,0,ROW()-1,33),ROW()-1,FALSE))</f>
        <v>0</v>
      </c>
      <c r="Q361">
        <f ca="1">IF(AND(ISNUMBER($Q$760),$B$427=1),$Q$760,HLOOKUP(INDIRECT(ADDRESS(2,COLUMN())),OFFSET($AM$2,0,0,ROW()-1,33),ROW()-1,FALSE))</f>
        <v>0</v>
      </c>
      <c r="R361">
        <f ca="1">IF(AND(ISNUMBER($R$760),$B$427=1),$R$760,HLOOKUP(INDIRECT(ADDRESS(2,COLUMN())),OFFSET($AM$2,0,0,ROW()-1,33),ROW()-1,FALSE))</f>
        <v>0</v>
      </c>
      <c r="S361">
        <f ca="1">IF(AND(ISNUMBER($S$760),$B$427=1),$S$760,HLOOKUP(INDIRECT(ADDRESS(2,COLUMN())),OFFSET($AM$2,0,0,ROW()-1,33),ROW()-1,FALSE))</f>
        <v>0</v>
      </c>
      <c r="T361">
        <f ca="1">IF(AND(ISNUMBER($T$760),$B$427=1),$T$760,HLOOKUP(INDIRECT(ADDRESS(2,COLUMN())),OFFSET($AM$2,0,0,ROW()-1,33),ROW()-1,FALSE))</f>
        <v>0</v>
      </c>
      <c r="U361">
        <f ca="1">IF(AND(ISNUMBER($U$760),$B$427=1),$U$760,HLOOKUP(INDIRECT(ADDRESS(2,COLUMN())),OFFSET($AM$2,0,0,ROW()-1,33),ROW()-1,FALSE))</f>
        <v>0</v>
      </c>
      <c r="V361">
        <f ca="1">IF(AND(ISNUMBER($V$760),$B$427=1),$V$760,HLOOKUP(INDIRECT(ADDRESS(2,COLUMN())),OFFSET($AM$2,0,0,ROW()-1,33),ROW()-1,FALSE))</f>
        <v>0</v>
      </c>
      <c r="W361">
        <f ca="1">IF(AND(ISNUMBER($W$760),$B$427=1),$W$760,HLOOKUP(INDIRECT(ADDRESS(2,COLUMN())),OFFSET($AM$2,0,0,ROW()-1,33),ROW()-1,FALSE))</f>
        <v>0</v>
      </c>
      <c r="X361">
        <f ca="1">IF(AND(ISNUMBER($X$760),$B$427=1),$X$760,HLOOKUP(INDIRECT(ADDRESS(2,COLUMN())),OFFSET($AM$2,0,0,ROW()-1,33),ROW()-1,FALSE))</f>
        <v>4.3447340000000003E-3</v>
      </c>
      <c r="Y361">
        <f ca="1">IF(AND(ISNUMBER($Y$760),$B$427=1),$Y$760,HLOOKUP(INDIRECT(ADDRESS(2,COLUMN())),OFFSET($AM$2,0,0,ROW()-1,33),ROW()-1,FALSE))</f>
        <v>2.0956719999999998E-3</v>
      </c>
      <c r="Z361">
        <f ca="1">IF(AND(ISNUMBER($Z$760),$B$427=1),$Z$760,HLOOKUP(INDIRECT(ADDRESS(2,COLUMN())),OFFSET($AM$2,0,0,ROW()-1,33),ROW()-1,FALSE))</f>
        <v>9.2602400000000001E-4</v>
      </c>
      <c r="AA361">
        <f ca="1">IF(AND(ISNUMBER($AA$760),$B$427=1),$AA$760,HLOOKUP(INDIRECT(ADDRESS(2,COLUMN())),OFFSET($AM$2,0,0,ROW()-1,33),ROW()-1,FALSE))</f>
        <v>1.653832E-3</v>
      </c>
      <c r="AB361">
        <f ca="1">IF(AND(ISNUMBER($AB$760),$B$427=1),$AB$760,HLOOKUP(INDIRECT(ADDRESS(2,COLUMN())),OFFSET($AM$2,0,0,ROW()-1,33),ROW()-1,FALSE))</f>
        <v>4.4275219999999997E-2</v>
      </c>
      <c r="AC361">
        <f ca="1">IF(AND(ISNUMBER($AC$760),$B$427=1),$AC$760,HLOOKUP(INDIRECT(ADDRESS(2,COLUMN())),OFFSET($AM$2,0,0,ROW()-1,33),ROW()-1,FALSE))</f>
        <v>0.12786220000000001</v>
      </c>
      <c r="AD361" t="str">
        <f ca="1">IF(AND(ISNUMBER($AD$760),$B$427=1),$AD$760,HLOOKUP(INDIRECT(ADDRESS(2,COLUMN())),OFFSET($AM$2,0,0,ROW()-1,33),ROW()-1,FALSE))</f>
        <v/>
      </c>
      <c r="AE361" t="str">
        <f ca="1">IF(AND(ISNUMBER($AE$760),$B$427=1),$AE$760,HLOOKUP(INDIRECT(ADDRESS(2,COLUMN())),OFFSET($AM$2,0,0,ROW()-1,33),ROW()-1,FALSE))</f>
        <v/>
      </c>
      <c r="AF361" t="str">
        <f ca="1">IF(AND(ISNUMBER($AF$760),$B$427=1),$AF$760,HLOOKUP(INDIRECT(ADDRESS(2,COLUMN())),OFFSET($AM$2,0,0,ROW()-1,33),ROW()-1,FALSE))</f>
        <v/>
      </c>
      <c r="AG361" t="str">
        <f ca="1">IF(AND(ISNUMBER($AG$760),$B$427=1),$AG$760,HLOOKUP(INDIRECT(ADDRESS(2,COLUMN())),OFFSET($AM$2,0,0,ROW()-1,33),ROW()-1,FALSE))</f>
        <v/>
      </c>
      <c r="AH361" t="str">
        <f ca="1">IF(AND(ISNUMBER($AH$760),$B$427=1),$AH$760,HLOOKUP(INDIRECT(ADDRESS(2,COLUMN())),OFFSET($AM$2,0,0,ROW()-1,33),ROW()-1,FALSE))</f>
        <v/>
      </c>
      <c r="AI361" t="str">
        <f ca="1">IF(AND(ISNUMBER($AI$760),$B$427=1),$AI$760,HLOOKUP(INDIRECT(ADDRESS(2,COLUMN())),OFFSET($AM$2,0,0,ROW()-1,33),ROW()-1,FALSE))</f>
        <v/>
      </c>
      <c r="AJ361" t="str">
        <f ca="1">IF(AND(ISNUMBER($AJ$760),$B$427=1),$AJ$760,HLOOKUP(INDIRECT(ADDRESS(2,COLUMN())),OFFSET($AM$2,0,0,ROW()-1,33),ROW()-1,FALSE))</f>
        <v/>
      </c>
      <c r="AK361" t="str">
        <f ca="1">IF(AND(ISNUMBER($AK$760),$B$427=1),$AK$760,HLOOKUP(INDIRECT(ADDRESS(2,COLUMN())),OFFSET($AM$2,0,0,ROW()-1,33),ROW()-1,FALSE))</f>
        <v/>
      </c>
      <c r="AL361" t="str">
        <f ca="1">IF(AND(ISNUMBER($AL$760),$B$427=1),$AL$760,HLOOKUP(INDIRECT(ADDRESS(2,COLUMN())),OFFSET($AM$2,0,0,ROW()-1,33),ROW()-1,FALSE))</f>
        <v/>
      </c>
      <c r="AM361">
        <f>0</f>
        <v>0</v>
      </c>
      <c r="AN361">
        <f>0</f>
        <v>0</v>
      </c>
      <c r="AO361">
        <f>0</f>
        <v>0</v>
      </c>
      <c r="AP361">
        <f>0</f>
        <v>0</v>
      </c>
      <c r="AQ361">
        <f>0</f>
        <v>0</v>
      </c>
      <c r="AR361">
        <f>0</f>
        <v>0</v>
      </c>
      <c r="AS361">
        <f>0</f>
        <v>0</v>
      </c>
      <c r="AT361">
        <f>0</f>
        <v>0</v>
      </c>
      <c r="AU361">
        <f>0</f>
        <v>0</v>
      </c>
      <c r="AV361">
        <f>0</f>
        <v>0</v>
      </c>
      <c r="AW361">
        <f>0</f>
        <v>0</v>
      </c>
      <c r="AX361">
        <f>0</f>
        <v>0</v>
      </c>
      <c r="AY361">
        <f>0</f>
        <v>0</v>
      </c>
      <c r="AZ361">
        <f>0</f>
        <v>0</v>
      </c>
      <c r="BA361">
        <f>0</f>
        <v>0</v>
      </c>
      <c r="BB361">
        <f>0</f>
        <v>0</v>
      </c>
      <c r="BC361">
        <f>0</f>
        <v>0</v>
      </c>
      <c r="BD361">
        <f>0</f>
        <v>0</v>
      </c>
      <c r="BE361">
        <f>0.004344734</f>
        <v>4.3447340000000003E-3</v>
      </c>
      <c r="BF361">
        <f>0.002095672</f>
        <v>2.0956719999999998E-3</v>
      </c>
      <c r="BG361">
        <f>0.000926024</f>
        <v>9.2602400000000001E-4</v>
      </c>
      <c r="BH361">
        <f>0.001653832</f>
        <v>1.653832E-3</v>
      </c>
      <c r="BI361">
        <f>0.04427522</f>
        <v>4.4275219999999997E-2</v>
      </c>
      <c r="BJ361">
        <f>0.1278622</f>
        <v>0.12786220000000001</v>
      </c>
      <c r="BK361" t="str">
        <f>""</f>
        <v/>
      </c>
      <c r="BL361" t="str">
        <f>""</f>
        <v/>
      </c>
      <c r="BM361" t="str">
        <f>""</f>
        <v/>
      </c>
      <c r="BN361" t="str">
        <f>""</f>
        <v/>
      </c>
      <c r="BO361" t="str">
        <f>""</f>
        <v/>
      </c>
      <c r="BP361" t="str">
        <f>""</f>
        <v/>
      </c>
      <c r="BQ361" t="str">
        <f>""</f>
        <v/>
      </c>
      <c r="BR361" t="str">
        <f>""</f>
        <v/>
      </c>
      <c r="BS361" t="str">
        <f>""</f>
        <v/>
      </c>
    </row>
    <row r="362" spans="1:71" x14ac:dyDescent="0.25">
      <c r="A362" t="str">
        <f>"        M&amp;T Bank Corp"</f>
        <v xml:space="preserve">        M&amp;T Bank Corp</v>
      </c>
      <c r="B362" t="str">
        <f>"MTB US Equity"</f>
        <v>MTB US Equity</v>
      </c>
      <c r="C362" t="str">
        <f t="shared" si="48"/>
        <v>F0126</v>
      </c>
      <c r="D362" t="str">
        <f t="shared" si="49"/>
        <v>FED_SOV_LOANS_%_TOT_LOANS_LEASES</v>
      </c>
      <c r="E362" t="str">
        <f t="shared" si="50"/>
        <v>Dynamic</v>
      </c>
      <c r="F362">
        <f ca="1">IF(AND(ISNUMBER($F$761),$B$427=1),$F$761,HLOOKUP(INDIRECT(ADDRESS(2,COLUMN())),OFFSET($AM$2,0,0,ROW()-1,33),ROW()-1,FALSE))</f>
        <v>0</v>
      </c>
      <c r="G362">
        <f ca="1">IF(AND(ISNUMBER($G$761),$B$427=1),$G$761,HLOOKUP(INDIRECT(ADDRESS(2,COLUMN())),OFFSET($AM$2,0,0,ROW()-1,33),ROW()-1,FALSE))</f>
        <v>0</v>
      </c>
      <c r="H362">
        <f ca="1">IF(AND(ISNUMBER($H$761),$B$427=1),$H$761,HLOOKUP(INDIRECT(ADDRESS(2,COLUMN())),OFFSET($AM$2,0,0,ROW()-1,33),ROW()-1,FALSE))</f>
        <v>0</v>
      </c>
      <c r="I362">
        <f ca="1">IF(AND(ISNUMBER($I$761),$B$427=1),$I$761,HLOOKUP(INDIRECT(ADDRESS(2,COLUMN())),OFFSET($AM$2,0,0,ROW()-1,33),ROW()-1,FALSE))</f>
        <v>0</v>
      </c>
      <c r="J362">
        <f ca="1">IF(AND(ISNUMBER($J$761),$B$427=1),$J$761,HLOOKUP(INDIRECT(ADDRESS(2,COLUMN())),OFFSET($AM$2,0,0,ROW()-1,33),ROW()-1,FALSE))</f>
        <v>0</v>
      </c>
      <c r="K362">
        <f ca="1">IF(AND(ISNUMBER($K$761),$B$427=1),$K$761,HLOOKUP(INDIRECT(ADDRESS(2,COLUMN())),OFFSET($AM$2,0,0,ROW()-1,33),ROW()-1,FALSE))</f>
        <v>0</v>
      </c>
      <c r="L362">
        <f ca="1">IF(AND(ISNUMBER($L$761),$B$427=1),$L$761,HLOOKUP(INDIRECT(ADDRESS(2,COLUMN())),OFFSET($AM$2,0,0,ROW()-1,33),ROW()-1,FALSE))</f>
        <v>0</v>
      </c>
      <c r="M362">
        <f ca="1">IF(AND(ISNUMBER($M$761),$B$427=1),$M$761,HLOOKUP(INDIRECT(ADDRESS(2,COLUMN())),OFFSET($AM$2,0,0,ROW()-1,33),ROW()-1,FALSE))</f>
        <v>0</v>
      </c>
      <c r="N362">
        <f ca="1">IF(AND(ISNUMBER($N$761),$B$427=1),$N$761,HLOOKUP(INDIRECT(ADDRESS(2,COLUMN())),OFFSET($AM$2,0,0,ROW()-1,33),ROW()-1,FALSE))</f>
        <v>0</v>
      </c>
      <c r="O362">
        <f ca="1">IF(AND(ISNUMBER($O$761),$B$427=1),$O$761,HLOOKUP(INDIRECT(ADDRESS(2,COLUMN())),OFFSET($AM$2,0,0,ROW()-1,33),ROW()-1,FALSE))</f>
        <v>0</v>
      </c>
      <c r="P362">
        <f ca="1">IF(AND(ISNUMBER($P$761),$B$427=1),$P$761,HLOOKUP(INDIRECT(ADDRESS(2,COLUMN())),OFFSET($AM$2,0,0,ROW()-1,33),ROW()-1,FALSE))</f>
        <v>0</v>
      </c>
      <c r="Q362">
        <f ca="1">IF(AND(ISNUMBER($Q$761),$B$427=1),$Q$761,HLOOKUP(INDIRECT(ADDRESS(2,COLUMN())),OFFSET($AM$2,0,0,ROW()-1,33),ROW()-1,FALSE))</f>
        <v>0</v>
      </c>
      <c r="R362">
        <f ca="1">IF(AND(ISNUMBER($R$761),$B$427=1),$R$761,HLOOKUP(INDIRECT(ADDRESS(2,COLUMN())),OFFSET($AM$2,0,0,ROW()-1,33),ROW()-1,FALSE))</f>
        <v>0</v>
      </c>
      <c r="S362">
        <f ca="1">IF(AND(ISNUMBER($S$761),$B$427=1),$S$761,HLOOKUP(INDIRECT(ADDRESS(2,COLUMN())),OFFSET($AM$2,0,0,ROW()-1,33),ROW()-1,FALSE))</f>
        <v>2.2081330000000001E-3</v>
      </c>
      <c r="T362">
        <f ca="1">IF(AND(ISNUMBER($T$761),$B$427=1),$T$761,HLOOKUP(INDIRECT(ADDRESS(2,COLUMN())),OFFSET($AM$2,0,0,ROW()-1,33),ROW()-1,FALSE))</f>
        <v>7.3340489999999996E-3</v>
      </c>
      <c r="U362">
        <f ca="1">IF(AND(ISNUMBER($U$761),$B$427=1),$U$761,HLOOKUP(INDIRECT(ADDRESS(2,COLUMN())),OFFSET($AM$2,0,0,ROW()-1,33),ROW()-1,FALSE))</f>
        <v>1.5853919000000001E-2</v>
      </c>
      <c r="V362">
        <f ca="1">IF(AND(ISNUMBER($V$761),$B$427=1),$V$761,HLOOKUP(INDIRECT(ADDRESS(2,COLUMN())),OFFSET($AM$2,0,0,ROW()-1,33),ROW()-1,FALSE))</f>
        <v>2.5816083E-2</v>
      </c>
      <c r="W362">
        <f ca="1">IF(AND(ISNUMBER($W$761),$B$427=1),$W$761,HLOOKUP(INDIRECT(ADDRESS(2,COLUMN())),OFFSET($AM$2,0,0,ROW()-1,33),ROW()-1,FALSE))</f>
        <v>3.0605001999999999E-2</v>
      </c>
      <c r="X362">
        <f ca="1">IF(AND(ISNUMBER($X$761),$B$427=1),$X$761,HLOOKUP(INDIRECT(ADDRESS(2,COLUMN())),OFFSET($AM$2,0,0,ROW()-1,33),ROW()-1,FALSE))</f>
        <v>4.5898116000000003E-2</v>
      </c>
      <c r="Y362">
        <f ca="1">IF(AND(ISNUMBER($Y$761),$B$427=1),$Y$761,HLOOKUP(INDIRECT(ADDRESS(2,COLUMN())),OFFSET($AM$2,0,0,ROW()-1,33),ROW()-1,FALSE))</f>
        <v>0.13387834500000001</v>
      </c>
      <c r="Z362">
        <f ca="1">IF(AND(ISNUMBER($Z$761),$B$427=1),$Z$761,HLOOKUP(INDIRECT(ADDRESS(2,COLUMN())),OFFSET($AM$2,0,0,ROW()-1,33),ROW()-1,FALSE))</f>
        <v>0.143544756</v>
      </c>
      <c r="AA362">
        <f ca="1">IF(AND(ISNUMBER($AA$761),$B$427=1),$AA$761,HLOOKUP(INDIRECT(ADDRESS(2,COLUMN())),OFFSET($AM$2,0,0,ROW()-1,33),ROW()-1,FALSE))</f>
        <v>9.4755407999999999E-2</v>
      </c>
      <c r="AB362">
        <f ca="1">IF(AND(ISNUMBER($AB$761),$B$427=1),$AB$761,HLOOKUP(INDIRECT(ADDRESS(2,COLUMN())),OFFSET($AM$2,0,0,ROW()-1,33),ROW()-1,FALSE))</f>
        <v>0</v>
      </c>
      <c r="AC362">
        <f ca="1">IF(AND(ISNUMBER($AC$761),$B$427=1),$AC$761,HLOOKUP(INDIRECT(ADDRESS(2,COLUMN())),OFFSET($AM$2,0,0,ROW()-1,33),ROW()-1,FALSE))</f>
        <v>0</v>
      </c>
      <c r="AD362" t="str">
        <f ca="1">IF(AND(ISNUMBER($AD$761),$B$427=1),$AD$761,HLOOKUP(INDIRECT(ADDRESS(2,COLUMN())),OFFSET($AM$2,0,0,ROW()-1,33),ROW()-1,FALSE))</f>
        <v/>
      </c>
      <c r="AE362" t="str">
        <f ca="1">IF(AND(ISNUMBER($AE$761),$B$427=1),$AE$761,HLOOKUP(INDIRECT(ADDRESS(2,COLUMN())),OFFSET($AM$2,0,0,ROW()-1,33),ROW()-1,FALSE))</f>
        <v/>
      </c>
      <c r="AF362" t="str">
        <f ca="1">IF(AND(ISNUMBER($AF$761),$B$427=1),$AF$761,HLOOKUP(INDIRECT(ADDRESS(2,COLUMN())),OFFSET($AM$2,0,0,ROW()-1,33),ROW()-1,FALSE))</f>
        <v/>
      </c>
      <c r="AG362" t="str">
        <f ca="1">IF(AND(ISNUMBER($AG$761),$B$427=1),$AG$761,HLOOKUP(INDIRECT(ADDRESS(2,COLUMN())),OFFSET($AM$2,0,0,ROW()-1,33),ROW()-1,FALSE))</f>
        <v/>
      </c>
      <c r="AH362" t="str">
        <f ca="1">IF(AND(ISNUMBER($AH$761),$B$427=1),$AH$761,HLOOKUP(INDIRECT(ADDRESS(2,COLUMN())),OFFSET($AM$2,0,0,ROW()-1,33),ROW()-1,FALSE))</f>
        <v/>
      </c>
      <c r="AI362" t="str">
        <f ca="1">IF(AND(ISNUMBER($AI$761),$B$427=1),$AI$761,HLOOKUP(INDIRECT(ADDRESS(2,COLUMN())),OFFSET($AM$2,0,0,ROW()-1,33),ROW()-1,FALSE))</f>
        <v/>
      </c>
      <c r="AJ362" t="str">
        <f ca="1">IF(AND(ISNUMBER($AJ$761),$B$427=1),$AJ$761,HLOOKUP(INDIRECT(ADDRESS(2,COLUMN())),OFFSET($AM$2,0,0,ROW()-1,33),ROW()-1,FALSE))</f>
        <v/>
      </c>
      <c r="AK362" t="str">
        <f ca="1">IF(AND(ISNUMBER($AK$761),$B$427=1),$AK$761,HLOOKUP(INDIRECT(ADDRESS(2,COLUMN())),OFFSET($AM$2,0,0,ROW()-1,33),ROW()-1,FALSE))</f>
        <v/>
      </c>
      <c r="AL362" t="str">
        <f ca="1">IF(AND(ISNUMBER($AL$761),$B$427=1),$AL$761,HLOOKUP(INDIRECT(ADDRESS(2,COLUMN())),OFFSET($AM$2,0,0,ROW()-1,33),ROW()-1,FALSE))</f>
        <v/>
      </c>
      <c r="AM362">
        <f>0</f>
        <v>0</v>
      </c>
      <c r="AN362">
        <f>0</f>
        <v>0</v>
      </c>
      <c r="AO362">
        <f>0</f>
        <v>0</v>
      </c>
      <c r="AP362">
        <f>0</f>
        <v>0</v>
      </c>
      <c r="AQ362">
        <f>0</f>
        <v>0</v>
      </c>
      <c r="AR362">
        <f>0</f>
        <v>0</v>
      </c>
      <c r="AS362">
        <f>0</f>
        <v>0</v>
      </c>
      <c r="AT362">
        <f>0</f>
        <v>0</v>
      </c>
      <c r="AU362">
        <f>0</f>
        <v>0</v>
      </c>
      <c r="AV362">
        <f>0</f>
        <v>0</v>
      </c>
      <c r="AW362">
        <f>0</f>
        <v>0</v>
      </c>
      <c r="AX362">
        <f>0</f>
        <v>0</v>
      </c>
      <c r="AY362">
        <f>0</f>
        <v>0</v>
      </c>
      <c r="AZ362">
        <f>0.002208133</f>
        <v>2.2081330000000001E-3</v>
      </c>
      <c r="BA362">
        <f>0.007334049</f>
        <v>7.3340489999999996E-3</v>
      </c>
      <c r="BB362">
        <f>0.015853919</f>
        <v>1.5853919000000001E-2</v>
      </c>
      <c r="BC362">
        <f>0.025816083</f>
        <v>2.5816083E-2</v>
      </c>
      <c r="BD362">
        <f>0.030605002</f>
        <v>3.0605001999999999E-2</v>
      </c>
      <c r="BE362">
        <f>0.045898116</f>
        <v>4.5898116000000003E-2</v>
      </c>
      <c r="BF362">
        <f>0.133878345</f>
        <v>0.13387834500000001</v>
      </c>
      <c r="BG362">
        <f>0.143544756</f>
        <v>0.143544756</v>
      </c>
      <c r="BH362">
        <f>0.094755408</f>
        <v>9.4755407999999999E-2</v>
      </c>
      <c r="BI362">
        <f>0</f>
        <v>0</v>
      </c>
      <c r="BJ362">
        <f>0</f>
        <v>0</v>
      </c>
      <c r="BK362" t="str">
        <f>""</f>
        <v/>
      </c>
      <c r="BL362" t="str">
        <f>""</f>
        <v/>
      </c>
      <c r="BM362" t="str">
        <f>""</f>
        <v/>
      </c>
      <c r="BN362" t="str">
        <f>""</f>
        <v/>
      </c>
      <c r="BO362" t="str">
        <f>""</f>
        <v/>
      </c>
      <c r="BP362" t="str">
        <f>""</f>
        <v/>
      </c>
      <c r="BQ362" t="str">
        <f>""</f>
        <v/>
      </c>
      <c r="BR362" t="str">
        <f>""</f>
        <v/>
      </c>
      <c r="BS362" t="str">
        <f>""</f>
        <v/>
      </c>
    </row>
    <row r="363" spans="1:71" x14ac:dyDescent="0.25">
      <c r="A363" t="str">
        <f>"        PNC Financial Services Group I"</f>
        <v xml:space="preserve">        PNC Financial Services Group I</v>
      </c>
      <c r="B363" t="str">
        <f>"PNC US Equity"</f>
        <v>PNC US Equity</v>
      </c>
      <c r="C363" t="str">
        <f t="shared" si="48"/>
        <v>F0126</v>
      </c>
      <c r="D363" t="str">
        <f t="shared" si="49"/>
        <v>FED_SOV_LOANS_%_TOT_LOANS_LEASES</v>
      </c>
      <c r="E363" t="str">
        <f t="shared" si="50"/>
        <v>Dynamic</v>
      </c>
      <c r="F363" t="str">
        <f ca="1">IF(AND(ISNUMBER($F$762),$B$427=1),$F$762,HLOOKUP(INDIRECT(ADDRESS(2,COLUMN())),OFFSET($AM$2,0,0,ROW()-1,33),ROW()-1,FALSE))</f>
        <v/>
      </c>
      <c r="G363">
        <f ca="1">IF(AND(ISNUMBER($G$762),$B$427=1),$G$762,HLOOKUP(INDIRECT(ADDRESS(2,COLUMN())),OFFSET($AM$2,0,0,ROW()-1,33),ROW()-1,FALSE))</f>
        <v>0</v>
      </c>
      <c r="H363">
        <f ca="1">IF(AND(ISNUMBER($H$762),$B$427=1),$H$762,HLOOKUP(INDIRECT(ADDRESS(2,COLUMN())),OFFSET($AM$2,0,0,ROW()-1,33),ROW()-1,FALSE))</f>
        <v>0</v>
      </c>
      <c r="I363">
        <f ca="1">IF(AND(ISNUMBER($I$762),$B$427=1),$I$762,HLOOKUP(INDIRECT(ADDRESS(2,COLUMN())),OFFSET($AM$2,0,0,ROW()-1,33),ROW()-1,FALSE))</f>
        <v>0</v>
      </c>
      <c r="J363">
        <f ca="1">IF(AND(ISNUMBER($J$762),$B$427=1),$J$762,HLOOKUP(INDIRECT(ADDRESS(2,COLUMN())),OFFSET($AM$2,0,0,ROW()-1,33),ROW()-1,FALSE))</f>
        <v>0</v>
      </c>
      <c r="K363">
        <f ca="1">IF(AND(ISNUMBER($K$762),$B$427=1),$K$762,HLOOKUP(INDIRECT(ADDRESS(2,COLUMN())),OFFSET($AM$2,0,0,ROW()-1,33),ROW()-1,FALSE))</f>
        <v>0</v>
      </c>
      <c r="L363">
        <f ca="1">IF(AND(ISNUMBER($L$762),$B$427=1),$L$762,HLOOKUP(INDIRECT(ADDRESS(2,COLUMN())),OFFSET($AM$2,0,0,ROW()-1,33),ROW()-1,FALSE))</f>
        <v>0</v>
      </c>
      <c r="M363">
        <f ca="1">IF(AND(ISNUMBER($M$762),$B$427=1),$M$762,HLOOKUP(INDIRECT(ADDRESS(2,COLUMN())),OFFSET($AM$2,0,0,ROW()-1,33),ROW()-1,FALSE))</f>
        <v>0</v>
      </c>
      <c r="N363">
        <f ca="1">IF(AND(ISNUMBER($N$762),$B$427=1),$N$762,HLOOKUP(INDIRECT(ADDRESS(2,COLUMN())),OFFSET($AM$2,0,0,ROW()-1,33),ROW()-1,FALSE))</f>
        <v>6.3295900000000005E-5</v>
      </c>
      <c r="O363">
        <f ca="1">IF(AND(ISNUMBER($O$762),$B$427=1),$O$762,HLOOKUP(INDIRECT(ADDRESS(2,COLUMN())),OFFSET($AM$2,0,0,ROW()-1,33),ROW()-1,FALSE))</f>
        <v>3.2465E-4</v>
      </c>
      <c r="P363">
        <f ca="1">IF(AND(ISNUMBER($P$762),$B$427=1),$P$762,HLOOKUP(INDIRECT(ADDRESS(2,COLUMN())),OFFSET($AM$2,0,0,ROW()-1,33),ROW()-1,FALSE))</f>
        <v>4.1648299999999999E-4</v>
      </c>
      <c r="Q363">
        <f ca="1">IF(AND(ISNUMBER($Q$762),$B$427=1),$Q$762,HLOOKUP(INDIRECT(ADDRESS(2,COLUMN())),OFFSET($AM$2,0,0,ROW()-1,33),ROW()-1,FALSE))</f>
        <v>1.085085E-3</v>
      </c>
      <c r="R363">
        <f ca="1">IF(AND(ISNUMBER($R$762),$B$427=1),$R$762,HLOOKUP(INDIRECT(ADDRESS(2,COLUMN())),OFFSET($AM$2,0,0,ROW()-1,33),ROW()-1,FALSE))</f>
        <v>2.381541E-3</v>
      </c>
      <c r="S363">
        <f ca="1">IF(AND(ISNUMBER($S$762),$B$427=1),$S$762,HLOOKUP(INDIRECT(ADDRESS(2,COLUMN())),OFFSET($AM$2,0,0,ROW()-1,33),ROW()-1,FALSE))</f>
        <v>6.6408780000000002E-3</v>
      </c>
      <c r="T363">
        <f ca="1">IF(AND(ISNUMBER($T$762),$B$427=1),$T$762,HLOOKUP(INDIRECT(ADDRESS(2,COLUMN())),OFFSET($AM$2,0,0,ROW()-1,33),ROW()-1,FALSE))</f>
        <v>8.9237280000000006E-3</v>
      </c>
      <c r="U363">
        <f ca="1">IF(AND(ISNUMBER($U$762),$B$427=1),$U$762,HLOOKUP(INDIRECT(ADDRESS(2,COLUMN())),OFFSET($AM$2,0,0,ROW()-1,33),ROW()-1,FALSE))</f>
        <v>1.060871E-2</v>
      </c>
      <c r="V363">
        <f ca="1">IF(AND(ISNUMBER($V$762),$B$427=1),$V$762,HLOOKUP(INDIRECT(ADDRESS(2,COLUMN())),OFFSET($AM$2,0,0,ROW()-1,33),ROW()-1,FALSE))</f>
        <v>1.1104252E-2</v>
      </c>
      <c r="W363">
        <f ca="1">IF(AND(ISNUMBER($W$762),$B$427=1),$W$762,HLOOKUP(INDIRECT(ADDRESS(2,COLUMN())),OFFSET($AM$2,0,0,ROW()-1,33),ROW()-1,FALSE))</f>
        <v>1.2989087999999999E-2</v>
      </c>
      <c r="X363">
        <f ca="1">IF(AND(ISNUMBER($X$762),$B$427=1),$X$762,HLOOKUP(INDIRECT(ADDRESS(2,COLUMN())),OFFSET($AM$2,0,0,ROW()-1,33),ROW()-1,FALSE))</f>
        <v>1.9109826999999999E-2</v>
      </c>
      <c r="Y363">
        <f ca="1">IF(AND(ISNUMBER($Y$762),$B$427=1),$Y$762,HLOOKUP(INDIRECT(ADDRESS(2,COLUMN())),OFFSET($AM$2,0,0,ROW()-1,33),ROW()-1,FALSE))</f>
        <v>2.0346623000000001E-2</v>
      </c>
      <c r="Z363">
        <f ca="1">IF(AND(ISNUMBER($Z$762),$B$427=1),$Z$762,HLOOKUP(INDIRECT(ADDRESS(2,COLUMN())),OFFSET($AM$2,0,0,ROW()-1,33),ROW()-1,FALSE))</f>
        <v>0</v>
      </c>
      <c r="AA363">
        <f ca="1">IF(AND(ISNUMBER($AA$762),$B$427=1),$AA$762,HLOOKUP(INDIRECT(ADDRESS(2,COLUMN())),OFFSET($AM$2,0,0,ROW()-1,33),ROW()-1,FALSE))</f>
        <v>0</v>
      </c>
      <c r="AB363">
        <f ca="1">IF(AND(ISNUMBER($AB$762),$B$427=1),$AB$762,HLOOKUP(INDIRECT(ADDRESS(2,COLUMN())),OFFSET($AM$2,0,0,ROW()-1,33),ROW()-1,FALSE))</f>
        <v>0</v>
      </c>
      <c r="AC363">
        <f ca="1">IF(AND(ISNUMBER($AC$762),$B$427=1),$AC$762,HLOOKUP(INDIRECT(ADDRESS(2,COLUMN())),OFFSET($AM$2,0,0,ROW()-1,33),ROW()-1,FALSE))</f>
        <v>0</v>
      </c>
      <c r="AD363" t="str">
        <f ca="1">IF(AND(ISNUMBER($AD$762),$B$427=1),$AD$762,HLOOKUP(INDIRECT(ADDRESS(2,COLUMN())),OFFSET($AM$2,0,0,ROW()-1,33),ROW()-1,FALSE))</f>
        <v/>
      </c>
      <c r="AE363" t="str">
        <f ca="1">IF(AND(ISNUMBER($AE$762),$B$427=1),$AE$762,HLOOKUP(INDIRECT(ADDRESS(2,COLUMN())),OFFSET($AM$2,0,0,ROW()-1,33),ROW()-1,FALSE))</f>
        <v/>
      </c>
      <c r="AF363" t="str">
        <f ca="1">IF(AND(ISNUMBER($AF$762),$B$427=1),$AF$762,HLOOKUP(INDIRECT(ADDRESS(2,COLUMN())),OFFSET($AM$2,0,0,ROW()-1,33),ROW()-1,FALSE))</f>
        <v/>
      </c>
      <c r="AG363" t="str">
        <f ca="1">IF(AND(ISNUMBER($AG$762),$B$427=1),$AG$762,HLOOKUP(INDIRECT(ADDRESS(2,COLUMN())),OFFSET($AM$2,0,0,ROW()-1,33),ROW()-1,FALSE))</f>
        <v/>
      </c>
      <c r="AH363" t="str">
        <f ca="1">IF(AND(ISNUMBER($AH$762),$B$427=1),$AH$762,HLOOKUP(INDIRECT(ADDRESS(2,COLUMN())),OFFSET($AM$2,0,0,ROW()-1,33),ROW()-1,FALSE))</f>
        <v/>
      </c>
      <c r="AI363" t="str">
        <f ca="1">IF(AND(ISNUMBER($AI$762),$B$427=1),$AI$762,HLOOKUP(INDIRECT(ADDRESS(2,COLUMN())),OFFSET($AM$2,0,0,ROW()-1,33),ROW()-1,FALSE))</f>
        <v/>
      </c>
      <c r="AJ363" t="str">
        <f ca="1">IF(AND(ISNUMBER($AJ$762),$B$427=1),$AJ$762,HLOOKUP(INDIRECT(ADDRESS(2,COLUMN())),OFFSET($AM$2,0,0,ROW()-1,33),ROW()-1,FALSE))</f>
        <v/>
      </c>
      <c r="AK363" t="str">
        <f ca="1">IF(AND(ISNUMBER($AK$762),$B$427=1),$AK$762,HLOOKUP(INDIRECT(ADDRESS(2,COLUMN())),OFFSET($AM$2,0,0,ROW()-1,33),ROW()-1,FALSE))</f>
        <v/>
      </c>
      <c r="AL363" t="str">
        <f ca="1">IF(AND(ISNUMBER($AL$762),$B$427=1),$AL$762,HLOOKUP(INDIRECT(ADDRESS(2,COLUMN())),OFFSET($AM$2,0,0,ROW()-1,33),ROW()-1,FALSE))</f>
        <v/>
      </c>
      <c r="AM363" t="str">
        <f>""</f>
        <v/>
      </c>
      <c r="AN363">
        <f>0</f>
        <v>0</v>
      </c>
      <c r="AO363">
        <f>0</f>
        <v>0</v>
      </c>
      <c r="AP363">
        <f>0</f>
        <v>0</v>
      </c>
      <c r="AQ363">
        <f>0</f>
        <v>0</v>
      </c>
      <c r="AR363">
        <f>0</f>
        <v>0</v>
      </c>
      <c r="AS363">
        <f>0</f>
        <v>0</v>
      </c>
      <c r="AT363">
        <f>0</f>
        <v>0</v>
      </c>
      <c r="AU363">
        <f>0.0000632959</f>
        <v>6.3295900000000005E-5</v>
      </c>
      <c r="AV363">
        <f>0.00032465</f>
        <v>3.2465E-4</v>
      </c>
      <c r="AW363">
        <f>0.000416483</f>
        <v>4.1648299999999999E-4</v>
      </c>
      <c r="AX363">
        <f>0.001085085</f>
        <v>1.085085E-3</v>
      </c>
      <c r="AY363">
        <f>0.002381541</f>
        <v>2.381541E-3</v>
      </c>
      <c r="AZ363">
        <f>0.006640878</f>
        <v>6.6408780000000002E-3</v>
      </c>
      <c r="BA363">
        <f>0.008923728</f>
        <v>8.9237280000000006E-3</v>
      </c>
      <c r="BB363">
        <f>0.01060871</f>
        <v>1.060871E-2</v>
      </c>
      <c r="BC363">
        <f>0.011104252</f>
        <v>1.1104252E-2</v>
      </c>
      <c r="BD363">
        <f>0.012989088</f>
        <v>1.2989087999999999E-2</v>
      </c>
      <c r="BE363">
        <f>0.019109827</f>
        <v>1.9109826999999999E-2</v>
      </c>
      <c r="BF363">
        <f>0.020346623</f>
        <v>2.0346623000000001E-2</v>
      </c>
      <c r="BG363">
        <f>0</f>
        <v>0</v>
      </c>
      <c r="BH363">
        <f>0</f>
        <v>0</v>
      </c>
      <c r="BI363">
        <f>0</f>
        <v>0</v>
      </c>
      <c r="BJ363">
        <f>0</f>
        <v>0</v>
      </c>
      <c r="BK363" t="str">
        <f>""</f>
        <v/>
      </c>
      <c r="BL363" t="str">
        <f>""</f>
        <v/>
      </c>
      <c r="BM363" t="str">
        <f>""</f>
        <v/>
      </c>
      <c r="BN363" t="str">
        <f>""</f>
        <v/>
      </c>
      <c r="BO363" t="str">
        <f>""</f>
        <v/>
      </c>
      <c r="BP363" t="str">
        <f>""</f>
        <v/>
      </c>
      <c r="BQ363" t="str">
        <f>""</f>
        <v/>
      </c>
      <c r="BR363" t="str">
        <f>""</f>
        <v/>
      </c>
      <c r="BS363" t="str">
        <f>""</f>
        <v/>
      </c>
    </row>
    <row r="364" spans="1:71" x14ac:dyDescent="0.25">
      <c r="A364" t="str">
        <f>"        Regions Financial Corp"</f>
        <v xml:space="preserve">        Regions Financial Corp</v>
      </c>
      <c r="B364" t="str">
        <f>"RF US Equity"</f>
        <v>RF US Equity</v>
      </c>
      <c r="C364" t="str">
        <f t="shared" si="48"/>
        <v>F0126</v>
      </c>
      <c r="D364" t="str">
        <f t="shared" si="49"/>
        <v>FED_SOV_LOANS_%_TOT_LOANS_LEASES</v>
      </c>
      <c r="E364" t="str">
        <f t="shared" si="50"/>
        <v>Dynamic</v>
      </c>
      <c r="F364" t="str">
        <f ca="1">IF(AND(ISNUMBER($F$763),$B$427=1),$F$763,HLOOKUP(INDIRECT(ADDRESS(2,COLUMN())),OFFSET($AM$2,0,0,ROW()-1,33),ROW()-1,FALSE))</f>
        <v/>
      </c>
      <c r="G364">
        <f ca="1">IF(AND(ISNUMBER($G$763),$B$427=1),$G$763,HLOOKUP(INDIRECT(ADDRESS(2,COLUMN())),OFFSET($AM$2,0,0,ROW()-1,33),ROW()-1,FALSE))</f>
        <v>0</v>
      </c>
      <c r="H364">
        <f ca="1">IF(AND(ISNUMBER($H$763),$B$427=1),$H$763,HLOOKUP(INDIRECT(ADDRESS(2,COLUMN())),OFFSET($AM$2,0,0,ROW()-1,33),ROW()-1,FALSE))</f>
        <v>0</v>
      </c>
      <c r="I364">
        <f ca="1">IF(AND(ISNUMBER($I$763),$B$427=1),$I$763,HLOOKUP(INDIRECT(ADDRESS(2,COLUMN())),OFFSET($AM$2,0,0,ROW()-1,33),ROW()-1,FALSE))</f>
        <v>0</v>
      </c>
      <c r="J364">
        <f ca="1">IF(AND(ISNUMBER($J$763),$B$427=1),$J$763,HLOOKUP(INDIRECT(ADDRESS(2,COLUMN())),OFFSET($AM$2,0,0,ROW()-1,33),ROW()-1,FALSE))</f>
        <v>0</v>
      </c>
      <c r="K364">
        <f ca="1">IF(AND(ISNUMBER($K$763),$B$427=1),$K$763,HLOOKUP(INDIRECT(ADDRESS(2,COLUMN())),OFFSET($AM$2,0,0,ROW()-1,33),ROW()-1,FALSE))</f>
        <v>0</v>
      </c>
      <c r="L364">
        <f ca="1">IF(AND(ISNUMBER($L$763),$B$427=1),$L$763,HLOOKUP(INDIRECT(ADDRESS(2,COLUMN())),OFFSET($AM$2,0,0,ROW()-1,33),ROW()-1,FALSE))</f>
        <v>0</v>
      </c>
      <c r="M364">
        <f ca="1">IF(AND(ISNUMBER($M$763),$B$427=1),$M$763,HLOOKUP(INDIRECT(ADDRESS(2,COLUMN())),OFFSET($AM$2,0,0,ROW()-1,33),ROW()-1,FALSE))</f>
        <v>0</v>
      </c>
      <c r="N364">
        <f ca="1">IF(AND(ISNUMBER($N$763),$B$427=1),$N$763,HLOOKUP(INDIRECT(ADDRESS(2,COLUMN())),OFFSET($AM$2,0,0,ROW()-1,33),ROW()-1,FALSE))</f>
        <v>0</v>
      </c>
      <c r="O364">
        <f ca="1">IF(AND(ISNUMBER($O$763),$B$427=1),$O$763,HLOOKUP(INDIRECT(ADDRESS(2,COLUMN())),OFFSET($AM$2,0,0,ROW()-1,33),ROW()-1,FALSE))</f>
        <v>0</v>
      </c>
      <c r="P364">
        <f ca="1">IF(AND(ISNUMBER($P$763),$B$427=1),$P$763,HLOOKUP(INDIRECT(ADDRESS(2,COLUMN())),OFFSET($AM$2,0,0,ROW()-1,33),ROW()-1,FALSE))</f>
        <v>0</v>
      </c>
      <c r="Q364">
        <f ca="1">IF(AND(ISNUMBER($Q$763),$B$427=1),$Q$763,HLOOKUP(INDIRECT(ADDRESS(2,COLUMN())),OFFSET($AM$2,0,0,ROW()-1,33),ROW()-1,FALSE))</f>
        <v>0</v>
      </c>
      <c r="R364">
        <f ca="1">IF(AND(ISNUMBER($R$763),$B$427=1),$R$763,HLOOKUP(INDIRECT(ADDRESS(2,COLUMN())),OFFSET($AM$2,0,0,ROW()-1,33),ROW()-1,FALSE))</f>
        <v>0</v>
      </c>
      <c r="S364">
        <f ca="1">IF(AND(ISNUMBER($S$763),$B$427=1),$S$763,HLOOKUP(INDIRECT(ADDRESS(2,COLUMN())),OFFSET($AM$2,0,0,ROW()-1,33),ROW()-1,FALSE))</f>
        <v>3.5115400000000001E-4</v>
      </c>
      <c r="T364">
        <f ca="1">IF(AND(ISNUMBER($T$763),$B$427=1),$T$763,HLOOKUP(INDIRECT(ADDRESS(2,COLUMN())),OFFSET($AM$2,0,0,ROW()-1,33),ROW()-1,FALSE))</f>
        <v>1.5755490000000001E-3</v>
      </c>
      <c r="U364">
        <f ca="1">IF(AND(ISNUMBER($U$763),$B$427=1),$U$763,HLOOKUP(INDIRECT(ADDRESS(2,COLUMN())),OFFSET($AM$2,0,0,ROW()-1,33),ROW()-1,FALSE))</f>
        <v>3.2088960000000001E-3</v>
      </c>
      <c r="V364">
        <f ca="1">IF(AND(ISNUMBER($V$763),$B$427=1),$V$763,HLOOKUP(INDIRECT(ADDRESS(2,COLUMN())),OFFSET($AM$2,0,0,ROW()-1,33),ROW()-1,FALSE))</f>
        <v>6.8855000000000001E-3</v>
      </c>
      <c r="W364">
        <f ca="1">IF(AND(ISNUMBER($W$763),$B$427=1),$W$763,HLOOKUP(INDIRECT(ADDRESS(2,COLUMN())),OFFSET($AM$2,0,0,ROW()-1,33),ROW()-1,FALSE))</f>
        <v>1.1067482E-2</v>
      </c>
      <c r="X364">
        <f ca="1">IF(AND(ISNUMBER($X$763),$B$427=1),$X$763,HLOOKUP(INDIRECT(ADDRESS(2,COLUMN())),OFFSET($AM$2,0,0,ROW()-1,33),ROW()-1,FALSE))</f>
        <v>1.4546903E-2</v>
      </c>
      <c r="Y364">
        <f ca="1">IF(AND(ISNUMBER($Y$763),$B$427=1),$Y$763,HLOOKUP(INDIRECT(ADDRESS(2,COLUMN())),OFFSET($AM$2,0,0,ROW()-1,33),ROW()-1,FALSE))</f>
        <v>2.5309311000000001E-2</v>
      </c>
      <c r="Z364">
        <f ca="1">IF(AND(ISNUMBER($Z$763),$B$427=1),$Z$763,HLOOKUP(INDIRECT(ADDRESS(2,COLUMN())),OFFSET($AM$2,0,0,ROW()-1,33),ROW()-1,FALSE))</f>
        <v>3.4278500000000003E-2</v>
      </c>
      <c r="AA364" t="str">
        <f ca="1">IF(AND(ISNUMBER($AA$763),$B$427=1),$AA$763,HLOOKUP(INDIRECT(ADDRESS(2,COLUMN())),OFFSET($AM$2,0,0,ROW()-1,33),ROW()-1,FALSE))</f>
        <v/>
      </c>
      <c r="AB364" t="str">
        <f ca="1">IF(AND(ISNUMBER($AB$763),$B$427=1),$AB$763,HLOOKUP(INDIRECT(ADDRESS(2,COLUMN())),OFFSET($AM$2,0,0,ROW()-1,33),ROW()-1,FALSE))</f>
        <v/>
      </c>
      <c r="AC364" t="str">
        <f ca="1">IF(AND(ISNUMBER($AC$763),$B$427=1),$AC$763,HLOOKUP(INDIRECT(ADDRESS(2,COLUMN())),OFFSET($AM$2,0,0,ROW()-1,33),ROW()-1,FALSE))</f>
        <v/>
      </c>
      <c r="AD364" t="str">
        <f ca="1">IF(AND(ISNUMBER($AD$763),$B$427=1),$AD$763,HLOOKUP(INDIRECT(ADDRESS(2,COLUMN())),OFFSET($AM$2,0,0,ROW()-1,33),ROW()-1,FALSE))</f>
        <v/>
      </c>
      <c r="AE364" t="str">
        <f ca="1">IF(AND(ISNUMBER($AE$763),$B$427=1),$AE$763,HLOOKUP(INDIRECT(ADDRESS(2,COLUMN())),OFFSET($AM$2,0,0,ROW()-1,33),ROW()-1,FALSE))</f>
        <v/>
      </c>
      <c r="AF364" t="str">
        <f ca="1">IF(AND(ISNUMBER($AF$763),$B$427=1),$AF$763,HLOOKUP(INDIRECT(ADDRESS(2,COLUMN())),OFFSET($AM$2,0,0,ROW()-1,33),ROW()-1,FALSE))</f>
        <v/>
      </c>
      <c r="AG364" t="str">
        <f ca="1">IF(AND(ISNUMBER($AG$763),$B$427=1),$AG$763,HLOOKUP(INDIRECT(ADDRESS(2,COLUMN())),OFFSET($AM$2,0,0,ROW()-1,33),ROW()-1,FALSE))</f>
        <v/>
      </c>
      <c r="AH364" t="str">
        <f ca="1">IF(AND(ISNUMBER($AH$763),$B$427=1),$AH$763,HLOOKUP(INDIRECT(ADDRESS(2,COLUMN())),OFFSET($AM$2,0,0,ROW()-1,33),ROW()-1,FALSE))</f>
        <v/>
      </c>
      <c r="AI364" t="str">
        <f ca="1">IF(AND(ISNUMBER($AI$763),$B$427=1),$AI$763,HLOOKUP(INDIRECT(ADDRESS(2,COLUMN())),OFFSET($AM$2,0,0,ROW()-1,33),ROW()-1,FALSE))</f>
        <v/>
      </c>
      <c r="AJ364" t="str">
        <f ca="1">IF(AND(ISNUMBER($AJ$763),$B$427=1),$AJ$763,HLOOKUP(INDIRECT(ADDRESS(2,COLUMN())),OFFSET($AM$2,0,0,ROW()-1,33),ROW()-1,FALSE))</f>
        <v/>
      </c>
      <c r="AK364" t="str">
        <f ca="1">IF(AND(ISNUMBER($AK$763),$B$427=1),$AK$763,HLOOKUP(INDIRECT(ADDRESS(2,COLUMN())),OFFSET($AM$2,0,0,ROW()-1,33),ROW()-1,FALSE))</f>
        <v/>
      </c>
      <c r="AL364" t="str">
        <f ca="1">IF(AND(ISNUMBER($AL$763),$B$427=1),$AL$763,HLOOKUP(INDIRECT(ADDRESS(2,COLUMN())),OFFSET($AM$2,0,0,ROW()-1,33),ROW()-1,FALSE))</f>
        <v/>
      </c>
      <c r="AM364" t="str">
        <f>""</f>
        <v/>
      </c>
      <c r="AN364">
        <f>0</f>
        <v>0</v>
      </c>
      <c r="AO364">
        <f>0</f>
        <v>0</v>
      </c>
      <c r="AP364">
        <f>0</f>
        <v>0</v>
      </c>
      <c r="AQ364">
        <f>0</f>
        <v>0</v>
      </c>
      <c r="AR364">
        <f>0</f>
        <v>0</v>
      </c>
      <c r="AS364">
        <f>0</f>
        <v>0</v>
      </c>
      <c r="AT364">
        <f>0</f>
        <v>0</v>
      </c>
      <c r="AU364">
        <f>0</f>
        <v>0</v>
      </c>
      <c r="AV364">
        <f>0</f>
        <v>0</v>
      </c>
      <c r="AW364">
        <f>0</f>
        <v>0</v>
      </c>
      <c r="AX364">
        <f>0</f>
        <v>0</v>
      </c>
      <c r="AY364">
        <f>0</f>
        <v>0</v>
      </c>
      <c r="AZ364">
        <f>0.000351154</f>
        <v>3.5115400000000001E-4</v>
      </c>
      <c r="BA364">
        <f>0.001575549</f>
        <v>1.5755490000000001E-3</v>
      </c>
      <c r="BB364">
        <f>0.003208896</f>
        <v>3.2088960000000001E-3</v>
      </c>
      <c r="BC364">
        <f>0.0068855</f>
        <v>6.8855000000000001E-3</v>
      </c>
      <c r="BD364">
        <f>0.011067482</f>
        <v>1.1067482E-2</v>
      </c>
      <c r="BE364">
        <f>0.014546903</f>
        <v>1.4546903E-2</v>
      </c>
      <c r="BF364">
        <f>0.025309311</f>
        <v>2.5309311000000001E-2</v>
      </c>
      <c r="BG364">
        <f>0.0342785</f>
        <v>3.4278500000000003E-2</v>
      </c>
      <c r="BH364" t="str">
        <f>""</f>
        <v/>
      </c>
      <c r="BI364" t="str">
        <f>""</f>
        <v/>
      </c>
      <c r="BJ364" t="str">
        <f>""</f>
        <v/>
      </c>
      <c r="BK364" t="str">
        <f>""</f>
        <v/>
      </c>
      <c r="BL364" t="str">
        <f>""</f>
        <v/>
      </c>
      <c r="BM364" t="str">
        <f>""</f>
        <v/>
      </c>
      <c r="BN364" t="str">
        <f>""</f>
        <v/>
      </c>
      <c r="BO364" t="str">
        <f>""</f>
        <v/>
      </c>
      <c r="BP364" t="str">
        <f>""</f>
        <v/>
      </c>
      <c r="BQ364" t="str">
        <f>""</f>
        <v/>
      </c>
      <c r="BR364" t="str">
        <f>""</f>
        <v/>
      </c>
      <c r="BS364" t="str">
        <f>""</f>
        <v/>
      </c>
    </row>
    <row r="365" spans="1:71" x14ac:dyDescent="0.25">
      <c r="A365" t="str">
        <f>"        Truist Financial Corp"</f>
        <v xml:space="preserve">        Truist Financial Corp</v>
      </c>
      <c r="B365" t="str">
        <f>"TFC US Equity"</f>
        <v>TFC US Equity</v>
      </c>
      <c r="C365" t="str">
        <f t="shared" si="48"/>
        <v>F0126</v>
      </c>
      <c r="D365" t="str">
        <f t="shared" si="49"/>
        <v>FED_SOV_LOANS_%_TOT_LOANS_LEASES</v>
      </c>
      <c r="E365" t="str">
        <f t="shared" si="50"/>
        <v>Dynamic</v>
      </c>
      <c r="F365">
        <f ca="1">IF(AND(ISNUMBER($F$764),$B$427=1),$F$764,HLOOKUP(INDIRECT(ADDRESS(2,COLUMN())),OFFSET($AM$2,0,0,ROW()-1,33),ROW()-1,FALSE))</f>
        <v>0</v>
      </c>
      <c r="G365">
        <f ca="1">IF(AND(ISNUMBER($G$764),$B$427=1),$G$764,HLOOKUP(INDIRECT(ADDRESS(2,COLUMN())),OFFSET($AM$2,0,0,ROW()-1,33),ROW()-1,FALSE))</f>
        <v>0</v>
      </c>
      <c r="H365">
        <f ca="1">IF(AND(ISNUMBER($H$764),$B$427=1),$H$764,HLOOKUP(INDIRECT(ADDRESS(2,COLUMN())),OFFSET($AM$2,0,0,ROW()-1,33),ROW()-1,FALSE))</f>
        <v>0</v>
      </c>
      <c r="I365">
        <f ca="1">IF(AND(ISNUMBER($I$764),$B$427=1),$I$764,HLOOKUP(INDIRECT(ADDRESS(2,COLUMN())),OFFSET($AM$2,0,0,ROW()-1,33),ROW()-1,FALSE))</f>
        <v>0</v>
      </c>
      <c r="J365">
        <f ca="1">IF(AND(ISNUMBER($J$764),$B$427=1),$J$764,HLOOKUP(INDIRECT(ADDRESS(2,COLUMN())),OFFSET($AM$2,0,0,ROW()-1,33),ROW()-1,FALSE))</f>
        <v>0</v>
      </c>
      <c r="K365">
        <f ca="1">IF(AND(ISNUMBER($K$764),$B$427=1),$K$764,HLOOKUP(INDIRECT(ADDRESS(2,COLUMN())),OFFSET($AM$2,0,0,ROW()-1,33),ROW()-1,FALSE))</f>
        <v>0</v>
      </c>
      <c r="L365">
        <f ca="1">IF(AND(ISNUMBER($L$764),$B$427=1),$L$764,HLOOKUP(INDIRECT(ADDRESS(2,COLUMN())),OFFSET($AM$2,0,0,ROW()-1,33),ROW()-1,FALSE))</f>
        <v>0</v>
      </c>
      <c r="M365">
        <f ca="1">IF(AND(ISNUMBER($M$764),$B$427=1),$M$764,HLOOKUP(INDIRECT(ADDRESS(2,COLUMN())),OFFSET($AM$2,0,0,ROW()-1,33),ROW()-1,FALSE))</f>
        <v>0</v>
      </c>
      <c r="N365">
        <f ca="1">IF(AND(ISNUMBER($N$764),$B$427=1),$N$764,HLOOKUP(INDIRECT(ADDRESS(2,COLUMN())),OFFSET($AM$2,0,0,ROW()-1,33),ROW()-1,FALSE))</f>
        <v>0</v>
      </c>
      <c r="O365">
        <f ca="1">IF(AND(ISNUMBER($O$764),$B$427=1),$O$764,HLOOKUP(INDIRECT(ADDRESS(2,COLUMN())),OFFSET($AM$2,0,0,ROW()-1,33),ROW()-1,FALSE))</f>
        <v>0</v>
      </c>
      <c r="P365">
        <f ca="1">IF(AND(ISNUMBER($P$764),$B$427=1),$P$764,HLOOKUP(INDIRECT(ADDRESS(2,COLUMN())),OFFSET($AM$2,0,0,ROW()-1,33),ROW()-1,FALSE))</f>
        <v>0</v>
      </c>
      <c r="Q365">
        <f ca="1">IF(AND(ISNUMBER($Q$764),$B$427=1),$Q$764,HLOOKUP(INDIRECT(ADDRESS(2,COLUMN())),OFFSET($AM$2,0,0,ROW()-1,33),ROW()-1,FALSE))</f>
        <v>0</v>
      </c>
      <c r="R365">
        <f ca="1">IF(AND(ISNUMBER($R$764),$B$427=1),$R$764,HLOOKUP(INDIRECT(ADDRESS(2,COLUMN())),OFFSET($AM$2,0,0,ROW()-1,33),ROW()-1,FALSE))</f>
        <v>0</v>
      </c>
      <c r="S365">
        <f ca="1">IF(AND(ISNUMBER($S$764),$B$427=1),$S$764,HLOOKUP(INDIRECT(ADDRESS(2,COLUMN())),OFFSET($AM$2,0,0,ROW()-1,33),ROW()-1,FALSE))</f>
        <v>0</v>
      </c>
      <c r="T365">
        <f ca="1">IF(AND(ISNUMBER($T$764),$B$427=1),$T$764,HLOOKUP(INDIRECT(ADDRESS(2,COLUMN())),OFFSET($AM$2,0,0,ROW()-1,33),ROW()-1,FALSE))</f>
        <v>0</v>
      </c>
      <c r="U365">
        <f ca="1">IF(AND(ISNUMBER($U$764),$B$427=1),$U$764,HLOOKUP(INDIRECT(ADDRESS(2,COLUMN())),OFFSET($AM$2,0,0,ROW()-1,33),ROW()-1,FALSE))</f>
        <v>0</v>
      </c>
      <c r="V365">
        <f ca="1">IF(AND(ISNUMBER($V$764),$B$427=1),$V$764,HLOOKUP(INDIRECT(ADDRESS(2,COLUMN())),OFFSET($AM$2,0,0,ROW()-1,33),ROW()-1,FALSE))</f>
        <v>0</v>
      </c>
      <c r="W365">
        <f ca="1">IF(AND(ISNUMBER($W$764),$B$427=1),$W$764,HLOOKUP(INDIRECT(ADDRESS(2,COLUMN())),OFFSET($AM$2,0,0,ROW()-1,33),ROW()-1,FALSE))</f>
        <v>0</v>
      </c>
      <c r="X365">
        <f ca="1">IF(AND(ISNUMBER($X$764),$B$427=1),$X$764,HLOOKUP(INDIRECT(ADDRESS(2,COLUMN())),OFFSET($AM$2,0,0,ROW()-1,33),ROW()-1,FALSE))</f>
        <v>0</v>
      </c>
      <c r="Y365">
        <f ca="1">IF(AND(ISNUMBER($Y$764),$B$427=1),$Y$764,HLOOKUP(INDIRECT(ADDRESS(2,COLUMN())),OFFSET($AM$2,0,0,ROW()-1,33),ROW()-1,FALSE))</f>
        <v>0</v>
      </c>
      <c r="Z365">
        <f ca="1">IF(AND(ISNUMBER($Z$764),$B$427=1),$Z$764,HLOOKUP(INDIRECT(ADDRESS(2,COLUMN())),OFFSET($AM$2,0,0,ROW()-1,33),ROW()-1,FALSE))</f>
        <v>0</v>
      </c>
      <c r="AA365">
        <f ca="1">IF(AND(ISNUMBER($AA$764),$B$427=1),$AA$764,HLOOKUP(INDIRECT(ADDRESS(2,COLUMN())),OFFSET($AM$2,0,0,ROW()-1,33),ROW()-1,FALSE))</f>
        <v>0</v>
      </c>
      <c r="AB365">
        <f ca="1">IF(AND(ISNUMBER($AB$764),$B$427=1),$AB$764,HLOOKUP(INDIRECT(ADDRESS(2,COLUMN())),OFFSET($AM$2,0,0,ROW()-1,33),ROW()-1,FALSE))</f>
        <v>0</v>
      </c>
      <c r="AC365">
        <f ca="1">IF(AND(ISNUMBER($AC$764),$B$427=1),$AC$764,HLOOKUP(INDIRECT(ADDRESS(2,COLUMN())),OFFSET($AM$2,0,0,ROW()-1,33),ROW()-1,FALSE))</f>
        <v>0</v>
      </c>
      <c r="AD365" t="str">
        <f ca="1">IF(AND(ISNUMBER($AD$764),$B$427=1),$AD$764,HLOOKUP(INDIRECT(ADDRESS(2,COLUMN())),OFFSET($AM$2,0,0,ROW()-1,33),ROW()-1,FALSE))</f>
        <v/>
      </c>
      <c r="AE365" t="str">
        <f ca="1">IF(AND(ISNUMBER($AE$764),$B$427=1),$AE$764,HLOOKUP(INDIRECT(ADDRESS(2,COLUMN())),OFFSET($AM$2,0,0,ROW()-1,33),ROW()-1,FALSE))</f>
        <v/>
      </c>
      <c r="AF365" t="str">
        <f ca="1">IF(AND(ISNUMBER($AF$764),$B$427=1),$AF$764,HLOOKUP(INDIRECT(ADDRESS(2,COLUMN())),OFFSET($AM$2,0,0,ROW()-1,33),ROW()-1,FALSE))</f>
        <v/>
      </c>
      <c r="AG365" t="str">
        <f ca="1">IF(AND(ISNUMBER($AG$764),$B$427=1),$AG$764,HLOOKUP(INDIRECT(ADDRESS(2,COLUMN())),OFFSET($AM$2,0,0,ROW()-1,33),ROW()-1,FALSE))</f>
        <v/>
      </c>
      <c r="AH365" t="str">
        <f ca="1">IF(AND(ISNUMBER($AH$764),$B$427=1),$AH$764,HLOOKUP(INDIRECT(ADDRESS(2,COLUMN())),OFFSET($AM$2,0,0,ROW()-1,33),ROW()-1,FALSE))</f>
        <v/>
      </c>
      <c r="AI365" t="str">
        <f ca="1">IF(AND(ISNUMBER($AI$764),$B$427=1),$AI$764,HLOOKUP(INDIRECT(ADDRESS(2,COLUMN())),OFFSET($AM$2,0,0,ROW()-1,33),ROW()-1,FALSE))</f>
        <v/>
      </c>
      <c r="AJ365" t="str">
        <f ca="1">IF(AND(ISNUMBER($AJ$764),$B$427=1),$AJ$764,HLOOKUP(INDIRECT(ADDRESS(2,COLUMN())),OFFSET($AM$2,0,0,ROW()-1,33),ROW()-1,FALSE))</f>
        <v/>
      </c>
      <c r="AK365" t="str">
        <f ca="1">IF(AND(ISNUMBER($AK$764),$B$427=1),$AK$764,HLOOKUP(INDIRECT(ADDRESS(2,COLUMN())),OFFSET($AM$2,0,0,ROW()-1,33),ROW()-1,FALSE))</f>
        <v/>
      </c>
      <c r="AL365" t="str">
        <f ca="1">IF(AND(ISNUMBER($AL$764),$B$427=1),$AL$764,HLOOKUP(INDIRECT(ADDRESS(2,COLUMN())),OFFSET($AM$2,0,0,ROW()-1,33),ROW()-1,FALSE))</f>
        <v/>
      </c>
      <c r="AM365">
        <f>0</f>
        <v>0</v>
      </c>
      <c r="AN365">
        <f>0</f>
        <v>0</v>
      </c>
      <c r="AO365">
        <f>0</f>
        <v>0</v>
      </c>
      <c r="AP365">
        <f>0</f>
        <v>0</v>
      </c>
      <c r="AQ365">
        <f>0</f>
        <v>0</v>
      </c>
      <c r="AR365">
        <f>0</f>
        <v>0</v>
      </c>
      <c r="AS365">
        <f>0</f>
        <v>0</v>
      </c>
      <c r="AT365">
        <f>0</f>
        <v>0</v>
      </c>
      <c r="AU365">
        <f>0</f>
        <v>0</v>
      </c>
      <c r="AV365">
        <f>0</f>
        <v>0</v>
      </c>
      <c r="AW365">
        <f>0</f>
        <v>0</v>
      </c>
      <c r="AX365">
        <f>0</f>
        <v>0</v>
      </c>
      <c r="AY365">
        <f>0</f>
        <v>0</v>
      </c>
      <c r="AZ365">
        <f>0</f>
        <v>0</v>
      </c>
      <c r="BA365">
        <f>0</f>
        <v>0</v>
      </c>
      <c r="BB365">
        <f>0</f>
        <v>0</v>
      </c>
      <c r="BC365">
        <f>0</f>
        <v>0</v>
      </c>
      <c r="BD365">
        <f>0</f>
        <v>0</v>
      </c>
      <c r="BE365">
        <f>0</f>
        <v>0</v>
      </c>
      <c r="BF365">
        <f>0</f>
        <v>0</v>
      </c>
      <c r="BG365">
        <f>0</f>
        <v>0</v>
      </c>
      <c r="BH365">
        <f>0</f>
        <v>0</v>
      </c>
      <c r="BI365">
        <f>0</f>
        <v>0</v>
      </c>
      <c r="BJ365">
        <f>0</f>
        <v>0</v>
      </c>
      <c r="BK365" t="str">
        <f>""</f>
        <v/>
      </c>
      <c r="BL365" t="str">
        <f>""</f>
        <v/>
      </c>
      <c r="BM365" t="str">
        <f>""</f>
        <v/>
      </c>
      <c r="BN365" t="str">
        <f>""</f>
        <v/>
      </c>
      <c r="BO365" t="str">
        <f>""</f>
        <v/>
      </c>
      <c r="BP365" t="str">
        <f>""</f>
        <v/>
      </c>
      <c r="BQ365" t="str">
        <f>""</f>
        <v/>
      </c>
      <c r="BR365" t="str">
        <f>""</f>
        <v/>
      </c>
      <c r="BS365" t="str">
        <f>""</f>
        <v/>
      </c>
    </row>
    <row r="366" spans="1:71" x14ac:dyDescent="0.25">
      <c r="A366" t="str">
        <f>"        US Bancorp"</f>
        <v xml:space="preserve">        US Bancorp</v>
      </c>
      <c r="B366" t="str">
        <f>"USB US Equity"</f>
        <v>USB US Equity</v>
      </c>
      <c r="C366" t="str">
        <f t="shared" si="48"/>
        <v>F0126</v>
      </c>
      <c r="D366" t="str">
        <f t="shared" si="49"/>
        <v>FED_SOV_LOANS_%_TOT_LOANS_LEASES</v>
      </c>
      <c r="E366" t="str">
        <f t="shared" si="50"/>
        <v>Dynamic</v>
      </c>
      <c r="F366">
        <f ca="1">IF(AND(ISNUMBER($F$765),$B$427=1),$F$765,HLOOKUP(INDIRECT(ADDRESS(2,COLUMN())),OFFSET($AM$2,0,0,ROW()-1,33),ROW()-1,FALSE))</f>
        <v>0</v>
      </c>
      <c r="G366">
        <f ca="1">IF(AND(ISNUMBER($G$765),$B$427=1),$G$765,HLOOKUP(INDIRECT(ADDRESS(2,COLUMN())),OFFSET($AM$2,0,0,ROW()-1,33),ROW()-1,FALSE))</f>
        <v>0</v>
      </c>
      <c r="H366">
        <f ca="1">IF(AND(ISNUMBER($H$765),$B$427=1),$H$765,HLOOKUP(INDIRECT(ADDRESS(2,COLUMN())),OFFSET($AM$2,0,0,ROW()-1,33),ROW()-1,FALSE))</f>
        <v>0</v>
      </c>
      <c r="I366">
        <f ca="1">IF(AND(ISNUMBER($I$765),$B$427=1),$I$765,HLOOKUP(INDIRECT(ADDRESS(2,COLUMN())),OFFSET($AM$2,0,0,ROW()-1,33),ROW()-1,FALSE))</f>
        <v>0</v>
      </c>
      <c r="J366">
        <f ca="1">IF(AND(ISNUMBER($J$765),$B$427=1),$J$765,HLOOKUP(INDIRECT(ADDRESS(2,COLUMN())),OFFSET($AM$2,0,0,ROW()-1,33),ROW()-1,FALSE))</f>
        <v>0</v>
      </c>
      <c r="K366">
        <f ca="1">IF(AND(ISNUMBER($K$765),$B$427=1),$K$765,HLOOKUP(INDIRECT(ADDRESS(2,COLUMN())),OFFSET($AM$2,0,0,ROW()-1,33),ROW()-1,FALSE))</f>
        <v>0</v>
      </c>
      <c r="L366">
        <f ca="1">IF(AND(ISNUMBER($L$765),$B$427=1),$L$765,HLOOKUP(INDIRECT(ADDRESS(2,COLUMN())),OFFSET($AM$2,0,0,ROW()-1,33),ROW()-1,FALSE))</f>
        <v>0</v>
      </c>
      <c r="M366">
        <f ca="1">IF(AND(ISNUMBER($M$765),$B$427=1),$M$765,HLOOKUP(INDIRECT(ADDRESS(2,COLUMN())),OFFSET($AM$2,0,0,ROW()-1,33),ROW()-1,FALSE))</f>
        <v>0</v>
      </c>
      <c r="N366">
        <f ca="1">IF(AND(ISNUMBER($N$765),$B$427=1),$N$765,HLOOKUP(INDIRECT(ADDRESS(2,COLUMN())),OFFSET($AM$2,0,0,ROW()-1,33),ROW()-1,FALSE))</f>
        <v>0</v>
      </c>
      <c r="O366">
        <f ca="1">IF(AND(ISNUMBER($O$765),$B$427=1),$O$765,HLOOKUP(INDIRECT(ADDRESS(2,COLUMN())),OFFSET($AM$2,0,0,ROW()-1,33),ROW()-1,FALSE))</f>
        <v>0</v>
      </c>
      <c r="P366">
        <f ca="1">IF(AND(ISNUMBER($P$765),$B$427=1),$P$765,HLOOKUP(INDIRECT(ADDRESS(2,COLUMN())),OFFSET($AM$2,0,0,ROW()-1,33),ROW()-1,FALSE))</f>
        <v>0</v>
      </c>
      <c r="Q366">
        <f ca="1">IF(AND(ISNUMBER($Q$765),$B$427=1),$Q$765,HLOOKUP(INDIRECT(ADDRESS(2,COLUMN())),OFFSET($AM$2,0,0,ROW()-1,33),ROW()-1,FALSE))</f>
        <v>0</v>
      </c>
      <c r="R366">
        <f ca="1">IF(AND(ISNUMBER($R$765),$B$427=1),$R$765,HLOOKUP(INDIRECT(ADDRESS(2,COLUMN())),OFFSET($AM$2,0,0,ROW()-1,33),ROW()-1,FALSE))</f>
        <v>0</v>
      </c>
      <c r="S366">
        <f ca="1">IF(AND(ISNUMBER($S$765),$B$427=1),$S$765,HLOOKUP(INDIRECT(ADDRESS(2,COLUMN())),OFFSET($AM$2,0,0,ROW()-1,33),ROW()-1,FALSE))</f>
        <v>0</v>
      </c>
      <c r="T366">
        <f ca="1">IF(AND(ISNUMBER($T$765),$B$427=1),$T$765,HLOOKUP(INDIRECT(ADDRESS(2,COLUMN())),OFFSET($AM$2,0,0,ROW()-1,33),ROW()-1,FALSE))</f>
        <v>0</v>
      </c>
      <c r="U366">
        <f ca="1">IF(AND(ISNUMBER($U$765),$B$427=1),$U$765,HLOOKUP(INDIRECT(ADDRESS(2,COLUMN())),OFFSET($AM$2,0,0,ROW()-1,33),ROW()-1,FALSE))</f>
        <v>0</v>
      </c>
      <c r="V366">
        <f ca="1">IF(AND(ISNUMBER($V$765),$B$427=1),$V$765,HLOOKUP(INDIRECT(ADDRESS(2,COLUMN())),OFFSET($AM$2,0,0,ROW()-1,33),ROW()-1,FALSE))</f>
        <v>0</v>
      </c>
      <c r="W366">
        <f ca="1">IF(AND(ISNUMBER($W$765),$B$427=1),$W$765,HLOOKUP(INDIRECT(ADDRESS(2,COLUMN())),OFFSET($AM$2,0,0,ROW()-1,33),ROW()-1,FALSE))</f>
        <v>0</v>
      </c>
      <c r="X366">
        <f ca="1">IF(AND(ISNUMBER($X$765),$B$427=1),$X$765,HLOOKUP(INDIRECT(ADDRESS(2,COLUMN())),OFFSET($AM$2,0,0,ROW()-1,33),ROW()-1,FALSE))</f>
        <v>0</v>
      </c>
      <c r="Y366">
        <f ca="1">IF(AND(ISNUMBER($Y$765),$B$427=1),$Y$765,HLOOKUP(INDIRECT(ADDRESS(2,COLUMN())),OFFSET($AM$2,0,0,ROW()-1,33),ROW()-1,FALSE))</f>
        <v>0</v>
      </c>
      <c r="Z366">
        <f ca="1">IF(AND(ISNUMBER($Z$765),$B$427=1),$Z$765,HLOOKUP(INDIRECT(ADDRESS(2,COLUMN())),OFFSET($AM$2,0,0,ROW()-1,33),ROW()-1,FALSE))</f>
        <v>0</v>
      </c>
      <c r="AA366">
        <f ca="1">IF(AND(ISNUMBER($AA$765),$B$427=1),$AA$765,HLOOKUP(INDIRECT(ADDRESS(2,COLUMN())),OFFSET($AM$2,0,0,ROW()-1,33),ROW()-1,FALSE))</f>
        <v>0</v>
      </c>
      <c r="AB366">
        <f ca="1">IF(AND(ISNUMBER($AB$765),$B$427=1),$AB$765,HLOOKUP(INDIRECT(ADDRESS(2,COLUMN())),OFFSET($AM$2,0,0,ROW()-1,33),ROW()-1,FALSE))</f>
        <v>0</v>
      </c>
      <c r="AC366">
        <f ca="1">IF(AND(ISNUMBER($AC$765),$B$427=1),$AC$765,HLOOKUP(INDIRECT(ADDRESS(2,COLUMN())),OFFSET($AM$2,0,0,ROW()-1,33),ROW()-1,FALSE))</f>
        <v>0</v>
      </c>
      <c r="AD366" t="str">
        <f ca="1">IF(AND(ISNUMBER($AD$765),$B$427=1),$AD$765,HLOOKUP(INDIRECT(ADDRESS(2,COLUMN())),OFFSET($AM$2,0,0,ROW()-1,33),ROW()-1,FALSE))</f>
        <v/>
      </c>
      <c r="AE366" t="str">
        <f ca="1">IF(AND(ISNUMBER($AE$765),$B$427=1),$AE$765,HLOOKUP(INDIRECT(ADDRESS(2,COLUMN())),OFFSET($AM$2,0,0,ROW()-1,33),ROW()-1,FALSE))</f>
        <v/>
      </c>
      <c r="AF366" t="str">
        <f ca="1">IF(AND(ISNUMBER($AF$765),$B$427=1),$AF$765,HLOOKUP(INDIRECT(ADDRESS(2,COLUMN())),OFFSET($AM$2,0,0,ROW()-1,33),ROW()-1,FALSE))</f>
        <v/>
      </c>
      <c r="AG366" t="str">
        <f ca="1">IF(AND(ISNUMBER($AG$765),$B$427=1),$AG$765,HLOOKUP(INDIRECT(ADDRESS(2,COLUMN())),OFFSET($AM$2,0,0,ROW()-1,33),ROW()-1,FALSE))</f>
        <v/>
      </c>
      <c r="AH366" t="str">
        <f ca="1">IF(AND(ISNUMBER($AH$765),$B$427=1),$AH$765,HLOOKUP(INDIRECT(ADDRESS(2,COLUMN())),OFFSET($AM$2,0,0,ROW()-1,33),ROW()-1,FALSE))</f>
        <v/>
      </c>
      <c r="AI366" t="str">
        <f ca="1">IF(AND(ISNUMBER($AI$765),$B$427=1),$AI$765,HLOOKUP(INDIRECT(ADDRESS(2,COLUMN())),OFFSET($AM$2,0,0,ROW()-1,33),ROW()-1,FALSE))</f>
        <v/>
      </c>
      <c r="AJ366" t="str">
        <f ca="1">IF(AND(ISNUMBER($AJ$765),$B$427=1),$AJ$765,HLOOKUP(INDIRECT(ADDRESS(2,COLUMN())),OFFSET($AM$2,0,0,ROW()-1,33),ROW()-1,FALSE))</f>
        <v/>
      </c>
      <c r="AK366" t="str">
        <f ca="1">IF(AND(ISNUMBER($AK$765),$B$427=1),$AK$765,HLOOKUP(INDIRECT(ADDRESS(2,COLUMN())),OFFSET($AM$2,0,0,ROW()-1,33),ROW()-1,FALSE))</f>
        <v/>
      </c>
      <c r="AL366" t="str">
        <f ca="1">IF(AND(ISNUMBER($AL$765),$B$427=1),$AL$765,HLOOKUP(INDIRECT(ADDRESS(2,COLUMN())),OFFSET($AM$2,0,0,ROW()-1,33),ROW()-1,FALSE))</f>
        <v/>
      </c>
      <c r="AM366">
        <f>0</f>
        <v>0</v>
      </c>
      <c r="AN366">
        <f>0</f>
        <v>0</v>
      </c>
      <c r="AO366">
        <f>0</f>
        <v>0</v>
      </c>
      <c r="AP366">
        <f>0</f>
        <v>0</v>
      </c>
      <c r="AQ366">
        <f>0</f>
        <v>0</v>
      </c>
      <c r="AR366">
        <f>0</f>
        <v>0</v>
      </c>
      <c r="AS366">
        <f>0</f>
        <v>0</v>
      </c>
      <c r="AT366">
        <f>0</f>
        <v>0</v>
      </c>
      <c r="AU366">
        <f>0</f>
        <v>0</v>
      </c>
      <c r="AV366">
        <f>0</f>
        <v>0</v>
      </c>
      <c r="AW366">
        <f>0</f>
        <v>0</v>
      </c>
      <c r="AX366">
        <f>0</f>
        <v>0</v>
      </c>
      <c r="AY366">
        <f>0</f>
        <v>0</v>
      </c>
      <c r="AZ366">
        <f>0</f>
        <v>0</v>
      </c>
      <c r="BA366">
        <f>0</f>
        <v>0</v>
      </c>
      <c r="BB366">
        <f>0</f>
        <v>0</v>
      </c>
      <c r="BC366">
        <f>0</f>
        <v>0</v>
      </c>
      <c r="BD366">
        <f>0</f>
        <v>0</v>
      </c>
      <c r="BE366">
        <f>0</f>
        <v>0</v>
      </c>
      <c r="BF366">
        <f>0</f>
        <v>0</v>
      </c>
      <c r="BG366">
        <f>0</f>
        <v>0</v>
      </c>
      <c r="BH366">
        <f>0</f>
        <v>0</v>
      </c>
      <c r="BI366">
        <f>0</f>
        <v>0</v>
      </c>
      <c r="BJ366">
        <f>0</f>
        <v>0</v>
      </c>
      <c r="BK366" t="str">
        <f>""</f>
        <v/>
      </c>
      <c r="BL366" t="str">
        <f>""</f>
        <v/>
      </c>
      <c r="BM366" t="str">
        <f>""</f>
        <v/>
      </c>
      <c r="BN366" t="str">
        <f>""</f>
        <v/>
      </c>
      <c r="BO366" t="str">
        <f>""</f>
        <v/>
      </c>
      <c r="BP366" t="str">
        <f>""</f>
        <v/>
      </c>
      <c r="BQ366" t="str">
        <f>""</f>
        <v/>
      </c>
      <c r="BR366" t="str">
        <f>""</f>
        <v/>
      </c>
      <c r="BS366" t="str">
        <f>""</f>
        <v/>
      </c>
    </row>
    <row r="367" spans="1:71" x14ac:dyDescent="0.25">
      <c r="A367" t="str">
        <f>"        Wells Fargo &amp; Co"</f>
        <v xml:space="preserve">        Wells Fargo &amp; Co</v>
      </c>
      <c r="B367" t="str">
        <f>"WFC US Equity"</f>
        <v>WFC US Equity</v>
      </c>
      <c r="C367" t="str">
        <f t="shared" si="48"/>
        <v>F0126</v>
      </c>
      <c r="D367" t="str">
        <f t="shared" si="49"/>
        <v>FED_SOV_LOANS_%_TOT_LOANS_LEASES</v>
      </c>
      <c r="E367" t="str">
        <f t="shared" si="50"/>
        <v>Dynamic</v>
      </c>
      <c r="F367">
        <f ca="1">IF(AND(ISNUMBER($F$766),$B$427=1),$F$766,HLOOKUP(INDIRECT(ADDRESS(2,COLUMN())),OFFSET($AM$2,0,0,ROW()-1,33),ROW()-1,FALSE))</f>
        <v>1.3218005E-2</v>
      </c>
      <c r="G367">
        <f ca="1">IF(AND(ISNUMBER($G$766),$B$427=1),$G$766,HLOOKUP(INDIRECT(ADDRESS(2,COLUMN())),OFFSET($AM$2,0,0,ROW()-1,33),ROW()-1,FALSE))</f>
        <v>2.5536669999999999E-3</v>
      </c>
      <c r="H367">
        <f ca="1">IF(AND(ISNUMBER($H$766),$B$427=1),$H$766,HLOOKUP(INDIRECT(ADDRESS(2,COLUMN())),OFFSET($AM$2,0,0,ROW()-1,33),ROW()-1,FALSE))</f>
        <v>2.3920730000000002E-3</v>
      </c>
      <c r="I367">
        <f ca="1">IF(AND(ISNUMBER($I$766),$B$427=1),$I$766,HLOOKUP(INDIRECT(ADDRESS(2,COLUMN())),OFFSET($AM$2,0,0,ROW()-1,33),ROW()-1,FALSE))</f>
        <v>2.18459E-4</v>
      </c>
      <c r="J367">
        <f ca="1">IF(AND(ISNUMBER($J$766),$B$427=1),$J$766,HLOOKUP(INDIRECT(ADDRESS(2,COLUMN())),OFFSET($AM$2,0,0,ROW()-1,33),ROW()-1,FALSE))</f>
        <v>2.1612399999999999E-4</v>
      </c>
      <c r="K367">
        <f ca="1">IF(AND(ISNUMBER($K$766),$B$427=1),$K$766,HLOOKUP(INDIRECT(ADDRESS(2,COLUMN())),OFFSET($AM$2,0,0,ROW()-1,33),ROW()-1,FALSE))</f>
        <v>2.7473139999999998E-3</v>
      </c>
      <c r="L367">
        <f ca="1">IF(AND(ISNUMBER($L$766),$B$427=1),$L$766,HLOOKUP(INDIRECT(ADDRESS(2,COLUMN())),OFFSET($AM$2,0,0,ROW()-1,33),ROW()-1,FALSE))</f>
        <v>3.8140881000000001E-2</v>
      </c>
      <c r="M367">
        <f ca="1">IF(AND(ISNUMBER($M$766),$B$427=1),$M$766,HLOOKUP(INDIRECT(ADDRESS(2,COLUMN())),OFFSET($AM$2,0,0,ROW()-1,33),ROW()-1,FALSE))</f>
        <v>3.4229747999999997E-2</v>
      </c>
      <c r="N367">
        <f ca="1">IF(AND(ISNUMBER($N$766),$B$427=1),$N$766,HLOOKUP(INDIRECT(ADDRESS(2,COLUMN())),OFFSET($AM$2,0,0,ROW()-1,33),ROW()-1,FALSE))</f>
        <v>4.8241560000000003E-2</v>
      </c>
      <c r="O367">
        <f ca="1">IF(AND(ISNUMBER($O$766),$B$427=1),$O$766,HLOOKUP(INDIRECT(ADDRESS(2,COLUMN())),OFFSET($AM$2,0,0,ROW()-1,33),ROW()-1,FALSE))</f>
        <v>5.0862843999999997E-2</v>
      </c>
      <c r="P367">
        <f ca="1">IF(AND(ISNUMBER($P$766),$B$427=1),$P$766,HLOOKUP(INDIRECT(ADDRESS(2,COLUMN())),OFFSET($AM$2,0,0,ROW()-1,33),ROW()-1,FALSE))</f>
        <v>6.1959279999999999E-2</v>
      </c>
      <c r="Q367">
        <f ca="1">IF(AND(ISNUMBER($Q$766),$B$427=1),$Q$766,HLOOKUP(INDIRECT(ADDRESS(2,COLUMN())),OFFSET($AM$2,0,0,ROW()-1,33),ROW()-1,FALSE))</f>
        <v>7.5477269E-2</v>
      </c>
      <c r="R367">
        <f ca="1">IF(AND(ISNUMBER($R$766),$B$427=1),$R$766,HLOOKUP(INDIRECT(ADDRESS(2,COLUMN())),OFFSET($AM$2,0,0,ROW()-1,33),ROW()-1,FALSE))</f>
        <v>1.793575E-2</v>
      </c>
      <c r="S367">
        <f ca="1">IF(AND(ISNUMBER($S$766),$B$427=1),$S$766,HLOOKUP(INDIRECT(ADDRESS(2,COLUMN())),OFFSET($AM$2,0,0,ROW()-1,33),ROW()-1,FALSE))</f>
        <v>3.7225719999999997E-2</v>
      </c>
      <c r="T367">
        <f ca="1">IF(AND(ISNUMBER($T$766),$B$427=1),$T$766,HLOOKUP(INDIRECT(ADDRESS(2,COLUMN())),OFFSET($AM$2,0,0,ROW()-1,33),ROW()-1,FALSE))</f>
        <v>6.5941922E-2</v>
      </c>
      <c r="U367">
        <f ca="1">IF(AND(ISNUMBER($U$766),$B$427=1),$U$766,HLOOKUP(INDIRECT(ADDRESS(2,COLUMN())),OFFSET($AM$2,0,0,ROW()-1,33),ROW()-1,FALSE))</f>
        <v>6.6215803000000004E-2</v>
      </c>
      <c r="V367">
        <f ca="1">IF(AND(ISNUMBER($V$766),$B$427=1),$V$766,HLOOKUP(INDIRECT(ADDRESS(2,COLUMN())),OFFSET($AM$2,0,0,ROW()-1,33),ROW()-1,FALSE))</f>
        <v>2.8277877E-2</v>
      </c>
      <c r="W367">
        <f ca="1">IF(AND(ISNUMBER($W$766),$B$427=1),$W$766,HLOOKUP(INDIRECT(ADDRESS(2,COLUMN())),OFFSET($AM$2,0,0,ROW()-1,33),ROW()-1,FALSE))</f>
        <v>0</v>
      </c>
      <c r="X367">
        <f ca="1">IF(AND(ISNUMBER($X$766),$B$427=1),$X$766,HLOOKUP(INDIRECT(ADDRESS(2,COLUMN())),OFFSET($AM$2,0,0,ROW()-1,33),ROW()-1,FALSE))</f>
        <v>0</v>
      </c>
      <c r="Y367">
        <f ca="1">IF(AND(ISNUMBER($Y$766),$B$427=1),$Y$766,HLOOKUP(INDIRECT(ADDRESS(2,COLUMN())),OFFSET($AM$2,0,0,ROW()-1,33),ROW()-1,FALSE))</f>
        <v>0</v>
      </c>
      <c r="Z367">
        <f ca="1">IF(AND(ISNUMBER($Z$766),$B$427=1),$Z$766,HLOOKUP(INDIRECT(ADDRESS(2,COLUMN())),OFFSET($AM$2,0,0,ROW()-1,33),ROW()-1,FALSE))</f>
        <v>0</v>
      </c>
      <c r="AA367">
        <f ca="1">IF(AND(ISNUMBER($AA$766),$B$427=1),$AA$766,HLOOKUP(INDIRECT(ADDRESS(2,COLUMN())),OFFSET($AM$2,0,0,ROW()-1,33),ROW()-1,FALSE))</f>
        <v>6.90615E-4</v>
      </c>
      <c r="AB367">
        <f ca="1">IF(AND(ISNUMBER($AB$766),$B$427=1),$AB$766,HLOOKUP(INDIRECT(ADDRESS(2,COLUMN())),OFFSET($AM$2,0,0,ROW()-1,33),ROW()-1,FALSE))</f>
        <v>1.1789999999999999E-3</v>
      </c>
      <c r="AC367">
        <f ca="1">IF(AND(ISNUMBER($AC$766),$B$427=1),$AC$766,HLOOKUP(INDIRECT(ADDRESS(2,COLUMN())),OFFSET($AM$2,0,0,ROW()-1,33),ROW()-1,FALSE))</f>
        <v>1.444746E-3</v>
      </c>
      <c r="AD367" t="str">
        <f ca="1">IF(AND(ISNUMBER($AD$766),$B$427=1),$AD$766,HLOOKUP(INDIRECT(ADDRESS(2,COLUMN())),OFFSET($AM$2,0,0,ROW()-1,33),ROW()-1,FALSE))</f>
        <v/>
      </c>
      <c r="AE367" t="str">
        <f ca="1">IF(AND(ISNUMBER($AE$766),$B$427=1),$AE$766,HLOOKUP(INDIRECT(ADDRESS(2,COLUMN())),OFFSET($AM$2,0,0,ROW()-1,33),ROW()-1,FALSE))</f>
        <v/>
      </c>
      <c r="AF367" t="str">
        <f ca="1">IF(AND(ISNUMBER($AF$766),$B$427=1),$AF$766,HLOOKUP(INDIRECT(ADDRESS(2,COLUMN())),OFFSET($AM$2,0,0,ROW()-1,33),ROW()-1,FALSE))</f>
        <v/>
      </c>
      <c r="AG367" t="str">
        <f ca="1">IF(AND(ISNUMBER($AG$766),$B$427=1),$AG$766,HLOOKUP(INDIRECT(ADDRESS(2,COLUMN())),OFFSET($AM$2,0,0,ROW()-1,33),ROW()-1,FALSE))</f>
        <v/>
      </c>
      <c r="AH367" t="str">
        <f ca="1">IF(AND(ISNUMBER($AH$766),$B$427=1),$AH$766,HLOOKUP(INDIRECT(ADDRESS(2,COLUMN())),OFFSET($AM$2,0,0,ROW()-1,33),ROW()-1,FALSE))</f>
        <v/>
      </c>
      <c r="AI367" t="str">
        <f ca="1">IF(AND(ISNUMBER($AI$766),$B$427=1),$AI$766,HLOOKUP(INDIRECT(ADDRESS(2,COLUMN())),OFFSET($AM$2,0,0,ROW()-1,33),ROW()-1,FALSE))</f>
        <v/>
      </c>
      <c r="AJ367" t="str">
        <f ca="1">IF(AND(ISNUMBER($AJ$766),$B$427=1),$AJ$766,HLOOKUP(INDIRECT(ADDRESS(2,COLUMN())),OFFSET($AM$2,0,0,ROW()-1,33),ROW()-1,FALSE))</f>
        <v/>
      </c>
      <c r="AK367" t="str">
        <f ca="1">IF(AND(ISNUMBER($AK$766),$B$427=1),$AK$766,HLOOKUP(INDIRECT(ADDRESS(2,COLUMN())),OFFSET($AM$2,0,0,ROW()-1,33),ROW()-1,FALSE))</f>
        <v/>
      </c>
      <c r="AL367" t="str">
        <f ca="1">IF(AND(ISNUMBER($AL$766),$B$427=1),$AL$766,HLOOKUP(INDIRECT(ADDRESS(2,COLUMN())),OFFSET($AM$2,0,0,ROW()-1,33),ROW()-1,FALSE))</f>
        <v/>
      </c>
      <c r="AM367">
        <f>0.013218005</f>
        <v>1.3218005E-2</v>
      </c>
      <c r="AN367">
        <f>0.002553667</f>
        <v>2.5536669999999999E-3</v>
      </c>
      <c r="AO367">
        <f>0.002392073</f>
        <v>2.3920730000000002E-3</v>
      </c>
      <c r="AP367">
        <f>0.000218459</f>
        <v>2.18459E-4</v>
      </c>
      <c r="AQ367">
        <f>0.000216124</f>
        <v>2.1612399999999999E-4</v>
      </c>
      <c r="AR367">
        <f>0.002747314</f>
        <v>2.7473139999999998E-3</v>
      </c>
      <c r="AS367">
        <f>0.038140881</f>
        <v>3.8140881000000001E-2</v>
      </c>
      <c r="AT367">
        <f>0.034229748</f>
        <v>3.4229747999999997E-2</v>
      </c>
      <c r="AU367">
        <f>0.04824156</f>
        <v>4.8241560000000003E-2</v>
      </c>
      <c r="AV367">
        <f>0.050862844</f>
        <v>5.0862843999999997E-2</v>
      </c>
      <c r="AW367">
        <f>0.06195928</f>
        <v>6.1959279999999999E-2</v>
      </c>
      <c r="AX367">
        <f>0.075477269</f>
        <v>7.5477269E-2</v>
      </c>
      <c r="AY367">
        <f>0.01793575</f>
        <v>1.793575E-2</v>
      </c>
      <c r="AZ367">
        <f>0.03722572</f>
        <v>3.7225719999999997E-2</v>
      </c>
      <c r="BA367">
        <f>0.065941922</f>
        <v>6.5941922E-2</v>
      </c>
      <c r="BB367">
        <f>0.066215803</f>
        <v>6.6215803000000004E-2</v>
      </c>
      <c r="BC367">
        <f>0.028277877</f>
        <v>2.8277877E-2</v>
      </c>
      <c r="BD367">
        <f>0</f>
        <v>0</v>
      </c>
      <c r="BE367">
        <f>0</f>
        <v>0</v>
      </c>
      <c r="BF367">
        <f>0</f>
        <v>0</v>
      </c>
      <c r="BG367">
        <f>0</f>
        <v>0</v>
      </c>
      <c r="BH367">
        <f>0.000690615</f>
        <v>6.90615E-4</v>
      </c>
      <c r="BI367">
        <f>0.001179</f>
        <v>1.1789999999999999E-3</v>
      </c>
      <c r="BJ367">
        <f>0.001444746</f>
        <v>1.444746E-3</v>
      </c>
      <c r="BK367" t="str">
        <f>""</f>
        <v/>
      </c>
      <c r="BL367" t="str">
        <f>""</f>
        <v/>
      </c>
      <c r="BM367" t="str">
        <f>""</f>
        <v/>
      </c>
      <c r="BN367" t="str">
        <f>""</f>
        <v/>
      </c>
      <c r="BO367" t="str">
        <f>""</f>
        <v/>
      </c>
      <c r="BP367" t="str">
        <f>""</f>
        <v/>
      </c>
      <c r="BQ367" t="str">
        <f>""</f>
        <v/>
      </c>
      <c r="BR367" t="str">
        <f>""</f>
        <v/>
      </c>
      <c r="BS367" t="str">
        <f>""</f>
        <v/>
      </c>
    </row>
    <row r="368" spans="1:71" x14ac:dyDescent="0.25">
      <c r="A368" t="str">
        <f>"        Western Alliance Bancorp"</f>
        <v xml:space="preserve">        Western Alliance Bancorp</v>
      </c>
      <c r="B368" t="str">
        <f>"WAL US Equity"</f>
        <v>WAL US Equity</v>
      </c>
      <c r="C368" t="str">
        <f t="shared" si="48"/>
        <v>F0126</v>
      </c>
      <c r="D368" t="str">
        <f t="shared" si="49"/>
        <v>FED_SOV_LOANS_%_TOT_LOANS_LEASES</v>
      </c>
      <c r="E368" t="str">
        <f t="shared" si="50"/>
        <v>Dynamic</v>
      </c>
      <c r="F368">
        <f ca="1">IF(AND(ISNUMBER($F$767),$B$427=1),$F$767,HLOOKUP(INDIRECT(ADDRESS(2,COLUMN())),OFFSET($AM$2,0,0,ROW()-1,33),ROW()-1,FALSE))</f>
        <v>0</v>
      </c>
      <c r="G368">
        <f ca="1">IF(AND(ISNUMBER($G$767),$B$427=1),$G$767,HLOOKUP(INDIRECT(ADDRESS(2,COLUMN())),OFFSET($AM$2,0,0,ROW()-1,33),ROW()-1,FALSE))</f>
        <v>0</v>
      </c>
      <c r="H368">
        <f ca="1">IF(AND(ISNUMBER($H$767),$B$427=1),$H$767,HLOOKUP(INDIRECT(ADDRESS(2,COLUMN())),OFFSET($AM$2,0,0,ROW()-1,33),ROW()-1,FALSE))</f>
        <v>0</v>
      </c>
      <c r="I368">
        <f ca="1">IF(AND(ISNUMBER($I$767),$B$427=1),$I$767,HLOOKUP(INDIRECT(ADDRESS(2,COLUMN())),OFFSET($AM$2,0,0,ROW()-1,33),ROW()-1,FALSE))</f>
        <v>0</v>
      </c>
      <c r="J368">
        <f ca="1">IF(AND(ISNUMBER($J$767),$B$427=1),$J$767,HLOOKUP(INDIRECT(ADDRESS(2,COLUMN())),OFFSET($AM$2,0,0,ROW()-1,33),ROW()-1,FALSE))</f>
        <v>0</v>
      </c>
      <c r="K368">
        <f ca="1">IF(AND(ISNUMBER($K$767),$B$427=1),$K$767,HLOOKUP(INDIRECT(ADDRESS(2,COLUMN())),OFFSET($AM$2,0,0,ROW()-1,33),ROW()-1,FALSE))</f>
        <v>0</v>
      </c>
      <c r="L368">
        <f ca="1">IF(AND(ISNUMBER($L$767),$B$427=1),$L$767,HLOOKUP(INDIRECT(ADDRESS(2,COLUMN())),OFFSET($AM$2,0,0,ROW()-1,33),ROW()-1,FALSE))</f>
        <v>0</v>
      </c>
      <c r="M368">
        <f ca="1">IF(AND(ISNUMBER($M$767),$B$427=1),$M$767,HLOOKUP(INDIRECT(ADDRESS(2,COLUMN())),OFFSET($AM$2,0,0,ROW()-1,33),ROW()-1,FALSE))</f>
        <v>0</v>
      </c>
      <c r="N368">
        <f ca="1">IF(AND(ISNUMBER($N$767),$B$427=1),$N$767,HLOOKUP(INDIRECT(ADDRESS(2,COLUMN())),OFFSET($AM$2,0,0,ROW()-1,33),ROW()-1,FALSE))</f>
        <v>0</v>
      </c>
      <c r="O368">
        <f ca="1">IF(AND(ISNUMBER($O$767),$B$427=1),$O$767,HLOOKUP(INDIRECT(ADDRESS(2,COLUMN())),OFFSET($AM$2,0,0,ROW()-1,33),ROW()-1,FALSE))</f>
        <v>0</v>
      </c>
      <c r="P368">
        <f ca="1">IF(AND(ISNUMBER($P$767),$B$427=1),$P$767,HLOOKUP(INDIRECT(ADDRESS(2,COLUMN())),OFFSET($AM$2,0,0,ROW()-1,33),ROW()-1,FALSE))</f>
        <v>0</v>
      </c>
      <c r="Q368">
        <f ca="1">IF(AND(ISNUMBER($Q$767),$B$427=1),$Q$767,HLOOKUP(INDIRECT(ADDRESS(2,COLUMN())),OFFSET($AM$2,0,0,ROW()-1,33),ROW()-1,FALSE))</f>
        <v>0</v>
      </c>
      <c r="R368">
        <f ca="1">IF(AND(ISNUMBER($R$767),$B$427=1),$R$767,HLOOKUP(INDIRECT(ADDRESS(2,COLUMN())),OFFSET($AM$2,0,0,ROW()-1,33),ROW()-1,FALSE))</f>
        <v>0</v>
      </c>
      <c r="S368">
        <f ca="1">IF(AND(ISNUMBER($S$767),$B$427=1),$S$767,HLOOKUP(INDIRECT(ADDRESS(2,COLUMN())),OFFSET($AM$2,0,0,ROW()-1,33),ROW()-1,FALSE))</f>
        <v>0</v>
      </c>
      <c r="T368">
        <f ca="1">IF(AND(ISNUMBER($T$767),$B$427=1),$T$767,HLOOKUP(INDIRECT(ADDRESS(2,COLUMN())),OFFSET($AM$2,0,0,ROW()-1,33),ROW()-1,FALSE))</f>
        <v>0</v>
      </c>
      <c r="U368">
        <f ca="1">IF(AND(ISNUMBER($U$767),$B$427=1),$U$767,HLOOKUP(INDIRECT(ADDRESS(2,COLUMN())),OFFSET($AM$2,0,0,ROW()-1,33),ROW()-1,FALSE))</f>
        <v>0</v>
      </c>
      <c r="V368">
        <f ca="1">IF(AND(ISNUMBER($V$767),$B$427=1),$V$767,HLOOKUP(INDIRECT(ADDRESS(2,COLUMN())),OFFSET($AM$2,0,0,ROW()-1,33),ROW()-1,FALSE))</f>
        <v>0</v>
      </c>
      <c r="W368">
        <f ca="1">IF(AND(ISNUMBER($W$767),$B$427=1),$W$767,HLOOKUP(INDIRECT(ADDRESS(2,COLUMN())),OFFSET($AM$2,0,0,ROW()-1,33),ROW()-1,FALSE))</f>
        <v>0</v>
      </c>
      <c r="X368">
        <f ca="1">IF(AND(ISNUMBER($X$767),$B$427=1),$X$767,HLOOKUP(INDIRECT(ADDRESS(2,COLUMN())),OFFSET($AM$2,0,0,ROW()-1,33),ROW()-1,FALSE))</f>
        <v>0</v>
      </c>
      <c r="Y368">
        <f ca="1">IF(AND(ISNUMBER($Y$767),$B$427=1),$Y$767,HLOOKUP(INDIRECT(ADDRESS(2,COLUMN())),OFFSET($AM$2,0,0,ROW()-1,33),ROW()-1,FALSE))</f>
        <v>0</v>
      </c>
      <c r="Z368">
        <f ca="1">IF(AND(ISNUMBER($Z$767),$B$427=1),$Z$767,HLOOKUP(INDIRECT(ADDRESS(2,COLUMN())),OFFSET($AM$2,0,0,ROW()-1,33),ROW()-1,FALSE))</f>
        <v>0</v>
      </c>
      <c r="AA368">
        <f ca="1">IF(AND(ISNUMBER($AA$767),$B$427=1),$AA$767,HLOOKUP(INDIRECT(ADDRESS(2,COLUMN())),OFFSET($AM$2,0,0,ROW()-1,33),ROW()-1,FALSE))</f>
        <v>0</v>
      </c>
      <c r="AB368">
        <f ca="1">IF(AND(ISNUMBER($AB$767),$B$427=1),$AB$767,HLOOKUP(INDIRECT(ADDRESS(2,COLUMN())),OFFSET($AM$2,0,0,ROW()-1,33),ROW()-1,FALSE))</f>
        <v>0</v>
      </c>
      <c r="AC368">
        <f ca="1">IF(AND(ISNUMBER($AC$767),$B$427=1),$AC$767,HLOOKUP(INDIRECT(ADDRESS(2,COLUMN())),OFFSET($AM$2,0,0,ROW()-1,33),ROW()-1,FALSE))</f>
        <v>0</v>
      </c>
      <c r="AD368" t="str">
        <f ca="1">IF(AND(ISNUMBER($AD$767),$B$427=1),$AD$767,HLOOKUP(INDIRECT(ADDRESS(2,COLUMN())),OFFSET($AM$2,0,0,ROW()-1,33),ROW()-1,FALSE))</f>
        <v/>
      </c>
      <c r="AE368" t="str">
        <f ca="1">IF(AND(ISNUMBER($AE$767),$B$427=1),$AE$767,HLOOKUP(INDIRECT(ADDRESS(2,COLUMN())),OFFSET($AM$2,0,0,ROW()-1,33),ROW()-1,FALSE))</f>
        <v/>
      </c>
      <c r="AF368" t="str">
        <f ca="1">IF(AND(ISNUMBER($AF$767),$B$427=1),$AF$767,HLOOKUP(INDIRECT(ADDRESS(2,COLUMN())),OFFSET($AM$2,0,0,ROW()-1,33),ROW()-1,FALSE))</f>
        <v/>
      </c>
      <c r="AG368" t="str">
        <f ca="1">IF(AND(ISNUMBER($AG$767),$B$427=1),$AG$767,HLOOKUP(INDIRECT(ADDRESS(2,COLUMN())),OFFSET($AM$2,0,0,ROW()-1,33),ROW()-1,FALSE))</f>
        <v/>
      </c>
      <c r="AH368" t="str">
        <f ca="1">IF(AND(ISNUMBER($AH$767),$B$427=1),$AH$767,HLOOKUP(INDIRECT(ADDRESS(2,COLUMN())),OFFSET($AM$2,0,0,ROW()-1,33),ROW()-1,FALSE))</f>
        <v/>
      </c>
      <c r="AI368" t="str">
        <f ca="1">IF(AND(ISNUMBER($AI$767),$B$427=1),$AI$767,HLOOKUP(INDIRECT(ADDRESS(2,COLUMN())),OFFSET($AM$2,0,0,ROW()-1,33),ROW()-1,FALSE))</f>
        <v/>
      </c>
      <c r="AJ368" t="str">
        <f ca="1">IF(AND(ISNUMBER($AJ$767),$B$427=1),$AJ$767,HLOOKUP(INDIRECT(ADDRESS(2,COLUMN())),OFFSET($AM$2,0,0,ROW()-1,33),ROW()-1,FALSE))</f>
        <v/>
      </c>
      <c r="AK368" t="str">
        <f ca="1">IF(AND(ISNUMBER($AK$767),$B$427=1),$AK$767,HLOOKUP(INDIRECT(ADDRESS(2,COLUMN())),OFFSET($AM$2,0,0,ROW()-1,33),ROW()-1,FALSE))</f>
        <v/>
      </c>
      <c r="AL368" t="str">
        <f ca="1">IF(AND(ISNUMBER($AL$767),$B$427=1),$AL$767,HLOOKUP(INDIRECT(ADDRESS(2,COLUMN())),OFFSET($AM$2,0,0,ROW()-1,33),ROW()-1,FALSE))</f>
        <v/>
      </c>
      <c r="AM368">
        <f>0</f>
        <v>0</v>
      </c>
      <c r="AN368">
        <f>0</f>
        <v>0</v>
      </c>
      <c r="AO368">
        <f>0</f>
        <v>0</v>
      </c>
      <c r="AP368">
        <f>0</f>
        <v>0</v>
      </c>
      <c r="AQ368">
        <f>0</f>
        <v>0</v>
      </c>
      <c r="AR368">
        <f>0</f>
        <v>0</v>
      </c>
      <c r="AS368">
        <f>0</f>
        <v>0</v>
      </c>
      <c r="AT368">
        <f>0</f>
        <v>0</v>
      </c>
      <c r="AU368">
        <f>0</f>
        <v>0</v>
      </c>
      <c r="AV368">
        <f>0</f>
        <v>0</v>
      </c>
      <c r="AW368">
        <f>0</f>
        <v>0</v>
      </c>
      <c r="AX368">
        <f>0</f>
        <v>0</v>
      </c>
      <c r="AY368">
        <f>0</f>
        <v>0</v>
      </c>
      <c r="AZ368">
        <f>0</f>
        <v>0</v>
      </c>
      <c r="BA368">
        <f>0</f>
        <v>0</v>
      </c>
      <c r="BB368">
        <f>0</f>
        <v>0</v>
      </c>
      <c r="BC368">
        <f>0</f>
        <v>0</v>
      </c>
      <c r="BD368">
        <f>0</f>
        <v>0</v>
      </c>
      <c r="BE368">
        <f>0</f>
        <v>0</v>
      </c>
      <c r="BF368">
        <f>0</f>
        <v>0</v>
      </c>
      <c r="BG368">
        <f>0</f>
        <v>0</v>
      </c>
      <c r="BH368">
        <f>0</f>
        <v>0</v>
      </c>
      <c r="BI368">
        <f>0</f>
        <v>0</v>
      </c>
      <c r="BJ368">
        <f>0</f>
        <v>0</v>
      </c>
      <c r="BK368" t="str">
        <f>""</f>
        <v/>
      </c>
      <c r="BL368" t="str">
        <f>""</f>
        <v/>
      </c>
      <c r="BM368" t="str">
        <f>""</f>
        <v/>
      </c>
      <c r="BN368" t="str">
        <f>""</f>
        <v/>
      </c>
      <c r="BO368" t="str">
        <f>""</f>
        <v/>
      </c>
      <c r="BP368" t="str">
        <f>""</f>
        <v/>
      </c>
      <c r="BQ368" t="str">
        <f>""</f>
        <v/>
      </c>
      <c r="BR368" t="str">
        <f>""</f>
        <v/>
      </c>
      <c r="BS368" t="str">
        <f>""</f>
        <v/>
      </c>
    </row>
    <row r="369" spans="1:71" x14ac:dyDescent="0.25">
      <c r="A369" t="str">
        <f>"        Zions Bancorp NA"</f>
        <v xml:space="preserve">        Zions Bancorp NA</v>
      </c>
      <c r="B369" t="str">
        <f>"ZION US Equity"</f>
        <v>ZION US Equity</v>
      </c>
      <c r="C369" t="str">
        <f t="shared" si="48"/>
        <v>F0126</v>
      </c>
      <c r="D369" t="str">
        <f t="shared" si="49"/>
        <v>FED_SOV_LOANS_%_TOT_LOANS_LEASES</v>
      </c>
      <c r="E369" t="str">
        <f t="shared" si="50"/>
        <v>Dynamic</v>
      </c>
      <c r="F369" t="str">
        <f ca="1">IF(AND(ISNUMBER($F$768),$B$427=1),$F$768,HLOOKUP(INDIRECT(ADDRESS(2,COLUMN())),OFFSET($AM$2,0,0,ROW()-1,33),ROW()-1,FALSE))</f>
        <v/>
      </c>
      <c r="G369" t="str">
        <f ca="1">IF(AND(ISNUMBER($G$768),$B$427=1),$G$768,HLOOKUP(INDIRECT(ADDRESS(2,COLUMN())),OFFSET($AM$2,0,0,ROW()-1,33),ROW()-1,FALSE))</f>
        <v/>
      </c>
      <c r="H369" t="str">
        <f ca="1">IF(AND(ISNUMBER($H$768),$B$427=1),$H$768,HLOOKUP(INDIRECT(ADDRESS(2,COLUMN())),OFFSET($AM$2,0,0,ROW()-1,33),ROW()-1,FALSE))</f>
        <v/>
      </c>
      <c r="I369" t="str">
        <f ca="1">IF(AND(ISNUMBER($I$768),$B$427=1),$I$768,HLOOKUP(INDIRECT(ADDRESS(2,COLUMN())),OFFSET($AM$2,0,0,ROW()-1,33),ROW()-1,FALSE))</f>
        <v/>
      </c>
      <c r="J369" t="str">
        <f ca="1">IF(AND(ISNUMBER($J$768),$B$427=1),$J$768,HLOOKUP(INDIRECT(ADDRESS(2,COLUMN())),OFFSET($AM$2,0,0,ROW()-1,33),ROW()-1,FALSE))</f>
        <v/>
      </c>
      <c r="K369" t="str">
        <f ca="1">IF(AND(ISNUMBER($K$768),$B$427=1),$K$768,HLOOKUP(INDIRECT(ADDRESS(2,COLUMN())),OFFSET($AM$2,0,0,ROW()-1,33),ROW()-1,FALSE))</f>
        <v/>
      </c>
      <c r="L369" t="str">
        <f ca="1">IF(AND(ISNUMBER($L$768),$B$427=1),$L$768,HLOOKUP(INDIRECT(ADDRESS(2,COLUMN())),OFFSET($AM$2,0,0,ROW()-1,33),ROW()-1,FALSE))</f>
        <v/>
      </c>
      <c r="M369" t="str">
        <f ca="1">IF(AND(ISNUMBER($M$768),$B$427=1),$M$768,HLOOKUP(INDIRECT(ADDRESS(2,COLUMN())),OFFSET($AM$2,0,0,ROW()-1,33),ROW()-1,FALSE))</f>
        <v/>
      </c>
      <c r="N369" t="str">
        <f ca="1">IF(AND(ISNUMBER($N$768),$B$427=1),$N$768,HLOOKUP(INDIRECT(ADDRESS(2,COLUMN())),OFFSET($AM$2,0,0,ROW()-1,33),ROW()-1,FALSE))</f>
        <v/>
      </c>
      <c r="O369" t="str">
        <f ca="1">IF(AND(ISNUMBER($O$768),$B$427=1),$O$768,HLOOKUP(INDIRECT(ADDRESS(2,COLUMN())),OFFSET($AM$2,0,0,ROW()-1,33),ROW()-1,FALSE))</f>
        <v/>
      </c>
      <c r="P369" t="str">
        <f ca="1">IF(AND(ISNUMBER($P$768),$B$427=1),$P$768,HLOOKUP(INDIRECT(ADDRESS(2,COLUMN())),OFFSET($AM$2,0,0,ROW()-1,33),ROW()-1,FALSE))</f>
        <v/>
      </c>
      <c r="Q369" t="str">
        <f ca="1">IF(AND(ISNUMBER($Q$768),$B$427=1),$Q$768,HLOOKUP(INDIRECT(ADDRESS(2,COLUMN())),OFFSET($AM$2,0,0,ROW()-1,33),ROW()-1,FALSE))</f>
        <v/>
      </c>
      <c r="R369" t="str">
        <f ca="1">IF(AND(ISNUMBER($R$768),$B$427=1),$R$768,HLOOKUP(INDIRECT(ADDRESS(2,COLUMN())),OFFSET($AM$2,0,0,ROW()-1,33),ROW()-1,FALSE))</f>
        <v/>
      </c>
      <c r="S369" t="str">
        <f ca="1">IF(AND(ISNUMBER($S$768),$B$427=1),$S$768,HLOOKUP(INDIRECT(ADDRESS(2,COLUMN())),OFFSET($AM$2,0,0,ROW()-1,33),ROW()-1,FALSE))</f>
        <v/>
      </c>
      <c r="T369" t="str">
        <f ca="1">IF(AND(ISNUMBER($T$768),$B$427=1),$T$768,HLOOKUP(INDIRECT(ADDRESS(2,COLUMN())),OFFSET($AM$2,0,0,ROW()-1,33),ROW()-1,FALSE))</f>
        <v/>
      </c>
      <c r="U369" t="str">
        <f ca="1">IF(AND(ISNUMBER($U$768),$B$427=1),$U$768,HLOOKUP(INDIRECT(ADDRESS(2,COLUMN())),OFFSET($AM$2,0,0,ROW()-1,33),ROW()-1,FALSE))</f>
        <v/>
      </c>
      <c r="V369" t="str">
        <f ca="1">IF(AND(ISNUMBER($V$768),$B$427=1),$V$768,HLOOKUP(INDIRECT(ADDRESS(2,COLUMN())),OFFSET($AM$2,0,0,ROW()-1,33),ROW()-1,FALSE))</f>
        <v/>
      </c>
      <c r="W369" t="str">
        <f ca="1">IF(AND(ISNUMBER($W$768),$B$427=1),$W$768,HLOOKUP(INDIRECT(ADDRESS(2,COLUMN())),OFFSET($AM$2,0,0,ROW()-1,33),ROW()-1,FALSE))</f>
        <v/>
      </c>
      <c r="X369" t="str">
        <f ca="1">IF(AND(ISNUMBER($X$768),$B$427=1),$X$768,HLOOKUP(INDIRECT(ADDRESS(2,COLUMN())),OFFSET($AM$2,0,0,ROW()-1,33),ROW()-1,FALSE))</f>
        <v/>
      </c>
      <c r="Y369" t="str">
        <f ca="1">IF(AND(ISNUMBER($Y$768),$B$427=1),$Y$768,HLOOKUP(INDIRECT(ADDRESS(2,COLUMN())),OFFSET($AM$2,0,0,ROW()-1,33),ROW()-1,FALSE))</f>
        <v/>
      </c>
      <c r="Z369" t="str">
        <f ca="1">IF(AND(ISNUMBER($Z$768),$B$427=1),$Z$768,HLOOKUP(INDIRECT(ADDRESS(2,COLUMN())),OFFSET($AM$2,0,0,ROW()-1,33),ROW()-1,FALSE))</f>
        <v/>
      </c>
      <c r="AA369" t="str">
        <f ca="1">IF(AND(ISNUMBER($AA$768),$B$427=1),$AA$768,HLOOKUP(INDIRECT(ADDRESS(2,COLUMN())),OFFSET($AM$2,0,0,ROW()-1,33),ROW()-1,FALSE))</f>
        <v/>
      </c>
      <c r="AB369" t="str">
        <f ca="1">IF(AND(ISNUMBER($AB$768),$B$427=1),$AB$768,HLOOKUP(INDIRECT(ADDRESS(2,COLUMN())),OFFSET($AM$2,0,0,ROW()-1,33),ROW()-1,FALSE))</f>
        <v/>
      </c>
      <c r="AC369" t="str">
        <f ca="1">IF(AND(ISNUMBER($AC$768),$B$427=1),$AC$768,HLOOKUP(INDIRECT(ADDRESS(2,COLUMN())),OFFSET($AM$2,0,0,ROW()-1,33),ROW()-1,FALSE))</f>
        <v/>
      </c>
      <c r="AD369" t="str">
        <f ca="1">IF(AND(ISNUMBER($AD$768),$B$427=1),$AD$768,HLOOKUP(INDIRECT(ADDRESS(2,COLUMN())),OFFSET($AM$2,0,0,ROW()-1,33),ROW()-1,FALSE))</f>
        <v/>
      </c>
      <c r="AE369" t="str">
        <f ca="1">IF(AND(ISNUMBER($AE$768),$B$427=1),$AE$768,HLOOKUP(INDIRECT(ADDRESS(2,COLUMN())),OFFSET($AM$2,0,0,ROW()-1,33),ROW()-1,FALSE))</f>
        <v/>
      </c>
      <c r="AF369" t="str">
        <f ca="1">IF(AND(ISNUMBER($AF$768),$B$427=1),$AF$768,HLOOKUP(INDIRECT(ADDRESS(2,COLUMN())),OFFSET($AM$2,0,0,ROW()-1,33),ROW()-1,FALSE))</f>
        <v/>
      </c>
      <c r="AG369" t="str">
        <f ca="1">IF(AND(ISNUMBER($AG$768),$B$427=1),$AG$768,HLOOKUP(INDIRECT(ADDRESS(2,COLUMN())),OFFSET($AM$2,0,0,ROW()-1,33),ROW()-1,FALSE))</f>
        <v/>
      </c>
      <c r="AH369" t="str">
        <f ca="1">IF(AND(ISNUMBER($AH$768),$B$427=1),$AH$768,HLOOKUP(INDIRECT(ADDRESS(2,COLUMN())),OFFSET($AM$2,0,0,ROW()-1,33),ROW()-1,FALSE))</f>
        <v/>
      </c>
      <c r="AI369" t="str">
        <f ca="1">IF(AND(ISNUMBER($AI$768),$B$427=1),$AI$768,HLOOKUP(INDIRECT(ADDRESS(2,COLUMN())),OFFSET($AM$2,0,0,ROW()-1,33),ROW()-1,FALSE))</f>
        <v/>
      </c>
      <c r="AJ369" t="str">
        <f ca="1">IF(AND(ISNUMBER($AJ$768),$B$427=1),$AJ$768,HLOOKUP(INDIRECT(ADDRESS(2,COLUMN())),OFFSET($AM$2,0,0,ROW()-1,33),ROW()-1,FALSE))</f>
        <v/>
      </c>
      <c r="AK369" t="str">
        <f ca="1">IF(AND(ISNUMBER($AK$768),$B$427=1),$AK$768,HLOOKUP(INDIRECT(ADDRESS(2,COLUMN())),OFFSET($AM$2,0,0,ROW()-1,33),ROW()-1,FALSE))</f>
        <v/>
      </c>
      <c r="AL369" t="str">
        <f ca="1">IF(AND(ISNUMBER($AL$768),$B$427=1),$AL$768,HLOOKUP(INDIRECT(ADDRESS(2,COLUMN())),OFFSET($AM$2,0,0,ROW()-1,33),ROW()-1,FALSE))</f>
        <v/>
      </c>
      <c r="AM369" t="str">
        <f>""</f>
        <v/>
      </c>
      <c r="AN369" t="str">
        <f>""</f>
        <v/>
      </c>
      <c r="AO369" t="str">
        <f>""</f>
        <v/>
      </c>
      <c r="AP369" t="str">
        <f>""</f>
        <v/>
      </c>
      <c r="AQ369" t="str">
        <f>""</f>
        <v/>
      </c>
      <c r="AR369" t="str">
        <f>""</f>
        <v/>
      </c>
      <c r="AS369" t="str">
        <f>""</f>
        <v/>
      </c>
      <c r="AT369" t="str">
        <f>""</f>
        <v/>
      </c>
      <c r="AU369" t="str">
        <f>""</f>
        <v/>
      </c>
      <c r="AV369" t="str">
        <f>""</f>
        <v/>
      </c>
      <c r="AW369" t="str">
        <f>""</f>
        <v/>
      </c>
      <c r="AX369" t="str">
        <f>""</f>
        <v/>
      </c>
      <c r="AY369" t="str">
        <f>""</f>
        <v/>
      </c>
      <c r="AZ369" t="str">
        <f>""</f>
        <v/>
      </c>
      <c r="BA369" t="str">
        <f>""</f>
        <v/>
      </c>
      <c r="BB369" t="str">
        <f>""</f>
        <v/>
      </c>
      <c r="BC369" t="str">
        <f>""</f>
        <v/>
      </c>
      <c r="BD369" t="str">
        <f>""</f>
        <v/>
      </c>
      <c r="BE369" t="str">
        <f>""</f>
        <v/>
      </c>
      <c r="BF369" t="str">
        <f>""</f>
        <v/>
      </c>
      <c r="BG369" t="str">
        <f>""</f>
        <v/>
      </c>
      <c r="BH369" t="str">
        <f>""</f>
        <v/>
      </c>
      <c r="BI369" t="str">
        <f>""</f>
        <v/>
      </c>
      <c r="BJ369" t="str">
        <f>""</f>
        <v/>
      </c>
      <c r="BK369" t="str">
        <f>""</f>
        <v/>
      </c>
      <c r="BL369" t="str">
        <f>""</f>
        <v/>
      </c>
      <c r="BM369" t="str">
        <f>""</f>
        <v/>
      </c>
      <c r="BN369" t="str">
        <f>""</f>
        <v/>
      </c>
      <c r="BO369" t="str">
        <f>""</f>
        <v/>
      </c>
      <c r="BP369" t="str">
        <f>""</f>
        <v/>
      </c>
      <c r="BQ369" t="str">
        <f>""</f>
        <v/>
      </c>
      <c r="BR369" t="str">
        <f>""</f>
        <v/>
      </c>
      <c r="BS369" t="str">
        <f>""</f>
        <v/>
      </c>
    </row>
    <row r="370" spans="1:71" x14ac:dyDescent="0.25">
      <c r="A370" t="str">
        <f>"    Farmers/Ag Loans"</f>
        <v xml:space="preserve">    Farmers/Ag Loans</v>
      </c>
      <c r="B370" t="str">
        <f>""</f>
        <v/>
      </c>
      <c r="E370" t="str">
        <f>"Median"</f>
        <v>Median</v>
      </c>
      <c r="F370">
        <f ca="1">IF(ISERROR(IF(MEDIAN($F$371:$F$390) = 0, "", MEDIAN($F$371:$F$390))), "", (IF(MEDIAN($F$371:$F$390) = 0, "", MEDIAN($F$371:$F$390))))</f>
        <v>7.3745795000000003E-2</v>
      </c>
      <c r="G370">
        <f ca="1">IF(ISERROR(IF(MEDIAN($G$371:$G$390) = 0, "", MEDIAN($G$371:$G$390))), "", (IF(MEDIAN($G$371:$G$390) = 0, "", MEDIAN($G$371:$G$390))))</f>
        <v>7.8326488E-2</v>
      </c>
      <c r="H370">
        <f ca="1">IF(ISERROR(IF(MEDIAN($H$371:$H$390) = 0, "", MEDIAN($H$371:$H$390))), "", (IF(MEDIAN($H$371:$H$390) = 0, "", MEDIAN($H$371:$H$390))))</f>
        <v>7.6774712999999994E-2</v>
      </c>
      <c r="I370">
        <f ca="1">IF(ISERROR(IF(MEDIAN($I$371:$I$390) = 0, "", MEDIAN($I$371:$I$390))), "", (IF(MEDIAN($I$371:$I$390) = 0, "", MEDIAN($I$371:$I$390))))</f>
        <v>7.9058557000000002E-2</v>
      </c>
      <c r="J370">
        <f ca="1">IF(ISERROR(IF(MEDIAN($J$371:$J$390) = 0, "", MEDIAN($J$371:$J$390))), "", (IF(MEDIAN($J$371:$J$390) = 0, "", MEDIAN($J$371:$J$390))))</f>
        <v>6.3914572000000003E-2</v>
      </c>
      <c r="K370">
        <f ca="1">IF(ISERROR(IF(MEDIAN($K$371:$K$390) = 0, "", MEDIAN($K$371:$K$390))), "", (IF(MEDIAN($K$371:$K$390) = 0, "", MEDIAN($K$371:$K$390))))</f>
        <v>7.0458828000000001E-2</v>
      </c>
      <c r="L370">
        <f ca="1">IF(ISERROR(IF(MEDIAN($L$371:$L$390) = 0, "", MEDIAN($L$371:$L$390))), "", (IF(MEDIAN($L$371:$L$390) = 0, "", MEDIAN($L$371:$L$390))))</f>
        <v>6.4175358000000002E-2</v>
      </c>
      <c r="M370">
        <f ca="1">IF(ISERROR(IF(MEDIAN($M$371:$M$390) = 0, "", MEDIAN($M$371:$M$390))), "", (IF(MEDIAN($M$371:$M$390) = 0, "", MEDIAN($M$371:$M$390))))</f>
        <v>7.3576365000000005E-2</v>
      </c>
      <c r="N370">
        <f ca="1">IF(ISERROR(IF(MEDIAN($N$371:$N$390) = 0, "", MEDIAN($N$371:$N$390))), "", (IF(MEDIAN($N$371:$N$390) = 0, "", MEDIAN($N$371:$N$390))))</f>
        <v>9.5545044999999995E-2</v>
      </c>
      <c r="O370">
        <f ca="1">IF(ISERROR(IF(MEDIAN($O$371:$O$390) = 0, "", MEDIAN($O$371:$O$390))), "", (IF(MEDIAN($O$371:$O$390) = 0, "", MEDIAN($O$371:$O$390))))</f>
        <v>0.12912818100000001</v>
      </c>
      <c r="P370">
        <f ca="1">IF(ISERROR(IF(MEDIAN($P$371:$P$390) = 0, "", MEDIAN($P$371:$P$390))), "", (IF(MEDIAN($P$371:$P$390) = 0, "", MEDIAN($P$371:$P$390))))</f>
        <v>0.11997279</v>
      </c>
      <c r="Q370">
        <f ca="1">IF(ISERROR(IF(MEDIAN($Q$371:$Q$390) = 0, "", MEDIAN($Q$371:$Q$390))), "", (IF(MEDIAN($Q$371:$Q$390) = 0, "", MEDIAN($Q$371:$Q$390))))</f>
        <v>0.117851734</v>
      </c>
      <c r="R370">
        <f ca="1">IF(ISERROR(IF(MEDIAN($R$371:$R$390) = 0, "", MEDIAN($R$371:$R$390))), "", (IF(MEDIAN($R$371:$R$390) = 0, "", MEDIAN($R$371:$R$390))))</f>
        <v>0.121939199</v>
      </c>
      <c r="S370">
        <f ca="1">IF(ISERROR(IF(MEDIAN($S$371:$S$390) = 0, "", MEDIAN($S$371:$S$390))), "", (IF(MEDIAN($S$371:$S$390) = 0, "", MEDIAN($S$371:$S$390))))</f>
        <v>0.116465313</v>
      </c>
      <c r="T370">
        <f ca="1">IF(ISERROR(IF(MEDIAN($T$371:$T$390) = 0, "", MEDIAN($T$371:$T$390))), "", (IF(MEDIAN($T$371:$T$390) = 0, "", MEDIAN($T$371:$T$390))))</f>
        <v>0.11793727</v>
      </c>
      <c r="U370">
        <f ca="1">IF(ISERROR(IF(MEDIAN($U$371:$U$390) = 0, "", MEDIAN($U$371:$U$390))), "", (IF(MEDIAN($U$371:$U$390) = 0, "", MEDIAN($U$371:$U$390))))</f>
        <v>0.12689889600000001</v>
      </c>
      <c r="V370">
        <f ca="1">IF(ISERROR(IF(MEDIAN($V$371:$V$390) = 0, "", MEDIAN($V$371:$V$390))), "", (IF(MEDIAN($V$371:$V$390) = 0, "", MEDIAN($V$371:$V$390))))</f>
        <v>0.12759414799999999</v>
      </c>
      <c r="W370">
        <f ca="1">IF(ISERROR(IF(MEDIAN($W$371:$W$390) = 0, "", MEDIAN($W$371:$W$390))), "", (IF(MEDIAN($W$371:$W$390) = 0, "", MEDIAN($W$371:$W$390))))</f>
        <v>0.110346268</v>
      </c>
      <c r="X370">
        <f ca="1">IF(ISERROR(IF(MEDIAN($X$371:$X$390) = 0, "", MEDIAN($X$371:$X$390))), "", (IF(MEDIAN($X$371:$X$390) = 0, "", MEDIAN($X$371:$X$390))))</f>
        <v>0.12596275500000001</v>
      </c>
      <c r="Y370">
        <f ca="1">IF(ISERROR(IF(MEDIAN($Y$371:$Y$390) = 0, "", MEDIAN($Y$371:$Y$390))), "", (IF(MEDIAN($Y$371:$Y$390) = 0, "", MEDIAN($Y$371:$Y$390))))</f>
        <v>0.13691731700000001</v>
      </c>
      <c r="Z370">
        <f ca="1">IF(ISERROR(IF(MEDIAN($Z$371:$Z$390) = 0, "", MEDIAN($Z$371:$Z$390))), "", (IF(MEDIAN($Z$371:$Z$390) = 0, "", MEDIAN($Z$371:$Z$390))))</f>
        <v>0.15725656900000001</v>
      </c>
      <c r="AA370">
        <f ca="1">IF(ISERROR(IF(MEDIAN($AA$371:$AA$390) = 0, "", MEDIAN($AA$371:$AA$390))), "", (IF(MEDIAN($AA$371:$AA$390) = 0, "", MEDIAN($AA$371:$AA$390))))</f>
        <v>0.13344741199999999</v>
      </c>
      <c r="AB370">
        <f ca="1">IF(ISERROR(IF(MEDIAN($AB$371:$AB$390) = 0, "", MEDIAN($AB$371:$AB$390))), "", (IF(MEDIAN($AB$371:$AB$390) = 0, "", MEDIAN($AB$371:$AB$390))))</f>
        <v>0.123672831</v>
      </c>
      <c r="AC370">
        <f ca="1">IF(ISERROR(IF(MEDIAN($AC$371:$AC$390) = 0, "", MEDIAN($AC$371:$AC$390))), "", (IF(MEDIAN($AC$371:$AC$390) = 0, "", MEDIAN($AC$371:$AC$390))))</f>
        <v>0.14254264899999999</v>
      </c>
      <c r="AD370" t="str">
        <f ca="1">IF(ISERROR(IF(MEDIAN($AD$371:$AD$390) = 0, "", MEDIAN($AD$371:$AD$390))), "", (IF(MEDIAN($AD$371:$AD$390) = 0, "", MEDIAN($AD$371:$AD$390))))</f>
        <v/>
      </c>
      <c r="AE370" t="str">
        <f ca="1">IF(ISERROR(IF(MEDIAN($AE$371:$AE$390) = 0, "", MEDIAN($AE$371:$AE$390))), "", (IF(MEDIAN($AE$371:$AE$390) = 0, "", MEDIAN($AE$371:$AE$390))))</f>
        <v/>
      </c>
      <c r="AF370" t="str">
        <f ca="1">IF(ISERROR(IF(MEDIAN($AF$371:$AF$390) = 0, "", MEDIAN($AF$371:$AF$390))), "", (IF(MEDIAN($AF$371:$AF$390) = 0, "", MEDIAN($AF$371:$AF$390))))</f>
        <v/>
      </c>
      <c r="AG370" t="str">
        <f ca="1">IF(ISERROR(IF(MEDIAN($AG$371:$AG$390) = 0, "", MEDIAN($AG$371:$AG$390))), "", (IF(MEDIAN($AG$371:$AG$390) = 0, "", MEDIAN($AG$371:$AG$390))))</f>
        <v/>
      </c>
      <c r="AH370" t="str">
        <f ca="1">IF(ISERROR(IF(MEDIAN($AH$371:$AH$390) = 0, "", MEDIAN($AH$371:$AH$390))), "", (IF(MEDIAN($AH$371:$AH$390) = 0, "", MEDIAN($AH$371:$AH$390))))</f>
        <v/>
      </c>
      <c r="AI370" t="str">
        <f ca="1">IF(ISERROR(IF(MEDIAN($AI$371:$AI$390) = 0, "", MEDIAN($AI$371:$AI$390))), "", (IF(MEDIAN($AI$371:$AI$390) = 0, "", MEDIAN($AI$371:$AI$390))))</f>
        <v/>
      </c>
      <c r="AJ370" t="str">
        <f ca="1">IF(ISERROR(IF(MEDIAN($AJ$371:$AJ$390) = 0, "", MEDIAN($AJ$371:$AJ$390))), "", (IF(MEDIAN($AJ$371:$AJ$390) = 0, "", MEDIAN($AJ$371:$AJ$390))))</f>
        <v/>
      </c>
      <c r="AK370" t="str">
        <f ca="1">IF(ISERROR(IF(MEDIAN($AK$371:$AK$390) = 0, "", MEDIAN($AK$371:$AK$390))), "", (IF(MEDIAN($AK$371:$AK$390) = 0, "", MEDIAN($AK$371:$AK$390))))</f>
        <v/>
      </c>
      <c r="AL370" t="str">
        <f ca="1">IF(ISERROR(IF(MEDIAN($AL$371:$AL$390) = 0, "", MEDIAN($AL$371:$AL$390))), "", (IF(MEDIAN($AL$371:$AL$390) = 0, "", MEDIAN($AL$371:$AL$390))))</f>
        <v/>
      </c>
      <c r="AM370">
        <f>0.073745795</f>
        <v>7.3745795000000003E-2</v>
      </c>
      <c r="AN370">
        <f>0.078326488</f>
        <v>7.8326488E-2</v>
      </c>
      <c r="AO370">
        <f>0.076774713</f>
        <v>7.6774712999999994E-2</v>
      </c>
      <c r="AP370">
        <f>0.079058557</f>
        <v>7.9058557000000002E-2</v>
      </c>
      <c r="AQ370">
        <f>0.063914572</f>
        <v>6.3914572000000003E-2</v>
      </c>
      <c r="AR370">
        <f>0.070458828</f>
        <v>7.0458828000000001E-2</v>
      </c>
      <c r="AS370">
        <f>0.064175358</f>
        <v>6.4175358000000002E-2</v>
      </c>
      <c r="AT370">
        <f>0.073576365</f>
        <v>7.3576365000000005E-2</v>
      </c>
      <c r="AU370">
        <f>0.095545045</f>
        <v>9.5545044999999995E-2</v>
      </c>
      <c r="AV370">
        <f>0.129128181</f>
        <v>0.12912818100000001</v>
      </c>
      <c r="AW370">
        <f>0.11997279</f>
        <v>0.11997279</v>
      </c>
      <c r="AX370">
        <f>0.117851734</f>
        <v>0.117851734</v>
      </c>
      <c r="AY370">
        <f>0.121939199</f>
        <v>0.121939199</v>
      </c>
      <c r="AZ370">
        <f>0.116465313</f>
        <v>0.116465313</v>
      </c>
      <c r="BA370">
        <f>0.11793727</f>
        <v>0.11793727</v>
      </c>
      <c r="BB370">
        <f>0.126898896</f>
        <v>0.12689889600000001</v>
      </c>
      <c r="BC370">
        <f>0.127594148</f>
        <v>0.12759414799999999</v>
      </c>
      <c r="BD370">
        <f>0.110346268</f>
        <v>0.110346268</v>
      </c>
      <c r="BE370">
        <f>0.125962755</f>
        <v>0.12596275500000001</v>
      </c>
      <c r="BF370">
        <f>0.136917317</f>
        <v>0.13691731700000001</v>
      </c>
      <c r="BG370">
        <f>0.157256569</f>
        <v>0.15725656900000001</v>
      </c>
      <c r="BH370">
        <f>0.133447412</f>
        <v>0.13344741199999999</v>
      </c>
      <c r="BI370">
        <f>0.123672831</f>
        <v>0.123672831</v>
      </c>
      <c r="BJ370">
        <f>0.142542649</f>
        <v>0.14254264899999999</v>
      </c>
      <c r="BK370" t="str">
        <f>""</f>
        <v/>
      </c>
      <c r="BL370" t="str">
        <f>""</f>
        <v/>
      </c>
      <c r="BM370" t="str">
        <f>""</f>
        <v/>
      </c>
      <c r="BN370" t="str">
        <f>""</f>
        <v/>
      </c>
      <c r="BO370" t="str">
        <f>""</f>
        <v/>
      </c>
      <c r="BP370" t="str">
        <f>""</f>
        <v/>
      </c>
      <c r="BQ370" t="str">
        <f>""</f>
        <v/>
      </c>
      <c r="BR370" t="str">
        <f>""</f>
        <v/>
      </c>
      <c r="BS370" t="str">
        <f>""</f>
        <v/>
      </c>
    </row>
    <row r="371" spans="1:71" x14ac:dyDescent="0.25">
      <c r="A371" t="str">
        <f>"        Bank of America Corp"</f>
        <v xml:space="preserve">        Bank of America Corp</v>
      </c>
      <c r="B371" t="str">
        <f>"BAC US Equity"</f>
        <v>BAC US Equity</v>
      </c>
      <c r="C371" t="str">
        <f t="shared" ref="C371:C390" si="51">"F0127"</f>
        <v>F0127</v>
      </c>
      <c r="D371" t="str">
        <f t="shared" ref="D371:D390" si="52">"FED_FARMERS_LOANS_%_TOT_LNS_LEAS"</f>
        <v>FED_FARMERS_LOANS_%_TOT_LNS_LEAS</v>
      </c>
      <c r="E371" t="str">
        <f t="shared" ref="E371:E390" si="53">"Dynamic"</f>
        <v>Dynamic</v>
      </c>
      <c r="F371">
        <f ca="1">IF(AND(ISNUMBER($F$769),$B$427=1),$F$769,HLOOKUP(INDIRECT(ADDRESS(2,COLUMN())),OFFSET($AM$2,0,0,ROW()-1,33),ROW()-1,FALSE))</f>
        <v>0.26544441200000002</v>
      </c>
      <c r="G371">
        <f ca="1">IF(AND(ISNUMBER($G$769),$B$427=1),$G$769,HLOOKUP(INDIRECT(ADDRESS(2,COLUMN())),OFFSET($AM$2,0,0,ROW()-1,33),ROW()-1,FALSE))</f>
        <v>0.314041071</v>
      </c>
      <c r="H371">
        <f ca="1">IF(AND(ISNUMBER($H$769),$B$427=1),$H$769,HLOOKUP(INDIRECT(ADDRESS(2,COLUMN())),OFFSET($AM$2,0,0,ROW()-1,33),ROW()-1,FALSE))</f>
        <v>0.29472544000000001</v>
      </c>
      <c r="I371">
        <f ca="1">IF(AND(ISNUMBER($I$769),$B$427=1),$I$769,HLOOKUP(INDIRECT(ADDRESS(2,COLUMN())),OFFSET($AM$2,0,0,ROW()-1,33),ROW()-1,FALSE))</f>
        <v>0.28121317099999998</v>
      </c>
      <c r="J371">
        <f ca="1">IF(AND(ISNUMBER($J$769),$B$427=1),$J$769,HLOOKUP(INDIRECT(ADDRESS(2,COLUMN())),OFFSET($AM$2,0,0,ROW()-1,33),ROW()-1,FALSE))</f>
        <v>6.3914572000000003E-2</v>
      </c>
      <c r="K371">
        <f ca="1">IF(AND(ISNUMBER($K$769),$B$427=1),$K$769,HLOOKUP(INDIRECT(ADDRESS(2,COLUMN())),OFFSET($AM$2,0,0,ROW()-1,33),ROW()-1,FALSE))</f>
        <v>6.0762614999999999E-2</v>
      </c>
      <c r="L371">
        <f ca="1">IF(AND(ISNUMBER($L$769),$B$427=1),$L$769,HLOOKUP(INDIRECT(ADDRESS(2,COLUMN())),OFFSET($AM$2,0,0,ROW()-1,33),ROW()-1,FALSE))</f>
        <v>5.7426711999999998E-2</v>
      </c>
      <c r="M371">
        <f ca="1">IF(AND(ISNUMBER($M$769),$B$427=1),$M$769,HLOOKUP(INDIRECT(ADDRESS(2,COLUMN())),OFFSET($AM$2,0,0,ROW()-1,33),ROW()-1,FALSE))</f>
        <v>6.2451571999999997E-2</v>
      </c>
      <c r="N371">
        <f ca="1">IF(AND(ISNUMBER($N$769),$B$427=1),$N$769,HLOOKUP(INDIRECT(ADDRESS(2,COLUMN())),OFFSET($AM$2,0,0,ROW()-1,33),ROW()-1,FALSE))</f>
        <v>7.0753173000000003E-2</v>
      </c>
      <c r="O371">
        <f ca="1">IF(AND(ISNUMBER($O$769),$B$427=1),$O$769,HLOOKUP(INDIRECT(ADDRESS(2,COLUMN())),OFFSET($AM$2,0,0,ROW()-1,33),ROW()-1,FALSE))</f>
        <v>0.12912818100000001</v>
      </c>
      <c r="P371">
        <f ca="1">IF(AND(ISNUMBER($P$769),$B$427=1),$P$769,HLOOKUP(INDIRECT(ADDRESS(2,COLUMN())),OFFSET($AM$2,0,0,ROW()-1,33),ROW()-1,FALSE))</f>
        <v>0.15163258499999999</v>
      </c>
      <c r="Q371">
        <f ca="1">IF(AND(ISNUMBER($Q$769),$B$427=1),$Q$769,HLOOKUP(INDIRECT(ADDRESS(2,COLUMN())),OFFSET($AM$2,0,0,ROW()-1,33),ROW()-1,FALSE))</f>
        <v>0.121417688</v>
      </c>
      <c r="R371">
        <f ca="1">IF(AND(ISNUMBER($R$769),$B$427=1),$R$769,HLOOKUP(INDIRECT(ADDRESS(2,COLUMN())),OFFSET($AM$2,0,0,ROW()-1,33),ROW()-1,FALSE))</f>
        <v>0.118474023</v>
      </c>
      <c r="S371">
        <f ca="1">IF(AND(ISNUMBER($S$769),$B$427=1),$S$769,HLOOKUP(INDIRECT(ADDRESS(2,COLUMN())),OFFSET($AM$2,0,0,ROW()-1,33),ROW()-1,FALSE))</f>
        <v>0.107688752</v>
      </c>
      <c r="T371">
        <f ca="1">IF(AND(ISNUMBER($T$769),$B$427=1),$T$769,HLOOKUP(INDIRECT(ADDRESS(2,COLUMN())),OFFSET($AM$2,0,0,ROW()-1,33),ROW()-1,FALSE))</f>
        <v>0.11793727</v>
      </c>
      <c r="U371">
        <f ca="1">IF(AND(ISNUMBER($U$769),$B$427=1),$U$769,HLOOKUP(INDIRECT(ADDRESS(2,COLUMN())),OFFSET($AM$2,0,0,ROW()-1,33),ROW()-1,FALSE))</f>
        <v>0.157354776</v>
      </c>
      <c r="V371">
        <f ca="1">IF(AND(ISNUMBER($V$769),$B$427=1),$V$769,HLOOKUP(INDIRECT(ADDRESS(2,COLUMN())),OFFSET($AM$2,0,0,ROW()-1,33),ROW()-1,FALSE))</f>
        <v>0.16670695199999999</v>
      </c>
      <c r="W371">
        <f ca="1">IF(AND(ISNUMBER($W$769),$B$427=1),$W$769,HLOOKUP(INDIRECT(ADDRESS(2,COLUMN())),OFFSET($AM$2,0,0,ROW()-1,33),ROW()-1,FALSE))</f>
        <v>0.17184645400000001</v>
      </c>
      <c r="X371">
        <f ca="1">IF(AND(ISNUMBER($X$769),$B$427=1),$X$769,HLOOKUP(INDIRECT(ADDRESS(2,COLUMN())),OFFSET($AM$2,0,0,ROW()-1,33),ROW()-1,FALSE))</f>
        <v>0.22537194499999999</v>
      </c>
      <c r="Y371">
        <f ca="1">IF(AND(ISNUMBER($Y$769),$B$427=1),$Y$769,HLOOKUP(INDIRECT(ADDRESS(2,COLUMN())),OFFSET($AM$2,0,0,ROW()-1,33),ROW()-1,FALSE))</f>
        <v>0.34588435099999998</v>
      </c>
      <c r="Z371">
        <f ca="1">IF(AND(ISNUMBER($Z$769),$B$427=1),$Z$769,HLOOKUP(INDIRECT(ADDRESS(2,COLUMN())),OFFSET($AM$2,0,0,ROW()-1,33),ROW()-1,FALSE))</f>
        <v>0.325243175</v>
      </c>
      <c r="AA371">
        <f ca="1">IF(AND(ISNUMBER($AA$769),$B$427=1),$AA$769,HLOOKUP(INDIRECT(ADDRESS(2,COLUMN())),OFFSET($AM$2,0,0,ROW()-1,33),ROW()-1,FALSE))</f>
        <v>0.42702353500000001</v>
      </c>
      <c r="AB371">
        <f ca="1">IF(AND(ISNUMBER($AB$769),$B$427=1),$AB$769,HLOOKUP(INDIRECT(ADDRESS(2,COLUMN())),OFFSET($AM$2,0,0,ROW()-1,33),ROW()-1,FALSE))</f>
        <v>0.123672831</v>
      </c>
      <c r="AC371">
        <f ca="1">IF(AND(ISNUMBER($AC$769),$B$427=1),$AC$769,HLOOKUP(INDIRECT(ADDRESS(2,COLUMN())),OFFSET($AM$2,0,0,ROW()-1,33),ROW()-1,FALSE))</f>
        <v>0.54938867899999999</v>
      </c>
      <c r="AD371" t="str">
        <f ca="1">IF(AND(ISNUMBER($AD$769),$B$427=1),$AD$769,HLOOKUP(INDIRECT(ADDRESS(2,COLUMN())),OFFSET($AM$2,0,0,ROW()-1,33),ROW()-1,FALSE))</f>
        <v/>
      </c>
      <c r="AE371" t="str">
        <f ca="1">IF(AND(ISNUMBER($AE$769),$B$427=1),$AE$769,HLOOKUP(INDIRECT(ADDRESS(2,COLUMN())),OFFSET($AM$2,0,0,ROW()-1,33),ROW()-1,FALSE))</f>
        <v/>
      </c>
      <c r="AF371" t="str">
        <f ca="1">IF(AND(ISNUMBER($AF$769),$B$427=1),$AF$769,HLOOKUP(INDIRECT(ADDRESS(2,COLUMN())),OFFSET($AM$2,0,0,ROW()-1,33),ROW()-1,FALSE))</f>
        <v/>
      </c>
      <c r="AG371" t="str">
        <f ca="1">IF(AND(ISNUMBER($AG$769),$B$427=1),$AG$769,HLOOKUP(INDIRECT(ADDRESS(2,COLUMN())),OFFSET($AM$2,0,0,ROW()-1,33),ROW()-1,FALSE))</f>
        <v/>
      </c>
      <c r="AH371" t="str">
        <f ca="1">IF(AND(ISNUMBER($AH$769),$B$427=1),$AH$769,HLOOKUP(INDIRECT(ADDRESS(2,COLUMN())),OFFSET($AM$2,0,0,ROW()-1,33),ROW()-1,FALSE))</f>
        <v/>
      </c>
      <c r="AI371" t="str">
        <f ca="1">IF(AND(ISNUMBER($AI$769),$B$427=1),$AI$769,HLOOKUP(INDIRECT(ADDRESS(2,COLUMN())),OFFSET($AM$2,0,0,ROW()-1,33),ROW()-1,FALSE))</f>
        <v/>
      </c>
      <c r="AJ371" t="str">
        <f ca="1">IF(AND(ISNUMBER($AJ$769),$B$427=1),$AJ$769,HLOOKUP(INDIRECT(ADDRESS(2,COLUMN())),OFFSET($AM$2,0,0,ROW()-1,33),ROW()-1,FALSE))</f>
        <v/>
      </c>
      <c r="AK371" t="str">
        <f ca="1">IF(AND(ISNUMBER($AK$769),$B$427=1),$AK$769,HLOOKUP(INDIRECT(ADDRESS(2,COLUMN())),OFFSET($AM$2,0,0,ROW()-1,33),ROW()-1,FALSE))</f>
        <v/>
      </c>
      <c r="AL371" t="str">
        <f ca="1">IF(AND(ISNUMBER($AL$769),$B$427=1),$AL$769,HLOOKUP(INDIRECT(ADDRESS(2,COLUMN())),OFFSET($AM$2,0,0,ROW()-1,33),ROW()-1,FALSE))</f>
        <v/>
      </c>
      <c r="AM371">
        <f>0.265444412</f>
        <v>0.26544441200000002</v>
      </c>
      <c r="AN371">
        <f>0.314041071</f>
        <v>0.314041071</v>
      </c>
      <c r="AO371">
        <f>0.29472544</f>
        <v>0.29472544000000001</v>
      </c>
      <c r="AP371">
        <f>0.281213171</f>
        <v>0.28121317099999998</v>
      </c>
      <c r="AQ371">
        <f>0.063914572</f>
        <v>6.3914572000000003E-2</v>
      </c>
      <c r="AR371">
        <f>0.060762615</f>
        <v>6.0762614999999999E-2</v>
      </c>
      <c r="AS371">
        <f>0.057426712</f>
        <v>5.7426711999999998E-2</v>
      </c>
      <c r="AT371">
        <f>0.062451572</f>
        <v>6.2451571999999997E-2</v>
      </c>
      <c r="AU371">
        <f>0.070753173</f>
        <v>7.0753173000000003E-2</v>
      </c>
      <c r="AV371">
        <f>0.129128181</f>
        <v>0.12912818100000001</v>
      </c>
      <c r="AW371">
        <f>0.151632585</f>
        <v>0.15163258499999999</v>
      </c>
      <c r="AX371">
        <f>0.121417688</f>
        <v>0.121417688</v>
      </c>
      <c r="AY371">
        <f>0.118474023</f>
        <v>0.118474023</v>
      </c>
      <c r="AZ371">
        <f>0.107688752</f>
        <v>0.107688752</v>
      </c>
      <c r="BA371">
        <f>0.11793727</f>
        <v>0.11793727</v>
      </c>
      <c r="BB371">
        <f>0.157354776</f>
        <v>0.157354776</v>
      </c>
      <c r="BC371">
        <f>0.166706952</f>
        <v>0.16670695199999999</v>
      </c>
      <c r="BD371">
        <f>0.171846454</f>
        <v>0.17184645400000001</v>
      </c>
      <c r="BE371">
        <f>0.225371945</f>
        <v>0.22537194499999999</v>
      </c>
      <c r="BF371">
        <f>0.345884351</f>
        <v>0.34588435099999998</v>
      </c>
      <c r="BG371">
        <f>0.325243175</f>
        <v>0.325243175</v>
      </c>
      <c r="BH371">
        <f>0.427023535</f>
        <v>0.42702353500000001</v>
      </c>
      <c r="BI371">
        <f>0.123672831</f>
        <v>0.123672831</v>
      </c>
      <c r="BJ371">
        <f>0.549388679</f>
        <v>0.54938867899999999</v>
      </c>
      <c r="BK371" t="str">
        <f>""</f>
        <v/>
      </c>
      <c r="BL371" t="str">
        <f>""</f>
        <v/>
      </c>
      <c r="BM371" t="str">
        <f>""</f>
        <v/>
      </c>
      <c r="BN371" t="str">
        <f>""</f>
        <v/>
      </c>
      <c r="BO371" t="str">
        <f>""</f>
        <v/>
      </c>
      <c r="BP371" t="str">
        <f>""</f>
        <v/>
      </c>
      <c r="BQ371" t="str">
        <f>""</f>
        <v/>
      </c>
      <c r="BR371" t="str">
        <f>""</f>
        <v/>
      </c>
      <c r="BS371" t="str">
        <f>""</f>
        <v/>
      </c>
    </row>
    <row r="372" spans="1:71" x14ac:dyDescent="0.25">
      <c r="A372" t="str">
        <f>"        Citigroup Inc"</f>
        <v xml:space="preserve">        Citigroup Inc</v>
      </c>
      <c r="B372" t="str">
        <f>"C US Equity"</f>
        <v>C US Equity</v>
      </c>
      <c r="C372" t="str">
        <f t="shared" si="51"/>
        <v>F0127</v>
      </c>
      <c r="D372" t="str">
        <f t="shared" si="52"/>
        <v>FED_FARMERS_LOANS_%_TOT_LNS_LEAS</v>
      </c>
      <c r="E372" t="str">
        <f t="shared" si="53"/>
        <v>Dynamic</v>
      </c>
      <c r="F372">
        <f ca="1">IF(AND(ISNUMBER($F$770),$B$427=1),$F$770,HLOOKUP(INDIRECT(ADDRESS(2,COLUMN())),OFFSET($AM$2,0,0,ROW()-1,33),ROW()-1,FALSE))</f>
        <v>7.3745795000000003E-2</v>
      </c>
      <c r="G372">
        <f ca="1">IF(AND(ISNUMBER($G$770),$B$427=1),$G$770,HLOOKUP(INDIRECT(ADDRESS(2,COLUMN())),OFFSET($AM$2,0,0,ROW()-1,33),ROW()-1,FALSE))</f>
        <v>0.124236892</v>
      </c>
      <c r="H372">
        <f ca="1">IF(AND(ISNUMBER($H$770),$B$427=1),$H$770,HLOOKUP(INDIRECT(ADDRESS(2,COLUMN())),OFFSET($AM$2,0,0,ROW()-1,33),ROW()-1,FALSE))</f>
        <v>0.11141709599999999</v>
      </c>
      <c r="I372">
        <f ca="1">IF(AND(ISNUMBER($I$770),$B$427=1),$I$770,HLOOKUP(INDIRECT(ADDRESS(2,COLUMN())),OFFSET($AM$2,0,0,ROW()-1,33),ROW()-1,FALSE))</f>
        <v>9.3455292999999995E-2</v>
      </c>
      <c r="J372">
        <f ca="1">IF(AND(ISNUMBER($J$770),$B$427=1),$J$770,HLOOKUP(INDIRECT(ADDRESS(2,COLUMN())),OFFSET($AM$2,0,0,ROW()-1,33),ROW()-1,FALSE))</f>
        <v>9.4543664999999999E-2</v>
      </c>
      <c r="K372">
        <f ca="1">IF(AND(ISNUMBER($K$770),$B$427=1),$K$770,HLOOKUP(INDIRECT(ADDRESS(2,COLUMN())),OFFSET($AM$2,0,0,ROW()-1,33),ROW()-1,FALSE))</f>
        <v>0.18310584199999999</v>
      </c>
      <c r="L372">
        <f ca="1">IF(AND(ISNUMBER($L$770),$B$427=1),$L$770,HLOOKUP(INDIRECT(ADDRESS(2,COLUMN())),OFFSET($AM$2,0,0,ROW()-1,33),ROW()-1,FALSE))</f>
        <v>0.14869369099999999</v>
      </c>
      <c r="M372">
        <f ca="1">IF(AND(ISNUMBER($M$770),$B$427=1),$M$770,HLOOKUP(INDIRECT(ADDRESS(2,COLUMN())),OFFSET($AM$2,0,0,ROW()-1,33),ROW()-1,FALSE))</f>
        <v>0.19325144499999999</v>
      </c>
      <c r="N372">
        <f ca="1">IF(AND(ISNUMBER($N$770),$B$427=1),$N$770,HLOOKUP(INDIRECT(ADDRESS(2,COLUMN())),OFFSET($AM$2,0,0,ROW()-1,33),ROW()-1,FALSE))</f>
        <v>0.221286449</v>
      </c>
      <c r="O372">
        <f ca="1">IF(AND(ISNUMBER($O$770),$B$427=1),$O$770,HLOOKUP(INDIRECT(ADDRESS(2,COLUMN())),OFFSET($AM$2,0,0,ROW()-1,33),ROW()-1,FALSE))</f>
        <v>0.289552225</v>
      </c>
      <c r="P372">
        <f ca="1">IF(AND(ISNUMBER($P$770),$B$427=1),$P$770,HLOOKUP(INDIRECT(ADDRESS(2,COLUMN())),OFFSET($AM$2,0,0,ROW()-1,33),ROW()-1,FALSE))</f>
        <v>0.2026511</v>
      </c>
      <c r="Q372">
        <f ca="1">IF(AND(ISNUMBER($Q$770),$B$427=1),$Q$770,HLOOKUP(INDIRECT(ADDRESS(2,COLUMN())),OFFSET($AM$2,0,0,ROW()-1,33),ROW()-1,FALSE))</f>
        <v>0.16622864200000001</v>
      </c>
      <c r="R372">
        <f ca="1">IF(AND(ISNUMBER($R$770),$B$427=1),$R$770,HLOOKUP(INDIRECT(ADDRESS(2,COLUMN())),OFFSET($AM$2,0,0,ROW()-1,33),ROW()-1,FALSE))</f>
        <v>0.164162011</v>
      </c>
      <c r="S372">
        <f ca="1">IF(AND(ISNUMBER($S$770),$B$427=1),$S$770,HLOOKUP(INDIRECT(ADDRESS(2,COLUMN())),OFFSET($AM$2,0,0,ROW()-1,33),ROW()-1,FALSE))</f>
        <v>0.16712368799999999</v>
      </c>
      <c r="T372">
        <f ca="1">IF(AND(ISNUMBER($T$770),$B$427=1),$T$770,HLOOKUP(INDIRECT(ADDRESS(2,COLUMN())),OFFSET($AM$2,0,0,ROW()-1,33),ROW()-1,FALSE))</f>
        <v>0.16901813800000001</v>
      </c>
      <c r="U372">
        <f ca="1">IF(AND(ISNUMBER($U$770),$B$427=1),$U$770,HLOOKUP(INDIRECT(ADDRESS(2,COLUMN())),OFFSET($AM$2,0,0,ROW()-1,33),ROW()-1,FALSE))</f>
        <v>0.18551004900000001</v>
      </c>
      <c r="V372">
        <f ca="1">IF(AND(ISNUMBER($V$770),$B$427=1),$V$770,HLOOKUP(INDIRECT(ADDRESS(2,COLUMN())),OFFSET($AM$2,0,0,ROW()-1,33),ROW()-1,FALSE))</f>
        <v>0.158947755</v>
      </c>
      <c r="W372">
        <f ca="1">IF(AND(ISNUMBER($W$770),$B$427=1),$W$770,HLOOKUP(INDIRECT(ADDRESS(2,COLUMN())),OFFSET($AM$2,0,0,ROW()-1,33),ROW()-1,FALSE))</f>
        <v>0.127523935</v>
      </c>
      <c r="X372">
        <f ca="1">IF(AND(ISNUMBER($X$770),$B$427=1),$X$770,HLOOKUP(INDIRECT(ADDRESS(2,COLUMN())),OFFSET($AM$2,0,0,ROW()-1,33),ROW()-1,FALSE))</f>
        <v>0.12596275500000001</v>
      </c>
      <c r="Y372">
        <f ca="1">IF(AND(ISNUMBER($Y$770),$B$427=1),$Y$770,HLOOKUP(INDIRECT(ADDRESS(2,COLUMN())),OFFSET($AM$2,0,0,ROW()-1,33),ROW()-1,FALSE))</f>
        <v>0.13691731700000001</v>
      </c>
      <c r="Z372">
        <f ca="1">IF(AND(ISNUMBER($Z$770),$B$427=1),$Z$770,HLOOKUP(INDIRECT(ADDRESS(2,COLUMN())),OFFSET($AM$2,0,0,ROW()-1,33),ROW()-1,FALSE))</f>
        <v>7.5373941E-2</v>
      </c>
      <c r="AA372">
        <f ca="1">IF(AND(ISNUMBER($AA$770),$B$427=1),$AA$770,HLOOKUP(INDIRECT(ADDRESS(2,COLUMN())),OFFSET($AM$2,0,0,ROW()-1,33),ROW()-1,FALSE))</f>
        <v>6.3436776E-2</v>
      </c>
      <c r="AB372">
        <f ca="1">IF(AND(ISNUMBER($AB$770),$B$427=1),$AB$770,HLOOKUP(INDIRECT(ADDRESS(2,COLUMN())),OFFSET($AM$2,0,0,ROW()-1,33),ROW()-1,FALSE))</f>
        <v>7.4668153000000001E-2</v>
      </c>
      <c r="AC372">
        <f ca="1">IF(AND(ISNUMBER($AC$770),$B$427=1),$AC$770,HLOOKUP(INDIRECT(ADDRESS(2,COLUMN())),OFFSET($AM$2,0,0,ROW()-1,33),ROW()-1,FALSE))</f>
        <v>9.4630704999999996E-2</v>
      </c>
      <c r="AD372" t="str">
        <f ca="1">IF(AND(ISNUMBER($AD$770),$B$427=1),$AD$770,HLOOKUP(INDIRECT(ADDRESS(2,COLUMN())),OFFSET($AM$2,0,0,ROW()-1,33),ROW()-1,FALSE))</f>
        <v/>
      </c>
      <c r="AE372" t="str">
        <f ca="1">IF(AND(ISNUMBER($AE$770),$B$427=1),$AE$770,HLOOKUP(INDIRECT(ADDRESS(2,COLUMN())),OFFSET($AM$2,0,0,ROW()-1,33),ROW()-1,FALSE))</f>
        <v/>
      </c>
      <c r="AF372" t="str">
        <f ca="1">IF(AND(ISNUMBER($AF$770),$B$427=1),$AF$770,HLOOKUP(INDIRECT(ADDRESS(2,COLUMN())),OFFSET($AM$2,0,0,ROW()-1,33),ROW()-1,FALSE))</f>
        <v/>
      </c>
      <c r="AG372" t="str">
        <f ca="1">IF(AND(ISNUMBER($AG$770),$B$427=1),$AG$770,HLOOKUP(INDIRECT(ADDRESS(2,COLUMN())),OFFSET($AM$2,0,0,ROW()-1,33),ROW()-1,FALSE))</f>
        <v/>
      </c>
      <c r="AH372" t="str">
        <f ca="1">IF(AND(ISNUMBER($AH$770),$B$427=1),$AH$770,HLOOKUP(INDIRECT(ADDRESS(2,COLUMN())),OFFSET($AM$2,0,0,ROW()-1,33),ROW()-1,FALSE))</f>
        <v/>
      </c>
      <c r="AI372" t="str">
        <f ca="1">IF(AND(ISNUMBER($AI$770),$B$427=1),$AI$770,HLOOKUP(INDIRECT(ADDRESS(2,COLUMN())),OFFSET($AM$2,0,0,ROW()-1,33),ROW()-1,FALSE))</f>
        <v/>
      </c>
      <c r="AJ372" t="str">
        <f ca="1">IF(AND(ISNUMBER($AJ$770),$B$427=1),$AJ$770,HLOOKUP(INDIRECT(ADDRESS(2,COLUMN())),OFFSET($AM$2,0,0,ROW()-1,33),ROW()-1,FALSE))</f>
        <v/>
      </c>
      <c r="AK372" t="str">
        <f ca="1">IF(AND(ISNUMBER($AK$770),$B$427=1),$AK$770,HLOOKUP(INDIRECT(ADDRESS(2,COLUMN())),OFFSET($AM$2,0,0,ROW()-1,33),ROW()-1,FALSE))</f>
        <v/>
      </c>
      <c r="AL372" t="str">
        <f ca="1">IF(AND(ISNUMBER($AL$770),$B$427=1),$AL$770,HLOOKUP(INDIRECT(ADDRESS(2,COLUMN())),OFFSET($AM$2,0,0,ROW()-1,33),ROW()-1,FALSE))</f>
        <v/>
      </c>
      <c r="AM372">
        <f>0.073745795</f>
        <v>7.3745795000000003E-2</v>
      </c>
      <c r="AN372">
        <f>0.124236892</f>
        <v>0.124236892</v>
      </c>
      <c r="AO372">
        <f>0.111417096</f>
        <v>0.11141709599999999</v>
      </c>
      <c r="AP372">
        <f>0.093455293</f>
        <v>9.3455292999999995E-2</v>
      </c>
      <c r="AQ372">
        <f>0.094543665</f>
        <v>9.4543664999999999E-2</v>
      </c>
      <c r="AR372">
        <f>0.183105842</f>
        <v>0.18310584199999999</v>
      </c>
      <c r="AS372">
        <f>0.148693691</f>
        <v>0.14869369099999999</v>
      </c>
      <c r="AT372">
        <f>0.193251445</f>
        <v>0.19325144499999999</v>
      </c>
      <c r="AU372">
        <f>0.221286449</f>
        <v>0.221286449</v>
      </c>
      <c r="AV372">
        <f>0.289552225</f>
        <v>0.289552225</v>
      </c>
      <c r="AW372">
        <f>0.2026511</f>
        <v>0.2026511</v>
      </c>
      <c r="AX372">
        <f>0.166228642</f>
        <v>0.16622864200000001</v>
      </c>
      <c r="AY372">
        <f>0.164162011</f>
        <v>0.164162011</v>
      </c>
      <c r="AZ372">
        <f>0.167123688</f>
        <v>0.16712368799999999</v>
      </c>
      <c r="BA372">
        <f>0.169018138</f>
        <v>0.16901813800000001</v>
      </c>
      <c r="BB372">
        <f>0.185510049</f>
        <v>0.18551004900000001</v>
      </c>
      <c r="BC372">
        <f>0.158947755</f>
        <v>0.158947755</v>
      </c>
      <c r="BD372">
        <f>0.127523935</f>
        <v>0.127523935</v>
      </c>
      <c r="BE372">
        <f>0.125962755</f>
        <v>0.12596275500000001</v>
      </c>
      <c r="BF372">
        <f>0.136917317</f>
        <v>0.13691731700000001</v>
      </c>
      <c r="BG372">
        <f>0.075373941</f>
        <v>7.5373941E-2</v>
      </c>
      <c r="BH372">
        <f>0.063436776</f>
        <v>6.3436776E-2</v>
      </c>
      <c r="BI372">
        <f>0.074668153</f>
        <v>7.4668153000000001E-2</v>
      </c>
      <c r="BJ372">
        <f>0.094630705</f>
        <v>9.4630704999999996E-2</v>
      </c>
      <c r="BK372" t="str">
        <f>""</f>
        <v/>
      </c>
      <c r="BL372" t="str">
        <f>""</f>
        <v/>
      </c>
      <c r="BM372" t="str">
        <f>""</f>
        <v/>
      </c>
      <c r="BN372" t="str">
        <f>""</f>
        <v/>
      </c>
      <c r="BO372" t="str">
        <f>""</f>
        <v/>
      </c>
      <c r="BP372" t="str">
        <f>""</f>
        <v/>
      </c>
      <c r="BQ372" t="str">
        <f>""</f>
        <v/>
      </c>
      <c r="BR372" t="str">
        <f>""</f>
        <v/>
      </c>
      <c r="BS372" t="str">
        <f>""</f>
        <v/>
      </c>
    </row>
    <row r="373" spans="1:71" x14ac:dyDescent="0.25">
      <c r="A373" t="str">
        <f>"        Citizens Financial Group Inc"</f>
        <v xml:space="preserve">        Citizens Financial Group Inc</v>
      </c>
      <c r="B373" t="str">
        <f>"CFG US Equity"</f>
        <v>CFG US Equity</v>
      </c>
      <c r="C373" t="str">
        <f t="shared" si="51"/>
        <v>F0127</v>
      </c>
      <c r="D373" t="str">
        <f t="shared" si="52"/>
        <v>FED_FARMERS_LOANS_%_TOT_LNS_LEAS</v>
      </c>
      <c r="E373" t="str">
        <f t="shared" si="53"/>
        <v>Dynamic</v>
      </c>
      <c r="F373">
        <f ca="1">IF(AND(ISNUMBER($F$771),$B$427=1),$F$771,HLOOKUP(INDIRECT(ADDRESS(2,COLUMN())),OFFSET($AM$2,0,0,ROW()-1,33),ROW()-1,FALSE))</f>
        <v>0</v>
      </c>
      <c r="G373">
        <f ca="1">IF(AND(ISNUMBER($G$771),$B$427=1),$G$771,HLOOKUP(INDIRECT(ADDRESS(2,COLUMN())),OFFSET($AM$2,0,0,ROW()-1,33),ROW()-1,FALSE))</f>
        <v>0</v>
      </c>
      <c r="H373">
        <f ca="1">IF(AND(ISNUMBER($H$771),$B$427=1),$H$771,HLOOKUP(INDIRECT(ADDRESS(2,COLUMN())),OFFSET($AM$2,0,0,ROW()-1,33),ROW()-1,FALSE))</f>
        <v>0</v>
      </c>
      <c r="I373">
        <f ca="1">IF(AND(ISNUMBER($I$771),$B$427=1),$I$771,HLOOKUP(INDIRECT(ADDRESS(2,COLUMN())),OFFSET($AM$2,0,0,ROW()-1,33),ROW()-1,FALSE))</f>
        <v>0</v>
      </c>
      <c r="J373">
        <f ca="1">IF(AND(ISNUMBER($J$771),$B$427=1),$J$771,HLOOKUP(INDIRECT(ADDRESS(2,COLUMN())),OFFSET($AM$2,0,0,ROW()-1,33),ROW()-1,FALSE))</f>
        <v>0</v>
      </c>
      <c r="K373">
        <f ca="1">IF(AND(ISNUMBER($K$771),$B$427=1),$K$771,HLOOKUP(INDIRECT(ADDRESS(2,COLUMN())),OFFSET($AM$2,0,0,ROW()-1,33),ROW()-1,FALSE))</f>
        <v>0</v>
      </c>
      <c r="L373">
        <f ca="1">IF(AND(ISNUMBER($L$771),$B$427=1),$L$771,HLOOKUP(INDIRECT(ADDRESS(2,COLUMN())),OFFSET($AM$2,0,0,ROW()-1,33),ROW()-1,FALSE))</f>
        <v>0</v>
      </c>
      <c r="M373">
        <f ca="1">IF(AND(ISNUMBER($M$771),$B$427=1),$M$771,HLOOKUP(INDIRECT(ADDRESS(2,COLUMN())),OFFSET($AM$2,0,0,ROW()-1,33),ROW()-1,FALSE))</f>
        <v>0</v>
      </c>
      <c r="N373">
        <f ca="1">IF(AND(ISNUMBER($N$771),$B$427=1),$N$771,HLOOKUP(INDIRECT(ADDRESS(2,COLUMN())),OFFSET($AM$2,0,0,ROW()-1,33),ROW()-1,FALSE))</f>
        <v>0</v>
      </c>
      <c r="O373">
        <f ca="1">IF(AND(ISNUMBER($O$771),$B$427=1),$O$771,HLOOKUP(INDIRECT(ADDRESS(2,COLUMN())),OFFSET($AM$2,0,0,ROW()-1,33),ROW()-1,FALSE))</f>
        <v>0</v>
      </c>
      <c r="P373">
        <f ca="1">IF(AND(ISNUMBER($P$771),$B$427=1),$P$771,HLOOKUP(INDIRECT(ADDRESS(2,COLUMN())),OFFSET($AM$2,0,0,ROW()-1,33),ROW()-1,FALSE))</f>
        <v>0</v>
      </c>
      <c r="Q373">
        <f ca="1">IF(AND(ISNUMBER($Q$771),$B$427=1),$Q$771,HLOOKUP(INDIRECT(ADDRESS(2,COLUMN())),OFFSET($AM$2,0,0,ROW()-1,33),ROW()-1,FALSE))</f>
        <v>5.7495599999999995E-4</v>
      </c>
      <c r="R373">
        <f ca="1">IF(AND(ISNUMBER($R$771),$B$427=1),$R$771,HLOOKUP(INDIRECT(ADDRESS(2,COLUMN())),OFFSET($AM$2,0,0,ROW()-1,33),ROW()-1,FALSE))</f>
        <v>6.8360199999999995E-4</v>
      </c>
      <c r="S373">
        <f ca="1">IF(AND(ISNUMBER($S$771),$B$427=1),$S$771,HLOOKUP(INDIRECT(ADDRESS(2,COLUMN())),OFFSET($AM$2,0,0,ROW()-1,33),ROW()-1,FALSE))</f>
        <v>2.32315E-4</v>
      </c>
      <c r="T373">
        <f ca="1">IF(AND(ISNUMBER($T$771),$B$427=1),$T$771,HLOOKUP(INDIRECT(ADDRESS(2,COLUMN())),OFFSET($AM$2,0,0,ROW()-1,33),ROW()-1,FALSE))</f>
        <v>4.5573500000000003E-4</v>
      </c>
      <c r="U373">
        <f ca="1">IF(AND(ISNUMBER($U$771),$B$427=1),$U$771,HLOOKUP(INDIRECT(ADDRESS(2,COLUMN())),OFFSET($AM$2,0,0,ROW()-1,33),ROW()-1,FALSE))</f>
        <v>6.7655799999999996E-4</v>
      </c>
      <c r="V373">
        <f ca="1">IF(AND(ISNUMBER($V$771),$B$427=1),$V$771,HLOOKUP(INDIRECT(ADDRESS(2,COLUMN())),OFFSET($AM$2,0,0,ROW()-1,33),ROW()-1,FALSE))</f>
        <v>2.7249300000000001E-4</v>
      </c>
      <c r="W373">
        <f ca="1">IF(AND(ISNUMBER($W$771),$B$427=1),$W$771,HLOOKUP(INDIRECT(ADDRESS(2,COLUMN())),OFFSET($AM$2,0,0,ROW()-1,33),ROW()-1,FALSE))</f>
        <v>2.899E-4</v>
      </c>
      <c r="X373">
        <f ca="1">IF(AND(ISNUMBER($X$771),$B$427=1),$X$771,HLOOKUP(INDIRECT(ADDRESS(2,COLUMN())),OFFSET($AM$2,0,0,ROW()-1,33),ROW()-1,FALSE))</f>
        <v>4.9498999999999995E-4</v>
      </c>
      <c r="Y373">
        <f ca="1">IF(AND(ISNUMBER($Y$771),$B$427=1),$Y$771,HLOOKUP(INDIRECT(ADDRESS(2,COLUMN())),OFFSET($AM$2,0,0,ROW()-1,33),ROW()-1,FALSE))</f>
        <v>6.1099799999999997E-4</v>
      </c>
      <c r="Z373">
        <f ca="1">IF(AND(ISNUMBER($Z$771),$B$427=1),$Z$771,HLOOKUP(INDIRECT(ADDRESS(2,COLUMN())),OFFSET($AM$2,0,0,ROW()-1,33),ROW()-1,FALSE))</f>
        <v>4.7599629999999999E-3</v>
      </c>
      <c r="AA373">
        <f ca="1">IF(AND(ISNUMBER($AA$771),$B$427=1),$AA$771,HLOOKUP(INDIRECT(ADDRESS(2,COLUMN())),OFFSET($AM$2,0,0,ROW()-1,33),ROW()-1,FALSE))</f>
        <v>9.8482600000000006E-4</v>
      </c>
      <c r="AB373">
        <f ca="1">IF(AND(ISNUMBER($AB$771),$B$427=1),$AB$771,HLOOKUP(INDIRECT(ADDRESS(2,COLUMN())),OFFSET($AM$2,0,0,ROW()-1,33),ROW()-1,FALSE))</f>
        <v>3.3482864000000001E-2</v>
      </c>
      <c r="AC373">
        <f ca="1">IF(AND(ISNUMBER($AC$771),$B$427=1),$AC$771,HLOOKUP(INDIRECT(ADDRESS(2,COLUMN())),OFFSET($AM$2,0,0,ROW()-1,33),ROW()-1,FALSE))</f>
        <v>5.7787723999999999E-2</v>
      </c>
      <c r="AD373" t="str">
        <f ca="1">IF(AND(ISNUMBER($AD$771),$B$427=1),$AD$771,HLOOKUP(INDIRECT(ADDRESS(2,COLUMN())),OFFSET($AM$2,0,0,ROW()-1,33),ROW()-1,FALSE))</f>
        <v/>
      </c>
      <c r="AE373" t="str">
        <f ca="1">IF(AND(ISNUMBER($AE$771),$B$427=1),$AE$771,HLOOKUP(INDIRECT(ADDRESS(2,COLUMN())),OFFSET($AM$2,0,0,ROW()-1,33),ROW()-1,FALSE))</f>
        <v/>
      </c>
      <c r="AF373" t="str">
        <f ca="1">IF(AND(ISNUMBER($AF$771),$B$427=1),$AF$771,HLOOKUP(INDIRECT(ADDRESS(2,COLUMN())),OFFSET($AM$2,0,0,ROW()-1,33),ROW()-1,FALSE))</f>
        <v/>
      </c>
      <c r="AG373" t="str">
        <f ca="1">IF(AND(ISNUMBER($AG$771),$B$427=1),$AG$771,HLOOKUP(INDIRECT(ADDRESS(2,COLUMN())),OFFSET($AM$2,0,0,ROW()-1,33),ROW()-1,FALSE))</f>
        <v/>
      </c>
      <c r="AH373" t="str">
        <f ca="1">IF(AND(ISNUMBER($AH$771),$B$427=1),$AH$771,HLOOKUP(INDIRECT(ADDRESS(2,COLUMN())),OFFSET($AM$2,0,0,ROW()-1,33),ROW()-1,FALSE))</f>
        <v/>
      </c>
      <c r="AI373" t="str">
        <f ca="1">IF(AND(ISNUMBER($AI$771),$B$427=1),$AI$771,HLOOKUP(INDIRECT(ADDRESS(2,COLUMN())),OFFSET($AM$2,0,0,ROW()-1,33),ROW()-1,FALSE))</f>
        <v/>
      </c>
      <c r="AJ373" t="str">
        <f ca="1">IF(AND(ISNUMBER($AJ$771),$B$427=1),$AJ$771,HLOOKUP(INDIRECT(ADDRESS(2,COLUMN())),OFFSET($AM$2,0,0,ROW()-1,33),ROW()-1,FALSE))</f>
        <v/>
      </c>
      <c r="AK373" t="str">
        <f ca="1">IF(AND(ISNUMBER($AK$771),$B$427=1),$AK$771,HLOOKUP(INDIRECT(ADDRESS(2,COLUMN())),OFFSET($AM$2,0,0,ROW()-1,33),ROW()-1,FALSE))</f>
        <v/>
      </c>
      <c r="AL373" t="str">
        <f ca="1">IF(AND(ISNUMBER($AL$771),$B$427=1),$AL$771,HLOOKUP(INDIRECT(ADDRESS(2,COLUMN())),OFFSET($AM$2,0,0,ROW()-1,33),ROW()-1,FALSE))</f>
        <v/>
      </c>
      <c r="AM373">
        <f>0</f>
        <v>0</v>
      </c>
      <c r="AN373">
        <f>0</f>
        <v>0</v>
      </c>
      <c r="AO373">
        <f>0</f>
        <v>0</v>
      </c>
      <c r="AP373">
        <f>0</f>
        <v>0</v>
      </c>
      <c r="AQ373">
        <f>0</f>
        <v>0</v>
      </c>
      <c r="AR373">
        <f>0</f>
        <v>0</v>
      </c>
      <c r="AS373">
        <f>0</f>
        <v>0</v>
      </c>
      <c r="AT373">
        <f>0</f>
        <v>0</v>
      </c>
      <c r="AU373">
        <f>0</f>
        <v>0</v>
      </c>
      <c r="AV373">
        <f>0</f>
        <v>0</v>
      </c>
      <c r="AW373">
        <f>0</f>
        <v>0</v>
      </c>
      <c r="AX373">
        <f>0.000574956</f>
        <v>5.7495599999999995E-4</v>
      </c>
      <c r="AY373">
        <f>0.000683602</f>
        <v>6.8360199999999995E-4</v>
      </c>
      <c r="AZ373">
        <f>0.000232315</f>
        <v>2.32315E-4</v>
      </c>
      <c r="BA373">
        <f>0.000455735</f>
        <v>4.5573500000000003E-4</v>
      </c>
      <c r="BB373">
        <f>0.000676558</f>
        <v>6.7655799999999996E-4</v>
      </c>
      <c r="BC373">
        <f>0.000272493</f>
        <v>2.7249300000000001E-4</v>
      </c>
      <c r="BD373">
        <f>0.0002899</f>
        <v>2.899E-4</v>
      </c>
      <c r="BE373">
        <f>0.00049499</f>
        <v>4.9498999999999995E-4</v>
      </c>
      <c r="BF373">
        <f>0.000610998</f>
        <v>6.1099799999999997E-4</v>
      </c>
      <c r="BG373">
        <f>0.004759963</f>
        <v>4.7599629999999999E-3</v>
      </c>
      <c r="BH373">
        <f>0.000984826</f>
        <v>9.8482600000000006E-4</v>
      </c>
      <c r="BI373">
        <f>0.033482864</f>
        <v>3.3482864000000001E-2</v>
      </c>
      <c r="BJ373">
        <f>0.057787724</f>
        <v>5.7787723999999999E-2</v>
      </c>
      <c r="BK373" t="str">
        <f>""</f>
        <v/>
      </c>
      <c r="BL373" t="str">
        <f>""</f>
        <v/>
      </c>
      <c r="BM373" t="str">
        <f>""</f>
        <v/>
      </c>
      <c r="BN373" t="str">
        <f>""</f>
        <v/>
      </c>
      <c r="BO373" t="str">
        <f>""</f>
        <v/>
      </c>
      <c r="BP373" t="str">
        <f>""</f>
        <v/>
      </c>
      <c r="BQ373" t="str">
        <f>""</f>
        <v/>
      </c>
      <c r="BR373" t="str">
        <f>""</f>
        <v/>
      </c>
      <c r="BS373" t="str">
        <f>""</f>
        <v/>
      </c>
    </row>
    <row r="374" spans="1:71" x14ac:dyDescent="0.25">
      <c r="A374" t="str">
        <f>"        Capital One Financial Corp"</f>
        <v xml:space="preserve">        Capital One Financial Corp</v>
      </c>
      <c r="B374" t="str">
        <f>"COF US Equity"</f>
        <v>COF US Equity</v>
      </c>
      <c r="C374" t="str">
        <f t="shared" si="51"/>
        <v>F0127</v>
      </c>
      <c r="D374" t="str">
        <f t="shared" si="52"/>
        <v>FED_FARMERS_LOANS_%_TOT_LNS_LEAS</v>
      </c>
      <c r="E374" t="str">
        <f t="shared" si="53"/>
        <v>Dynamic</v>
      </c>
      <c r="F374">
        <f ca="1">IF(AND(ISNUMBER($F$772),$B$427=1),$F$772,HLOOKUP(INDIRECT(ADDRESS(2,COLUMN())),OFFSET($AM$2,0,0,ROW()-1,33),ROW()-1,FALSE))</f>
        <v>2.5398100000000002E-4</v>
      </c>
      <c r="G374">
        <f ca="1">IF(AND(ISNUMBER($G$772),$B$427=1),$G$772,HLOOKUP(INDIRECT(ADDRESS(2,COLUMN())),OFFSET($AM$2,0,0,ROW()-1,33),ROW()-1,FALSE))</f>
        <v>2.7542199999999999E-4</v>
      </c>
      <c r="H374">
        <f ca="1">IF(AND(ISNUMBER($H$772),$B$427=1),$H$772,HLOOKUP(INDIRECT(ADDRESS(2,COLUMN())),OFFSET($AM$2,0,0,ROW()-1,33),ROW()-1,FALSE))</f>
        <v>3.2476599999999999E-4</v>
      </c>
      <c r="I374">
        <f ca="1">IF(AND(ISNUMBER($I$772),$B$427=1),$I$772,HLOOKUP(INDIRECT(ADDRESS(2,COLUMN())),OFFSET($AM$2,0,0,ROW()-1,33),ROW()-1,FALSE))</f>
        <v>6.2140880000000004E-3</v>
      </c>
      <c r="J374">
        <f ca="1">IF(AND(ISNUMBER($J$772),$B$427=1),$J$772,HLOOKUP(INDIRECT(ADDRESS(2,COLUMN())),OFFSET($AM$2,0,0,ROW()-1,33),ROW()-1,FALSE))</f>
        <v>1.0901028E-2</v>
      </c>
      <c r="K374">
        <f ca="1">IF(AND(ISNUMBER($K$772),$B$427=1),$K$772,HLOOKUP(INDIRECT(ADDRESS(2,COLUMN())),OFFSET($AM$2,0,0,ROW()-1,33),ROW()-1,FALSE))</f>
        <v>9.1773740000000003E-3</v>
      </c>
      <c r="L374">
        <f ca="1">IF(AND(ISNUMBER($L$772),$B$427=1),$L$772,HLOOKUP(INDIRECT(ADDRESS(2,COLUMN())),OFFSET($AM$2,0,0,ROW()-1,33),ROW()-1,FALSE))</f>
        <v>1.3820830000000001E-3</v>
      </c>
      <c r="M374">
        <f ca="1">IF(AND(ISNUMBER($M$772),$B$427=1),$M$772,HLOOKUP(INDIRECT(ADDRESS(2,COLUMN())),OFFSET($AM$2,0,0,ROW()-1,33),ROW()-1,FALSE))</f>
        <v>4.6256860000000004E-3</v>
      </c>
      <c r="N374">
        <f ca="1">IF(AND(ISNUMBER($N$772),$B$427=1),$N$772,HLOOKUP(INDIRECT(ADDRESS(2,COLUMN())),OFFSET($AM$2,0,0,ROW()-1,33),ROW()-1,FALSE))</f>
        <v>5.4924980000000002E-3</v>
      </c>
      <c r="O374">
        <f ca="1">IF(AND(ISNUMBER($O$772),$B$427=1),$O$772,HLOOKUP(INDIRECT(ADDRESS(2,COLUMN())),OFFSET($AM$2,0,0,ROW()-1,33),ROW()-1,FALSE))</f>
        <v>1.9162160000000001E-3</v>
      </c>
      <c r="P374">
        <f ca="1">IF(AND(ISNUMBER($P$772),$B$427=1),$P$772,HLOOKUP(INDIRECT(ADDRESS(2,COLUMN())),OFFSET($AM$2,0,0,ROW()-1,33),ROW()-1,FALSE))</f>
        <v>3.649631E-3</v>
      </c>
      <c r="Q374">
        <f ca="1">IF(AND(ISNUMBER($Q$772),$B$427=1),$Q$772,HLOOKUP(INDIRECT(ADDRESS(2,COLUMN())),OFFSET($AM$2,0,0,ROW()-1,33),ROW()-1,FALSE))</f>
        <v>4.0501440000000003E-3</v>
      </c>
      <c r="R374">
        <f ca="1">IF(AND(ISNUMBER($R$772),$B$427=1),$R$772,HLOOKUP(INDIRECT(ADDRESS(2,COLUMN())),OFFSET($AM$2,0,0,ROW()-1,33),ROW()-1,FALSE))</f>
        <v>2.8713060000000001E-3</v>
      </c>
      <c r="S374">
        <f ca="1">IF(AND(ISNUMBER($S$772),$B$427=1),$S$772,HLOOKUP(INDIRECT(ADDRESS(2,COLUMN())),OFFSET($AM$2,0,0,ROW()-1,33),ROW()-1,FALSE))</f>
        <v>4.6142420000000002E-3</v>
      </c>
      <c r="T374">
        <f ca="1">IF(AND(ISNUMBER($T$772),$B$427=1),$T$772,HLOOKUP(INDIRECT(ADDRESS(2,COLUMN())),OFFSET($AM$2,0,0,ROW()-1,33),ROW()-1,FALSE))</f>
        <v>2.1742302000000002E-2</v>
      </c>
      <c r="U374">
        <f ca="1">IF(AND(ISNUMBER($U$772),$B$427=1),$U$772,HLOOKUP(INDIRECT(ADDRESS(2,COLUMN())),OFFSET($AM$2,0,0,ROW()-1,33),ROW()-1,FALSE))</f>
        <v>2.4186899000000001E-2</v>
      </c>
      <c r="V374">
        <f ca="1">IF(AND(ISNUMBER($V$772),$B$427=1),$V$772,HLOOKUP(INDIRECT(ADDRESS(2,COLUMN())),OFFSET($AM$2,0,0,ROW()-1,33),ROW()-1,FALSE))</f>
        <v>2.9545651999999999E-2</v>
      </c>
      <c r="W374">
        <f ca="1">IF(AND(ISNUMBER($W$772),$B$427=1),$W$772,HLOOKUP(INDIRECT(ADDRESS(2,COLUMN())),OFFSET($AM$2,0,0,ROW()-1,33),ROW()-1,FALSE))</f>
        <v>1.042359E-2</v>
      </c>
      <c r="X374">
        <f ca="1">IF(AND(ISNUMBER($X$772),$B$427=1),$X$772,HLOOKUP(INDIRECT(ADDRESS(2,COLUMN())),OFFSET($AM$2,0,0,ROW()-1,33),ROW()-1,FALSE))</f>
        <v>2.2696358E-2</v>
      </c>
      <c r="Y374">
        <f ca="1">IF(AND(ISNUMBER($Y$772),$B$427=1),$Y$772,HLOOKUP(INDIRECT(ADDRESS(2,COLUMN())),OFFSET($AM$2,0,0,ROW()-1,33),ROW()-1,FALSE))</f>
        <v>7.3402576999999997E-2</v>
      </c>
      <c r="Z374">
        <f ca="1">IF(AND(ISNUMBER($Z$772),$B$427=1),$Z$772,HLOOKUP(INDIRECT(ADDRESS(2,COLUMN())),OFFSET($AM$2,0,0,ROW()-1,33),ROW()-1,FALSE))</f>
        <v>0</v>
      </c>
      <c r="AA374" t="str">
        <f ca="1">IF(AND(ISNUMBER($AA$772),$B$427=1),$AA$772,HLOOKUP(INDIRECT(ADDRESS(2,COLUMN())),OFFSET($AM$2,0,0,ROW()-1,33),ROW()-1,FALSE))</f>
        <v/>
      </c>
      <c r="AB374" t="str">
        <f ca="1">IF(AND(ISNUMBER($AB$772),$B$427=1),$AB$772,HLOOKUP(INDIRECT(ADDRESS(2,COLUMN())),OFFSET($AM$2,0,0,ROW()-1,33),ROW()-1,FALSE))</f>
        <v/>
      </c>
      <c r="AC374" t="str">
        <f ca="1">IF(AND(ISNUMBER($AC$772),$B$427=1),$AC$772,HLOOKUP(INDIRECT(ADDRESS(2,COLUMN())),OFFSET($AM$2,0,0,ROW()-1,33),ROW()-1,FALSE))</f>
        <v/>
      </c>
      <c r="AD374" t="str">
        <f ca="1">IF(AND(ISNUMBER($AD$772),$B$427=1),$AD$772,HLOOKUP(INDIRECT(ADDRESS(2,COLUMN())),OFFSET($AM$2,0,0,ROW()-1,33),ROW()-1,FALSE))</f>
        <v/>
      </c>
      <c r="AE374" t="str">
        <f ca="1">IF(AND(ISNUMBER($AE$772),$B$427=1),$AE$772,HLOOKUP(INDIRECT(ADDRESS(2,COLUMN())),OFFSET($AM$2,0,0,ROW()-1,33),ROW()-1,FALSE))</f>
        <v/>
      </c>
      <c r="AF374" t="str">
        <f ca="1">IF(AND(ISNUMBER($AF$772),$B$427=1),$AF$772,HLOOKUP(INDIRECT(ADDRESS(2,COLUMN())),OFFSET($AM$2,0,0,ROW()-1,33),ROW()-1,FALSE))</f>
        <v/>
      </c>
      <c r="AG374" t="str">
        <f ca="1">IF(AND(ISNUMBER($AG$772),$B$427=1),$AG$772,HLOOKUP(INDIRECT(ADDRESS(2,COLUMN())),OFFSET($AM$2,0,0,ROW()-1,33),ROW()-1,FALSE))</f>
        <v/>
      </c>
      <c r="AH374" t="str">
        <f ca="1">IF(AND(ISNUMBER($AH$772),$B$427=1),$AH$772,HLOOKUP(INDIRECT(ADDRESS(2,COLUMN())),OFFSET($AM$2,0,0,ROW()-1,33),ROW()-1,FALSE))</f>
        <v/>
      </c>
      <c r="AI374" t="str">
        <f ca="1">IF(AND(ISNUMBER($AI$772),$B$427=1),$AI$772,HLOOKUP(INDIRECT(ADDRESS(2,COLUMN())),OFFSET($AM$2,0,0,ROW()-1,33),ROW()-1,FALSE))</f>
        <v/>
      </c>
      <c r="AJ374" t="str">
        <f ca="1">IF(AND(ISNUMBER($AJ$772),$B$427=1),$AJ$772,HLOOKUP(INDIRECT(ADDRESS(2,COLUMN())),OFFSET($AM$2,0,0,ROW()-1,33),ROW()-1,FALSE))</f>
        <v/>
      </c>
      <c r="AK374" t="str">
        <f ca="1">IF(AND(ISNUMBER($AK$772),$B$427=1),$AK$772,HLOOKUP(INDIRECT(ADDRESS(2,COLUMN())),OFFSET($AM$2,0,0,ROW()-1,33),ROW()-1,FALSE))</f>
        <v/>
      </c>
      <c r="AL374" t="str">
        <f ca="1">IF(AND(ISNUMBER($AL$772),$B$427=1),$AL$772,HLOOKUP(INDIRECT(ADDRESS(2,COLUMN())),OFFSET($AM$2,0,0,ROW()-1,33),ROW()-1,FALSE))</f>
        <v/>
      </c>
      <c r="AM374">
        <f>0.000253981</f>
        <v>2.5398100000000002E-4</v>
      </c>
      <c r="AN374">
        <f>0.000275422</f>
        <v>2.7542199999999999E-4</v>
      </c>
      <c r="AO374">
        <f>0.000324766</f>
        <v>3.2476599999999999E-4</v>
      </c>
      <c r="AP374">
        <f>0.006214088</f>
        <v>6.2140880000000004E-3</v>
      </c>
      <c r="AQ374">
        <f>0.010901028</f>
        <v>1.0901028E-2</v>
      </c>
      <c r="AR374">
        <f>0.009177374</f>
        <v>9.1773740000000003E-3</v>
      </c>
      <c r="AS374">
        <f>0.001382083</f>
        <v>1.3820830000000001E-3</v>
      </c>
      <c r="AT374">
        <f>0.004625686</f>
        <v>4.6256860000000004E-3</v>
      </c>
      <c r="AU374">
        <f>0.005492498</f>
        <v>5.4924980000000002E-3</v>
      </c>
      <c r="AV374">
        <f>0.001916216</f>
        <v>1.9162160000000001E-3</v>
      </c>
      <c r="AW374">
        <f>0.003649631</f>
        <v>3.649631E-3</v>
      </c>
      <c r="AX374">
        <f>0.004050144</f>
        <v>4.0501440000000003E-3</v>
      </c>
      <c r="AY374">
        <f>0.002871306</f>
        <v>2.8713060000000001E-3</v>
      </c>
      <c r="AZ374">
        <f>0.004614242</f>
        <v>4.6142420000000002E-3</v>
      </c>
      <c r="BA374">
        <f>0.021742302</f>
        <v>2.1742302000000002E-2</v>
      </c>
      <c r="BB374">
        <f>0.024186899</f>
        <v>2.4186899000000001E-2</v>
      </c>
      <c r="BC374">
        <f>0.029545652</f>
        <v>2.9545651999999999E-2</v>
      </c>
      <c r="BD374">
        <f>0.01042359</f>
        <v>1.042359E-2</v>
      </c>
      <c r="BE374">
        <f>0.022696358</f>
        <v>2.2696358E-2</v>
      </c>
      <c r="BF374">
        <f>0.073402577</f>
        <v>7.3402576999999997E-2</v>
      </c>
      <c r="BG374">
        <f>0</f>
        <v>0</v>
      </c>
      <c r="BH374" t="str">
        <f>""</f>
        <v/>
      </c>
      <c r="BI374" t="str">
        <f>""</f>
        <v/>
      </c>
      <c r="BJ374" t="str">
        <f>""</f>
        <v/>
      </c>
      <c r="BK374" t="str">
        <f>""</f>
        <v/>
      </c>
      <c r="BL374" t="str">
        <f>""</f>
        <v/>
      </c>
      <c r="BM374" t="str">
        <f>""</f>
        <v/>
      </c>
      <c r="BN374" t="str">
        <f>""</f>
        <v/>
      </c>
      <c r="BO374" t="str">
        <f>""</f>
        <v/>
      </c>
      <c r="BP374" t="str">
        <f>""</f>
        <v/>
      </c>
      <c r="BQ374" t="str">
        <f>""</f>
        <v/>
      </c>
      <c r="BR374" t="str">
        <f>""</f>
        <v/>
      </c>
      <c r="BS374" t="str">
        <f>""</f>
        <v/>
      </c>
    </row>
    <row r="375" spans="1:71" x14ac:dyDescent="0.25">
      <c r="A375" t="str">
        <f>"        Comerica Inc"</f>
        <v xml:space="preserve">        Comerica Inc</v>
      </c>
      <c r="B375" t="str">
        <f>"CMA US Equity"</f>
        <v>CMA US Equity</v>
      </c>
      <c r="C375" t="str">
        <f t="shared" si="51"/>
        <v>F0127</v>
      </c>
      <c r="D375" t="str">
        <f t="shared" si="52"/>
        <v>FED_FARMERS_LOANS_%_TOT_LNS_LEAS</v>
      </c>
      <c r="E375" t="str">
        <f t="shared" si="53"/>
        <v>Dynamic</v>
      </c>
      <c r="F375" t="str">
        <f ca="1">IF(AND(ISNUMBER($F$773),$B$427=1),$F$773,HLOOKUP(INDIRECT(ADDRESS(2,COLUMN())),OFFSET($AM$2,0,0,ROW()-1,33),ROW()-1,FALSE))</f>
        <v/>
      </c>
      <c r="G375">
        <f ca="1">IF(AND(ISNUMBER($G$773),$B$427=1),$G$773,HLOOKUP(INDIRECT(ADDRESS(2,COLUMN())),OFFSET($AM$2,0,0,ROW()-1,33),ROW()-1,FALSE))</f>
        <v>7.8326488E-2</v>
      </c>
      <c r="H375">
        <f ca="1">IF(AND(ISNUMBER($H$773),$B$427=1),$H$773,HLOOKUP(INDIRECT(ADDRESS(2,COLUMN())),OFFSET($AM$2,0,0,ROW()-1,33),ROW()-1,FALSE))</f>
        <v>7.6774712999999994E-2</v>
      </c>
      <c r="I375">
        <f ca="1">IF(AND(ISNUMBER($I$773),$B$427=1),$I$773,HLOOKUP(INDIRECT(ADDRESS(2,COLUMN())),OFFSET($AM$2,0,0,ROW()-1,33),ROW()-1,FALSE))</f>
        <v>7.1006877999999995E-2</v>
      </c>
      <c r="J375">
        <f ca="1">IF(AND(ISNUMBER($J$773),$B$427=1),$J$773,HLOOKUP(INDIRECT(ADDRESS(2,COLUMN())),OFFSET($AM$2,0,0,ROW()-1,33),ROW()-1,FALSE))</f>
        <v>5.9277956E-2</v>
      </c>
      <c r="K375">
        <f ca="1">IF(AND(ISNUMBER($K$773),$B$427=1),$K$773,HLOOKUP(INDIRECT(ADDRESS(2,COLUMN())),OFFSET($AM$2,0,0,ROW()-1,33),ROW()-1,FALSE))</f>
        <v>4.5656662000000001E-2</v>
      </c>
      <c r="L375">
        <f ca="1">IF(AND(ISNUMBER($L$773),$B$427=1),$L$773,HLOOKUP(INDIRECT(ADDRESS(2,COLUMN())),OFFSET($AM$2,0,0,ROW()-1,33),ROW()-1,FALSE))</f>
        <v>6.4175358000000002E-2</v>
      </c>
      <c r="M375">
        <f ca="1">IF(AND(ISNUMBER($M$773),$B$427=1),$M$773,HLOOKUP(INDIRECT(ADDRESS(2,COLUMN())),OFFSET($AM$2,0,0,ROW()-1,33),ROW()-1,FALSE))</f>
        <v>6.2679218999999994E-2</v>
      </c>
      <c r="N375">
        <f ca="1">IF(AND(ISNUMBER($N$773),$B$427=1),$N$773,HLOOKUP(INDIRECT(ADDRESS(2,COLUMN())),OFFSET($AM$2,0,0,ROW()-1,33),ROW()-1,FALSE))</f>
        <v>0.102922895</v>
      </c>
      <c r="O375">
        <f ca="1">IF(AND(ISNUMBER($O$773),$B$427=1),$O$773,HLOOKUP(INDIRECT(ADDRESS(2,COLUMN())),OFFSET($AM$2,0,0,ROW()-1,33),ROW()-1,FALSE))</f>
        <v>0.18406362900000001</v>
      </c>
      <c r="P375">
        <f ca="1">IF(AND(ISNUMBER($P$773),$B$427=1),$P$773,HLOOKUP(INDIRECT(ADDRESS(2,COLUMN())),OFFSET($AM$2,0,0,ROW()-1,33),ROW()-1,FALSE))</f>
        <v>9.9313644000000006E-2</v>
      </c>
      <c r="Q375">
        <f ca="1">IF(AND(ISNUMBER($Q$773),$B$427=1),$Q$773,HLOOKUP(INDIRECT(ADDRESS(2,COLUMN())),OFFSET($AM$2,0,0,ROW()-1,33),ROW()-1,FALSE))</f>
        <v>0.15877701599999999</v>
      </c>
      <c r="R375">
        <f ca="1">IF(AND(ISNUMBER($R$773),$B$427=1),$R$773,HLOOKUP(INDIRECT(ADDRESS(2,COLUMN())),OFFSET($AM$2,0,0,ROW()-1,33),ROW()-1,FALSE))</f>
        <v>0.127002219</v>
      </c>
      <c r="S375">
        <f ca="1">IF(AND(ISNUMBER($S$773),$B$427=1),$S$773,HLOOKUP(INDIRECT(ADDRESS(2,COLUMN())),OFFSET($AM$2,0,0,ROW()-1,33),ROW()-1,FALSE))</f>
        <v>2.8911564000000001E-2</v>
      </c>
      <c r="T375">
        <f ca="1">IF(AND(ISNUMBER($T$773),$B$427=1),$T$773,HLOOKUP(INDIRECT(ADDRESS(2,COLUMN())),OFFSET($AM$2,0,0,ROW()-1,33),ROW()-1,FALSE))</f>
        <v>2.7721009000000001E-2</v>
      </c>
      <c r="U375">
        <f ca="1">IF(AND(ISNUMBER($U$773),$B$427=1),$U$773,HLOOKUP(INDIRECT(ADDRESS(2,COLUMN())),OFFSET($AM$2,0,0,ROW()-1,33),ROW()-1,FALSE))</f>
        <v>1.9481048000000001E-2</v>
      </c>
      <c r="V375">
        <f ca="1">IF(AND(ISNUMBER($V$773),$B$427=1),$V$773,HLOOKUP(INDIRECT(ADDRESS(2,COLUMN())),OFFSET($AM$2,0,0,ROW()-1,33),ROW()-1,FALSE))</f>
        <v>1.6691754999999999E-2</v>
      </c>
      <c r="W375">
        <f ca="1">IF(AND(ISNUMBER($W$773),$B$427=1),$W$773,HLOOKUP(INDIRECT(ADDRESS(2,COLUMN())),OFFSET($AM$2,0,0,ROW()-1,33),ROW()-1,FALSE))</f>
        <v>1.5496207999999999E-2</v>
      </c>
      <c r="X375">
        <f ca="1">IF(AND(ISNUMBER($X$773),$B$427=1),$X$773,HLOOKUP(INDIRECT(ADDRESS(2,COLUMN())),OFFSET($AM$2,0,0,ROW()-1,33),ROW()-1,FALSE))</f>
        <v>0.17739839800000001</v>
      </c>
      <c r="Y375">
        <f ca="1">IF(AND(ISNUMBER($Y$773),$B$427=1),$Y$773,HLOOKUP(INDIRECT(ADDRESS(2,COLUMN())),OFFSET($AM$2,0,0,ROW()-1,33),ROW()-1,FALSE))</f>
        <v>0.15270848000000001</v>
      </c>
      <c r="Z375">
        <f ca="1">IF(AND(ISNUMBER($Z$773),$B$427=1),$Z$773,HLOOKUP(INDIRECT(ADDRESS(2,COLUMN())),OFFSET($AM$2,0,0,ROW()-1,33),ROW()-1,FALSE))</f>
        <v>0.169102212</v>
      </c>
      <c r="AA375">
        <f ca="1">IF(AND(ISNUMBER($AA$773),$B$427=1),$AA$773,HLOOKUP(INDIRECT(ADDRESS(2,COLUMN())),OFFSET($AM$2,0,0,ROW()-1,33),ROW()-1,FALSE))</f>
        <v>0.16434934100000001</v>
      </c>
      <c r="AB375">
        <f ca="1">IF(AND(ISNUMBER($AB$773),$B$427=1),$AB$773,HLOOKUP(INDIRECT(ADDRESS(2,COLUMN())),OFFSET($AM$2,0,0,ROW()-1,33),ROW()-1,FALSE))</f>
        <v>0.22438434299999999</v>
      </c>
      <c r="AC375">
        <f ca="1">IF(AND(ISNUMBER($AC$773),$B$427=1),$AC$773,HLOOKUP(INDIRECT(ADDRESS(2,COLUMN())),OFFSET($AM$2,0,0,ROW()-1,33),ROW()-1,FALSE))</f>
        <v>0.23256885599999999</v>
      </c>
      <c r="AD375" t="str">
        <f ca="1">IF(AND(ISNUMBER($AD$773),$B$427=1),$AD$773,HLOOKUP(INDIRECT(ADDRESS(2,COLUMN())),OFFSET($AM$2,0,0,ROW()-1,33),ROW()-1,FALSE))</f>
        <v/>
      </c>
      <c r="AE375" t="str">
        <f ca="1">IF(AND(ISNUMBER($AE$773),$B$427=1),$AE$773,HLOOKUP(INDIRECT(ADDRESS(2,COLUMN())),OFFSET($AM$2,0,0,ROW()-1,33),ROW()-1,FALSE))</f>
        <v/>
      </c>
      <c r="AF375" t="str">
        <f ca="1">IF(AND(ISNUMBER($AF$773),$B$427=1),$AF$773,HLOOKUP(INDIRECT(ADDRESS(2,COLUMN())),OFFSET($AM$2,0,0,ROW()-1,33),ROW()-1,FALSE))</f>
        <v/>
      </c>
      <c r="AG375" t="str">
        <f ca="1">IF(AND(ISNUMBER($AG$773),$B$427=1),$AG$773,HLOOKUP(INDIRECT(ADDRESS(2,COLUMN())),OFFSET($AM$2,0,0,ROW()-1,33),ROW()-1,FALSE))</f>
        <v/>
      </c>
      <c r="AH375" t="str">
        <f ca="1">IF(AND(ISNUMBER($AH$773),$B$427=1),$AH$773,HLOOKUP(INDIRECT(ADDRESS(2,COLUMN())),OFFSET($AM$2,0,0,ROW()-1,33),ROW()-1,FALSE))</f>
        <v/>
      </c>
      <c r="AI375" t="str">
        <f ca="1">IF(AND(ISNUMBER($AI$773),$B$427=1),$AI$773,HLOOKUP(INDIRECT(ADDRESS(2,COLUMN())),OFFSET($AM$2,0,0,ROW()-1,33),ROW()-1,FALSE))</f>
        <v/>
      </c>
      <c r="AJ375" t="str">
        <f ca="1">IF(AND(ISNUMBER($AJ$773),$B$427=1),$AJ$773,HLOOKUP(INDIRECT(ADDRESS(2,COLUMN())),OFFSET($AM$2,0,0,ROW()-1,33),ROW()-1,FALSE))</f>
        <v/>
      </c>
      <c r="AK375" t="str">
        <f ca="1">IF(AND(ISNUMBER($AK$773),$B$427=1),$AK$773,HLOOKUP(INDIRECT(ADDRESS(2,COLUMN())),OFFSET($AM$2,0,0,ROW()-1,33),ROW()-1,FALSE))</f>
        <v/>
      </c>
      <c r="AL375" t="str">
        <f ca="1">IF(AND(ISNUMBER($AL$773),$B$427=1),$AL$773,HLOOKUP(INDIRECT(ADDRESS(2,COLUMN())),OFFSET($AM$2,0,0,ROW()-1,33),ROW()-1,FALSE))</f>
        <v/>
      </c>
      <c r="AM375" t="str">
        <f>""</f>
        <v/>
      </c>
      <c r="AN375">
        <f>0.078326488</f>
        <v>7.8326488E-2</v>
      </c>
      <c r="AO375">
        <f>0.076774713</f>
        <v>7.6774712999999994E-2</v>
      </c>
      <c r="AP375">
        <f>0.071006878</f>
        <v>7.1006877999999995E-2</v>
      </c>
      <c r="AQ375">
        <f>0.059277956</f>
        <v>5.9277956E-2</v>
      </c>
      <c r="AR375">
        <f>0.045656662</f>
        <v>4.5656662000000001E-2</v>
      </c>
      <c r="AS375">
        <f>0.064175358</f>
        <v>6.4175358000000002E-2</v>
      </c>
      <c r="AT375">
        <f>0.062679219</f>
        <v>6.2679218999999994E-2</v>
      </c>
      <c r="AU375">
        <f>0.102922895</f>
        <v>0.102922895</v>
      </c>
      <c r="AV375">
        <f>0.184063629</f>
        <v>0.18406362900000001</v>
      </c>
      <c r="AW375">
        <f>0.099313644</f>
        <v>9.9313644000000006E-2</v>
      </c>
      <c r="AX375">
        <f>0.158777016</f>
        <v>0.15877701599999999</v>
      </c>
      <c r="AY375">
        <f>0.127002219</f>
        <v>0.127002219</v>
      </c>
      <c r="AZ375">
        <f>0.028911564</f>
        <v>2.8911564000000001E-2</v>
      </c>
      <c r="BA375">
        <f>0.027721009</f>
        <v>2.7721009000000001E-2</v>
      </c>
      <c r="BB375">
        <f>0.019481048</f>
        <v>1.9481048000000001E-2</v>
      </c>
      <c r="BC375">
        <f>0.016691755</f>
        <v>1.6691754999999999E-2</v>
      </c>
      <c r="BD375">
        <f>0.015496208</f>
        <v>1.5496207999999999E-2</v>
      </c>
      <c r="BE375">
        <f>0.177398398</f>
        <v>0.17739839800000001</v>
      </c>
      <c r="BF375">
        <f>0.15270848</f>
        <v>0.15270848000000001</v>
      </c>
      <c r="BG375">
        <f>0.169102212</f>
        <v>0.169102212</v>
      </c>
      <c r="BH375">
        <f>0.164349341</f>
        <v>0.16434934100000001</v>
      </c>
      <c r="BI375">
        <f>0.224384343</f>
        <v>0.22438434299999999</v>
      </c>
      <c r="BJ375">
        <f>0.232568856</f>
        <v>0.23256885599999999</v>
      </c>
      <c r="BK375" t="str">
        <f>""</f>
        <v/>
      </c>
      <c r="BL375" t="str">
        <f>""</f>
        <v/>
      </c>
      <c r="BM375" t="str">
        <f>""</f>
        <v/>
      </c>
      <c r="BN375" t="str">
        <f>""</f>
        <v/>
      </c>
      <c r="BO375" t="str">
        <f>""</f>
        <v/>
      </c>
      <c r="BP375" t="str">
        <f>""</f>
        <v/>
      </c>
      <c r="BQ375" t="str">
        <f>""</f>
        <v/>
      </c>
      <c r="BR375" t="str">
        <f>""</f>
        <v/>
      </c>
      <c r="BS375" t="str">
        <f>""</f>
        <v/>
      </c>
    </row>
    <row r="376" spans="1:71" x14ac:dyDescent="0.25">
      <c r="A376" t="str">
        <f>"        East West Bancorp Inc"</f>
        <v xml:space="preserve">        East West Bancorp Inc</v>
      </c>
      <c r="B376" t="str">
        <f>"EWBC US Equity"</f>
        <v>EWBC US Equity</v>
      </c>
      <c r="C376" t="str">
        <f t="shared" si="51"/>
        <v>F0127</v>
      </c>
      <c r="D376" t="str">
        <f t="shared" si="52"/>
        <v>FED_FARMERS_LOANS_%_TOT_LNS_LEAS</v>
      </c>
      <c r="E376" t="str">
        <f t="shared" si="53"/>
        <v>Dynamic</v>
      </c>
      <c r="F376" t="str">
        <f ca="1">IF(AND(ISNUMBER($F$774),$B$427=1),$F$774,HLOOKUP(INDIRECT(ADDRESS(2,COLUMN())),OFFSET($AM$2,0,0,ROW()-1,33),ROW()-1,FALSE))</f>
        <v/>
      </c>
      <c r="G376">
        <f ca="1">IF(AND(ISNUMBER($G$774),$B$427=1),$G$774,HLOOKUP(INDIRECT(ADDRESS(2,COLUMN())),OFFSET($AM$2,0,0,ROW()-1,33),ROW()-1,FALSE))</f>
        <v>1.2077938E-2</v>
      </c>
      <c r="H376">
        <f ca="1">IF(AND(ISNUMBER($H$774),$B$427=1),$H$774,HLOOKUP(INDIRECT(ADDRESS(2,COLUMN())),OFFSET($AM$2,0,0,ROW()-1,33),ROW()-1,FALSE))</f>
        <v>1.6680390000000001E-3</v>
      </c>
      <c r="I376">
        <f ca="1">IF(AND(ISNUMBER($I$774),$B$427=1),$I$774,HLOOKUP(INDIRECT(ADDRESS(2,COLUMN())),OFFSET($AM$2,0,0,ROW()-1,33),ROW()-1,FALSE))</f>
        <v>2.9335387000000001E-2</v>
      </c>
      <c r="J376">
        <f ca="1">IF(AND(ISNUMBER($J$774),$B$427=1),$J$774,HLOOKUP(INDIRECT(ADDRESS(2,COLUMN())),OFFSET($AM$2,0,0,ROW()-1,33),ROW()-1,FALSE))</f>
        <v>3.7032783999999999E-2</v>
      </c>
      <c r="K376">
        <f ca="1">IF(AND(ISNUMBER($K$774),$B$427=1),$K$774,HLOOKUP(INDIRECT(ADDRESS(2,COLUMN())),OFFSET($AM$2,0,0,ROW()-1,33),ROW()-1,FALSE))</f>
        <v>4.9276900999999998E-2</v>
      </c>
      <c r="L376">
        <f ca="1">IF(AND(ISNUMBER($L$774),$B$427=1),$L$774,HLOOKUP(INDIRECT(ADDRESS(2,COLUMN())),OFFSET($AM$2,0,0,ROW()-1,33),ROW()-1,FALSE))</f>
        <v>6.824737E-3</v>
      </c>
      <c r="M376">
        <f ca="1">IF(AND(ISNUMBER($M$774),$B$427=1),$M$774,HLOOKUP(INDIRECT(ADDRESS(2,COLUMN())),OFFSET($AM$2,0,0,ROW()-1,33),ROW()-1,FALSE))</f>
        <v>4.4444160000000003E-2</v>
      </c>
      <c r="N376">
        <f ca="1">IF(AND(ISNUMBER($N$774),$B$427=1),$N$774,HLOOKUP(INDIRECT(ADDRESS(2,COLUMN())),OFFSET($AM$2,0,0,ROW()-1,33),ROW()-1,FALSE))</f>
        <v>0.356793209</v>
      </c>
      <c r="O376">
        <f ca="1">IF(AND(ISNUMBER($O$774),$B$427=1),$O$774,HLOOKUP(INDIRECT(ADDRESS(2,COLUMN())),OFFSET($AM$2,0,0,ROW()-1,33),ROW()-1,FALSE))</f>
        <v>0.158576193</v>
      </c>
      <c r="P376">
        <f ca="1">IF(AND(ISNUMBER($P$774),$B$427=1),$P$774,HLOOKUP(INDIRECT(ADDRESS(2,COLUMN())),OFFSET($AM$2,0,0,ROW()-1,33),ROW()-1,FALSE))</f>
        <v>5.9067306999999999E-2</v>
      </c>
      <c r="Q376">
        <f ca="1">IF(AND(ISNUMBER($Q$774),$B$427=1),$Q$774,HLOOKUP(INDIRECT(ADDRESS(2,COLUMN())),OFFSET($AM$2,0,0,ROW()-1,33),ROW()-1,FALSE))</f>
        <v>6.4781844000000005E-2</v>
      </c>
      <c r="R376">
        <f ca="1">IF(AND(ISNUMBER($R$774),$B$427=1),$R$774,HLOOKUP(INDIRECT(ADDRESS(2,COLUMN())),OFFSET($AM$2,0,0,ROW()-1,33),ROW()-1,FALSE))</f>
        <v>7.0972875000000005E-2</v>
      </c>
      <c r="S376">
        <f ca="1">IF(AND(ISNUMBER($S$774),$B$427=1),$S$774,HLOOKUP(INDIRECT(ADDRESS(2,COLUMN())),OFFSET($AM$2,0,0,ROW()-1,33),ROW()-1,FALSE))</f>
        <v>0</v>
      </c>
      <c r="T376">
        <f ca="1">IF(AND(ISNUMBER($T$774),$B$427=1),$T$774,HLOOKUP(INDIRECT(ADDRESS(2,COLUMN())),OFFSET($AM$2,0,0,ROW()-1,33),ROW()-1,FALSE))</f>
        <v>0</v>
      </c>
      <c r="U376">
        <f ca="1">IF(AND(ISNUMBER($U$774),$B$427=1),$U$774,HLOOKUP(INDIRECT(ADDRESS(2,COLUMN())),OFFSET($AM$2,0,0,ROW()-1,33),ROW()-1,FALSE))</f>
        <v>0</v>
      </c>
      <c r="V376">
        <f ca="1">IF(AND(ISNUMBER($V$774),$B$427=1),$V$774,HLOOKUP(INDIRECT(ADDRESS(2,COLUMN())),OFFSET($AM$2,0,0,ROW()-1,33),ROW()-1,FALSE))</f>
        <v>0</v>
      </c>
      <c r="W376">
        <f ca="1">IF(AND(ISNUMBER($W$774),$B$427=1),$W$774,HLOOKUP(INDIRECT(ADDRESS(2,COLUMN())),OFFSET($AM$2,0,0,ROW()-1,33),ROW()-1,FALSE))</f>
        <v>0</v>
      </c>
      <c r="X376">
        <f ca="1">IF(AND(ISNUMBER($X$774),$B$427=1),$X$774,HLOOKUP(INDIRECT(ADDRESS(2,COLUMN())),OFFSET($AM$2,0,0,ROW()-1,33),ROW()-1,FALSE))</f>
        <v>0</v>
      </c>
      <c r="Y376">
        <f ca="1">IF(AND(ISNUMBER($Y$774),$B$427=1),$Y$774,HLOOKUP(INDIRECT(ADDRESS(2,COLUMN())),OFFSET($AM$2,0,0,ROW()-1,33),ROW()-1,FALSE))</f>
        <v>0</v>
      </c>
      <c r="Z376">
        <f ca="1">IF(AND(ISNUMBER($Z$774),$B$427=1),$Z$774,HLOOKUP(INDIRECT(ADDRESS(2,COLUMN())),OFFSET($AM$2,0,0,ROW()-1,33),ROW()-1,FALSE))</f>
        <v>0</v>
      </c>
      <c r="AA376">
        <f ca="1">IF(AND(ISNUMBER($AA$774),$B$427=1),$AA$774,HLOOKUP(INDIRECT(ADDRESS(2,COLUMN())),OFFSET($AM$2,0,0,ROW()-1,33),ROW()-1,FALSE))</f>
        <v>0</v>
      </c>
      <c r="AB376">
        <f ca="1">IF(AND(ISNUMBER($AB$774),$B$427=1),$AB$774,HLOOKUP(INDIRECT(ADDRESS(2,COLUMN())),OFFSET($AM$2,0,0,ROW()-1,33),ROW()-1,FALSE))</f>
        <v>0</v>
      </c>
      <c r="AC376">
        <f ca="1">IF(AND(ISNUMBER($AC$774),$B$427=1),$AC$774,HLOOKUP(INDIRECT(ADDRESS(2,COLUMN())),OFFSET($AM$2,0,0,ROW()-1,33),ROW()-1,FALSE))</f>
        <v>0</v>
      </c>
      <c r="AD376" t="str">
        <f ca="1">IF(AND(ISNUMBER($AD$774),$B$427=1),$AD$774,HLOOKUP(INDIRECT(ADDRESS(2,COLUMN())),OFFSET($AM$2,0,0,ROW()-1,33),ROW()-1,FALSE))</f>
        <v/>
      </c>
      <c r="AE376" t="str">
        <f ca="1">IF(AND(ISNUMBER($AE$774),$B$427=1),$AE$774,HLOOKUP(INDIRECT(ADDRESS(2,COLUMN())),OFFSET($AM$2,0,0,ROW()-1,33),ROW()-1,FALSE))</f>
        <v/>
      </c>
      <c r="AF376" t="str">
        <f ca="1">IF(AND(ISNUMBER($AF$774),$B$427=1),$AF$774,HLOOKUP(INDIRECT(ADDRESS(2,COLUMN())),OFFSET($AM$2,0,0,ROW()-1,33),ROW()-1,FALSE))</f>
        <v/>
      </c>
      <c r="AG376" t="str">
        <f ca="1">IF(AND(ISNUMBER($AG$774),$B$427=1),$AG$774,HLOOKUP(INDIRECT(ADDRESS(2,COLUMN())),OFFSET($AM$2,0,0,ROW()-1,33),ROW()-1,FALSE))</f>
        <v/>
      </c>
      <c r="AH376" t="str">
        <f ca="1">IF(AND(ISNUMBER($AH$774),$B$427=1),$AH$774,HLOOKUP(INDIRECT(ADDRESS(2,COLUMN())),OFFSET($AM$2,0,0,ROW()-1,33),ROW()-1,FALSE))</f>
        <v/>
      </c>
      <c r="AI376" t="str">
        <f ca="1">IF(AND(ISNUMBER($AI$774),$B$427=1),$AI$774,HLOOKUP(INDIRECT(ADDRESS(2,COLUMN())),OFFSET($AM$2,0,0,ROW()-1,33),ROW()-1,FALSE))</f>
        <v/>
      </c>
      <c r="AJ376" t="str">
        <f ca="1">IF(AND(ISNUMBER($AJ$774),$B$427=1),$AJ$774,HLOOKUP(INDIRECT(ADDRESS(2,COLUMN())),OFFSET($AM$2,0,0,ROW()-1,33),ROW()-1,FALSE))</f>
        <v/>
      </c>
      <c r="AK376" t="str">
        <f ca="1">IF(AND(ISNUMBER($AK$774),$B$427=1),$AK$774,HLOOKUP(INDIRECT(ADDRESS(2,COLUMN())),OFFSET($AM$2,0,0,ROW()-1,33),ROW()-1,FALSE))</f>
        <v/>
      </c>
      <c r="AL376" t="str">
        <f ca="1">IF(AND(ISNUMBER($AL$774),$B$427=1),$AL$774,HLOOKUP(INDIRECT(ADDRESS(2,COLUMN())),OFFSET($AM$2,0,0,ROW()-1,33),ROW()-1,FALSE))</f>
        <v/>
      </c>
      <c r="AM376" t="str">
        <f>""</f>
        <v/>
      </c>
      <c r="AN376">
        <f>0.012077938</f>
        <v>1.2077938E-2</v>
      </c>
      <c r="AO376">
        <f>0.001668039</f>
        <v>1.6680390000000001E-3</v>
      </c>
      <c r="AP376">
        <f>0.029335387</f>
        <v>2.9335387000000001E-2</v>
      </c>
      <c r="AQ376">
        <f>0.037032784</f>
        <v>3.7032783999999999E-2</v>
      </c>
      <c r="AR376">
        <f>0.049276901</f>
        <v>4.9276900999999998E-2</v>
      </c>
      <c r="AS376">
        <f>0.006824737</f>
        <v>6.824737E-3</v>
      </c>
      <c r="AT376">
        <f>0.04444416</f>
        <v>4.4444160000000003E-2</v>
      </c>
      <c r="AU376">
        <f>0.356793209</f>
        <v>0.356793209</v>
      </c>
      <c r="AV376">
        <f>0.158576193</f>
        <v>0.158576193</v>
      </c>
      <c r="AW376">
        <f>0.059067307</f>
        <v>5.9067306999999999E-2</v>
      </c>
      <c r="AX376">
        <f>0.064781844</f>
        <v>6.4781844000000005E-2</v>
      </c>
      <c r="AY376">
        <f>0.070972875</f>
        <v>7.0972875000000005E-2</v>
      </c>
      <c r="AZ376">
        <f>0</f>
        <v>0</v>
      </c>
      <c r="BA376">
        <f>0</f>
        <v>0</v>
      </c>
      <c r="BB376">
        <f>0</f>
        <v>0</v>
      </c>
      <c r="BC376">
        <f>0</f>
        <v>0</v>
      </c>
      <c r="BD376">
        <f>0</f>
        <v>0</v>
      </c>
      <c r="BE376">
        <f>0</f>
        <v>0</v>
      </c>
      <c r="BF376">
        <f>0</f>
        <v>0</v>
      </c>
      <c r="BG376">
        <f>0</f>
        <v>0</v>
      </c>
      <c r="BH376">
        <f>0</f>
        <v>0</v>
      </c>
      <c r="BI376">
        <f>0</f>
        <v>0</v>
      </c>
      <c r="BJ376">
        <f>0</f>
        <v>0</v>
      </c>
      <c r="BK376" t="str">
        <f>""</f>
        <v/>
      </c>
      <c r="BL376" t="str">
        <f>""</f>
        <v/>
      </c>
      <c r="BM376" t="str">
        <f>""</f>
        <v/>
      </c>
      <c r="BN376" t="str">
        <f>""</f>
        <v/>
      </c>
      <c r="BO376" t="str">
        <f>""</f>
        <v/>
      </c>
      <c r="BP376" t="str">
        <f>""</f>
        <v/>
      </c>
      <c r="BQ376" t="str">
        <f>""</f>
        <v/>
      </c>
      <c r="BR376" t="str">
        <f>""</f>
        <v/>
      </c>
      <c r="BS376" t="str">
        <f>""</f>
        <v/>
      </c>
    </row>
    <row r="377" spans="1:71" x14ac:dyDescent="0.25">
      <c r="A377" t="str">
        <f>"        Fifth Third Bancorp"</f>
        <v xml:space="preserve">        Fifth Third Bancorp</v>
      </c>
      <c r="B377" t="str">
        <f>"FITB US Equity"</f>
        <v>FITB US Equity</v>
      </c>
      <c r="C377" t="str">
        <f t="shared" si="51"/>
        <v>F0127</v>
      </c>
      <c r="D377" t="str">
        <f t="shared" si="52"/>
        <v>FED_FARMERS_LOANS_%_TOT_LNS_LEAS</v>
      </c>
      <c r="E377" t="str">
        <f t="shared" si="53"/>
        <v>Dynamic</v>
      </c>
      <c r="F377">
        <f ca="1">IF(AND(ISNUMBER($F$775),$B$427=1),$F$775,HLOOKUP(INDIRECT(ADDRESS(2,COLUMN())),OFFSET($AM$2,0,0,ROW()-1,33),ROW()-1,FALSE))</f>
        <v>1.4946318E-2</v>
      </c>
      <c r="G377">
        <f ca="1">IF(AND(ISNUMBER($G$775),$B$427=1),$G$775,HLOOKUP(INDIRECT(ADDRESS(2,COLUMN())),OFFSET($AM$2,0,0,ROW()-1,33),ROW()-1,FALSE))</f>
        <v>2.6357854999999999E-2</v>
      </c>
      <c r="H377">
        <f ca="1">IF(AND(ISNUMBER($H$775),$B$427=1),$H$775,HLOOKUP(INDIRECT(ADDRESS(2,COLUMN())),OFFSET($AM$2,0,0,ROW()-1,33),ROW()-1,FALSE))</f>
        <v>2.6562993E-2</v>
      </c>
      <c r="I377">
        <f ca="1">IF(AND(ISNUMBER($I$775),$B$427=1),$I$775,HLOOKUP(INDIRECT(ADDRESS(2,COLUMN())),OFFSET($AM$2,0,0,ROW()-1,33),ROW()-1,FALSE))</f>
        <v>2.3391623E-2</v>
      </c>
      <c r="J377">
        <f ca="1">IF(AND(ISNUMBER($J$775),$B$427=1),$J$775,HLOOKUP(INDIRECT(ADDRESS(2,COLUMN())),OFFSET($AM$2,0,0,ROW()-1,33),ROW()-1,FALSE))</f>
        <v>1.9620742E-2</v>
      </c>
      <c r="K377">
        <f ca="1">IF(AND(ISNUMBER($K$775),$B$427=1),$K$775,HLOOKUP(INDIRECT(ADDRESS(2,COLUMN())),OFFSET($AM$2,0,0,ROW()-1,33),ROW()-1,FALSE))</f>
        <v>1.780232E-2</v>
      </c>
      <c r="L377">
        <f ca="1">IF(AND(ISNUMBER($L$775),$B$427=1),$L$775,HLOOKUP(INDIRECT(ADDRESS(2,COLUMN())),OFFSET($AM$2,0,0,ROW()-1,33),ROW()-1,FALSE))</f>
        <v>3.7947017E-2</v>
      </c>
      <c r="M377">
        <f ca="1">IF(AND(ISNUMBER($M$775),$B$427=1),$M$775,HLOOKUP(INDIRECT(ADDRESS(2,COLUMN())),OFFSET($AM$2,0,0,ROW()-1,33),ROW()-1,FALSE))</f>
        <v>4.7589168000000001E-2</v>
      </c>
      <c r="N377">
        <f ca="1">IF(AND(ISNUMBER($N$775),$B$427=1),$N$775,HLOOKUP(INDIRECT(ADDRESS(2,COLUMN())),OFFSET($AM$2,0,0,ROW()-1,33),ROW()-1,FALSE))</f>
        <v>5.7273119999999997E-2</v>
      </c>
      <c r="O377">
        <f ca="1">IF(AND(ISNUMBER($O$775),$B$427=1),$O$775,HLOOKUP(INDIRECT(ADDRESS(2,COLUMN())),OFFSET($AM$2,0,0,ROW()-1,33),ROW()-1,FALSE))</f>
        <v>9.0502345999999997E-2</v>
      </c>
      <c r="P377">
        <f ca="1">IF(AND(ISNUMBER($P$775),$B$427=1),$P$775,HLOOKUP(INDIRECT(ADDRESS(2,COLUMN())),OFFSET($AM$2,0,0,ROW()-1,33),ROW()-1,FALSE))</f>
        <v>0.11997279</v>
      </c>
      <c r="Q377">
        <f ca="1">IF(AND(ISNUMBER($Q$775),$B$427=1),$Q$775,HLOOKUP(INDIRECT(ADDRESS(2,COLUMN())),OFFSET($AM$2,0,0,ROW()-1,33),ROW()-1,FALSE))</f>
        <v>8.9439347000000002E-2</v>
      </c>
      <c r="R377">
        <f ca="1">IF(AND(ISNUMBER($R$775),$B$427=1),$R$775,HLOOKUP(INDIRECT(ADDRESS(2,COLUMN())),OFFSET($AM$2,0,0,ROW()-1,33),ROW()-1,FALSE))</f>
        <v>0.121939199</v>
      </c>
      <c r="S377">
        <f ca="1">IF(AND(ISNUMBER($S$775),$B$427=1),$S$775,HLOOKUP(INDIRECT(ADDRESS(2,COLUMN())),OFFSET($AM$2,0,0,ROW()-1,33),ROW()-1,FALSE))</f>
        <v>0.178293488</v>
      </c>
      <c r="T377">
        <f ca="1">IF(AND(ISNUMBER($T$775),$B$427=1),$T$775,HLOOKUP(INDIRECT(ADDRESS(2,COLUMN())),OFFSET($AM$2,0,0,ROW()-1,33),ROW()-1,FALSE))</f>
        <v>0.30413035399999999</v>
      </c>
      <c r="U377">
        <f ca="1">IF(AND(ISNUMBER($U$775),$B$427=1),$U$775,HLOOKUP(INDIRECT(ADDRESS(2,COLUMN())),OFFSET($AM$2,0,0,ROW()-1,33),ROW()-1,FALSE))</f>
        <v>0.46241490000000002</v>
      </c>
      <c r="V377">
        <f ca="1">IF(AND(ISNUMBER($V$775),$B$427=1),$V$775,HLOOKUP(INDIRECT(ADDRESS(2,COLUMN())),OFFSET($AM$2,0,0,ROW()-1,33),ROW()-1,FALSE))</f>
        <v>0.45624231300000001</v>
      </c>
      <c r="W377">
        <f ca="1">IF(AND(ISNUMBER($W$775),$B$427=1),$W$775,HLOOKUP(INDIRECT(ADDRESS(2,COLUMN())),OFFSET($AM$2,0,0,ROW()-1,33),ROW()-1,FALSE))</f>
        <v>0.40600936900000001</v>
      </c>
      <c r="X377">
        <f ca="1">IF(AND(ISNUMBER($X$775),$B$427=1),$X$775,HLOOKUP(INDIRECT(ADDRESS(2,COLUMN())),OFFSET($AM$2,0,0,ROW()-1,33),ROW()-1,FALSE))</f>
        <v>0.42400616600000002</v>
      </c>
      <c r="Y377">
        <f ca="1">IF(AND(ISNUMBER($Y$775),$B$427=1),$Y$775,HLOOKUP(INDIRECT(ADDRESS(2,COLUMN())),OFFSET($AM$2,0,0,ROW()-1,33),ROW()-1,FALSE))</f>
        <v>0.46193303499999999</v>
      </c>
      <c r="Z377">
        <f ca="1">IF(AND(ISNUMBER($Z$775),$B$427=1),$Z$775,HLOOKUP(INDIRECT(ADDRESS(2,COLUMN())),OFFSET($AM$2,0,0,ROW()-1,33),ROW()-1,FALSE))</f>
        <v>0.46618049099999997</v>
      </c>
      <c r="AA377">
        <f ca="1">IF(AND(ISNUMBER($AA$775),$B$427=1),$AA$775,HLOOKUP(INDIRECT(ADDRESS(2,COLUMN())),OFFSET($AM$2,0,0,ROW()-1,33),ROW()-1,FALSE))</f>
        <v>0.479416593</v>
      </c>
      <c r="AB377">
        <f ca="1">IF(AND(ISNUMBER($AB$775),$B$427=1),$AB$775,HLOOKUP(INDIRECT(ADDRESS(2,COLUMN())),OFFSET($AM$2,0,0,ROW()-1,33),ROW()-1,FALSE))</f>
        <v>0.50241944900000002</v>
      </c>
      <c r="AC377">
        <f ca="1">IF(AND(ISNUMBER($AC$775),$B$427=1),$AC$775,HLOOKUP(INDIRECT(ADDRESS(2,COLUMN())),OFFSET($AM$2,0,0,ROW()-1,33),ROW()-1,FALSE))</f>
        <v>0.44396876000000002</v>
      </c>
      <c r="AD377" t="str">
        <f ca="1">IF(AND(ISNUMBER($AD$775),$B$427=1),$AD$775,HLOOKUP(INDIRECT(ADDRESS(2,COLUMN())),OFFSET($AM$2,0,0,ROW()-1,33),ROW()-1,FALSE))</f>
        <v/>
      </c>
      <c r="AE377" t="str">
        <f ca="1">IF(AND(ISNUMBER($AE$775),$B$427=1),$AE$775,HLOOKUP(INDIRECT(ADDRESS(2,COLUMN())),OFFSET($AM$2,0,0,ROW()-1,33),ROW()-1,FALSE))</f>
        <v/>
      </c>
      <c r="AF377" t="str">
        <f ca="1">IF(AND(ISNUMBER($AF$775),$B$427=1),$AF$775,HLOOKUP(INDIRECT(ADDRESS(2,COLUMN())),OFFSET($AM$2,0,0,ROW()-1,33),ROW()-1,FALSE))</f>
        <v/>
      </c>
      <c r="AG377" t="str">
        <f ca="1">IF(AND(ISNUMBER($AG$775),$B$427=1),$AG$775,HLOOKUP(INDIRECT(ADDRESS(2,COLUMN())),OFFSET($AM$2,0,0,ROW()-1,33),ROW()-1,FALSE))</f>
        <v/>
      </c>
      <c r="AH377" t="str">
        <f ca="1">IF(AND(ISNUMBER($AH$775),$B$427=1),$AH$775,HLOOKUP(INDIRECT(ADDRESS(2,COLUMN())),OFFSET($AM$2,0,0,ROW()-1,33),ROW()-1,FALSE))</f>
        <v/>
      </c>
      <c r="AI377" t="str">
        <f ca="1">IF(AND(ISNUMBER($AI$775),$B$427=1),$AI$775,HLOOKUP(INDIRECT(ADDRESS(2,COLUMN())),OFFSET($AM$2,0,0,ROW()-1,33),ROW()-1,FALSE))</f>
        <v/>
      </c>
      <c r="AJ377" t="str">
        <f ca="1">IF(AND(ISNUMBER($AJ$775),$B$427=1),$AJ$775,HLOOKUP(INDIRECT(ADDRESS(2,COLUMN())),OFFSET($AM$2,0,0,ROW()-1,33),ROW()-1,FALSE))</f>
        <v/>
      </c>
      <c r="AK377" t="str">
        <f ca="1">IF(AND(ISNUMBER($AK$775),$B$427=1),$AK$775,HLOOKUP(INDIRECT(ADDRESS(2,COLUMN())),OFFSET($AM$2,0,0,ROW()-1,33),ROW()-1,FALSE))</f>
        <v/>
      </c>
      <c r="AL377" t="str">
        <f ca="1">IF(AND(ISNUMBER($AL$775),$B$427=1),$AL$775,HLOOKUP(INDIRECT(ADDRESS(2,COLUMN())),OFFSET($AM$2,0,0,ROW()-1,33),ROW()-1,FALSE))</f>
        <v/>
      </c>
      <c r="AM377">
        <f>0.014946318</f>
        <v>1.4946318E-2</v>
      </c>
      <c r="AN377">
        <f>0.026357855</f>
        <v>2.6357854999999999E-2</v>
      </c>
      <c r="AO377">
        <f>0.026562993</f>
        <v>2.6562993E-2</v>
      </c>
      <c r="AP377">
        <f>0.023391623</f>
        <v>2.3391623E-2</v>
      </c>
      <c r="AQ377">
        <f>0.019620742</f>
        <v>1.9620742E-2</v>
      </c>
      <c r="AR377">
        <f>0.01780232</f>
        <v>1.780232E-2</v>
      </c>
      <c r="AS377">
        <f>0.037947017</f>
        <v>3.7947017E-2</v>
      </c>
      <c r="AT377">
        <f>0.047589168</f>
        <v>4.7589168000000001E-2</v>
      </c>
      <c r="AU377">
        <f>0.05727312</f>
        <v>5.7273119999999997E-2</v>
      </c>
      <c r="AV377">
        <f>0.090502346</f>
        <v>9.0502345999999997E-2</v>
      </c>
      <c r="AW377">
        <f>0.11997279</f>
        <v>0.11997279</v>
      </c>
      <c r="AX377">
        <f>0.089439347</f>
        <v>8.9439347000000002E-2</v>
      </c>
      <c r="AY377">
        <f>0.121939199</f>
        <v>0.121939199</v>
      </c>
      <c r="AZ377">
        <f>0.178293488</f>
        <v>0.178293488</v>
      </c>
      <c r="BA377">
        <f>0.304130354</f>
        <v>0.30413035399999999</v>
      </c>
      <c r="BB377">
        <f>0.4624149</f>
        <v>0.46241490000000002</v>
      </c>
      <c r="BC377">
        <f>0.456242313</f>
        <v>0.45624231300000001</v>
      </c>
      <c r="BD377">
        <f>0.406009369</f>
        <v>0.40600936900000001</v>
      </c>
      <c r="BE377">
        <f>0.424006166</f>
        <v>0.42400616600000002</v>
      </c>
      <c r="BF377">
        <f>0.461933035</f>
        <v>0.46193303499999999</v>
      </c>
      <c r="BG377">
        <f>0.466180491</f>
        <v>0.46618049099999997</v>
      </c>
      <c r="BH377">
        <f>0.479416593</f>
        <v>0.479416593</v>
      </c>
      <c r="BI377">
        <f>0.502419449</f>
        <v>0.50241944900000002</v>
      </c>
      <c r="BJ377">
        <f>0.44396876</f>
        <v>0.44396876000000002</v>
      </c>
      <c r="BK377" t="str">
        <f>""</f>
        <v/>
      </c>
      <c r="BL377" t="str">
        <f>""</f>
        <v/>
      </c>
      <c r="BM377" t="str">
        <f>""</f>
        <v/>
      </c>
      <c r="BN377" t="str">
        <f>""</f>
        <v/>
      </c>
      <c r="BO377" t="str">
        <f>""</f>
        <v/>
      </c>
      <c r="BP377" t="str">
        <f>""</f>
        <v/>
      </c>
      <c r="BQ377" t="str">
        <f>""</f>
        <v/>
      </c>
      <c r="BR377" t="str">
        <f>""</f>
        <v/>
      </c>
      <c r="BS377" t="str">
        <f>""</f>
        <v/>
      </c>
    </row>
    <row r="378" spans="1:71" x14ac:dyDescent="0.25">
      <c r="A378" t="str">
        <f>"        First Citizens BancShares Inc/"</f>
        <v xml:space="preserve">        First Citizens BancShares Inc/</v>
      </c>
      <c r="B378" t="str">
        <f>"FCNCA US Equity"</f>
        <v>FCNCA US Equity</v>
      </c>
      <c r="C378" t="str">
        <f t="shared" si="51"/>
        <v>F0127</v>
      </c>
      <c r="D378" t="str">
        <f t="shared" si="52"/>
        <v>FED_FARMERS_LOANS_%_TOT_LNS_LEAS</v>
      </c>
      <c r="E378" t="str">
        <f t="shared" si="53"/>
        <v>Dynamic</v>
      </c>
      <c r="F378">
        <f ca="1">IF(AND(ISNUMBER($F$776),$B$427=1),$F$776,HLOOKUP(INDIRECT(ADDRESS(2,COLUMN())),OFFSET($AM$2,0,0,ROW()-1,33),ROW()-1,FALSE))</f>
        <v>0.292937428</v>
      </c>
      <c r="G378">
        <f ca="1">IF(AND(ISNUMBER($G$776),$B$427=1),$G$776,HLOOKUP(INDIRECT(ADDRESS(2,COLUMN())),OFFSET($AM$2,0,0,ROW()-1,33),ROW()-1,FALSE))</f>
        <v>0.26125548599999998</v>
      </c>
      <c r="H378">
        <f ca="1">IF(AND(ISNUMBER($H$776),$B$427=1),$H$776,HLOOKUP(INDIRECT(ADDRESS(2,COLUMN())),OFFSET($AM$2,0,0,ROW()-1,33),ROW()-1,FALSE))</f>
        <v>0.44760852699999998</v>
      </c>
      <c r="I378">
        <f ca="1">IF(AND(ISNUMBER($I$776),$B$427=1),$I$776,HLOOKUP(INDIRECT(ADDRESS(2,COLUMN())),OFFSET($AM$2,0,0,ROW()-1,33),ROW()-1,FALSE))</f>
        <v>0.63609278400000002</v>
      </c>
      <c r="J378">
        <f ca="1">IF(AND(ISNUMBER($J$776),$B$427=1),$J$776,HLOOKUP(INDIRECT(ADDRESS(2,COLUMN())),OFFSET($AM$2,0,0,ROW()-1,33),ROW()-1,FALSE))</f>
        <v>0.72284642899999996</v>
      </c>
      <c r="K378">
        <f ca="1">IF(AND(ISNUMBER($K$776),$B$427=1),$K$776,HLOOKUP(INDIRECT(ADDRESS(2,COLUMN())),OFFSET($AM$2,0,0,ROW()-1,33),ROW()-1,FALSE))</f>
        <v>0.72165658899999996</v>
      </c>
      <c r="L378">
        <f ca="1">IF(AND(ISNUMBER($L$776),$B$427=1),$L$776,HLOOKUP(INDIRECT(ADDRESS(2,COLUMN())),OFFSET($AM$2,0,0,ROW()-1,33),ROW()-1,FALSE))</f>
        <v>0.72574441499999998</v>
      </c>
      <c r="M378">
        <f ca="1">IF(AND(ISNUMBER($M$776),$B$427=1),$M$776,HLOOKUP(INDIRECT(ADDRESS(2,COLUMN())),OFFSET($AM$2,0,0,ROW()-1,33),ROW()-1,FALSE))</f>
        <v>0.61846234499999997</v>
      </c>
      <c r="N378">
        <f ca="1">IF(AND(ISNUMBER($N$776),$B$427=1),$N$776,HLOOKUP(INDIRECT(ADDRESS(2,COLUMN())),OFFSET($AM$2,0,0,ROW()-1,33),ROW()-1,FALSE))</f>
        <v>0.52854632899999998</v>
      </c>
      <c r="O378">
        <f ca="1">IF(AND(ISNUMBER($O$776),$B$427=1),$O$776,HLOOKUP(INDIRECT(ADDRESS(2,COLUMN())),OFFSET($AM$2,0,0,ROW()-1,33),ROW()-1,FALSE))</f>
        <v>0.54541049699999999</v>
      </c>
      <c r="P378">
        <f ca="1">IF(AND(ISNUMBER($P$776),$B$427=1),$P$776,HLOOKUP(INDIRECT(ADDRESS(2,COLUMN())),OFFSET($AM$2,0,0,ROW()-1,33),ROW()-1,FALSE))</f>
        <v>0.49211600799999999</v>
      </c>
      <c r="Q378">
        <f ca="1">IF(AND(ISNUMBER($Q$776),$B$427=1),$Q$776,HLOOKUP(INDIRECT(ADDRESS(2,COLUMN())),OFFSET($AM$2,0,0,ROW()-1,33),ROW()-1,FALSE))</f>
        <v>0.57143633199999999</v>
      </c>
      <c r="R378">
        <f ca="1">IF(AND(ISNUMBER($R$776),$B$427=1),$R$776,HLOOKUP(INDIRECT(ADDRESS(2,COLUMN())),OFFSET($AM$2,0,0,ROW()-1,33),ROW()-1,FALSE))</f>
        <v>0.69879168000000003</v>
      </c>
      <c r="S378">
        <f ca="1">IF(AND(ISNUMBER($S$776),$B$427=1),$S$776,HLOOKUP(INDIRECT(ADDRESS(2,COLUMN())),OFFSET($AM$2,0,0,ROW()-1,33),ROW()-1,FALSE))</f>
        <v>0.80763288</v>
      </c>
      <c r="T378">
        <f ca="1">IF(AND(ISNUMBER($T$776),$B$427=1),$T$776,HLOOKUP(INDIRECT(ADDRESS(2,COLUMN())),OFFSET($AM$2,0,0,ROW()-1,33),ROW()-1,FALSE))</f>
        <v>0.99602554700000001</v>
      </c>
      <c r="U378">
        <f ca="1">IF(AND(ISNUMBER($U$776),$B$427=1),$U$776,HLOOKUP(INDIRECT(ADDRESS(2,COLUMN())),OFFSET($AM$2,0,0,ROW()-1,33),ROW()-1,FALSE))</f>
        <v>1.257818927</v>
      </c>
      <c r="V378">
        <f ca="1">IF(AND(ISNUMBER($V$776),$B$427=1),$V$776,HLOOKUP(INDIRECT(ADDRESS(2,COLUMN())),OFFSET($AM$2,0,0,ROW()-1,33),ROW()-1,FALSE))</f>
        <v>1.45853608</v>
      </c>
      <c r="W378">
        <f ca="1">IF(AND(ISNUMBER($W$776),$B$427=1),$W$776,HLOOKUP(INDIRECT(ADDRESS(2,COLUMN())),OFFSET($AM$2,0,0,ROW()-1,33),ROW()-1,FALSE))</f>
        <v>1.7695886430000001</v>
      </c>
      <c r="X378">
        <f ca="1">IF(AND(ISNUMBER($X$776),$B$427=1),$X$776,HLOOKUP(INDIRECT(ADDRESS(2,COLUMN())),OFFSET($AM$2,0,0,ROW()-1,33),ROW()-1,FALSE))</f>
        <v>2.0423063469999998</v>
      </c>
      <c r="Y378">
        <f ca="1">IF(AND(ISNUMBER($Y$776),$B$427=1),$Y$776,HLOOKUP(INDIRECT(ADDRESS(2,COLUMN())),OFFSET($AM$2,0,0,ROW()-1,33),ROW()-1,FALSE))</f>
        <v>1.41386586</v>
      </c>
      <c r="Z378">
        <f ca="1">IF(AND(ISNUMBER($Z$776),$B$427=1),$Z$776,HLOOKUP(INDIRECT(ADDRESS(2,COLUMN())),OFFSET($AM$2,0,0,ROW()-1,33),ROW()-1,FALSE))</f>
        <v>0.66650011399999998</v>
      </c>
      <c r="AA378">
        <f ca="1">IF(AND(ISNUMBER($AA$776),$B$427=1),$AA$776,HLOOKUP(INDIRECT(ADDRESS(2,COLUMN())),OFFSET($AM$2,0,0,ROW()-1,33),ROW()-1,FALSE))</f>
        <v>0.692179447</v>
      </c>
      <c r="AB378">
        <f ca="1">IF(AND(ISNUMBER($AB$776),$B$427=1),$AB$776,HLOOKUP(INDIRECT(ADDRESS(2,COLUMN())),OFFSET($AM$2,0,0,ROW()-1,33),ROW()-1,FALSE))</f>
        <v>0.78040613599999997</v>
      </c>
      <c r="AC378">
        <f ca="1">IF(AND(ISNUMBER($AC$776),$B$427=1),$AC$776,HLOOKUP(INDIRECT(ADDRESS(2,COLUMN())),OFFSET($AM$2,0,0,ROW()-1,33),ROW()-1,FALSE))</f>
        <v>0.71718636199999997</v>
      </c>
      <c r="AD378" t="str">
        <f ca="1">IF(AND(ISNUMBER($AD$776),$B$427=1),$AD$776,HLOOKUP(INDIRECT(ADDRESS(2,COLUMN())),OFFSET($AM$2,0,0,ROW()-1,33),ROW()-1,FALSE))</f>
        <v/>
      </c>
      <c r="AE378" t="str">
        <f ca="1">IF(AND(ISNUMBER($AE$776),$B$427=1),$AE$776,HLOOKUP(INDIRECT(ADDRESS(2,COLUMN())),OFFSET($AM$2,0,0,ROW()-1,33),ROW()-1,FALSE))</f>
        <v/>
      </c>
      <c r="AF378" t="str">
        <f ca="1">IF(AND(ISNUMBER($AF$776),$B$427=1),$AF$776,HLOOKUP(INDIRECT(ADDRESS(2,COLUMN())),OFFSET($AM$2,0,0,ROW()-1,33),ROW()-1,FALSE))</f>
        <v/>
      </c>
      <c r="AG378" t="str">
        <f ca="1">IF(AND(ISNUMBER($AG$776),$B$427=1),$AG$776,HLOOKUP(INDIRECT(ADDRESS(2,COLUMN())),OFFSET($AM$2,0,0,ROW()-1,33),ROW()-1,FALSE))</f>
        <v/>
      </c>
      <c r="AH378" t="str">
        <f ca="1">IF(AND(ISNUMBER($AH$776),$B$427=1),$AH$776,HLOOKUP(INDIRECT(ADDRESS(2,COLUMN())),OFFSET($AM$2,0,0,ROW()-1,33),ROW()-1,FALSE))</f>
        <v/>
      </c>
      <c r="AI378" t="str">
        <f ca="1">IF(AND(ISNUMBER($AI$776),$B$427=1),$AI$776,HLOOKUP(INDIRECT(ADDRESS(2,COLUMN())),OFFSET($AM$2,0,0,ROW()-1,33),ROW()-1,FALSE))</f>
        <v/>
      </c>
      <c r="AJ378" t="str">
        <f ca="1">IF(AND(ISNUMBER($AJ$776),$B$427=1),$AJ$776,HLOOKUP(INDIRECT(ADDRESS(2,COLUMN())),OFFSET($AM$2,0,0,ROW()-1,33),ROW()-1,FALSE))</f>
        <v/>
      </c>
      <c r="AK378" t="str">
        <f ca="1">IF(AND(ISNUMBER($AK$776),$B$427=1),$AK$776,HLOOKUP(INDIRECT(ADDRESS(2,COLUMN())),OFFSET($AM$2,0,0,ROW()-1,33),ROW()-1,FALSE))</f>
        <v/>
      </c>
      <c r="AL378" t="str">
        <f ca="1">IF(AND(ISNUMBER($AL$776),$B$427=1),$AL$776,HLOOKUP(INDIRECT(ADDRESS(2,COLUMN())),OFFSET($AM$2,0,0,ROW()-1,33),ROW()-1,FALSE))</f>
        <v/>
      </c>
      <c r="AM378">
        <f>0.292937428</f>
        <v>0.292937428</v>
      </c>
      <c r="AN378">
        <f>0.261255486</f>
        <v>0.26125548599999998</v>
      </c>
      <c r="AO378">
        <f>0.447608527</f>
        <v>0.44760852699999998</v>
      </c>
      <c r="AP378">
        <f>0.636092784</f>
        <v>0.63609278400000002</v>
      </c>
      <c r="AQ378">
        <f>0.722846429</f>
        <v>0.72284642899999996</v>
      </c>
      <c r="AR378">
        <f>0.721656589</f>
        <v>0.72165658899999996</v>
      </c>
      <c r="AS378">
        <f>0.725744415</f>
        <v>0.72574441499999998</v>
      </c>
      <c r="AT378">
        <f>0.618462345</f>
        <v>0.61846234499999997</v>
      </c>
      <c r="AU378">
        <f>0.528546329</f>
        <v>0.52854632899999998</v>
      </c>
      <c r="AV378">
        <f>0.545410497</f>
        <v>0.54541049699999999</v>
      </c>
      <c r="AW378">
        <f>0.492116008</f>
        <v>0.49211600799999999</v>
      </c>
      <c r="AX378">
        <f>0.571436332</f>
        <v>0.57143633199999999</v>
      </c>
      <c r="AY378">
        <f>0.69879168</f>
        <v>0.69879168000000003</v>
      </c>
      <c r="AZ378">
        <f>0.80763288</f>
        <v>0.80763288</v>
      </c>
      <c r="BA378">
        <f>0.996025547</f>
        <v>0.99602554700000001</v>
      </c>
      <c r="BB378">
        <f>1.257818927</f>
        <v>1.257818927</v>
      </c>
      <c r="BC378">
        <f>1.45853608</f>
        <v>1.45853608</v>
      </c>
      <c r="BD378">
        <f>1.769588643</f>
        <v>1.7695886430000001</v>
      </c>
      <c r="BE378">
        <f>2.042306347</f>
        <v>2.0423063469999998</v>
      </c>
      <c r="BF378">
        <f>1.41386586</f>
        <v>1.41386586</v>
      </c>
      <c r="BG378">
        <f>0.666500114</f>
        <v>0.66650011399999998</v>
      </c>
      <c r="BH378">
        <f>0.692179447</f>
        <v>0.692179447</v>
      </c>
      <c r="BI378">
        <f>0.780406136</f>
        <v>0.78040613599999997</v>
      </c>
      <c r="BJ378">
        <f>0.717186362</f>
        <v>0.71718636199999997</v>
      </c>
      <c r="BK378" t="str">
        <f>""</f>
        <v/>
      </c>
      <c r="BL378" t="str">
        <f>""</f>
        <v/>
      </c>
      <c r="BM378" t="str">
        <f>""</f>
        <v/>
      </c>
      <c r="BN378" t="str">
        <f>""</f>
        <v/>
      </c>
      <c r="BO378" t="str">
        <f>""</f>
        <v/>
      </c>
      <c r="BP378" t="str">
        <f>""</f>
        <v/>
      </c>
      <c r="BQ378" t="str">
        <f>""</f>
        <v/>
      </c>
      <c r="BR378" t="str">
        <f>""</f>
        <v/>
      </c>
      <c r="BS378" t="str">
        <f>""</f>
        <v/>
      </c>
    </row>
    <row r="379" spans="1:71" x14ac:dyDescent="0.25">
      <c r="A379" t="str">
        <f>"        Flagstar Financial Inc"</f>
        <v xml:space="preserve">        Flagstar Financial Inc</v>
      </c>
      <c r="B379" t="str">
        <f>"FLG US Equity"</f>
        <v>FLG US Equity</v>
      </c>
      <c r="C379" t="str">
        <f t="shared" si="51"/>
        <v>F0127</v>
      </c>
      <c r="D379" t="str">
        <f t="shared" si="52"/>
        <v>FED_FARMERS_LOANS_%_TOT_LNS_LEAS</v>
      </c>
      <c r="E379" t="str">
        <f t="shared" si="53"/>
        <v>Dynamic</v>
      </c>
      <c r="F379">
        <f ca="1">IF(AND(ISNUMBER($F$777),$B$427=1),$F$777,HLOOKUP(INDIRECT(ADDRESS(2,COLUMN())),OFFSET($AM$2,0,0,ROW()-1,33),ROW()-1,FALSE))</f>
        <v>1.44568E-5</v>
      </c>
      <c r="G379">
        <f ca="1">IF(AND(ISNUMBER($G$777),$B$427=1),$G$777,HLOOKUP(INDIRECT(ADDRESS(2,COLUMN())),OFFSET($AM$2,0,0,ROW()-1,33),ROW()-1,FALSE))</f>
        <v>1.8647800000000001E-5</v>
      </c>
      <c r="H379">
        <f ca="1">IF(AND(ISNUMBER($H$777),$B$427=1),$H$777,HLOOKUP(INDIRECT(ADDRESS(2,COLUMN())),OFFSET($AM$2,0,0,ROW()-1,33),ROW()-1,FALSE))</f>
        <v>3.8507200000000003E-5</v>
      </c>
      <c r="I379">
        <f ca="1">IF(AND(ISNUMBER($I$777),$B$427=1),$I$777,HLOOKUP(INDIRECT(ADDRESS(2,COLUMN())),OFFSET($AM$2,0,0,ROW()-1,33),ROW()-1,FALSE))</f>
        <v>0</v>
      </c>
      <c r="J379">
        <f ca="1">IF(AND(ISNUMBER($J$777),$B$427=1),$J$777,HLOOKUP(INDIRECT(ADDRESS(2,COLUMN())),OFFSET($AM$2,0,0,ROW()-1,33),ROW()-1,FALSE))</f>
        <v>0</v>
      </c>
      <c r="K379">
        <f ca="1">IF(AND(ISNUMBER($K$777),$B$427=1),$K$777,HLOOKUP(INDIRECT(ADDRESS(2,COLUMN())),OFFSET($AM$2,0,0,ROW()-1,33),ROW()-1,FALSE))</f>
        <v>0</v>
      </c>
      <c r="L379">
        <f ca="1">IF(AND(ISNUMBER($L$777),$B$427=1),$L$777,HLOOKUP(INDIRECT(ADDRESS(2,COLUMN())),OFFSET($AM$2,0,0,ROW()-1,33),ROW()-1,FALSE))</f>
        <v>0</v>
      </c>
      <c r="M379">
        <f ca="1">IF(AND(ISNUMBER($M$777),$B$427=1),$M$777,HLOOKUP(INDIRECT(ADDRESS(2,COLUMN())),OFFSET($AM$2,0,0,ROW()-1,33),ROW()-1,FALSE))</f>
        <v>0</v>
      </c>
      <c r="N379">
        <f ca="1">IF(AND(ISNUMBER($N$777),$B$427=1),$N$777,HLOOKUP(INDIRECT(ADDRESS(2,COLUMN())),OFFSET($AM$2,0,0,ROW()-1,33),ROW()-1,FALSE))</f>
        <v>0</v>
      </c>
      <c r="O379">
        <f ca="1">IF(AND(ISNUMBER($O$777),$B$427=1),$O$777,HLOOKUP(INDIRECT(ADDRESS(2,COLUMN())),OFFSET($AM$2,0,0,ROW()-1,33),ROW()-1,FALSE))</f>
        <v>0</v>
      </c>
      <c r="P379">
        <f ca="1">IF(AND(ISNUMBER($P$777),$B$427=1),$P$777,HLOOKUP(INDIRECT(ADDRESS(2,COLUMN())),OFFSET($AM$2,0,0,ROW()-1,33),ROW()-1,FALSE))</f>
        <v>0</v>
      </c>
      <c r="Q379">
        <f ca="1">IF(AND(ISNUMBER($Q$777),$B$427=1),$Q$777,HLOOKUP(INDIRECT(ADDRESS(2,COLUMN())),OFFSET($AM$2,0,0,ROW()-1,33),ROW()-1,FALSE))</f>
        <v>0</v>
      </c>
      <c r="R379">
        <f ca="1">IF(AND(ISNUMBER($R$777),$B$427=1),$R$777,HLOOKUP(INDIRECT(ADDRESS(2,COLUMN())),OFFSET($AM$2,0,0,ROW()-1,33),ROW()-1,FALSE))</f>
        <v>0</v>
      </c>
      <c r="S379">
        <f ca="1">IF(AND(ISNUMBER($S$777),$B$427=1),$S$777,HLOOKUP(INDIRECT(ADDRESS(2,COLUMN())),OFFSET($AM$2,0,0,ROW()-1,33),ROW()-1,FALSE))</f>
        <v>0</v>
      </c>
      <c r="T379">
        <f ca="1">IF(AND(ISNUMBER($T$777),$B$427=1),$T$777,HLOOKUP(INDIRECT(ADDRESS(2,COLUMN())),OFFSET($AM$2,0,0,ROW()-1,33),ROW()-1,FALSE))</f>
        <v>0</v>
      </c>
      <c r="U379">
        <f ca="1">IF(AND(ISNUMBER($U$777),$B$427=1),$U$777,HLOOKUP(INDIRECT(ADDRESS(2,COLUMN())),OFFSET($AM$2,0,0,ROW()-1,33),ROW()-1,FALSE))</f>
        <v>0</v>
      </c>
      <c r="V379">
        <f ca="1">IF(AND(ISNUMBER($V$777),$B$427=1),$V$777,HLOOKUP(INDIRECT(ADDRESS(2,COLUMN())),OFFSET($AM$2,0,0,ROW()-1,33),ROW()-1,FALSE))</f>
        <v>0</v>
      </c>
      <c r="W379">
        <f ca="1">IF(AND(ISNUMBER($W$777),$B$427=1),$W$777,HLOOKUP(INDIRECT(ADDRESS(2,COLUMN())),OFFSET($AM$2,0,0,ROW()-1,33),ROW()-1,FALSE))</f>
        <v>0</v>
      </c>
      <c r="X379">
        <f ca="1">IF(AND(ISNUMBER($X$777),$B$427=1),$X$777,HLOOKUP(INDIRECT(ADDRESS(2,COLUMN())),OFFSET($AM$2,0,0,ROW()-1,33),ROW()-1,FALSE))</f>
        <v>0</v>
      </c>
      <c r="Y379">
        <f ca="1">IF(AND(ISNUMBER($Y$777),$B$427=1),$Y$777,HLOOKUP(INDIRECT(ADDRESS(2,COLUMN())),OFFSET($AM$2,0,0,ROW()-1,33),ROW()-1,FALSE))</f>
        <v>0</v>
      </c>
      <c r="Z379">
        <f ca="1">IF(AND(ISNUMBER($Z$777),$B$427=1),$Z$777,HLOOKUP(INDIRECT(ADDRESS(2,COLUMN())),OFFSET($AM$2,0,0,ROW()-1,33),ROW()-1,FALSE))</f>
        <v>0</v>
      </c>
      <c r="AA379">
        <f ca="1">IF(AND(ISNUMBER($AA$777),$B$427=1),$AA$777,HLOOKUP(INDIRECT(ADDRESS(2,COLUMN())),OFFSET($AM$2,0,0,ROW()-1,33),ROW()-1,FALSE))</f>
        <v>0</v>
      </c>
      <c r="AB379">
        <f ca="1">IF(AND(ISNUMBER($AB$777),$B$427=1),$AB$777,HLOOKUP(INDIRECT(ADDRESS(2,COLUMN())),OFFSET($AM$2,0,0,ROW()-1,33),ROW()-1,FALSE))</f>
        <v>0</v>
      </c>
      <c r="AC379">
        <f ca="1">IF(AND(ISNUMBER($AC$777),$B$427=1),$AC$777,HLOOKUP(INDIRECT(ADDRESS(2,COLUMN())),OFFSET($AM$2,0,0,ROW()-1,33),ROW()-1,FALSE))</f>
        <v>0</v>
      </c>
      <c r="AD379" t="str">
        <f ca="1">IF(AND(ISNUMBER($AD$777),$B$427=1),$AD$777,HLOOKUP(INDIRECT(ADDRESS(2,COLUMN())),OFFSET($AM$2,0,0,ROW()-1,33),ROW()-1,FALSE))</f>
        <v/>
      </c>
      <c r="AE379" t="str">
        <f ca="1">IF(AND(ISNUMBER($AE$777),$B$427=1),$AE$777,HLOOKUP(INDIRECT(ADDRESS(2,COLUMN())),OFFSET($AM$2,0,0,ROW()-1,33),ROW()-1,FALSE))</f>
        <v/>
      </c>
      <c r="AF379" t="str">
        <f ca="1">IF(AND(ISNUMBER($AF$777),$B$427=1),$AF$777,HLOOKUP(INDIRECT(ADDRESS(2,COLUMN())),OFFSET($AM$2,0,0,ROW()-1,33),ROW()-1,FALSE))</f>
        <v/>
      </c>
      <c r="AG379" t="str">
        <f ca="1">IF(AND(ISNUMBER($AG$777),$B$427=1),$AG$777,HLOOKUP(INDIRECT(ADDRESS(2,COLUMN())),OFFSET($AM$2,0,0,ROW()-1,33),ROW()-1,FALSE))</f>
        <v/>
      </c>
      <c r="AH379" t="str">
        <f ca="1">IF(AND(ISNUMBER($AH$777),$B$427=1),$AH$777,HLOOKUP(INDIRECT(ADDRESS(2,COLUMN())),OFFSET($AM$2,0,0,ROW()-1,33),ROW()-1,FALSE))</f>
        <v/>
      </c>
      <c r="AI379" t="str">
        <f ca="1">IF(AND(ISNUMBER($AI$777),$B$427=1),$AI$777,HLOOKUP(INDIRECT(ADDRESS(2,COLUMN())),OFFSET($AM$2,0,0,ROW()-1,33),ROW()-1,FALSE))</f>
        <v/>
      </c>
      <c r="AJ379" t="str">
        <f ca="1">IF(AND(ISNUMBER($AJ$777),$B$427=1),$AJ$777,HLOOKUP(INDIRECT(ADDRESS(2,COLUMN())),OFFSET($AM$2,0,0,ROW()-1,33),ROW()-1,FALSE))</f>
        <v/>
      </c>
      <c r="AK379" t="str">
        <f ca="1">IF(AND(ISNUMBER($AK$777),$B$427=1),$AK$777,HLOOKUP(INDIRECT(ADDRESS(2,COLUMN())),OFFSET($AM$2,0,0,ROW()-1,33),ROW()-1,FALSE))</f>
        <v/>
      </c>
      <c r="AL379" t="str">
        <f ca="1">IF(AND(ISNUMBER($AL$777),$B$427=1),$AL$777,HLOOKUP(INDIRECT(ADDRESS(2,COLUMN())),OFFSET($AM$2,0,0,ROW()-1,33),ROW()-1,FALSE))</f>
        <v/>
      </c>
      <c r="AM379">
        <f>0.0000144568</f>
        <v>1.44568E-5</v>
      </c>
      <c r="AN379">
        <f>0.0000186478</f>
        <v>1.8647800000000001E-5</v>
      </c>
      <c r="AO379">
        <f>0.0000385072</f>
        <v>3.8507200000000003E-5</v>
      </c>
      <c r="AP379">
        <f>0</f>
        <v>0</v>
      </c>
      <c r="AQ379">
        <f>0</f>
        <v>0</v>
      </c>
      <c r="AR379">
        <f>0</f>
        <v>0</v>
      </c>
      <c r="AS379">
        <f>0</f>
        <v>0</v>
      </c>
      <c r="AT379">
        <f>0</f>
        <v>0</v>
      </c>
      <c r="AU379">
        <f>0</f>
        <v>0</v>
      </c>
      <c r="AV379">
        <f>0</f>
        <v>0</v>
      </c>
      <c r="AW379">
        <f>0</f>
        <v>0</v>
      </c>
      <c r="AX379">
        <f>0</f>
        <v>0</v>
      </c>
      <c r="AY379">
        <f>0</f>
        <v>0</v>
      </c>
      <c r="AZ379">
        <f>0</f>
        <v>0</v>
      </c>
      <c r="BA379">
        <f>0</f>
        <v>0</v>
      </c>
      <c r="BB379">
        <f>0</f>
        <v>0</v>
      </c>
      <c r="BC379">
        <f>0</f>
        <v>0</v>
      </c>
      <c r="BD379">
        <f>0</f>
        <v>0</v>
      </c>
      <c r="BE379">
        <f>0</f>
        <v>0</v>
      </c>
      <c r="BF379">
        <f>0</f>
        <v>0</v>
      </c>
      <c r="BG379">
        <f>0</f>
        <v>0</v>
      </c>
      <c r="BH379">
        <f>0</f>
        <v>0</v>
      </c>
      <c r="BI379">
        <f>0</f>
        <v>0</v>
      </c>
      <c r="BJ379">
        <f>0</f>
        <v>0</v>
      </c>
      <c r="BK379" t="str">
        <f>""</f>
        <v/>
      </c>
      <c r="BL379" t="str">
        <f>""</f>
        <v/>
      </c>
      <c r="BM379" t="str">
        <f>""</f>
        <v/>
      </c>
      <c r="BN379" t="str">
        <f>""</f>
        <v/>
      </c>
      <c r="BO379" t="str">
        <f>""</f>
        <v/>
      </c>
      <c r="BP379" t="str">
        <f>""</f>
        <v/>
      </c>
      <c r="BQ379" t="str">
        <f>""</f>
        <v/>
      </c>
      <c r="BR379" t="str">
        <f>""</f>
        <v/>
      </c>
      <c r="BS379" t="str">
        <f>""</f>
        <v/>
      </c>
    </row>
    <row r="380" spans="1:71" x14ac:dyDescent="0.25">
      <c r="A380" t="str">
        <f>"        Huntington Bancshares Inc/OH"</f>
        <v xml:space="preserve">        Huntington Bancshares Inc/OH</v>
      </c>
      <c r="B380" t="str">
        <f>"HBAN US Equity"</f>
        <v>HBAN US Equity</v>
      </c>
      <c r="C380" t="str">
        <f t="shared" si="51"/>
        <v>F0127</v>
      </c>
      <c r="D380" t="str">
        <f t="shared" si="52"/>
        <v>FED_FARMERS_LOANS_%_TOT_LNS_LEAS</v>
      </c>
      <c r="E380" t="str">
        <f t="shared" si="53"/>
        <v>Dynamic</v>
      </c>
      <c r="F380">
        <f ca="1">IF(AND(ISNUMBER($F$778),$B$427=1),$F$778,HLOOKUP(INDIRECT(ADDRESS(2,COLUMN())),OFFSET($AM$2,0,0,ROW()-1,33),ROW()-1,FALSE))</f>
        <v>0.20417737</v>
      </c>
      <c r="G380">
        <f ca="1">IF(AND(ISNUMBER($G$778),$B$427=1),$G$778,HLOOKUP(INDIRECT(ADDRESS(2,COLUMN())),OFFSET($AM$2,0,0,ROW()-1,33),ROW()-1,FALSE))</f>
        <v>0.17852436699999999</v>
      </c>
      <c r="H380">
        <f ca="1">IF(AND(ISNUMBER($H$778),$B$427=1),$H$778,HLOOKUP(INDIRECT(ADDRESS(2,COLUMN())),OFFSET($AM$2,0,0,ROW()-1,33),ROW()-1,FALSE))</f>
        <v>0.19057692800000001</v>
      </c>
      <c r="I380">
        <f ca="1">IF(AND(ISNUMBER($I$778),$B$427=1),$I$778,HLOOKUP(INDIRECT(ADDRESS(2,COLUMN())),OFFSET($AM$2,0,0,ROW()-1,33),ROW()-1,FALSE))</f>
        <v>0.182949686</v>
      </c>
      <c r="J380">
        <f ca="1">IF(AND(ISNUMBER($J$778),$B$427=1),$J$778,HLOOKUP(INDIRECT(ADDRESS(2,COLUMN())),OFFSET($AM$2,0,0,ROW()-1,33),ROW()-1,FALSE))</f>
        <v>9.8668005000000003E-2</v>
      </c>
      <c r="K380">
        <f ca="1">IF(AND(ISNUMBER($K$778),$B$427=1),$K$778,HLOOKUP(INDIRECT(ADDRESS(2,COLUMN())),OFFSET($AM$2,0,0,ROW()-1,33),ROW()-1,FALSE))</f>
        <v>9.2674015999999998E-2</v>
      </c>
      <c r="L380">
        <f ca="1">IF(AND(ISNUMBER($L$778),$B$427=1),$L$778,HLOOKUP(INDIRECT(ADDRESS(2,COLUMN())),OFFSET($AM$2,0,0,ROW()-1,33),ROW()-1,FALSE))</f>
        <v>9.9232995000000004E-2</v>
      </c>
      <c r="M380">
        <f ca="1">IF(AND(ISNUMBER($M$778),$B$427=1),$M$778,HLOOKUP(INDIRECT(ADDRESS(2,COLUMN())),OFFSET($AM$2,0,0,ROW()-1,33),ROW()-1,FALSE))</f>
        <v>8.9960444000000001E-2</v>
      </c>
      <c r="N380">
        <f ca="1">IF(AND(ISNUMBER($N$778),$B$427=1),$N$778,HLOOKUP(INDIRECT(ADDRESS(2,COLUMN())),OFFSET($AM$2,0,0,ROW()-1,33),ROW()-1,FALSE))</f>
        <v>9.5545044999999995E-2</v>
      </c>
      <c r="O380">
        <f ca="1">IF(AND(ISNUMBER($O$778),$B$427=1),$O$778,HLOOKUP(INDIRECT(ADDRESS(2,COLUMN())),OFFSET($AM$2,0,0,ROW()-1,33),ROW()-1,FALSE))</f>
        <v>0.103557237</v>
      </c>
      <c r="P380">
        <f ca="1">IF(AND(ISNUMBER($P$778),$B$427=1),$P$778,HLOOKUP(INDIRECT(ADDRESS(2,COLUMN())),OFFSET($AM$2,0,0,ROW()-1,33),ROW()-1,FALSE))</f>
        <v>0.165239101</v>
      </c>
      <c r="Q380">
        <f ca="1">IF(AND(ISNUMBER($Q$778),$B$427=1),$Q$778,HLOOKUP(INDIRECT(ADDRESS(2,COLUMN())),OFFSET($AM$2,0,0,ROW()-1,33),ROW()-1,FALSE))</f>
        <v>0.119447331</v>
      </c>
      <c r="R380">
        <f ca="1">IF(AND(ISNUMBER($R$778),$B$427=1),$R$778,HLOOKUP(INDIRECT(ADDRESS(2,COLUMN())),OFFSET($AM$2,0,0,ROW()-1,33),ROW()-1,FALSE))</f>
        <v>0.127982393</v>
      </c>
      <c r="S380">
        <f ca="1">IF(AND(ISNUMBER($S$778),$B$427=1),$S$778,HLOOKUP(INDIRECT(ADDRESS(2,COLUMN())),OFFSET($AM$2,0,0,ROW()-1,33),ROW()-1,FALSE))</f>
        <v>0.158499898</v>
      </c>
      <c r="T380">
        <f ca="1">IF(AND(ISNUMBER($T$778),$B$427=1),$T$778,HLOOKUP(INDIRECT(ADDRESS(2,COLUMN())),OFFSET($AM$2,0,0,ROW()-1,33),ROW()-1,FALSE))</f>
        <v>0.18236491699999999</v>
      </c>
      <c r="U380">
        <f ca="1">IF(AND(ISNUMBER($U$778),$B$427=1),$U$778,HLOOKUP(INDIRECT(ADDRESS(2,COLUMN())),OFFSET($AM$2,0,0,ROW()-1,33),ROW()-1,FALSE))</f>
        <v>0.18130666400000001</v>
      </c>
      <c r="V380">
        <f ca="1">IF(AND(ISNUMBER($V$778),$B$427=1),$V$778,HLOOKUP(INDIRECT(ADDRESS(2,COLUMN())),OFFSET($AM$2,0,0,ROW()-1,33),ROW()-1,FALSE))</f>
        <v>0.32243104500000003</v>
      </c>
      <c r="W380">
        <f ca="1">IF(AND(ISNUMBER($W$778),$B$427=1),$W$778,HLOOKUP(INDIRECT(ADDRESS(2,COLUMN())),OFFSET($AM$2,0,0,ROW()-1,33),ROW()-1,FALSE))</f>
        <v>0.18621252599999999</v>
      </c>
      <c r="X380">
        <f ca="1">IF(AND(ISNUMBER($X$778),$B$427=1),$X$778,HLOOKUP(INDIRECT(ADDRESS(2,COLUMN())),OFFSET($AM$2,0,0,ROW()-1,33),ROW()-1,FALSE))</f>
        <v>0.12005589699999999</v>
      </c>
      <c r="Y380">
        <f ca="1">IF(AND(ISNUMBER($Y$778),$B$427=1),$Y$778,HLOOKUP(INDIRECT(ADDRESS(2,COLUMN())),OFFSET($AM$2,0,0,ROW()-1,33),ROW()-1,FALSE))</f>
        <v>0.124446554</v>
      </c>
      <c r="Z380">
        <f ca="1">IF(AND(ISNUMBER($Z$778),$B$427=1),$Z$778,HLOOKUP(INDIRECT(ADDRESS(2,COLUMN())),OFFSET($AM$2,0,0,ROW()-1,33),ROW()-1,FALSE))</f>
        <v>0.13736261399999999</v>
      </c>
      <c r="AA380">
        <f ca="1">IF(AND(ISNUMBER($AA$778),$B$427=1),$AA$778,HLOOKUP(INDIRECT(ADDRESS(2,COLUMN())),OFFSET($AM$2,0,0,ROW()-1,33),ROW()-1,FALSE))</f>
        <v>0.18288168299999999</v>
      </c>
      <c r="AB380">
        <f ca="1">IF(AND(ISNUMBER($AB$778),$B$427=1),$AB$778,HLOOKUP(INDIRECT(ADDRESS(2,COLUMN())),OFFSET($AM$2,0,0,ROW()-1,33),ROW()-1,FALSE))</f>
        <v>0.222790972</v>
      </c>
      <c r="AC380">
        <f ca="1">IF(AND(ISNUMBER($AC$778),$B$427=1),$AC$778,HLOOKUP(INDIRECT(ADDRESS(2,COLUMN())),OFFSET($AM$2,0,0,ROW()-1,33),ROW()-1,FALSE))</f>
        <v>0.26160474099999997</v>
      </c>
      <c r="AD380" t="str">
        <f ca="1">IF(AND(ISNUMBER($AD$778),$B$427=1),$AD$778,HLOOKUP(INDIRECT(ADDRESS(2,COLUMN())),OFFSET($AM$2,0,0,ROW()-1,33),ROW()-1,FALSE))</f>
        <v/>
      </c>
      <c r="AE380" t="str">
        <f ca="1">IF(AND(ISNUMBER($AE$778),$B$427=1),$AE$778,HLOOKUP(INDIRECT(ADDRESS(2,COLUMN())),OFFSET($AM$2,0,0,ROW()-1,33),ROW()-1,FALSE))</f>
        <v/>
      </c>
      <c r="AF380" t="str">
        <f ca="1">IF(AND(ISNUMBER($AF$778),$B$427=1),$AF$778,HLOOKUP(INDIRECT(ADDRESS(2,COLUMN())),OFFSET($AM$2,0,0,ROW()-1,33),ROW()-1,FALSE))</f>
        <v/>
      </c>
      <c r="AG380" t="str">
        <f ca="1">IF(AND(ISNUMBER($AG$778),$B$427=1),$AG$778,HLOOKUP(INDIRECT(ADDRESS(2,COLUMN())),OFFSET($AM$2,0,0,ROW()-1,33),ROW()-1,FALSE))</f>
        <v/>
      </c>
      <c r="AH380" t="str">
        <f ca="1">IF(AND(ISNUMBER($AH$778),$B$427=1),$AH$778,HLOOKUP(INDIRECT(ADDRESS(2,COLUMN())),OFFSET($AM$2,0,0,ROW()-1,33),ROW()-1,FALSE))</f>
        <v/>
      </c>
      <c r="AI380" t="str">
        <f ca="1">IF(AND(ISNUMBER($AI$778),$B$427=1),$AI$778,HLOOKUP(INDIRECT(ADDRESS(2,COLUMN())),OFFSET($AM$2,0,0,ROW()-1,33),ROW()-1,FALSE))</f>
        <v/>
      </c>
      <c r="AJ380" t="str">
        <f ca="1">IF(AND(ISNUMBER($AJ$778),$B$427=1),$AJ$778,HLOOKUP(INDIRECT(ADDRESS(2,COLUMN())),OFFSET($AM$2,0,0,ROW()-1,33),ROW()-1,FALSE))</f>
        <v/>
      </c>
      <c r="AK380" t="str">
        <f ca="1">IF(AND(ISNUMBER($AK$778),$B$427=1),$AK$778,HLOOKUP(INDIRECT(ADDRESS(2,COLUMN())),OFFSET($AM$2,0,0,ROW()-1,33),ROW()-1,FALSE))</f>
        <v/>
      </c>
      <c r="AL380" t="str">
        <f ca="1">IF(AND(ISNUMBER($AL$778),$B$427=1),$AL$778,HLOOKUP(INDIRECT(ADDRESS(2,COLUMN())),OFFSET($AM$2,0,0,ROW()-1,33),ROW()-1,FALSE))</f>
        <v/>
      </c>
      <c r="AM380">
        <f>0.20417737</f>
        <v>0.20417737</v>
      </c>
      <c r="AN380">
        <f>0.178524367</f>
        <v>0.17852436699999999</v>
      </c>
      <c r="AO380">
        <f>0.190576928</f>
        <v>0.19057692800000001</v>
      </c>
      <c r="AP380">
        <f>0.182949686</f>
        <v>0.182949686</v>
      </c>
      <c r="AQ380">
        <f>0.098668005</f>
        <v>9.8668005000000003E-2</v>
      </c>
      <c r="AR380">
        <f>0.092674016</f>
        <v>9.2674015999999998E-2</v>
      </c>
      <c r="AS380">
        <f>0.099232995</f>
        <v>9.9232995000000004E-2</v>
      </c>
      <c r="AT380">
        <f>0.089960444</f>
        <v>8.9960444000000001E-2</v>
      </c>
      <c r="AU380">
        <f>0.095545045</f>
        <v>9.5545044999999995E-2</v>
      </c>
      <c r="AV380">
        <f>0.103557237</f>
        <v>0.103557237</v>
      </c>
      <c r="AW380">
        <f>0.165239101</f>
        <v>0.165239101</v>
      </c>
      <c r="AX380">
        <f>0.119447331</f>
        <v>0.119447331</v>
      </c>
      <c r="AY380">
        <f>0.127982393</f>
        <v>0.127982393</v>
      </c>
      <c r="AZ380">
        <f>0.158499898</f>
        <v>0.158499898</v>
      </c>
      <c r="BA380">
        <f>0.182364917</f>
        <v>0.18236491699999999</v>
      </c>
      <c r="BB380">
        <f>0.181306664</f>
        <v>0.18130666400000001</v>
      </c>
      <c r="BC380">
        <f>0.322431045</f>
        <v>0.32243104500000003</v>
      </c>
      <c r="BD380">
        <f>0.186212526</f>
        <v>0.18621252599999999</v>
      </c>
      <c r="BE380">
        <f>0.120055897</f>
        <v>0.12005589699999999</v>
      </c>
      <c r="BF380">
        <f>0.124446554</f>
        <v>0.124446554</v>
      </c>
      <c r="BG380">
        <f>0.137362614</f>
        <v>0.13736261399999999</v>
      </c>
      <c r="BH380">
        <f>0.182881683</f>
        <v>0.18288168299999999</v>
      </c>
      <c r="BI380">
        <f>0.222790972</f>
        <v>0.222790972</v>
      </c>
      <c r="BJ380">
        <f>0.261604741</f>
        <v>0.26160474099999997</v>
      </c>
      <c r="BK380" t="str">
        <f>""</f>
        <v/>
      </c>
      <c r="BL380" t="str">
        <f>""</f>
        <v/>
      </c>
      <c r="BM380" t="str">
        <f>""</f>
        <v/>
      </c>
      <c r="BN380" t="str">
        <f>""</f>
        <v/>
      </c>
      <c r="BO380" t="str">
        <f>""</f>
        <v/>
      </c>
      <c r="BP380" t="str">
        <f>""</f>
        <v/>
      </c>
      <c r="BQ380" t="str">
        <f>""</f>
        <v/>
      </c>
      <c r="BR380" t="str">
        <f>""</f>
        <v/>
      </c>
      <c r="BS380" t="str">
        <f>""</f>
        <v/>
      </c>
    </row>
    <row r="381" spans="1:71" x14ac:dyDescent="0.25">
      <c r="A381" t="str">
        <f>"        JPMorgan Chase &amp; Co"</f>
        <v xml:space="preserve">        JPMorgan Chase &amp; Co</v>
      </c>
      <c r="B381" t="str">
        <f>"JPM US Equity"</f>
        <v>JPM US Equity</v>
      </c>
      <c r="C381" t="str">
        <f t="shared" si="51"/>
        <v>F0127</v>
      </c>
      <c r="D381" t="str">
        <f t="shared" si="52"/>
        <v>FED_FARMERS_LOANS_%_TOT_LNS_LEAS</v>
      </c>
      <c r="E381" t="str">
        <f t="shared" si="53"/>
        <v>Dynamic</v>
      </c>
      <c r="F381">
        <f ca="1">IF(AND(ISNUMBER($F$779),$B$427=1),$F$779,HLOOKUP(INDIRECT(ADDRESS(2,COLUMN())),OFFSET($AM$2,0,0,ROW()-1,33),ROW()-1,FALSE))</f>
        <v>3.5144940999999999E-2</v>
      </c>
      <c r="G381">
        <f ca="1">IF(AND(ISNUMBER($G$779),$B$427=1),$G$779,HLOOKUP(INDIRECT(ADDRESS(2,COLUMN())),OFFSET($AM$2,0,0,ROW()-1,33),ROW()-1,FALSE))</f>
        <v>3.9078819000000001E-2</v>
      </c>
      <c r="H381">
        <f ca="1">IF(AND(ISNUMBER($H$779),$B$427=1),$H$779,HLOOKUP(INDIRECT(ADDRESS(2,COLUMN())),OFFSET($AM$2,0,0,ROW()-1,33),ROW()-1,FALSE))</f>
        <v>7.3169002999999996E-2</v>
      </c>
      <c r="I381">
        <f ca="1">IF(AND(ISNUMBER($I$779),$B$427=1),$I$779,HLOOKUP(INDIRECT(ADDRESS(2,COLUMN())),OFFSET($AM$2,0,0,ROW()-1,33),ROW()-1,FALSE))</f>
        <v>7.4382061999999999E-2</v>
      </c>
      <c r="J381">
        <f ca="1">IF(AND(ISNUMBER($J$779),$B$427=1),$J$779,HLOOKUP(INDIRECT(ADDRESS(2,COLUMN())),OFFSET($AM$2,0,0,ROW()-1,33),ROW()-1,FALSE))</f>
        <v>6.2418794E-2</v>
      </c>
      <c r="K381">
        <f ca="1">IF(AND(ISNUMBER($K$779),$B$427=1),$K$779,HLOOKUP(INDIRECT(ADDRESS(2,COLUMN())),OFFSET($AM$2,0,0,ROW()-1,33),ROW()-1,FALSE))</f>
        <v>7.0458828000000001E-2</v>
      </c>
      <c r="L381">
        <f ca="1">IF(AND(ISNUMBER($L$779),$B$427=1),$L$779,HLOOKUP(INDIRECT(ADDRESS(2,COLUMN())),OFFSET($AM$2,0,0,ROW()-1,33),ROW()-1,FALSE))</f>
        <v>6.4941144000000006E-2</v>
      </c>
      <c r="M381">
        <f ca="1">IF(AND(ISNUMBER($M$779),$B$427=1),$M$779,HLOOKUP(INDIRECT(ADDRESS(2,COLUMN())),OFFSET($AM$2,0,0,ROW()-1,33),ROW()-1,FALSE))</f>
        <v>7.3576365000000005E-2</v>
      </c>
      <c r="N381">
        <f ca="1">IF(AND(ISNUMBER($N$779),$B$427=1),$N$779,HLOOKUP(INDIRECT(ADDRESS(2,COLUMN())),OFFSET($AM$2,0,0,ROW()-1,33),ROW()-1,FALSE))</f>
        <v>5.5798676999999998E-2</v>
      </c>
      <c r="O381">
        <f ca="1">IF(AND(ISNUMBER($O$779),$B$427=1),$O$779,HLOOKUP(INDIRECT(ADDRESS(2,COLUMN())),OFFSET($AM$2,0,0,ROW()-1,33),ROW()-1,FALSE))</f>
        <v>9.6152489999999993E-2</v>
      </c>
      <c r="P381">
        <f ca="1">IF(AND(ISNUMBER($P$779),$B$427=1),$P$779,HLOOKUP(INDIRECT(ADDRESS(2,COLUMN())),OFFSET($AM$2,0,0,ROW()-1,33),ROW()-1,FALSE))</f>
        <v>9.1442438000000001E-2</v>
      </c>
      <c r="Q381">
        <f ca="1">IF(AND(ISNUMBER($Q$779),$B$427=1),$Q$779,HLOOKUP(INDIRECT(ADDRESS(2,COLUMN())),OFFSET($AM$2,0,0,ROW()-1,33),ROW()-1,FALSE))</f>
        <v>0.102992534</v>
      </c>
      <c r="R381">
        <f ca="1">IF(AND(ISNUMBER($R$779),$B$427=1),$R$779,HLOOKUP(INDIRECT(ADDRESS(2,COLUMN())),OFFSET($AM$2,0,0,ROW()-1,33),ROW()-1,FALSE))</f>
        <v>8.4884719999999997E-2</v>
      </c>
      <c r="S381">
        <f ca="1">IF(AND(ISNUMBER($S$779),$B$427=1),$S$779,HLOOKUP(INDIRECT(ADDRESS(2,COLUMN())),OFFSET($AM$2,0,0,ROW()-1,33),ROW()-1,FALSE))</f>
        <v>9.7929208000000004E-2</v>
      </c>
      <c r="T381">
        <f ca="1">IF(AND(ISNUMBER($T$779),$B$427=1),$T$779,HLOOKUP(INDIRECT(ADDRESS(2,COLUMN())),OFFSET($AM$2,0,0,ROW()-1,33),ROW()-1,FALSE))</f>
        <v>8.6391661999999994E-2</v>
      </c>
      <c r="U381">
        <f ca="1">IF(AND(ISNUMBER($U$779),$B$427=1),$U$779,HLOOKUP(INDIRECT(ADDRESS(2,COLUMN())),OFFSET($AM$2,0,0,ROW()-1,33),ROW()-1,FALSE))</f>
        <v>6.4688122000000001E-2</v>
      </c>
      <c r="V381">
        <f ca="1">IF(AND(ISNUMBER($V$779),$B$427=1),$V$779,HLOOKUP(INDIRECT(ADDRESS(2,COLUMN())),OFFSET($AM$2,0,0,ROW()-1,33),ROW()-1,FALSE))</f>
        <v>6.0300635999999998E-2</v>
      </c>
      <c r="W381">
        <f ca="1">IF(AND(ISNUMBER($W$779),$B$427=1),$W$779,HLOOKUP(INDIRECT(ADDRESS(2,COLUMN())),OFFSET($AM$2,0,0,ROW()-1,33),ROW()-1,FALSE))</f>
        <v>0.110346268</v>
      </c>
      <c r="X381">
        <f ca="1">IF(AND(ISNUMBER($X$779),$B$427=1),$X$779,HLOOKUP(INDIRECT(ADDRESS(2,COLUMN())),OFFSET($AM$2,0,0,ROW()-1,33),ROW()-1,FALSE))</f>
        <v>0.123156023</v>
      </c>
      <c r="Y381">
        <f ca="1">IF(AND(ISNUMBER($Y$779),$B$427=1),$Y$779,HLOOKUP(INDIRECT(ADDRESS(2,COLUMN())),OFFSET($AM$2,0,0,ROW()-1,33),ROW()-1,FALSE))</f>
        <v>0.15638644800000001</v>
      </c>
      <c r="Z381">
        <f ca="1">IF(AND(ISNUMBER($Z$779),$B$427=1),$Z$779,HLOOKUP(INDIRECT(ADDRESS(2,COLUMN())),OFFSET($AM$2,0,0,ROW()-1,33),ROW()-1,FALSE))</f>
        <v>0.169418859</v>
      </c>
      <c r="AA381">
        <f ca="1">IF(AND(ISNUMBER($AA$779),$B$427=1),$AA$779,HLOOKUP(INDIRECT(ADDRESS(2,COLUMN())),OFFSET($AM$2,0,0,ROW()-1,33),ROW()-1,FALSE))</f>
        <v>1.4577392E-2</v>
      </c>
      <c r="AB381">
        <f ca="1">IF(AND(ISNUMBER($AB$779),$B$427=1),$AB$779,HLOOKUP(INDIRECT(ADDRESS(2,COLUMN())),OFFSET($AM$2,0,0,ROW()-1,33),ROW()-1,FALSE))</f>
        <v>3.9305813000000002E-2</v>
      </c>
      <c r="AC381">
        <f ca="1">IF(AND(ISNUMBER($AC$779),$B$427=1),$AC$779,HLOOKUP(INDIRECT(ADDRESS(2,COLUMN())),OFFSET($AM$2,0,0,ROW()-1,33),ROW()-1,FALSE))</f>
        <v>5.3818589999999999E-2</v>
      </c>
      <c r="AD381" t="str">
        <f ca="1">IF(AND(ISNUMBER($AD$779),$B$427=1),$AD$779,HLOOKUP(INDIRECT(ADDRESS(2,COLUMN())),OFFSET($AM$2,0,0,ROW()-1,33),ROW()-1,FALSE))</f>
        <v/>
      </c>
      <c r="AE381" t="str">
        <f ca="1">IF(AND(ISNUMBER($AE$779),$B$427=1),$AE$779,HLOOKUP(INDIRECT(ADDRESS(2,COLUMN())),OFFSET($AM$2,0,0,ROW()-1,33),ROW()-1,FALSE))</f>
        <v/>
      </c>
      <c r="AF381" t="str">
        <f ca="1">IF(AND(ISNUMBER($AF$779),$B$427=1),$AF$779,HLOOKUP(INDIRECT(ADDRESS(2,COLUMN())),OFFSET($AM$2,0,0,ROW()-1,33),ROW()-1,FALSE))</f>
        <v/>
      </c>
      <c r="AG381" t="str">
        <f ca="1">IF(AND(ISNUMBER($AG$779),$B$427=1),$AG$779,HLOOKUP(INDIRECT(ADDRESS(2,COLUMN())),OFFSET($AM$2,0,0,ROW()-1,33),ROW()-1,FALSE))</f>
        <v/>
      </c>
      <c r="AH381" t="str">
        <f ca="1">IF(AND(ISNUMBER($AH$779),$B$427=1),$AH$779,HLOOKUP(INDIRECT(ADDRESS(2,COLUMN())),OFFSET($AM$2,0,0,ROW()-1,33),ROW()-1,FALSE))</f>
        <v/>
      </c>
      <c r="AI381" t="str">
        <f ca="1">IF(AND(ISNUMBER($AI$779),$B$427=1),$AI$779,HLOOKUP(INDIRECT(ADDRESS(2,COLUMN())),OFFSET($AM$2,0,0,ROW()-1,33),ROW()-1,FALSE))</f>
        <v/>
      </c>
      <c r="AJ381" t="str">
        <f ca="1">IF(AND(ISNUMBER($AJ$779),$B$427=1),$AJ$779,HLOOKUP(INDIRECT(ADDRESS(2,COLUMN())),OFFSET($AM$2,0,0,ROW()-1,33),ROW()-1,FALSE))</f>
        <v/>
      </c>
      <c r="AK381" t="str">
        <f ca="1">IF(AND(ISNUMBER($AK$779),$B$427=1),$AK$779,HLOOKUP(INDIRECT(ADDRESS(2,COLUMN())),OFFSET($AM$2,0,0,ROW()-1,33),ROW()-1,FALSE))</f>
        <v/>
      </c>
      <c r="AL381" t="str">
        <f ca="1">IF(AND(ISNUMBER($AL$779),$B$427=1),$AL$779,HLOOKUP(INDIRECT(ADDRESS(2,COLUMN())),OFFSET($AM$2,0,0,ROW()-1,33),ROW()-1,FALSE))</f>
        <v/>
      </c>
      <c r="AM381">
        <f>0.035144941</f>
        <v>3.5144940999999999E-2</v>
      </c>
      <c r="AN381">
        <f>0.039078819</f>
        <v>3.9078819000000001E-2</v>
      </c>
      <c r="AO381">
        <f>0.073169003</f>
        <v>7.3169002999999996E-2</v>
      </c>
      <c r="AP381">
        <f>0.074382062</f>
        <v>7.4382061999999999E-2</v>
      </c>
      <c r="AQ381">
        <f>0.062418794</f>
        <v>6.2418794E-2</v>
      </c>
      <c r="AR381">
        <f>0.070458828</f>
        <v>7.0458828000000001E-2</v>
      </c>
      <c r="AS381">
        <f>0.064941144</f>
        <v>6.4941144000000006E-2</v>
      </c>
      <c r="AT381">
        <f>0.073576365</f>
        <v>7.3576365000000005E-2</v>
      </c>
      <c r="AU381">
        <f>0.055798677</f>
        <v>5.5798676999999998E-2</v>
      </c>
      <c r="AV381">
        <f>0.09615249</f>
        <v>9.6152489999999993E-2</v>
      </c>
      <c r="AW381">
        <f>0.091442438</f>
        <v>9.1442438000000001E-2</v>
      </c>
      <c r="AX381">
        <f>0.102992534</f>
        <v>0.102992534</v>
      </c>
      <c r="AY381">
        <f>0.08488472</f>
        <v>8.4884719999999997E-2</v>
      </c>
      <c r="AZ381">
        <f>0.097929208</f>
        <v>9.7929208000000004E-2</v>
      </c>
      <c r="BA381">
        <f>0.086391662</f>
        <v>8.6391661999999994E-2</v>
      </c>
      <c r="BB381">
        <f>0.064688122</f>
        <v>6.4688122000000001E-2</v>
      </c>
      <c r="BC381">
        <f>0.060300636</f>
        <v>6.0300635999999998E-2</v>
      </c>
      <c r="BD381">
        <f>0.110346268</f>
        <v>0.110346268</v>
      </c>
      <c r="BE381">
        <f>0.123156023</f>
        <v>0.123156023</v>
      </c>
      <c r="BF381">
        <f>0.156386448</f>
        <v>0.15638644800000001</v>
      </c>
      <c r="BG381">
        <f>0.169418859</f>
        <v>0.169418859</v>
      </c>
      <c r="BH381">
        <f>0.014577392</f>
        <v>1.4577392E-2</v>
      </c>
      <c r="BI381">
        <f>0.039305813</f>
        <v>3.9305813000000002E-2</v>
      </c>
      <c r="BJ381">
        <f>0.05381859</f>
        <v>5.3818589999999999E-2</v>
      </c>
      <c r="BK381" t="str">
        <f>""</f>
        <v/>
      </c>
      <c r="BL381" t="str">
        <f>""</f>
        <v/>
      </c>
      <c r="BM381" t="str">
        <f>""</f>
        <v/>
      </c>
      <c r="BN381" t="str">
        <f>""</f>
        <v/>
      </c>
      <c r="BO381" t="str">
        <f>""</f>
        <v/>
      </c>
      <c r="BP381" t="str">
        <f>""</f>
        <v/>
      </c>
      <c r="BQ381" t="str">
        <f>""</f>
        <v/>
      </c>
      <c r="BR381" t="str">
        <f>""</f>
        <v/>
      </c>
      <c r="BS381" t="str">
        <f>""</f>
        <v/>
      </c>
    </row>
    <row r="382" spans="1:71" x14ac:dyDescent="0.25">
      <c r="A382" t="str">
        <f>"        KeyCorp"</f>
        <v xml:space="preserve">        KeyCorp</v>
      </c>
      <c r="B382" t="str">
        <f>"KEY US Equity"</f>
        <v>KEY US Equity</v>
      </c>
      <c r="C382" t="str">
        <f t="shared" si="51"/>
        <v>F0127</v>
      </c>
      <c r="D382" t="str">
        <f t="shared" si="52"/>
        <v>FED_FARMERS_LOANS_%_TOT_LNS_LEAS</v>
      </c>
      <c r="E382" t="str">
        <f t="shared" si="53"/>
        <v>Dynamic</v>
      </c>
      <c r="F382">
        <f ca="1">IF(AND(ISNUMBER($F$780),$B$427=1),$F$780,HLOOKUP(INDIRECT(ADDRESS(2,COLUMN())),OFFSET($AM$2,0,0,ROW()-1,33),ROW()-1,FALSE))</f>
        <v>0.61060318499999999</v>
      </c>
      <c r="G382">
        <f ca="1">IF(AND(ISNUMBER($G$780),$B$427=1),$G$780,HLOOKUP(INDIRECT(ADDRESS(2,COLUMN())),OFFSET($AM$2,0,0,ROW()-1,33),ROW()-1,FALSE))</f>
        <v>0.60306654699999995</v>
      </c>
      <c r="H382">
        <f ca="1">IF(AND(ISNUMBER($H$780),$B$427=1),$H$780,HLOOKUP(INDIRECT(ADDRESS(2,COLUMN())),OFFSET($AM$2,0,0,ROW()-1,33),ROW()-1,FALSE))</f>
        <v>0.48246478700000001</v>
      </c>
      <c r="I382">
        <f ca="1">IF(AND(ISNUMBER($I$780),$B$427=1),$I$780,HLOOKUP(INDIRECT(ADDRESS(2,COLUMN())),OFFSET($AM$2,0,0,ROW()-1,33),ROW()-1,FALSE))</f>
        <v>0.46702440899999997</v>
      </c>
      <c r="J382">
        <f ca="1">IF(AND(ISNUMBER($J$780),$B$427=1),$J$780,HLOOKUP(INDIRECT(ADDRESS(2,COLUMN())),OFFSET($AM$2,0,0,ROW()-1,33),ROW()-1,FALSE))</f>
        <v>0.450603853</v>
      </c>
      <c r="K382">
        <f ca="1">IF(AND(ISNUMBER($K$780),$B$427=1),$K$780,HLOOKUP(INDIRECT(ADDRESS(2,COLUMN())),OFFSET($AM$2,0,0,ROW()-1,33),ROW()-1,FALSE))</f>
        <v>0.64899290200000004</v>
      </c>
      <c r="L382">
        <f ca="1">IF(AND(ISNUMBER($L$780),$B$427=1),$L$780,HLOOKUP(INDIRECT(ADDRESS(2,COLUMN())),OFFSET($AM$2,0,0,ROW()-1,33),ROW()-1,FALSE))</f>
        <v>0.77201185999999999</v>
      </c>
      <c r="M382">
        <f ca="1">IF(AND(ISNUMBER($M$780),$B$427=1),$M$780,HLOOKUP(INDIRECT(ADDRESS(2,COLUMN())),OFFSET($AM$2,0,0,ROW()-1,33),ROW()-1,FALSE))</f>
        <v>0.766706365</v>
      </c>
      <c r="N382">
        <f ca="1">IF(AND(ISNUMBER($N$780),$B$427=1),$N$780,HLOOKUP(INDIRECT(ADDRESS(2,COLUMN())),OFFSET($AM$2,0,0,ROW()-1,33),ROW()-1,FALSE))</f>
        <v>0.80422919400000004</v>
      </c>
      <c r="O382">
        <f ca="1">IF(AND(ISNUMBER($O$780),$B$427=1),$O$780,HLOOKUP(INDIRECT(ADDRESS(2,COLUMN())),OFFSET($AM$2,0,0,ROW()-1,33),ROW()-1,FALSE))</f>
        <v>0.99322343899999999</v>
      </c>
      <c r="P382">
        <f ca="1">IF(AND(ISNUMBER($P$780),$B$427=1),$P$780,HLOOKUP(INDIRECT(ADDRESS(2,COLUMN())),OFFSET($AM$2,0,0,ROW()-1,33),ROW()-1,FALSE))</f>
        <v>0.90348888599999999</v>
      </c>
      <c r="Q382">
        <f ca="1">IF(AND(ISNUMBER($Q$780),$B$427=1),$Q$780,HLOOKUP(INDIRECT(ADDRESS(2,COLUMN())),OFFSET($AM$2,0,0,ROW()-1,33),ROW()-1,FALSE))</f>
        <v>0.86980489699999997</v>
      </c>
      <c r="R382">
        <f ca="1">IF(AND(ISNUMBER($R$780),$B$427=1),$R$780,HLOOKUP(INDIRECT(ADDRESS(2,COLUMN())),OFFSET($AM$2,0,0,ROW()-1,33),ROW()-1,FALSE))</f>
        <v>0.94858160400000002</v>
      </c>
      <c r="S382">
        <f ca="1">IF(AND(ISNUMBER($S$780),$B$427=1),$S$780,HLOOKUP(INDIRECT(ADDRESS(2,COLUMN())),OFFSET($AM$2,0,0,ROW()-1,33),ROW()-1,FALSE))</f>
        <v>0.96538590599999996</v>
      </c>
      <c r="T382">
        <f ca="1">IF(AND(ISNUMBER($T$780),$B$427=1),$T$780,HLOOKUP(INDIRECT(ADDRESS(2,COLUMN())),OFFSET($AM$2,0,0,ROW()-1,33),ROW()-1,FALSE))</f>
        <v>0.97410506100000005</v>
      </c>
      <c r="U382">
        <f ca="1">IF(AND(ISNUMBER($U$780),$B$427=1),$U$780,HLOOKUP(INDIRECT(ADDRESS(2,COLUMN())),OFFSET($AM$2,0,0,ROW()-1,33),ROW()-1,FALSE))</f>
        <v>0.83788427200000004</v>
      </c>
      <c r="V382">
        <f ca="1">IF(AND(ISNUMBER($V$780),$B$427=1),$V$780,HLOOKUP(INDIRECT(ADDRESS(2,COLUMN())),OFFSET($AM$2,0,0,ROW()-1,33),ROW()-1,FALSE))</f>
        <v>0.62748304700000002</v>
      </c>
      <c r="W382">
        <f ca="1">IF(AND(ISNUMBER($W$780),$B$427=1),$W$780,HLOOKUP(INDIRECT(ADDRESS(2,COLUMN())),OFFSET($AM$2,0,0,ROW()-1,33),ROW()-1,FALSE))</f>
        <v>0.50381147400000004</v>
      </c>
      <c r="X382">
        <f ca="1">IF(AND(ISNUMBER($X$780),$B$427=1),$X$780,HLOOKUP(INDIRECT(ADDRESS(2,COLUMN())),OFFSET($AM$2,0,0,ROW()-1,33),ROW()-1,FALSE))</f>
        <v>0.60002392299999996</v>
      </c>
      <c r="Y382">
        <f ca="1">IF(AND(ISNUMBER($Y$780),$B$427=1),$Y$780,HLOOKUP(INDIRECT(ADDRESS(2,COLUMN())),OFFSET($AM$2,0,0,ROW()-1,33),ROW()-1,FALSE))</f>
        <v>0.61080108799999999</v>
      </c>
      <c r="Z382">
        <f ca="1">IF(AND(ISNUMBER($Z$780),$B$427=1),$Z$780,HLOOKUP(INDIRECT(ADDRESS(2,COLUMN())),OFFSET($AM$2,0,0,ROW()-1,33),ROW()-1,FALSE))</f>
        <v>0.71184944500000003</v>
      </c>
      <c r="AA382">
        <f ca="1">IF(AND(ISNUMBER($AA$780),$B$427=1),$AA$780,HLOOKUP(INDIRECT(ADDRESS(2,COLUMN())),OFFSET($AM$2,0,0,ROW()-1,33),ROW()-1,FALSE))</f>
        <v>0.77599808400000003</v>
      </c>
      <c r="AB382">
        <f ca="1">IF(AND(ISNUMBER($AB$780),$B$427=1),$AB$780,HLOOKUP(INDIRECT(ADDRESS(2,COLUMN())),OFFSET($AM$2,0,0,ROW()-1,33),ROW()-1,FALSE))</f>
        <v>0.73207161799999998</v>
      </c>
      <c r="AC382">
        <f ca="1">IF(AND(ISNUMBER($AC$780),$B$427=1),$AC$780,HLOOKUP(INDIRECT(ADDRESS(2,COLUMN())),OFFSET($AM$2,0,0,ROW()-1,33),ROW()-1,FALSE))</f>
        <v>0.85209932200000005</v>
      </c>
      <c r="AD382" t="str">
        <f ca="1">IF(AND(ISNUMBER($AD$780),$B$427=1),$AD$780,HLOOKUP(INDIRECT(ADDRESS(2,COLUMN())),OFFSET($AM$2,0,0,ROW()-1,33),ROW()-1,FALSE))</f>
        <v/>
      </c>
      <c r="AE382" t="str">
        <f ca="1">IF(AND(ISNUMBER($AE$780),$B$427=1),$AE$780,HLOOKUP(INDIRECT(ADDRESS(2,COLUMN())),OFFSET($AM$2,0,0,ROW()-1,33),ROW()-1,FALSE))</f>
        <v/>
      </c>
      <c r="AF382" t="str">
        <f ca="1">IF(AND(ISNUMBER($AF$780),$B$427=1),$AF$780,HLOOKUP(INDIRECT(ADDRESS(2,COLUMN())),OFFSET($AM$2,0,0,ROW()-1,33),ROW()-1,FALSE))</f>
        <v/>
      </c>
      <c r="AG382" t="str">
        <f ca="1">IF(AND(ISNUMBER($AG$780),$B$427=1),$AG$780,HLOOKUP(INDIRECT(ADDRESS(2,COLUMN())),OFFSET($AM$2,0,0,ROW()-1,33),ROW()-1,FALSE))</f>
        <v/>
      </c>
      <c r="AH382" t="str">
        <f ca="1">IF(AND(ISNUMBER($AH$780),$B$427=1),$AH$780,HLOOKUP(INDIRECT(ADDRESS(2,COLUMN())),OFFSET($AM$2,0,0,ROW()-1,33),ROW()-1,FALSE))</f>
        <v/>
      </c>
      <c r="AI382" t="str">
        <f ca="1">IF(AND(ISNUMBER($AI$780),$B$427=1),$AI$780,HLOOKUP(INDIRECT(ADDRESS(2,COLUMN())),OFFSET($AM$2,0,0,ROW()-1,33),ROW()-1,FALSE))</f>
        <v/>
      </c>
      <c r="AJ382" t="str">
        <f ca="1">IF(AND(ISNUMBER($AJ$780),$B$427=1),$AJ$780,HLOOKUP(INDIRECT(ADDRESS(2,COLUMN())),OFFSET($AM$2,0,0,ROW()-1,33),ROW()-1,FALSE))</f>
        <v/>
      </c>
      <c r="AK382" t="str">
        <f ca="1">IF(AND(ISNUMBER($AK$780),$B$427=1),$AK$780,HLOOKUP(INDIRECT(ADDRESS(2,COLUMN())),OFFSET($AM$2,0,0,ROW()-1,33),ROW()-1,FALSE))</f>
        <v/>
      </c>
      <c r="AL382" t="str">
        <f ca="1">IF(AND(ISNUMBER($AL$780),$B$427=1),$AL$780,HLOOKUP(INDIRECT(ADDRESS(2,COLUMN())),OFFSET($AM$2,0,0,ROW()-1,33),ROW()-1,FALSE))</f>
        <v/>
      </c>
      <c r="AM382">
        <f>0.610603185</f>
        <v>0.61060318499999999</v>
      </c>
      <c r="AN382">
        <f>0.603066547</f>
        <v>0.60306654699999995</v>
      </c>
      <c r="AO382">
        <f>0.482464787</f>
        <v>0.48246478700000001</v>
      </c>
      <c r="AP382">
        <f>0.467024409</f>
        <v>0.46702440899999997</v>
      </c>
      <c r="AQ382">
        <f>0.450603853</f>
        <v>0.450603853</v>
      </c>
      <c r="AR382">
        <f>0.648992902</f>
        <v>0.64899290200000004</v>
      </c>
      <c r="AS382">
        <f>0.77201186</f>
        <v>0.77201185999999999</v>
      </c>
      <c r="AT382">
        <f>0.766706365</f>
        <v>0.766706365</v>
      </c>
      <c r="AU382">
        <f>0.804229194</f>
        <v>0.80422919400000004</v>
      </c>
      <c r="AV382">
        <f>0.993223439</f>
        <v>0.99322343899999999</v>
      </c>
      <c r="AW382">
        <f>0.903488886</f>
        <v>0.90348888599999999</v>
      </c>
      <c r="AX382">
        <f>0.869804897</f>
        <v>0.86980489699999997</v>
      </c>
      <c r="AY382">
        <f>0.948581604</f>
        <v>0.94858160400000002</v>
      </c>
      <c r="AZ382">
        <f>0.965385906</f>
        <v>0.96538590599999996</v>
      </c>
      <c r="BA382">
        <f>0.974105061</f>
        <v>0.97410506100000005</v>
      </c>
      <c r="BB382">
        <f>0.837884272</f>
        <v>0.83788427200000004</v>
      </c>
      <c r="BC382">
        <f>0.627483047</f>
        <v>0.62748304700000002</v>
      </c>
      <c r="BD382">
        <f>0.503811474</f>
        <v>0.50381147400000004</v>
      </c>
      <c r="BE382">
        <f>0.600023923</f>
        <v>0.60002392299999996</v>
      </c>
      <c r="BF382">
        <f>0.610801088</f>
        <v>0.61080108799999999</v>
      </c>
      <c r="BG382">
        <f>0.711849445</f>
        <v>0.71184944500000003</v>
      </c>
      <c r="BH382">
        <f>0.775998084</f>
        <v>0.77599808400000003</v>
      </c>
      <c r="BI382">
        <f>0.732071618</f>
        <v>0.73207161799999998</v>
      </c>
      <c r="BJ382">
        <f>0.852099322</f>
        <v>0.85209932200000005</v>
      </c>
      <c r="BK382" t="str">
        <f>""</f>
        <v/>
      </c>
      <c r="BL382" t="str">
        <f>""</f>
        <v/>
      </c>
      <c r="BM382" t="str">
        <f>""</f>
        <v/>
      </c>
      <c r="BN382" t="str">
        <f>""</f>
        <v/>
      </c>
      <c r="BO382" t="str">
        <f>""</f>
        <v/>
      </c>
      <c r="BP382" t="str">
        <f>""</f>
        <v/>
      </c>
      <c r="BQ382" t="str">
        <f>""</f>
        <v/>
      </c>
      <c r="BR382" t="str">
        <f>""</f>
        <v/>
      </c>
      <c r="BS382" t="str">
        <f>""</f>
        <v/>
      </c>
    </row>
    <row r="383" spans="1:71" x14ac:dyDescent="0.25">
      <c r="A383" t="str">
        <f>"        M&amp;T Bank Corp"</f>
        <v xml:space="preserve">        M&amp;T Bank Corp</v>
      </c>
      <c r="B383" t="str">
        <f>"MTB US Equity"</f>
        <v>MTB US Equity</v>
      </c>
      <c r="C383" t="str">
        <f t="shared" si="51"/>
        <v>F0127</v>
      </c>
      <c r="D383" t="str">
        <f t="shared" si="52"/>
        <v>FED_FARMERS_LOANS_%_TOT_LNS_LEAS</v>
      </c>
      <c r="E383" t="str">
        <f t="shared" si="53"/>
        <v>Dynamic</v>
      </c>
      <c r="F383">
        <f ca="1">IF(AND(ISNUMBER($F$781),$B$427=1),$F$781,HLOOKUP(INDIRECT(ADDRESS(2,COLUMN())),OFFSET($AM$2,0,0,ROW()-1,33),ROW()-1,FALSE))</f>
        <v>4.5178432999999997E-2</v>
      </c>
      <c r="G383">
        <f ca="1">IF(AND(ISNUMBER($G$781),$B$427=1),$G$781,HLOOKUP(INDIRECT(ADDRESS(2,COLUMN())),OFFSET($AM$2,0,0,ROW()-1,33),ROW()-1,FALSE))</f>
        <v>4.6498633999999997E-2</v>
      </c>
      <c r="H383">
        <f ca="1">IF(AND(ISNUMBER($H$781),$B$427=1),$H$781,HLOOKUP(INDIRECT(ADDRESS(2,COLUMN())),OFFSET($AM$2,0,0,ROW()-1,33),ROW()-1,FALSE))</f>
        <v>4.6521975E-2</v>
      </c>
      <c r="I383">
        <f ca="1">IF(AND(ISNUMBER($I$781),$B$427=1),$I$781,HLOOKUP(INDIRECT(ADDRESS(2,COLUMN())),OFFSET($AM$2,0,0,ROW()-1,33),ROW()-1,FALSE))</f>
        <v>2.4335811999999998E-2</v>
      </c>
      <c r="J383">
        <f ca="1">IF(AND(ISNUMBER($J$781),$B$427=1),$J$781,HLOOKUP(INDIRECT(ADDRESS(2,COLUMN())),OFFSET($AM$2,0,0,ROW()-1,33),ROW()-1,FALSE))</f>
        <v>2.5973283E-2</v>
      </c>
      <c r="K383">
        <f ca="1">IF(AND(ISNUMBER($K$781),$B$427=1),$K$781,HLOOKUP(INDIRECT(ADDRESS(2,COLUMN())),OFFSET($AM$2,0,0,ROW()-1,33),ROW()-1,FALSE))</f>
        <v>2.0011467000000002E-2</v>
      </c>
      <c r="L383">
        <f ca="1">IF(AND(ISNUMBER($L$781),$B$427=1),$L$781,HLOOKUP(INDIRECT(ADDRESS(2,COLUMN())),OFFSET($AM$2,0,0,ROW()-1,33),ROW()-1,FALSE))</f>
        <v>2.7685062999999999E-2</v>
      </c>
      <c r="M383">
        <f ca="1">IF(AND(ISNUMBER($M$781),$B$427=1),$M$781,HLOOKUP(INDIRECT(ADDRESS(2,COLUMN())),OFFSET($AM$2,0,0,ROW()-1,33),ROW()-1,FALSE))</f>
        <v>7.8342762999999996E-2</v>
      </c>
      <c r="N383">
        <f ca="1">IF(AND(ISNUMBER($N$781),$B$427=1),$N$781,HLOOKUP(INDIRECT(ADDRESS(2,COLUMN())),OFFSET($AM$2,0,0,ROW()-1,33),ROW()-1,FALSE))</f>
        <v>8.9975703000000004E-2</v>
      </c>
      <c r="O383">
        <f ca="1">IF(AND(ISNUMBER($O$781),$B$427=1),$O$781,HLOOKUP(INDIRECT(ADDRESS(2,COLUMN())),OFFSET($AM$2,0,0,ROW()-1,33),ROW()-1,FALSE))</f>
        <v>8.9569606999999996E-2</v>
      </c>
      <c r="P383">
        <f ca="1">IF(AND(ISNUMBER($P$781),$B$427=1),$P$781,HLOOKUP(INDIRECT(ADDRESS(2,COLUMN())),OFFSET($AM$2,0,0,ROW()-1,33),ROW()-1,FALSE))</f>
        <v>8.8281732000000002E-2</v>
      </c>
      <c r="Q383">
        <f ca="1">IF(AND(ISNUMBER($Q$781),$B$427=1),$Q$781,HLOOKUP(INDIRECT(ADDRESS(2,COLUMN())),OFFSET($AM$2,0,0,ROW()-1,33),ROW()-1,FALSE))</f>
        <v>9.5687493999999998E-2</v>
      </c>
      <c r="R383">
        <f ca="1">IF(AND(ISNUMBER($R$781),$B$427=1),$R$781,HLOOKUP(INDIRECT(ADDRESS(2,COLUMN())),OFFSET($AM$2,0,0,ROW()-1,33),ROW()-1,FALSE))</f>
        <v>9.2971473999999998E-2</v>
      </c>
      <c r="S383">
        <f ca="1">IF(AND(ISNUMBER($S$781),$B$427=1),$S$781,HLOOKUP(INDIRECT(ADDRESS(2,COLUMN())),OFFSET($AM$2,0,0,ROW()-1,33),ROW()-1,FALSE))</f>
        <v>0.116465313</v>
      </c>
      <c r="T383">
        <f ca="1">IF(AND(ISNUMBER($T$781),$B$427=1),$T$781,HLOOKUP(INDIRECT(ADDRESS(2,COLUMN())),OFFSET($AM$2,0,0,ROW()-1,33),ROW()-1,FALSE))</f>
        <v>5.6779732999999999E-2</v>
      </c>
      <c r="U383">
        <f ca="1">IF(AND(ISNUMBER($U$781),$B$427=1),$U$781,HLOOKUP(INDIRECT(ADDRESS(2,COLUMN())),OFFSET($AM$2,0,0,ROW()-1,33),ROW()-1,FALSE))</f>
        <v>4.0795826E-2</v>
      </c>
      <c r="V383">
        <f ca="1">IF(AND(ISNUMBER($V$781),$B$427=1),$V$781,HLOOKUP(INDIRECT(ADDRESS(2,COLUMN())),OFFSET($AM$2,0,0,ROW()-1,33),ROW()-1,FALSE))</f>
        <v>6.1172891E-2</v>
      </c>
      <c r="W383">
        <f ca="1">IF(AND(ISNUMBER($W$781),$B$427=1),$W$781,HLOOKUP(INDIRECT(ADDRESS(2,COLUMN())),OFFSET($AM$2,0,0,ROW()-1,33),ROW()-1,FALSE))</f>
        <v>5.9069298999999999E-2</v>
      </c>
      <c r="X383">
        <f ca="1">IF(AND(ISNUMBER($X$781),$B$427=1),$X$781,HLOOKUP(INDIRECT(ADDRESS(2,COLUMN())),OFFSET($AM$2,0,0,ROW()-1,33),ROW()-1,FALSE))</f>
        <v>4.7772505999999999E-2</v>
      </c>
      <c r="Y383">
        <f ca="1">IF(AND(ISNUMBER($Y$781),$B$427=1),$Y$781,HLOOKUP(INDIRECT(ADDRESS(2,COLUMN())),OFFSET($AM$2,0,0,ROW()-1,33),ROW()-1,FALSE))</f>
        <v>5.1935692999999998E-2</v>
      </c>
      <c r="Z383">
        <f ca="1">IF(AND(ISNUMBER($Z$781),$B$427=1),$Z$781,HLOOKUP(INDIRECT(ADDRESS(2,COLUMN())),OFFSET($AM$2,0,0,ROW()-1,33),ROW()-1,FALSE))</f>
        <v>6.5434886999999997E-2</v>
      </c>
      <c r="AA383">
        <f ca="1">IF(AND(ISNUMBER($AA$781),$B$427=1),$AA$781,HLOOKUP(INDIRECT(ADDRESS(2,COLUMN())),OFFSET($AM$2,0,0,ROW()-1,33),ROW()-1,FALSE))</f>
        <v>3.3899925999999997E-2</v>
      </c>
      <c r="AB383">
        <f ca="1">IF(AND(ISNUMBER($AB$781),$B$427=1),$AB$781,HLOOKUP(INDIRECT(ADDRESS(2,COLUMN())),OFFSET($AM$2,0,0,ROW()-1,33),ROW()-1,FALSE))</f>
        <v>4.1946869999999997E-2</v>
      </c>
      <c r="AC383">
        <f ca="1">IF(AND(ISNUMBER($AC$781),$B$427=1),$AC$781,HLOOKUP(INDIRECT(ADDRESS(2,COLUMN())),OFFSET($AM$2,0,0,ROW()-1,33),ROW()-1,FALSE))</f>
        <v>5.2668438999999997E-2</v>
      </c>
      <c r="AD383" t="str">
        <f ca="1">IF(AND(ISNUMBER($AD$781),$B$427=1),$AD$781,HLOOKUP(INDIRECT(ADDRESS(2,COLUMN())),OFFSET($AM$2,0,0,ROW()-1,33),ROW()-1,FALSE))</f>
        <v/>
      </c>
      <c r="AE383" t="str">
        <f ca="1">IF(AND(ISNUMBER($AE$781),$B$427=1),$AE$781,HLOOKUP(INDIRECT(ADDRESS(2,COLUMN())),OFFSET($AM$2,0,0,ROW()-1,33),ROW()-1,FALSE))</f>
        <v/>
      </c>
      <c r="AF383" t="str">
        <f ca="1">IF(AND(ISNUMBER($AF$781),$B$427=1),$AF$781,HLOOKUP(INDIRECT(ADDRESS(2,COLUMN())),OFFSET($AM$2,0,0,ROW()-1,33),ROW()-1,FALSE))</f>
        <v/>
      </c>
      <c r="AG383" t="str">
        <f ca="1">IF(AND(ISNUMBER($AG$781),$B$427=1),$AG$781,HLOOKUP(INDIRECT(ADDRESS(2,COLUMN())),OFFSET($AM$2,0,0,ROW()-1,33),ROW()-1,FALSE))</f>
        <v/>
      </c>
      <c r="AH383" t="str">
        <f ca="1">IF(AND(ISNUMBER($AH$781),$B$427=1),$AH$781,HLOOKUP(INDIRECT(ADDRESS(2,COLUMN())),OFFSET($AM$2,0,0,ROW()-1,33),ROW()-1,FALSE))</f>
        <v/>
      </c>
      <c r="AI383" t="str">
        <f ca="1">IF(AND(ISNUMBER($AI$781),$B$427=1),$AI$781,HLOOKUP(INDIRECT(ADDRESS(2,COLUMN())),OFFSET($AM$2,0,0,ROW()-1,33),ROW()-1,FALSE))</f>
        <v/>
      </c>
      <c r="AJ383" t="str">
        <f ca="1">IF(AND(ISNUMBER($AJ$781),$B$427=1),$AJ$781,HLOOKUP(INDIRECT(ADDRESS(2,COLUMN())),OFFSET($AM$2,0,0,ROW()-1,33),ROW()-1,FALSE))</f>
        <v/>
      </c>
      <c r="AK383" t="str">
        <f ca="1">IF(AND(ISNUMBER($AK$781),$B$427=1),$AK$781,HLOOKUP(INDIRECT(ADDRESS(2,COLUMN())),OFFSET($AM$2,0,0,ROW()-1,33),ROW()-1,FALSE))</f>
        <v/>
      </c>
      <c r="AL383" t="str">
        <f ca="1">IF(AND(ISNUMBER($AL$781),$B$427=1),$AL$781,HLOOKUP(INDIRECT(ADDRESS(2,COLUMN())),OFFSET($AM$2,0,0,ROW()-1,33),ROW()-1,FALSE))</f>
        <v/>
      </c>
      <c r="AM383">
        <f>0.045178433</f>
        <v>4.5178432999999997E-2</v>
      </c>
      <c r="AN383">
        <f>0.046498634</f>
        <v>4.6498633999999997E-2</v>
      </c>
      <c r="AO383">
        <f>0.046521975</f>
        <v>4.6521975E-2</v>
      </c>
      <c r="AP383">
        <f>0.024335812</f>
        <v>2.4335811999999998E-2</v>
      </c>
      <c r="AQ383">
        <f>0.025973283</f>
        <v>2.5973283E-2</v>
      </c>
      <c r="AR383">
        <f>0.020011467</f>
        <v>2.0011467000000002E-2</v>
      </c>
      <c r="AS383">
        <f>0.027685063</f>
        <v>2.7685062999999999E-2</v>
      </c>
      <c r="AT383">
        <f>0.078342763</f>
        <v>7.8342762999999996E-2</v>
      </c>
      <c r="AU383">
        <f>0.089975703</f>
        <v>8.9975703000000004E-2</v>
      </c>
      <c r="AV383">
        <f>0.089569607</f>
        <v>8.9569606999999996E-2</v>
      </c>
      <c r="AW383">
        <f>0.088281732</f>
        <v>8.8281732000000002E-2</v>
      </c>
      <c r="AX383">
        <f>0.095687494</f>
        <v>9.5687493999999998E-2</v>
      </c>
      <c r="AY383">
        <f>0.092971474</f>
        <v>9.2971473999999998E-2</v>
      </c>
      <c r="AZ383">
        <f>0.116465313</f>
        <v>0.116465313</v>
      </c>
      <c r="BA383">
        <f>0.056779733</f>
        <v>5.6779732999999999E-2</v>
      </c>
      <c r="BB383">
        <f>0.040795826</f>
        <v>4.0795826E-2</v>
      </c>
      <c r="BC383">
        <f>0.061172891</f>
        <v>6.1172891E-2</v>
      </c>
      <c r="BD383">
        <f>0.059069299</f>
        <v>5.9069298999999999E-2</v>
      </c>
      <c r="BE383">
        <f>0.047772506</f>
        <v>4.7772505999999999E-2</v>
      </c>
      <c r="BF383">
        <f>0.051935693</f>
        <v>5.1935692999999998E-2</v>
      </c>
      <c r="BG383">
        <f>0.065434887</f>
        <v>6.5434886999999997E-2</v>
      </c>
      <c r="BH383">
        <f>0.033899926</f>
        <v>3.3899925999999997E-2</v>
      </c>
      <c r="BI383">
        <f>0.04194687</f>
        <v>4.1946869999999997E-2</v>
      </c>
      <c r="BJ383">
        <f>0.052668439</f>
        <v>5.2668438999999997E-2</v>
      </c>
      <c r="BK383" t="str">
        <f>""</f>
        <v/>
      </c>
      <c r="BL383" t="str">
        <f>""</f>
        <v/>
      </c>
      <c r="BM383" t="str">
        <f>""</f>
        <v/>
      </c>
      <c r="BN383" t="str">
        <f>""</f>
        <v/>
      </c>
      <c r="BO383" t="str">
        <f>""</f>
        <v/>
      </c>
      <c r="BP383" t="str">
        <f>""</f>
        <v/>
      </c>
      <c r="BQ383" t="str">
        <f>""</f>
        <v/>
      </c>
      <c r="BR383" t="str">
        <f>""</f>
        <v/>
      </c>
      <c r="BS383" t="str">
        <f>""</f>
        <v/>
      </c>
    </row>
    <row r="384" spans="1:71" x14ac:dyDescent="0.25">
      <c r="A384" t="str">
        <f>"        PNC Financial Services Group I"</f>
        <v xml:space="preserve">        PNC Financial Services Group I</v>
      </c>
      <c r="B384" t="str">
        <f>"PNC US Equity"</f>
        <v>PNC US Equity</v>
      </c>
      <c r="C384" t="str">
        <f t="shared" si="51"/>
        <v>F0127</v>
      </c>
      <c r="D384" t="str">
        <f t="shared" si="52"/>
        <v>FED_FARMERS_LOANS_%_TOT_LNS_LEAS</v>
      </c>
      <c r="E384" t="str">
        <f t="shared" si="53"/>
        <v>Dynamic</v>
      </c>
      <c r="F384" t="str">
        <f ca="1">IF(AND(ISNUMBER($F$782),$B$427=1),$F$782,HLOOKUP(INDIRECT(ADDRESS(2,COLUMN())),OFFSET($AM$2,0,0,ROW()-1,33),ROW()-1,FALSE))</f>
        <v/>
      </c>
      <c r="G384">
        <f ca="1">IF(AND(ISNUMBER($G$782),$B$427=1),$G$782,HLOOKUP(INDIRECT(ADDRESS(2,COLUMN())),OFFSET($AM$2,0,0,ROW()-1,33),ROW()-1,FALSE))</f>
        <v>3.3058217000000001E-2</v>
      </c>
      <c r="H384">
        <f ca="1">IF(AND(ISNUMBER($H$782),$B$427=1),$H$782,HLOOKUP(INDIRECT(ADDRESS(2,COLUMN())),OFFSET($AM$2,0,0,ROW()-1,33),ROW()-1,FALSE))</f>
        <v>5.8453694E-2</v>
      </c>
      <c r="I384">
        <f ca="1">IF(AND(ISNUMBER($I$782),$B$427=1),$I$782,HLOOKUP(INDIRECT(ADDRESS(2,COLUMN())),OFFSET($AM$2,0,0,ROW()-1,33),ROW()-1,FALSE))</f>
        <v>7.9058557000000002E-2</v>
      </c>
      <c r="J384">
        <f ca="1">IF(AND(ISNUMBER($J$782),$B$427=1),$J$782,HLOOKUP(INDIRECT(ADDRESS(2,COLUMN())),OFFSET($AM$2,0,0,ROW()-1,33),ROW()-1,FALSE))</f>
        <v>8.4277068999999996E-2</v>
      </c>
      <c r="K384">
        <f ca="1">IF(AND(ISNUMBER($K$782),$B$427=1),$K$782,HLOOKUP(INDIRECT(ADDRESS(2,COLUMN())),OFFSET($AM$2,0,0,ROW()-1,33),ROW()-1,FALSE))</f>
        <v>7.6577505000000004E-2</v>
      </c>
      <c r="L384">
        <f ca="1">IF(AND(ISNUMBER($L$782),$B$427=1),$L$782,HLOOKUP(INDIRECT(ADDRESS(2,COLUMN())),OFFSET($AM$2,0,0,ROW()-1,33),ROW()-1,FALSE))</f>
        <v>4.5603899000000003E-2</v>
      </c>
      <c r="M384">
        <f ca="1">IF(AND(ISNUMBER($M$782),$B$427=1),$M$782,HLOOKUP(INDIRECT(ADDRESS(2,COLUMN())),OFFSET($AM$2,0,0,ROW()-1,33),ROW()-1,FALSE))</f>
        <v>5.0625096000000001E-2</v>
      </c>
      <c r="N384">
        <f ca="1">IF(AND(ISNUMBER($N$782),$B$427=1),$N$782,HLOOKUP(INDIRECT(ADDRESS(2,COLUMN())),OFFSET($AM$2,0,0,ROW()-1,33),ROW()-1,FALSE))</f>
        <v>6.0978788999999999E-2</v>
      </c>
      <c r="O384">
        <f ca="1">IF(AND(ISNUMBER($O$782),$B$427=1),$O$782,HLOOKUP(INDIRECT(ADDRESS(2,COLUMN())),OFFSET($AM$2,0,0,ROW()-1,33),ROW()-1,FALSE))</f>
        <v>6.4644672E-2</v>
      </c>
      <c r="P384">
        <f ca="1">IF(AND(ISNUMBER($P$782),$B$427=1),$P$782,HLOOKUP(INDIRECT(ADDRESS(2,COLUMN())),OFFSET($AM$2,0,0,ROW()-1,33),ROW()-1,FALSE))</f>
        <v>6.2666417000000002E-2</v>
      </c>
      <c r="Q384">
        <f ca="1">IF(AND(ISNUMBER($Q$782),$B$427=1),$Q$782,HLOOKUP(INDIRECT(ADDRESS(2,COLUMN())),OFFSET($AM$2,0,0,ROW()-1,33),ROW()-1,FALSE))</f>
        <v>5.9536841E-2</v>
      </c>
      <c r="R384">
        <f ca="1">IF(AND(ISNUMBER($R$782),$B$427=1),$R$782,HLOOKUP(INDIRECT(ADDRESS(2,COLUMN())),OFFSET($AM$2,0,0,ROW()-1,33),ROW()-1,FALSE))</f>
        <v>5.7491709000000002E-2</v>
      </c>
      <c r="S384">
        <f ca="1">IF(AND(ISNUMBER($S$782),$B$427=1),$S$782,HLOOKUP(INDIRECT(ADDRESS(2,COLUMN())),OFFSET($AM$2,0,0,ROW()-1,33),ROW()-1,FALSE))</f>
        <v>5.0522842999999998E-2</v>
      </c>
      <c r="T384">
        <f ca="1">IF(AND(ISNUMBER($T$782),$B$427=1),$T$782,HLOOKUP(INDIRECT(ADDRESS(2,COLUMN())),OFFSET($AM$2,0,0,ROW()-1,33),ROW()-1,FALSE))</f>
        <v>5.5941518000000003E-2</v>
      </c>
      <c r="U384">
        <f ca="1">IF(AND(ISNUMBER($U$782),$B$427=1),$U$782,HLOOKUP(INDIRECT(ADDRESS(2,COLUMN())),OFFSET($AM$2,0,0,ROW()-1,33),ROW()-1,FALSE))</f>
        <v>8.9743057000000001E-2</v>
      </c>
      <c r="V384">
        <f ca="1">IF(AND(ISNUMBER($V$782),$B$427=1),$V$782,HLOOKUP(INDIRECT(ADDRESS(2,COLUMN())),OFFSET($AM$2,0,0,ROW()-1,33),ROW()-1,FALSE))</f>
        <v>0.12759414799999999</v>
      </c>
      <c r="W384">
        <f ca="1">IF(AND(ISNUMBER($W$782),$B$427=1),$W$782,HLOOKUP(INDIRECT(ADDRESS(2,COLUMN())),OFFSET($AM$2,0,0,ROW()-1,33),ROW()-1,FALSE))</f>
        <v>1.0601673000000001E-2</v>
      </c>
      <c r="X384">
        <f ca="1">IF(AND(ISNUMBER($X$782),$B$427=1),$X$782,HLOOKUP(INDIRECT(ADDRESS(2,COLUMN())),OFFSET($AM$2,0,0,ROW()-1,33),ROW()-1,FALSE))</f>
        <v>1.746945E-3</v>
      </c>
      <c r="Y384">
        <f ca="1">IF(AND(ISNUMBER($Y$782),$B$427=1),$Y$782,HLOOKUP(INDIRECT(ADDRESS(2,COLUMN())),OFFSET($AM$2,0,0,ROW()-1,33),ROW()-1,FALSE))</f>
        <v>2.4241549999999999E-3</v>
      </c>
      <c r="Z384">
        <f ca="1">IF(AND(ISNUMBER($Z$782),$B$427=1),$Z$782,HLOOKUP(INDIRECT(ADDRESS(2,COLUMN())),OFFSET($AM$2,0,0,ROW()-1,33),ROW()-1,FALSE))</f>
        <v>3.4158249999999999E-3</v>
      </c>
      <c r="AA384">
        <f ca="1">IF(AND(ISNUMBER($AA$782),$B$427=1),$AA$782,HLOOKUP(INDIRECT(ADDRESS(2,COLUMN())),OFFSET($AM$2,0,0,ROW()-1,33),ROW()-1,FALSE))</f>
        <v>3.0207849999999998E-3</v>
      </c>
      <c r="AB384">
        <f ca="1">IF(AND(ISNUMBER($AB$782),$B$427=1),$AB$782,HLOOKUP(INDIRECT(ADDRESS(2,COLUMN())),OFFSET($AM$2,0,0,ROW()-1,33),ROW()-1,FALSE))</f>
        <v>6.0433659999999997E-3</v>
      </c>
      <c r="AC384">
        <f ca="1">IF(AND(ISNUMBER($AC$782),$B$427=1),$AC$782,HLOOKUP(INDIRECT(ADDRESS(2,COLUMN())),OFFSET($AM$2,0,0,ROW()-1,33),ROW()-1,FALSE))</f>
        <v>8.9302050000000001E-3</v>
      </c>
      <c r="AD384" t="str">
        <f ca="1">IF(AND(ISNUMBER($AD$782),$B$427=1),$AD$782,HLOOKUP(INDIRECT(ADDRESS(2,COLUMN())),OFFSET($AM$2,0,0,ROW()-1,33),ROW()-1,FALSE))</f>
        <v/>
      </c>
      <c r="AE384" t="str">
        <f ca="1">IF(AND(ISNUMBER($AE$782),$B$427=1),$AE$782,HLOOKUP(INDIRECT(ADDRESS(2,COLUMN())),OFFSET($AM$2,0,0,ROW()-1,33),ROW()-1,FALSE))</f>
        <v/>
      </c>
      <c r="AF384" t="str">
        <f ca="1">IF(AND(ISNUMBER($AF$782),$B$427=1),$AF$782,HLOOKUP(INDIRECT(ADDRESS(2,COLUMN())),OFFSET($AM$2,0,0,ROW()-1,33),ROW()-1,FALSE))</f>
        <v/>
      </c>
      <c r="AG384" t="str">
        <f ca="1">IF(AND(ISNUMBER($AG$782),$B$427=1),$AG$782,HLOOKUP(INDIRECT(ADDRESS(2,COLUMN())),OFFSET($AM$2,0,0,ROW()-1,33),ROW()-1,FALSE))</f>
        <v/>
      </c>
      <c r="AH384" t="str">
        <f ca="1">IF(AND(ISNUMBER($AH$782),$B$427=1),$AH$782,HLOOKUP(INDIRECT(ADDRESS(2,COLUMN())),OFFSET($AM$2,0,0,ROW()-1,33),ROW()-1,FALSE))</f>
        <v/>
      </c>
      <c r="AI384" t="str">
        <f ca="1">IF(AND(ISNUMBER($AI$782),$B$427=1),$AI$782,HLOOKUP(INDIRECT(ADDRESS(2,COLUMN())),OFFSET($AM$2,0,0,ROW()-1,33),ROW()-1,FALSE))</f>
        <v/>
      </c>
      <c r="AJ384" t="str">
        <f ca="1">IF(AND(ISNUMBER($AJ$782),$B$427=1),$AJ$782,HLOOKUP(INDIRECT(ADDRESS(2,COLUMN())),OFFSET($AM$2,0,0,ROW()-1,33),ROW()-1,FALSE))</f>
        <v/>
      </c>
      <c r="AK384" t="str">
        <f ca="1">IF(AND(ISNUMBER($AK$782),$B$427=1),$AK$782,HLOOKUP(INDIRECT(ADDRESS(2,COLUMN())),OFFSET($AM$2,0,0,ROW()-1,33),ROW()-1,FALSE))</f>
        <v/>
      </c>
      <c r="AL384" t="str">
        <f ca="1">IF(AND(ISNUMBER($AL$782),$B$427=1),$AL$782,HLOOKUP(INDIRECT(ADDRESS(2,COLUMN())),OFFSET($AM$2,0,0,ROW()-1,33),ROW()-1,FALSE))</f>
        <v/>
      </c>
      <c r="AM384" t="str">
        <f>""</f>
        <v/>
      </c>
      <c r="AN384">
        <f>0.033058217</f>
        <v>3.3058217000000001E-2</v>
      </c>
      <c r="AO384">
        <f>0.058453694</f>
        <v>5.8453694E-2</v>
      </c>
      <c r="AP384">
        <f>0.079058557</f>
        <v>7.9058557000000002E-2</v>
      </c>
      <c r="AQ384">
        <f>0.084277069</f>
        <v>8.4277068999999996E-2</v>
      </c>
      <c r="AR384">
        <f>0.076577505</f>
        <v>7.6577505000000004E-2</v>
      </c>
      <c r="AS384">
        <f>0.045603899</f>
        <v>4.5603899000000003E-2</v>
      </c>
      <c r="AT384">
        <f>0.050625096</f>
        <v>5.0625096000000001E-2</v>
      </c>
      <c r="AU384">
        <f>0.060978789</f>
        <v>6.0978788999999999E-2</v>
      </c>
      <c r="AV384">
        <f>0.064644672</f>
        <v>6.4644672E-2</v>
      </c>
      <c r="AW384">
        <f>0.062666417</f>
        <v>6.2666417000000002E-2</v>
      </c>
      <c r="AX384">
        <f>0.059536841</f>
        <v>5.9536841E-2</v>
      </c>
      <c r="AY384">
        <f>0.057491709</f>
        <v>5.7491709000000002E-2</v>
      </c>
      <c r="AZ384">
        <f>0.050522843</f>
        <v>5.0522842999999998E-2</v>
      </c>
      <c r="BA384">
        <f>0.055941518</f>
        <v>5.5941518000000003E-2</v>
      </c>
      <c r="BB384">
        <f>0.089743057</f>
        <v>8.9743057000000001E-2</v>
      </c>
      <c r="BC384">
        <f>0.127594148</f>
        <v>0.12759414799999999</v>
      </c>
      <c r="BD384">
        <f>0.010601673</f>
        <v>1.0601673000000001E-2</v>
      </c>
      <c r="BE384">
        <f>0.001746945</f>
        <v>1.746945E-3</v>
      </c>
      <c r="BF384">
        <f>0.002424155</f>
        <v>2.4241549999999999E-3</v>
      </c>
      <c r="BG384">
        <f>0.003415825</f>
        <v>3.4158249999999999E-3</v>
      </c>
      <c r="BH384">
        <f>0.003020785</f>
        <v>3.0207849999999998E-3</v>
      </c>
      <c r="BI384">
        <f>0.006043366</f>
        <v>6.0433659999999997E-3</v>
      </c>
      <c r="BJ384">
        <f>0.008930205</f>
        <v>8.9302050000000001E-3</v>
      </c>
      <c r="BK384" t="str">
        <f>""</f>
        <v/>
      </c>
      <c r="BL384" t="str">
        <f>""</f>
        <v/>
      </c>
      <c r="BM384" t="str">
        <f>""</f>
        <v/>
      </c>
      <c r="BN384" t="str">
        <f>""</f>
        <v/>
      </c>
      <c r="BO384" t="str">
        <f>""</f>
        <v/>
      </c>
      <c r="BP384" t="str">
        <f>""</f>
        <v/>
      </c>
      <c r="BQ384" t="str">
        <f>""</f>
        <v/>
      </c>
      <c r="BR384" t="str">
        <f>""</f>
        <v/>
      </c>
      <c r="BS384" t="str">
        <f>""</f>
        <v/>
      </c>
    </row>
    <row r="385" spans="1:71" x14ac:dyDescent="0.25">
      <c r="A385" t="str">
        <f>"        Regions Financial Corp"</f>
        <v xml:space="preserve">        Regions Financial Corp</v>
      </c>
      <c r="B385" t="str">
        <f>"RF US Equity"</f>
        <v>RF US Equity</v>
      </c>
      <c r="C385" t="str">
        <f t="shared" si="51"/>
        <v>F0127</v>
      </c>
      <c r="D385" t="str">
        <f t="shared" si="52"/>
        <v>FED_FARMERS_LOANS_%_TOT_LNS_LEAS</v>
      </c>
      <c r="E385" t="str">
        <f t="shared" si="53"/>
        <v>Dynamic</v>
      </c>
      <c r="F385" t="str">
        <f ca="1">IF(AND(ISNUMBER($F$783),$B$427=1),$F$783,HLOOKUP(INDIRECT(ADDRESS(2,COLUMN())),OFFSET($AM$2,0,0,ROW()-1,33),ROW()-1,FALSE))</f>
        <v/>
      </c>
      <c r="G385">
        <f ca="1">IF(AND(ISNUMBER($G$783),$B$427=1),$G$783,HLOOKUP(INDIRECT(ADDRESS(2,COLUMN())),OFFSET($AM$2,0,0,ROW()-1,33),ROW()-1,FALSE))</f>
        <v>0.14985520799999999</v>
      </c>
      <c r="H385">
        <f ca="1">IF(AND(ISNUMBER($H$783),$B$427=1),$H$783,HLOOKUP(INDIRECT(ADDRESS(2,COLUMN())),OFFSET($AM$2,0,0,ROW()-1,33),ROW()-1,FALSE))</f>
        <v>0.223941159</v>
      </c>
      <c r="I385">
        <f ca="1">IF(AND(ISNUMBER($I$783),$B$427=1),$I$783,HLOOKUP(INDIRECT(ADDRESS(2,COLUMN())),OFFSET($AM$2,0,0,ROW()-1,33),ROW()-1,FALSE))</f>
        <v>0.20839435000000001</v>
      </c>
      <c r="J385">
        <f ca="1">IF(AND(ISNUMBER($J$783),$B$427=1),$J$783,HLOOKUP(INDIRECT(ADDRESS(2,COLUMN())),OFFSET($AM$2,0,0,ROW()-1,33),ROW()-1,FALSE))</f>
        <v>0.253545042</v>
      </c>
      <c r="K385">
        <f ca="1">IF(AND(ISNUMBER($K$783),$B$427=1),$K$783,HLOOKUP(INDIRECT(ADDRESS(2,COLUMN())),OFFSET($AM$2,0,0,ROW()-1,33),ROW()-1,FALSE))</f>
        <v>0.29186602900000003</v>
      </c>
      <c r="L385">
        <f ca="1">IF(AND(ISNUMBER($L$783),$B$427=1),$L$783,HLOOKUP(INDIRECT(ADDRESS(2,COLUMN())),OFFSET($AM$2,0,0,ROW()-1,33),ROW()-1,FALSE))</f>
        <v>0.35795390599999999</v>
      </c>
      <c r="M385">
        <f ca="1">IF(AND(ISNUMBER($M$783),$B$427=1),$M$783,HLOOKUP(INDIRECT(ADDRESS(2,COLUMN())),OFFSET($AM$2,0,0,ROW()-1,33),ROW()-1,FALSE))</f>
        <v>0.27747663099999997</v>
      </c>
      <c r="N385">
        <f ca="1">IF(AND(ISNUMBER($N$783),$B$427=1),$N$783,HLOOKUP(INDIRECT(ADDRESS(2,COLUMN())),OFFSET($AM$2,0,0,ROW()-1,33),ROW()-1,FALSE))</f>
        <v>0.319963944</v>
      </c>
      <c r="O385">
        <f ca="1">IF(AND(ISNUMBER($O$783),$B$427=1),$O$783,HLOOKUP(INDIRECT(ADDRESS(2,COLUMN())),OFFSET($AM$2,0,0,ROW()-1,33),ROW()-1,FALSE))</f>
        <v>0.39528888699999998</v>
      </c>
      <c r="P385">
        <f ca="1">IF(AND(ISNUMBER($P$783),$B$427=1),$P$783,HLOOKUP(INDIRECT(ADDRESS(2,COLUMN())),OFFSET($AM$2,0,0,ROW()-1,33),ROW()-1,FALSE))</f>
        <v>0.47411836200000002</v>
      </c>
      <c r="Q385">
        <f ca="1">IF(AND(ISNUMBER($Q$783),$B$427=1),$Q$783,HLOOKUP(INDIRECT(ADDRESS(2,COLUMN())),OFFSET($AM$2,0,0,ROW()-1,33),ROW()-1,FALSE))</f>
        <v>0.47743107899999998</v>
      </c>
      <c r="R385">
        <f ca="1">IF(AND(ISNUMBER($R$783),$B$427=1),$R$783,HLOOKUP(INDIRECT(ADDRESS(2,COLUMN())),OFFSET($AM$2,0,0,ROW()-1,33),ROW()-1,FALSE))</f>
        <v>0.44726018000000001</v>
      </c>
      <c r="S385">
        <f ca="1">IF(AND(ISNUMBER($S$783),$B$427=1),$S$783,HLOOKUP(INDIRECT(ADDRESS(2,COLUMN())),OFFSET($AM$2,0,0,ROW()-1,33),ROW()-1,FALSE))</f>
        <v>0.438039503</v>
      </c>
      <c r="T385">
        <f ca="1">IF(AND(ISNUMBER($T$783),$B$427=1),$T$783,HLOOKUP(INDIRECT(ADDRESS(2,COLUMN())),OFFSET($AM$2,0,0,ROW()-1,33),ROW()-1,FALSE))</f>
        <v>0.39222884099999999</v>
      </c>
      <c r="U385">
        <f ca="1">IF(AND(ISNUMBER($U$783),$B$427=1),$U$783,HLOOKUP(INDIRECT(ADDRESS(2,COLUMN())),OFFSET($AM$2,0,0,ROW()-1,33),ROW()-1,FALSE))</f>
        <v>0.33360268900000001</v>
      </c>
      <c r="V385">
        <f ca="1">IF(AND(ISNUMBER($V$783),$B$427=1),$V$783,HLOOKUP(INDIRECT(ADDRESS(2,COLUMN())),OFFSET($AM$2,0,0,ROW()-1,33),ROW()-1,FALSE))</f>
        <v>0.43496693199999997</v>
      </c>
      <c r="W385">
        <f ca="1">IF(AND(ISNUMBER($W$783),$B$427=1),$W$783,HLOOKUP(INDIRECT(ADDRESS(2,COLUMN())),OFFSET($AM$2,0,0,ROW()-1,33),ROW()-1,FALSE))</f>
        <v>0.38241053699999999</v>
      </c>
      <c r="X385">
        <f ca="1">IF(AND(ISNUMBER($X$783),$B$427=1),$X$783,HLOOKUP(INDIRECT(ADDRESS(2,COLUMN())),OFFSET($AM$2,0,0,ROW()-1,33),ROW()-1,FALSE))</f>
        <v>0.45565366400000001</v>
      </c>
      <c r="Y385">
        <f ca="1">IF(AND(ISNUMBER($Y$783),$B$427=1),$Y$783,HLOOKUP(INDIRECT(ADDRESS(2,COLUMN())),OFFSET($AM$2,0,0,ROW()-1,33),ROW()-1,FALSE))</f>
        <v>0.78828531000000002</v>
      </c>
      <c r="Z385">
        <f ca="1">IF(AND(ISNUMBER($Z$783),$B$427=1),$Z$783,HLOOKUP(INDIRECT(ADDRESS(2,COLUMN())),OFFSET($AM$2,0,0,ROW()-1,33),ROW()-1,FALSE))</f>
        <v>0.75162804900000002</v>
      </c>
      <c r="AA385" t="str">
        <f ca="1">IF(AND(ISNUMBER($AA$783),$B$427=1),$AA$783,HLOOKUP(INDIRECT(ADDRESS(2,COLUMN())),OFFSET($AM$2,0,0,ROW()-1,33),ROW()-1,FALSE))</f>
        <v/>
      </c>
      <c r="AB385" t="str">
        <f ca="1">IF(AND(ISNUMBER($AB$783),$B$427=1),$AB$783,HLOOKUP(INDIRECT(ADDRESS(2,COLUMN())),OFFSET($AM$2,0,0,ROW()-1,33),ROW()-1,FALSE))</f>
        <v/>
      </c>
      <c r="AC385" t="str">
        <f ca="1">IF(AND(ISNUMBER($AC$783),$B$427=1),$AC$783,HLOOKUP(INDIRECT(ADDRESS(2,COLUMN())),OFFSET($AM$2,0,0,ROW()-1,33),ROW()-1,FALSE))</f>
        <v/>
      </c>
      <c r="AD385" t="str">
        <f ca="1">IF(AND(ISNUMBER($AD$783),$B$427=1),$AD$783,HLOOKUP(INDIRECT(ADDRESS(2,COLUMN())),OFFSET($AM$2,0,0,ROW()-1,33),ROW()-1,FALSE))</f>
        <v/>
      </c>
      <c r="AE385" t="str">
        <f ca="1">IF(AND(ISNUMBER($AE$783),$B$427=1),$AE$783,HLOOKUP(INDIRECT(ADDRESS(2,COLUMN())),OFFSET($AM$2,0,0,ROW()-1,33),ROW()-1,FALSE))</f>
        <v/>
      </c>
      <c r="AF385" t="str">
        <f ca="1">IF(AND(ISNUMBER($AF$783),$B$427=1),$AF$783,HLOOKUP(INDIRECT(ADDRESS(2,COLUMN())),OFFSET($AM$2,0,0,ROW()-1,33),ROW()-1,FALSE))</f>
        <v/>
      </c>
      <c r="AG385" t="str">
        <f ca="1">IF(AND(ISNUMBER($AG$783),$B$427=1),$AG$783,HLOOKUP(INDIRECT(ADDRESS(2,COLUMN())),OFFSET($AM$2,0,0,ROW()-1,33),ROW()-1,FALSE))</f>
        <v/>
      </c>
      <c r="AH385" t="str">
        <f ca="1">IF(AND(ISNUMBER($AH$783),$B$427=1),$AH$783,HLOOKUP(INDIRECT(ADDRESS(2,COLUMN())),OFFSET($AM$2,0,0,ROW()-1,33),ROW()-1,FALSE))</f>
        <v/>
      </c>
      <c r="AI385" t="str">
        <f ca="1">IF(AND(ISNUMBER($AI$783),$B$427=1),$AI$783,HLOOKUP(INDIRECT(ADDRESS(2,COLUMN())),OFFSET($AM$2,0,0,ROW()-1,33),ROW()-1,FALSE))</f>
        <v/>
      </c>
      <c r="AJ385" t="str">
        <f ca="1">IF(AND(ISNUMBER($AJ$783),$B$427=1),$AJ$783,HLOOKUP(INDIRECT(ADDRESS(2,COLUMN())),OFFSET($AM$2,0,0,ROW()-1,33),ROW()-1,FALSE))</f>
        <v/>
      </c>
      <c r="AK385" t="str">
        <f ca="1">IF(AND(ISNUMBER($AK$783),$B$427=1),$AK$783,HLOOKUP(INDIRECT(ADDRESS(2,COLUMN())),OFFSET($AM$2,0,0,ROW()-1,33),ROW()-1,FALSE))</f>
        <v/>
      </c>
      <c r="AL385" t="str">
        <f ca="1">IF(AND(ISNUMBER($AL$783),$B$427=1),$AL$783,HLOOKUP(INDIRECT(ADDRESS(2,COLUMN())),OFFSET($AM$2,0,0,ROW()-1,33),ROW()-1,FALSE))</f>
        <v/>
      </c>
      <c r="AM385" t="str">
        <f>""</f>
        <v/>
      </c>
      <c r="AN385">
        <f>0.149855208</f>
        <v>0.14985520799999999</v>
      </c>
      <c r="AO385">
        <f>0.223941159</f>
        <v>0.223941159</v>
      </c>
      <c r="AP385">
        <f>0.20839435</f>
        <v>0.20839435000000001</v>
      </c>
      <c r="AQ385">
        <f>0.253545042</f>
        <v>0.253545042</v>
      </c>
      <c r="AR385">
        <f>0.291866029</f>
        <v>0.29186602900000003</v>
      </c>
      <c r="AS385">
        <f>0.357953906</f>
        <v>0.35795390599999999</v>
      </c>
      <c r="AT385">
        <f>0.277476631</f>
        <v>0.27747663099999997</v>
      </c>
      <c r="AU385">
        <f>0.319963944</f>
        <v>0.319963944</v>
      </c>
      <c r="AV385">
        <f>0.395288887</f>
        <v>0.39528888699999998</v>
      </c>
      <c r="AW385">
        <f>0.474118362</f>
        <v>0.47411836200000002</v>
      </c>
      <c r="AX385">
        <f>0.477431079</f>
        <v>0.47743107899999998</v>
      </c>
      <c r="AY385">
        <f>0.44726018</f>
        <v>0.44726018000000001</v>
      </c>
      <c r="AZ385">
        <f>0.438039503</f>
        <v>0.438039503</v>
      </c>
      <c r="BA385">
        <f>0.392228841</f>
        <v>0.39222884099999999</v>
      </c>
      <c r="BB385">
        <f>0.333602689</f>
        <v>0.33360268900000001</v>
      </c>
      <c r="BC385">
        <f>0.434966932</f>
        <v>0.43496693199999997</v>
      </c>
      <c r="BD385">
        <f>0.382410537</f>
        <v>0.38241053699999999</v>
      </c>
      <c r="BE385">
        <f>0.455653664</f>
        <v>0.45565366400000001</v>
      </c>
      <c r="BF385">
        <f>0.78828531</f>
        <v>0.78828531000000002</v>
      </c>
      <c r="BG385">
        <f>0.751628049</f>
        <v>0.75162804900000002</v>
      </c>
      <c r="BH385" t="str">
        <f>""</f>
        <v/>
      </c>
      <c r="BI385" t="str">
        <f>""</f>
        <v/>
      </c>
      <c r="BJ385" t="str">
        <f>""</f>
        <v/>
      </c>
      <c r="BK385" t="str">
        <f>""</f>
        <v/>
      </c>
      <c r="BL385" t="str">
        <f>""</f>
        <v/>
      </c>
      <c r="BM385" t="str">
        <f>""</f>
        <v/>
      </c>
      <c r="BN385" t="str">
        <f>""</f>
        <v/>
      </c>
      <c r="BO385" t="str">
        <f>""</f>
        <v/>
      </c>
      <c r="BP385" t="str">
        <f>""</f>
        <v/>
      </c>
      <c r="BQ385" t="str">
        <f>""</f>
        <v/>
      </c>
      <c r="BR385" t="str">
        <f>""</f>
        <v/>
      </c>
      <c r="BS385" t="str">
        <f>""</f>
        <v/>
      </c>
    </row>
    <row r="386" spans="1:71" x14ac:dyDescent="0.25">
      <c r="A386" t="str">
        <f>"        Truist Financial Corp"</f>
        <v xml:space="preserve">        Truist Financial Corp</v>
      </c>
      <c r="B386" t="str">
        <f>"TFC US Equity"</f>
        <v>TFC US Equity</v>
      </c>
      <c r="C386" t="str">
        <f t="shared" si="51"/>
        <v>F0127</v>
      </c>
      <c r="D386" t="str">
        <f t="shared" si="52"/>
        <v>FED_FARMERS_LOANS_%_TOT_LNS_LEAS</v>
      </c>
      <c r="E386" t="str">
        <f t="shared" si="53"/>
        <v>Dynamic</v>
      </c>
      <c r="F386">
        <f ca="1">IF(AND(ISNUMBER($F$784),$B$427=1),$F$784,HLOOKUP(INDIRECT(ADDRESS(2,COLUMN())),OFFSET($AM$2,0,0,ROW()-1,33),ROW()-1,FALSE))</f>
        <v>8.3178726999999994E-2</v>
      </c>
      <c r="G386">
        <f ca="1">IF(AND(ISNUMBER($G$784),$B$427=1),$G$784,HLOOKUP(INDIRECT(ADDRESS(2,COLUMN())),OFFSET($AM$2,0,0,ROW()-1,33),ROW()-1,FALSE))</f>
        <v>9.5742337999999996E-2</v>
      </c>
      <c r="H386">
        <f ca="1">IF(AND(ISNUMBER($H$784),$B$427=1),$H$784,HLOOKUP(INDIRECT(ADDRESS(2,COLUMN())),OFFSET($AM$2,0,0,ROW()-1,33),ROW()-1,FALSE))</f>
        <v>0.114831951</v>
      </c>
      <c r="I386">
        <f ca="1">IF(AND(ISNUMBER($I$784),$B$427=1),$I$784,HLOOKUP(INDIRECT(ADDRESS(2,COLUMN())),OFFSET($AM$2,0,0,ROW()-1,33),ROW()-1,FALSE))</f>
        <v>0.154251253</v>
      </c>
      <c r="J386">
        <f ca="1">IF(AND(ISNUMBER($J$784),$B$427=1),$J$784,HLOOKUP(INDIRECT(ADDRESS(2,COLUMN())),OFFSET($AM$2,0,0,ROW()-1,33),ROW()-1,FALSE))</f>
        <v>0.17168476699999999</v>
      </c>
      <c r="K386">
        <f ca="1">IF(AND(ISNUMBER($K$784),$B$427=1),$K$784,HLOOKUP(INDIRECT(ADDRESS(2,COLUMN())),OFFSET($AM$2,0,0,ROW()-1,33),ROW()-1,FALSE))</f>
        <v>8.8898983000000001E-2</v>
      </c>
      <c r="L386">
        <f ca="1">IF(AND(ISNUMBER($L$784),$B$427=1),$L$784,HLOOKUP(INDIRECT(ADDRESS(2,COLUMN())),OFFSET($AM$2,0,0,ROW()-1,33),ROW()-1,FALSE))</f>
        <v>0.154665636</v>
      </c>
      <c r="M386">
        <f ca="1">IF(AND(ISNUMBER($M$784),$B$427=1),$M$784,HLOOKUP(INDIRECT(ADDRESS(2,COLUMN())),OFFSET($AM$2,0,0,ROW()-1,33),ROW()-1,FALSE))</f>
        <v>0.153314917</v>
      </c>
      <c r="N386">
        <f ca="1">IF(AND(ISNUMBER($N$784),$B$427=1),$N$784,HLOOKUP(INDIRECT(ADDRESS(2,COLUMN())),OFFSET($AM$2,0,0,ROW()-1,33),ROW()-1,FALSE))</f>
        <v>0.15783967099999999</v>
      </c>
      <c r="O386">
        <f ca="1">IF(AND(ISNUMBER($O$784),$B$427=1),$O$784,HLOOKUP(INDIRECT(ADDRESS(2,COLUMN())),OFFSET($AM$2,0,0,ROW()-1,33),ROW()-1,FALSE))</f>
        <v>0.14586977500000001</v>
      </c>
      <c r="P386">
        <f ca="1">IF(AND(ISNUMBER($P$784),$B$427=1),$P$784,HLOOKUP(INDIRECT(ADDRESS(2,COLUMN())),OFFSET($AM$2,0,0,ROW()-1,33),ROW()-1,FALSE))</f>
        <v>0.12111655</v>
      </c>
      <c r="Q386">
        <f ca="1">IF(AND(ISNUMBER($Q$784),$B$427=1),$Q$784,HLOOKUP(INDIRECT(ADDRESS(2,COLUMN())),OFFSET($AM$2,0,0,ROW()-1,33),ROW()-1,FALSE))</f>
        <v>0.117851734</v>
      </c>
      <c r="R386">
        <f ca="1">IF(AND(ISNUMBER($R$784),$B$427=1),$R$784,HLOOKUP(INDIRECT(ADDRESS(2,COLUMN())),OFFSET($AM$2,0,0,ROW()-1,33),ROW()-1,FALSE))</f>
        <v>0.131669641</v>
      </c>
      <c r="S386">
        <f ca="1">IF(AND(ISNUMBER($S$784),$B$427=1),$S$784,HLOOKUP(INDIRECT(ADDRESS(2,COLUMN())),OFFSET($AM$2,0,0,ROW()-1,33),ROW()-1,FALSE))</f>
        <v>0.126418367</v>
      </c>
      <c r="T386">
        <f ca="1">IF(AND(ISNUMBER($T$784),$B$427=1),$T$784,HLOOKUP(INDIRECT(ADDRESS(2,COLUMN())),OFFSET($AM$2,0,0,ROW()-1,33),ROW()-1,FALSE))</f>
        <v>0.124174459</v>
      </c>
      <c r="U386">
        <f ca="1">IF(AND(ISNUMBER($U$784),$B$427=1),$U$784,HLOOKUP(INDIRECT(ADDRESS(2,COLUMN())),OFFSET($AM$2,0,0,ROW()-1,33),ROW()-1,FALSE))</f>
        <v>0.12689889600000001</v>
      </c>
      <c r="V386">
        <f ca="1">IF(AND(ISNUMBER($V$784),$B$427=1),$V$784,HLOOKUP(INDIRECT(ADDRESS(2,COLUMN())),OFFSET($AM$2,0,0,ROW()-1,33),ROW()-1,FALSE))</f>
        <v>0.12609236300000001</v>
      </c>
      <c r="W386">
        <f ca="1">IF(AND(ISNUMBER($W$784),$B$427=1),$W$784,HLOOKUP(INDIRECT(ADDRESS(2,COLUMN())),OFFSET($AM$2,0,0,ROW()-1,33),ROW()-1,FALSE))</f>
        <v>0.104503056</v>
      </c>
      <c r="X386">
        <f ca="1">IF(AND(ISNUMBER($X$784),$B$427=1),$X$784,HLOOKUP(INDIRECT(ADDRESS(2,COLUMN())),OFFSET($AM$2,0,0,ROW()-1,33),ROW()-1,FALSE))</f>
        <v>0.13085274499999999</v>
      </c>
      <c r="Y386">
        <f ca="1">IF(AND(ISNUMBER($Y$784),$B$427=1),$Y$784,HLOOKUP(INDIRECT(ADDRESS(2,COLUMN())),OFFSET($AM$2,0,0,ROW()-1,33),ROW()-1,FALSE))</f>
        <v>0.121179405</v>
      </c>
      <c r="Z386">
        <f ca="1">IF(AND(ISNUMBER($Z$784),$B$427=1),$Z$784,HLOOKUP(INDIRECT(ADDRESS(2,COLUMN())),OFFSET($AM$2,0,0,ROW()-1,33),ROW()-1,FALSE))</f>
        <v>0.15725656900000001</v>
      </c>
      <c r="AA386">
        <f ca="1">IF(AND(ISNUMBER($AA$784),$B$427=1),$AA$784,HLOOKUP(INDIRECT(ADDRESS(2,COLUMN())),OFFSET($AM$2,0,0,ROW()-1,33),ROW()-1,FALSE))</f>
        <v>0.13344741199999999</v>
      </c>
      <c r="AB386">
        <f ca="1">IF(AND(ISNUMBER($AB$784),$B$427=1),$AB$784,HLOOKUP(INDIRECT(ADDRESS(2,COLUMN())),OFFSET($AM$2,0,0,ROW()-1,33),ROW()-1,FALSE))</f>
        <v>0.182344489</v>
      </c>
      <c r="AC386">
        <f ca="1">IF(AND(ISNUMBER($AC$784),$B$427=1),$AC$784,HLOOKUP(INDIRECT(ADDRESS(2,COLUMN())),OFFSET($AM$2,0,0,ROW()-1,33),ROW()-1,FALSE))</f>
        <v>0.14254264899999999</v>
      </c>
      <c r="AD386" t="str">
        <f ca="1">IF(AND(ISNUMBER($AD$784),$B$427=1),$AD$784,HLOOKUP(INDIRECT(ADDRESS(2,COLUMN())),OFFSET($AM$2,0,0,ROW()-1,33),ROW()-1,FALSE))</f>
        <v/>
      </c>
      <c r="AE386" t="str">
        <f ca="1">IF(AND(ISNUMBER($AE$784),$B$427=1),$AE$784,HLOOKUP(INDIRECT(ADDRESS(2,COLUMN())),OFFSET($AM$2,0,0,ROW()-1,33),ROW()-1,FALSE))</f>
        <v/>
      </c>
      <c r="AF386" t="str">
        <f ca="1">IF(AND(ISNUMBER($AF$784),$B$427=1),$AF$784,HLOOKUP(INDIRECT(ADDRESS(2,COLUMN())),OFFSET($AM$2,0,0,ROW()-1,33),ROW()-1,FALSE))</f>
        <v/>
      </c>
      <c r="AG386" t="str">
        <f ca="1">IF(AND(ISNUMBER($AG$784),$B$427=1),$AG$784,HLOOKUP(INDIRECT(ADDRESS(2,COLUMN())),OFFSET($AM$2,0,0,ROW()-1,33),ROW()-1,FALSE))</f>
        <v/>
      </c>
      <c r="AH386" t="str">
        <f ca="1">IF(AND(ISNUMBER($AH$784),$B$427=1),$AH$784,HLOOKUP(INDIRECT(ADDRESS(2,COLUMN())),OFFSET($AM$2,0,0,ROW()-1,33),ROW()-1,FALSE))</f>
        <v/>
      </c>
      <c r="AI386" t="str">
        <f ca="1">IF(AND(ISNUMBER($AI$784),$B$427=1),$AI$784,HLOOKUP(INDIRECT(ADDRESS(2,COLUMN())),OFFSET($AM$2,0,0,ROW()-1,33),ROW()-1,FALSE))</f>
        <v/>
      </c>
      <c r="AJ386" t="str">
        <f ca="1">IF(AND(ISNUMBER($AJ$784),$B$427=1),$AJ$784,HLOOKUP(INDIRECT(ADDRESS(2,COLUMN())),OFFSET($AM$2,0,0,ROW()-1,33),ROW()-1,FALSE))</f>
        <v/>
      </c>
      <c r="AK386" t="str">
        <f ca="1">IF(AND(ISNUMBER($AK$784),$B$427=1),$AK$784,HLOOKUP(INDIRECT(ADDRESS(2,COLUMN())),OFFSET($AM$2,0,0,ROW()-1,33),ROW()-1,FALSE))</f>
        <v/>
      </c>
      <c r="AL386" t="str">
        <f ca="1">IF(AND(ISNUMBER($AL$784),$B$427=1),$AL$784,HLOOKUP(INDIRECT(ADDRESS(2,COLUMN())),OFFSET($AM$2,0,0,ROW()-1,33),ROW()-1,FALSE))</f>
        <v/>
      </c>
      <c r="AM386">
        <f>0.083178727</f>
        <v>8.3178726999999994E-2</v>
      </c>
      <c r="AN386">
        <f>0.095742338</f>
        <v>9.5742337999999996E-2</v>
      </c>
      <c r="AO386">
        <f>0.114831951</f>
        <v>0.114831951</v>
      </c>
      <c r="AP386">
        <f>0.154251253</f>
        <v>0.154251253</v>
      </c>
      <c r="AQ386">
        <f>0.171684767</f>
        <v>0.17168476699999999</v>
      </c>
      <c r="AR386">
        <f>0.088898983</f>
        <v>8.8898983000000001E-2</v>
      </c>
      <c r="AS386">
        <f>0.154665636</f>
        <v>0.154665636</v>
      </c>
      <c r="AT386">
        <f>0.153314917</f>
        <v>0.153314917</v>
      </c>
      <c r="AU386">
        <f>0.157839671</f>
        <v>0.15783967099999999</v>
      </c>
      <c r="AV386">
        <f>0.145869775</f>
        <v>0.14586977500000001</v>
      </c>
      <c r="AW386">
        <f>0.12111655</f>
        <v>0.12111655</v>
      </c>
      <c r="AX386">
        <f>0.117851734</f>
        <v>0.117851734</v>
      </c>
      <c r="AY386">
        <f>0.131669641</f>
        <v>0.131669641</v>
      </c>
      <c r="AZ386">
        <f>0.126418367</f>
        <v>0.126418367</v>
      </c>
      <c r="BA386">
        <f>0.124174459</f>
        <v>0.124174459</v>
      </c>
      <c r="BB386">
        <f>0.126898896</f>
        <v>0.12689889600000001</v>
      </c>
      <c r="BC386">
        <f>0.126092363</f>
        <v>0.12609236300000001</v>
      </c>
      <c r="BD386">
        <f>0.104503056</f>
        <v>0.104503056</v>
      </c>
      <c r="BE386">
        <f>0.130852745</f>
        <v>0.13085274499999999</v>
      </c>
      <c r="BF386">
        <f>0.121179405</f>
        <v>0.121179405</v>
      </c>
      <c r="BG386">
        <f>0.157256569</f>
        <v>0.15725656900000001</v>
      </c>
      <c r="BH386">
        <f>0.133447412</f>
        <v>0.13344741199999999</v>
      </c>
      <c r="BI386">
        <f>0.182344489</f>
        <v>0.182344489</v>
      </c>
      <c r="BJ386">
        <f>0.142542649</f>
        <v>0.14254264899999999</v>
      </c>
      <c r="BK386" t="str">
        <f>""</f>
        <v/>
      </c>
      <c r="BL386" t="str">
        <f>""</f>
        <v/>
      </c>
      <c r="BM386" t="str">
        <f>""</f>
        <v/>
      </c>
      <c r="BN386" t="str">
        <f>""</f>
        <v/>
      </c>
      <c r="BO386" t="str">
        <f>""</f>
        <v/>
      </c>
      <c r="BP386" t="str">
        <f>""</f>
        <v/>
      </c>
      <c r="BQ386" t="str">
        <f>""</f>
        <v/>
      </c>
      <c r="BR386" t="str">
        <f>""</f>
        <v/>
      </c>
      <c r="BS386" t="str">
        <f>""</f>
        <v/>
      </c>
    </row>
    <row r="387" spans="1:71" x14ac:dyDescent="0.25">
      <c r="A387" t="str">
        <f>"        US Bancorp"</f>
        <v xml:space="preserve">        US Bancorp</v>
      </c>
      <c r="B387" t="str">
        <f>"USB US Equity"</f>
        <v>USB US Equity</v>
      </c>
      <c r="C387" t="str">
        <f t="shared" si="51"/>
        <v>F0127</v>
      </c>
      <c r="D387" t="str">
        <f t="shared" si="52"/>
        <v>FED_FARMERS_LOANS_%_TOT_LNS_LEAS</v>
      </c>
      <c r="E387" t="str">
        <f t="shared" si="53"/>
        <v>Dynamic</v>
      </c>
      <c r="F387">
        <f ca="1">IF(AND(ISNUMBER($F$785),$B$427=1),$F$785,HLOOKUP(INDIRECT(ADDRESS(2,COLUMN())),OFFSET($AM$2,0,0,ROW()-1,33),ROW()-1,FALSE))</f>
        <v>0.27327048500000001</v>
      </c>
      <c r="G387">
        <f ca="1">IF(AND(ISNUMBER($G$785),$B$427=1),$G$785,HLOOKUP(INDIRECT(ADDRESS(2,COLUMN())),OFFSET($AM$2,0,0,ROW()-1,33),ROW()-1,FALSE))</f>
        <v>0.31406567499999999</v>
      </c>
      <c r="H387">
        <f ca="1">IF(AND(ISNUMBER($H$785),$B$427=1),$H$785,HLOOKUP(INDIRECT(ADDRESS(2,COLUMN())),OFFSET($AM$2,0,0,ROW()-1,33),ROW()-1,FALSE))</f>
        <v>0.30659839700000002</v>
      </c>
      <c r="I387">
        <f ca="1">IF(AND(ISNUMBER($I$785),$B$427=1),$I$785,HLOOKUP(INDIRECT(ADDRESS(2,COLUMN())),OFFSET($AM$2,0,0,ROW()-1,33),ROW()-1,FALSE))</f>
        <v>0.165727026</v>
      </c>
      <c r="J387">
        <f ca="1">IF(AND(ISNUMBER($J$785),$B$427=1),$J$785,HLOOKUP(INDIRECT(ADDRESS(2,COLUMN())),OFFSET($AM$2,0,0,ROW()-1,33),ROW()-1,FALSE))</f>
        <v>0.21503060700000001</v>
      </c>
      <c r="K387">
        <f ca="1">IF(AND(ISNUMBER($K$785),$B$427=1),$K$785,HLOOKUP(INDIRECT(ADDRESS(2,COLUMN())),OFFSET($AM$2,0,0,ROW()-1,33),ROW()-1,FALSE))</f>
        <v>0.22639883299999999</v>
      </c>
      <c r="L387">
        <f ca="1">IF(AND(ISNUMBER($L$785),$B$427=1),$L$785,HLOOKUP(INDIRECT(ADDRESS(2,COLUMN())),OFFSET($AM$2,0,0,ROW()-1,33),ROW()-1,FALSE))</f>
        <v>0.27460920999999999</v>
      </c>
      <c r="M387">
        <f ca="1">IF(AND(ISNUMBER($M$785),$B$427=1),$M$785,HLOOKUP(INDIRECT(ADDRESS(2,COLUMN())),OFFSET($AM$2,0,0,ROW()-1,33),ROW()-1,FALSE))</f>
        <v>0.34400270999999999</v>
      </c>
      <c r="N387">
        <f ca="1">IF(AND(ISNUMBER($N$785),$B$427=1),$N$785,HLOOKUP(INDIRECT(ADDRESS(2,COLUMN())),OFFSET($AM$2,0,0,ROW()-1,33),ROW()-1,FALSE))</f>
        <v>0.37045186499999999</v>
      </c>
      <c r="O387">
        <f ca="1">IF(AND(ISNUMBER($O$785),$B$427=1),$O$785,HLOOKUP(INDIRECT(ADDRESS(2,COLUMN())),OFFSET($AM$2,0,0,ROW()-1,33),ROW()-1,FALSE))</f>
        <v>0.44220364200000001</v>
      </c>
      <c r="P387">
        <f ca="1">IF(AND(ISNUMBER($P$785),$B$427=1),$P$785,HLOOKUP(INDIRECT(ADDRESS(2,COLUMN())),OFFSET($AM$2,0,0,ROW()-1,33),ROW()-1,FALSE))</f>
        <v>0.49270682599999999</v>
      </c>
      <c r="Q387">
        <f ca="1">IF(AND(ISNUMBER($Q$785),$B$427=1),$Q$785,HLOOKUP(INDIRECT(ADDRESS(2,COLUMN())),OFFSET($AM$2,0,0,ROW()-1,33),ROW()-1,FALSE))</f>
        <v>0.44744051400000001</v>
      </c>
      <c r="R387">
        <f ca="1">IF(AND(ISNUMBER($R$785),$B$427=1),$R$785,HLOOKUP(INDIRECT(ADDRESS(2,COLUMN())),OFFSET($AM$2,0,0,ROW()-1,33),ROW()-1,FALSE))</f>
        <v>0.473861537</v>
      </c>
      <c r="S387">
        <f ca="1">IF(AND(ISNUMBER($S$785),$B$427=1),$S$785,HLOOKUP(INDIRECT(ADDRESS(2,COLUMN())),OFFSET($AM$2,0,0,ROW()-1,33),ROW()-1,FALSE))</f>
        <v>0.48259622800000002</v>
      </c>
      <c r="T387">
        <f ca="1">IF(AND(ISNUMBER($T$785),$B$427=1),$T$785,HLOOKUP(INDIRECT(ADDRESS(2,COLUMN())),OFFSET($AM$2,0,0,ROW()-1,33),ROW()-1,FALSE))</f>
        <v>0.49185595300000001</v>
      </c>
      <c r="U387">
        <f ca="1">IF(AND(ISNUMBER($U$785),$B$427=1),$U$785,HLOOKUP(INDIRECT(ADDRESS(2,COLUMN())),OFFSET($AM$2,0,0,ROW()-1,33),ROW()-1,FALSE))</f>
        <v>0.52273627099999997</v>
      </c>
      <c r="V387">
        <f ca="1">IF(AND(ISNUMBER($V$785),$B$427=1),$V$785,HLOOKUP(INDIRECT(ADDRESS(2,COLUMN())),OFFSET($AM$2,0,0,ROW()-1,33),ROW()-1,FALSE))</f>
        <v>0.55695798900000004</v>
      </c>
      <c r="W387">
        <f ca="1">IF(AND(ISNUMBER($W$785),$B$427=1),$W$785,HLOOKUP(INDIRECT(ADDRESS(2,COLUMN())),OFFSET($AM$2,0,0,ROW()-1,33),ROW()-1,FALSE))</f>
        <v>0.69210695499999997</v>
      </c>
      <c r="X387">
        <f ca="1">IF(AND(ISNUMBER($X$785),$B$427=1),$X$785,HLOOKUP(INDIRECT(ADDRESS(2,COLUMN())),OFFSET($AM$2,0,0,ROW()-1,33),ROW()-1,FALSE))</f>
        <v>0.76811505400000002</v>
      </c>
      <c r="Y387">
        <f ca="1">IF(AND(ISNUMBER($Y$785),$B$427=1),$Y$785,HLOOKUP(INDIRECT(ADDRESS(2,COLUMN())),OFFSET($AM$2,0,0,ROW()-1,33),ROW()-1,FALSE))</f>
        <v>0.87245146699999998</v>
      </c>
      <c r="Z387">
        <f ca="1">IF(AND(ISNUMBER($Z$785),$B$427=1),$Z$785,HLOOKUP(INDIRECT(ADDRESS(2,COLUMN())),OFFSET($AM$2,0,0,ROW()-1,33),ROW()-1,FALSE))</f>
        <v>1.009753119</v>
      </c>
      <c r="AA387">
        <f ca="1">IF(AND(ISNUMBER($AA$785),$B$427=1),$AA$785,HLOOKUP(INDIRECT(ADDRESS(2,COLUMN())),OFFSET($AM$2,0,0,ROW()-1,33),ROW()-1,FALSE))</f>
        <v>1.067954675</v>
      </c>
      <c r="AB387">
        <f ca="1">IF(AND(ISNUMBER($AB$785),$B$427=1),$AB$785,HLOOKUP(INDIRECT(ADDRESS(2,COLUMN())),OFFSET($AM$2,0,0,ROW()-1,33),ROW()-1,FALSE))</f>
        <v>1.1037289260000001</v>
      </c>
      <c r="AC387">
        <f ca="1">IF(AND(ISNUMBER($AC$785),$B$427=1),$AC$785,HLOOKUP(INDIRECT(ADDRESS(2,COLUMN())),OFFSET($AM$2,0,0,ROW()-1,33),ROW()-1,FALSE))</f>
        <v>0.91362763899999999</v>
      </c>
      <c r="AD387" t="str">
        <f ca="1">IF(AND(ISNUMBER($AD$785),$B$427=1),$AD$785,HLOOKUP(INDIRECT(ADDRESS(2,COLUMN())),OFFSET($AM$2,0,0,ROW()-1,33),ROW()-1,FALSE))</f>
        <v/>
      </c>
      <c r="AE387" t="str">
        <f ca="1">IF(AND(ISNUMBER($AE$785),$B$427=1),$AE$785,HLOOKUP(INDIRECT(ADDRESS(2,COLUMN())),OFFSET($AM$2,0,0,ROW()-1,33),ROW()-1,FALSE))</f>
        <v/>
      </c>
      <c r="AF387" t="str">
        <f ca="1">IF(AND(ISNUMBER($AF$785),$B$427=1),$AF$785,HLOOKUP(INDIRECT(ADDRESS(2,COLUMN())),OFFSET($AM$2,0,0,ROW()-1,33),ROW()-1,FALSE))</f>
        <v/>
      </c>
      <c r="AG387" t="str">
        <f ca="1">IF(AND(ISNUMBER($AG$785),$B$427=1),$AG$785,HLOOKUP(INDIRECT(ADDRESS(2,COLUMN())),OFFSET($AM$2,0,0,ROW()-1,33),ROW()-1,FALSE))</f>
        <v/>
      </c>
      <c r="AH387" t="str">
        <f ca="1">IF(AND(ISNUMBER($AH$785),$B$427=1),$AH$785,HLOOKUP(INDIRECT(ADDRESS(2,COLUMN())),OFFSET($AM$2,0,0,ROW()-1,33),ROW()-1,FALSE))</f>
        <v/>
      </c>
      <c r="AI387" t="str">
        <f ca="1">IF(AND(ISNUMBER($AI$785),$B$427=1),$AI$785,HLOOKUP(INDIRECT(ADDRESS(2,COLUMN())),OFFSET($AM$2,0,0,ROW()-1,33),ROW()-1,FALSE))</f>
        <v/>
      </c>
      <c r="AJ387" t="str">
        <f ca="1">IF(AND(ISNUMBER($AJ$785),$B$427=1),$AJ$785,HLOOKUP(INDIRECT(ADDRESS(2,COLUMN())),OFFSET($AM$2,0,0,ROW()-1,33),ROW()-1,FALSE))</f>
        <v/>
      </c>
      <c r="AK387" t="str">
        <f ca="1">IF(AND(ISNUMBER($AK$785),$B$427=1),$AK$785,HLOOKUP(INDIRECT(ADDRESS(2,COLUMN())),OFFSET($AM$2,0,0,ROW()-1,33),ROW()-1,FALSE))</f>
        <v/>
      </c>
      <c r="AL387" t="str">
        <f ca="1">IF(AND(ISNUMBER($AL$785),$B$427=1),$AL$785,HLOOKUP(INDIRECT(ADDRESS(2,COLUMN())),OFFSET($AM$2,0,0,ROW()-1,33),ROW()-1,FALSE))</f>
        <v/>
      </c>
      <c r="AM387">
        <f>0.273270485</f>
        <v>0.27327048500000001</v>
      </c>
      <c r="AN387">
        <f>0.314065675</f>
        <v>0.31406567499999999</v>
      </c>
      <c r="AO387">
        <f>0.306598397</f>
        <v>0.30659839700000002</v>
      </c>
      <c r="AP387">
        <f>0.165727026</f>
        <v>0.165727026</v>
      </c>
      <c r="AQ387">
        <f>0.215030607</f>
        <v>0.21503060700000001</v>
      </c>
      <c r="AR387">
        <f>0.226398833</f>
        <v>0.22639883299999999</v>
      </c>
      <c r="AS387">
        <f>0.27460921</f>
        <v>0.27460920999999999</v>
      </c>
      <c r="AT387">
        <f>0.34400271</f>
        <v>0.34400270999999999</v>
      </c>
      <c r="AU387">
        <f>0.370451865</f>
        <v>0.37045186499999999</v>
      </c>
      <c r="AV387">
        <f>0.442203642</f>
        <v>0.44220364200000001</v>
      </c>
      <c r="AW387">
        <f>0.492706826</f>
        <v>0.49270682599999999</v>
      </c>
      <c r="AX387">
        <f>0.447440514</f>
        <v>0.44744051400000001</v>
      </c>
      <c r="AY387">
        <f>0.473861537</f>
        <v>0.473861537</v>
      </c>
      <c r="AZ387">
        <f>0.482596228</f>
        <v>0.48259622800000002</v>
      </c>
      <c r="BA387">
        <f>0.491855953</f>
        <v>0.49185595300000001</v>
      </c>
      <c r="BB387">
        <f>0.522736271</f>
        <v>0.52273627099999997</v>
      </c>
      <c r="BC387">
        <f>0.556957989</f>
        <v>0.55695798900000004</v>
      </c>
      <c r="BD387">
        <f>0.692106955</f>
        <v>0.69210695499999997</v>
      </c>
      <c r="BE387">
        <f>0.768115054</f>
        <v>0.76811505400000002</v>
      </c>
      <c r="BF387">
        <f>0.872451467</f>
        <v>0.87245146699999998</v>
      </c>
      <c r="BG387">
        <f>1.009753119</f>
        <v>1.009753119</v>
      </c>
      <c r="BH387">
        <f>1.067954675</f>
        <v>1.067954675</v>
      </c>
      <c r="BI387">
        <f>1.103728926</f>
        <v>1.1037289260000001</v>
      </c>
      <c r="BJ387">
        <f>0.913627639</f>
        <v>0.91362763899999999</v>
      </c>
      <c r="BK387" t="str">
        <f>""</f>
        <v/>
      </c>
      <c r="BL387" t="str">
        <f>""</f>
        <v/>
      </c>
      <c r="BM387" t="str">
        <f>""</f>
        <v/>
      </c>
      <c r="BN387" t="str">
        <f>""</f>
        <v/>
      </c>
      <c r="BO387" t="str">
        <f>""</f>
        <v/>
      </c>
      <c r="BP387" t="str">
        <f>""</f>
        <v/>
      </c>
      <c r="BQ387" t="str">
        <f>""</f>
        <v/>
      </c>
      <c r="BR387" t="str">
        <f>""</f>
        <v/>
      </c>
      <c r="BS387" t="str">
        <f>""</f>
        <v/>
      </c>
    </row>
    <row r="388" spans="1:71" x14ac:dyDescent="0.25">
      <c r="A388" t="str">
        <f>"        Wells Fargo &amp; Co"</f>
        <v xml:space="preserve">        Wells Fargo &amp; Co</v>
      </c>
      <c r="B388" t="str">
        <f>"WFC US Equity"</f>
        <v>WFC US Equity</v>
      </c>
      <c r="C388" t="str">
        <f t="shared" si="51"/>
        <v>F0127</v>
      </c>
      <c r="D388" t="str">
        <f t="shared" si="52"/>
        <v>FED_FARMERS_LOANS_%_TOT_LNS_LEAS</v>
      </c>
      <c r="E388" t="str">
        <f t="shared" si="53"/>
        <v>Dynamic</v>
      </c>
      <c r="F388">
        <f ca="1">IF(AND(ISNUMBER($F$786),$B$427=1),$F$786,HLOOKUP(INDIRECT(ADDRESS(2,COLUMN())),OFFSET($AM$2,0,0,ROW()-1,33),ROW()-1,FALSE))</f>
        <v>0.37818788800000003</v>
      </c>
      <c r="G388">
        <f ca="1">IF(AND(ISNUMBER($G$786),$B$427=1),$G$786,HLOOKUP(INDIRECT(ADDRESS(2,COLUMN())),OFFSET($AM$2,0,0,ROW()-1,33),ROW()-1,FALSE))</f>
        <v>0.38166679999999997</v>
      </c>
      <c r="H388">
        <f ca="1">IF(AND(ISNUMBER($H$786),$B$427=1),$H$786,HLOOKUP(INDIRECT(ADDRESS(2,COLUMN())),OFFSET($AM$2,0,0,ROW()-1,33),ROW()-1,FALSE))</f>
        <v>0.40082828100000001</v>
      </c>
      <c r="I388">
        <f ca="1">IF(AND(ISNUMBER($I$786),$B$427=1),$I$786,HLOOKUP(INDIRECT(ADDRESS(2,COLUMN())),OFFSET($AM$2,0,0,ROW()-1,33),ROW()-1,FALSE))</f>
        <v>0.37094402900000001</v>
      </c>
      <c r="J388">
        <f ca="1">IF(AND(ISNUMBER($J$786),$B$427=1),$J$786,HLOOKUP(INDIRECT(ADDRESS(2,COLUMN())),OFFSET($AM$2,0,0,ROW()-1,33),ROW()-1,FALSE))</f>
        <v>0.39518217100000003</v>
      </c>
      <c r="K388">
        <f ca="1">IF(AND(ISNUMBER($K$786),$B$427=1),$K$786,HLOOKUP(INDIRECT(ADDRESS(2,COLUMN())),OFFSET($AM$2,0,0,ROW()-1,33),ROW()-1,FALSE))</f>
        <v>0.47335206899999999</v>
      </c>
      <c r="L388">
        <f ca="1">IF(AND(ISNUMBER($L$786),$B$427=1),$L$786,HLOOKUP(INDIRECT(ADDRESS(2,COLUMN())),OFFSET($AM$2,0,0,ROW()-1,33),ROW()-1,FALSE))</f>
        <v>0.53531969899999998</v>
      </c>
      <c r="M388">
        <f ca="1">IF(AND(ISNUMBER($M$786),$B$427=1),$M$786,HLOOKUP(INDIRECT(ADDRESS(2,COLUMN())),OFFSET($AM$2,0,0,ROW()-1,33),ROW()-1,FALSE))</f>
        <v>0.51272668200000004</v>
      </c>
      <c r="N388">
        <f ca="1">IF(AND(ISNUMBER($N$786),$B$427=1),$N$786,HLOOKUP(INDIRECT(ADDRESS(2,COLUMN())),OFFSET($AM$2,0,0,ROW()-1,33),ROW()-1,FALSE))</f>
        <v>0.54097296299999997</v>
      </c>
      <c r="O388">
        <f ca="1">IF(AND(ISNUMBER($O$786),$B$427=1),$O$786,HLOOKUP(INDIRECT(ADDRESS(2,COLUMN())),OFFSET($AM$2,0,0,ROW()-1,33),ROW()-1,FALSE))</f>
        <v>0.58642498600000004</v>
      </c>
      <c r="P388">
        <f ca="1">IF(AND(ISNUMBER($P$786),$B$427=1),$P$786,HLOOKUP(INDIRECT(ADDRESS(2,COLUMN())),OFFSET($AM$2,0,0,ROW()-1,33),ROW()-1,FALSE))</f>
        <v>0.634627037</v>
      </c>
      <c r="Q388">
        <f ca="1">IF(AND(ISNUMBER($Q$786),$B$427=1),$Q$786,HLOOKUP(INDIRECT(ADDRESS(2,COLUMN())),OFFSET($AM$2,0,0,ROW()-1,33),ROW()-1,FALSE))</f>
        <v>0.68298594700000004</v>
      </c>
      <c r="R388">
        <f ca="1">IF(AND(ISNUMBER($R$786),$B$427=1),$R$786,HLOOKUP(INDIRECT(ADDRESS(2,COLUMN())),OFFSET($AM$2,0,0,ROW()-1,33),ROW()-1,FALSE))</f>
        <v>0.752826365</v>
      </c>
      <c r="S388">
        <f ca="1">IF(AND(ISNUMBER($S$786),$B$427=1),$S$786,HLOOKUP(INDIRECT(ADDRESS(2,COLUMN())),OFFSET($AM$2,0,0,ROW()-1,33),ROW()-1,FALSE))</f>
        <v>0.80346528699999997</v>
      </c>
      <c r="T388">
        <f ca="1">IF(AND(ISNUMBER($T$786),$B$427=1),$T$786,HLOOKUP(INDIRECT(ADDRESS(2,COLUMN())),OFFSET($AM$2,0,0,ROW()-1,33),ROW()-1,FALSE))</f>
        <v>0.77318443999999997</v>
      </c>
      <c r="U388">
        <f ca="1">IF(AND(ISNUMBER($U$786),$B$427=1),$U$786,HLOOKUP(INDIRECT(ADDRESS(2,COLUMN())),OFFSET($AM$2,0,0,ROW()-1,33),ROW()-1,FALSE))</f>
        <v>0.79398547799999997</v>
      </c>
      <c r="V388">
        <f ca="1">IF(AND(ISNUMBER($V$786),$B$427=1),$V$786,HLOOKUP(INDIRECT(ADDRESS(2,COLUMN())),OFFSET($AM$2,0,0,ROW()-1,33),ROW()-1,FALSE))</f>
        <v>0.72568663600000005</v>
      </c>
      <c r="W388">
        <f ca="1">IF(AND(ISNUMBER($W$786),$B$427=1),$W$786,HLOOKUP(INDIRECT(ADDRESS(2,COLUMN())),OFFSET($AM$2,0,0,ROW()-1,33),ROW()-1,FALSE))</f>
        <v>1.262080506</v>
      </c>
      <c r="X388">
        <f ca="1">IF(AND(ISNUMBER($X$786),$B$427=1),$X$786,HLOOKUP(INDIRECT(ADDRESS(2,COLUMN())),OFFSET($AM$2,0,0,ROW()-1,33),ROW()-1,FALSE))</f>
        <v>1.482247404</v>
      </c>
      <c r="Y388">
        <f ca="1">IF(AND(ISNUMBER($Y$786),$B$427=1),$Y$786,HLOOKUP(INDIRECT(ADDRESS(2,COLUMN())),OFFSET($AM$2,0,0,ROW()-1,33),ROW()-1,FALSE))</f>
        <v>1.343246691</v>
      </c>
      <c r="Z388">
        <f ca="1">IF(AND(ISNUMBER($Z$786),$B$427=1),$Z$786,HLOOKUP(INDIRECT(ADDRESS(2,COLUMN())),OFFSET($AM$2,0,0,ROW()-1,33),ROW()-1,FALSE))</f>
        <v>1.3421336740000001</v>
      </c>
      <c r="AA388">
        <f ca="1">IF(AND(ISNUMBER($AA$786),$B$427=1),$AA$786,HLOOKUP(INDIRECT(ADDRESS(2,COLUMN())),OFFSET($AM$2,0,0,ROW()-1,33),ROW()-1,FALSE))</f>
        <v>1.391934309</v>
      </c>
      <c r="AB388">
        <f ca="1">IF(AND(ISNUMBER($AB$786),$B$427=1),$AB$786,HLOOKUP(INDIRECT(ADDRESS(2,COLUMN())),OFFSET($AM$2,0,0,ROW()-1,33),ROW()-1,FALSE))</f>
        <v>1.75788849</v>
      </c>
      <c r="AC388">
        <f ca="1">IF(AND(ISNUMBER($AC$786),$B$427=1),$AC$786,HLOOKUP(INDIRECT(ADDRESS(2,COLUMN())),OFFSET($AM$2,0,0,ROW()-1,33),ROW()-1,FALSE))</f>
        <v>2.0924733560000002</v>
      </c>
      <c r="AD388" t="str">
        <f ca="1">IF(AND(ISNUMBER($AD$786),$B$427=1),$AD$786,HLOOKUP(INDIRECT(ADDRESS(2,COLUMN())),OFFSET($AM$2,0,0,ROW()-1,33),ROW()-1,FALSE))</f>
        <v/>
      </c>
      <c r="AE388" t="str">
        <f ca="1">IF(AND(ISNUMBER($AE$786),$B$427=1),$AE$786,HLOOKUP(INDIRECT(ADDRESS(2,COLUMN())),OFFSET($AM$2,0,0,ROW()-1,33),ROW()-1,FALSE))</f>
        <v/>
      </c>
      <c r="AF388" t="str">
        <f ca="1">IF(AND(ISNUMBER($AF$786),$B$427=1),$AF$786,HLOOKUP(INDIRECT(ADDRESS(2,COLUMN())),OFFSET($AM$2,0,0,ROW()-1,33),ROW()-1,FALSE))</f>
        <v/>
      </c>
      <c r="AG388" t="str">
        <f ca="1">IF(AND(ISNUMBER($AG$786),$B$427=1),$AG$786,HLOOKUP(INDIRECT(ADDRESS(2,COLUMN())),OFFSET($AM$2,0,0,ROW()-1,33),ROW()-1,FALSE))</f>
        <v/>
      </c>
      <c r="AH388" t="str">
        <f ca="1">IF(AND(ISNUMBER($AH$786),$B$427=1),$AH$786,HLOOKUP(INDIRECT(ADDRESS(2,COLUMN())),OFFSET($AM$2,0,0,ROW()-1,33),ROW()-1,FALSE))</f>
        <v/>
      </c>
      <c r="AI388" t="str">
        <f ca="1">IF(AND(ISNUMBER($AI$786),$B$427=1),$AI$786,HLOOKUP(INDIRECT(ADDRESS(2,COLUMN())),OFFSET($AM$2,0,0,ROW()-1,33),ROW()-1,FALSE))</f>
        <v/>
      </c>
      <c r="AJ388" t="str">
        <f ca="1">IF(AND(ISNUMBER($AJ$786),$B$427=1),$AJ$786,HLOOKUP(INDIRECT(ADDRESS(2,COLUMN())),OFFSET($AM$2,0,0,ROW()-1,33),ROW()-1,FALSE))</f>
        <v/>
      </c>
      <c r="AK388" t="str">
        <f ca="1">IF(AND(ISNUMBER($AK$786),$B$427=1),$AK$786,HLOOKUP(INDIRECT(ADDRESS(2,COLUMN())),OFFSET($AM$2,0,0,ROW()-1,33),ROW()-1,FALSE))</f>
        <v/>
      </c>
      <c r="AL388" t="str">
        <f ca="1">IF(AND(ISNUMBER($AL$786),$B$427=1),$AL$786,HLOOKUP(INDIRECT(ADDRESS(2,COLUMN())),OFFSET($AM$2,0,0,ROW()-1,33),ROW()-1,FALSE))</f>
        <v/>
      </c>
      <c r="AM388">
        <f>0.378187888</f>
        <v>0.37818788800000003</v>
      </c>
      <c r="AN388">
        <f>0.3816668</f>
        <v>0.38166679999999997</v>
      </c>
      <c r="AO388">
        <f>0.400828281</f>
        <v>0.40082828100000001</v>
      </c>
      <c r="AP388">
        <f>0.370944029</f>
        <v>0.37094402900000001</v>
      </c>
      <c r="AQ388">
        <f>0.395182171</f>
        <v>0.39518217100000003</v>
      </c>
      <c r="AR388">
        <f>0.473352069</f>
        <v>0.47335206899999999</v>
      </c>
      <c r="AS388">
        <f>0.535319699</f>
        <v>0.53531969899999998</v>
      </c>
      <c r="AT388">
        <f>0.512726682</f>
        <v>0.51272668200000004</v>
      </c>
      <c r="AU388">
        <f>0.540972963</f>
        <v>0.54097296299999997</v>
      </c>
      <c r="AV388">
        <f>0.586424986</f>
        <v>0.58642498600000004</v>
      </c>
      <c r="AW388">
        <f>0.634627037</f>
        <v>0.634627037</v>
      </c>
      <c r="AX388">
        <f>0.682985947</f>
        <v>0.68298594700000004</v>
      </c>
      <c r="AY388">
        <f>0.752826365</f>
        <v>0.752826365</v>
      </c>
      <c r="AZ388">
        <f>0.803465287</f>
        <v>0.80346528699999997</v>
      </c>
      <c r="BA388">
        <f>0.77318444</f>
        <v>0.77318443999999997</v>
      </c>
      <c r="BB388">
        <f>0.793985478</f>
        <v>0.79398547799999997</v>
      </c>
      <c r="BC388">
        <f>0.725686636</f>
        <v>0.72568663600000005</v>
      </c>
      <c r="BD388">
        <f>1.262080506</f>
        <v>1.262080506</v>
      </c>
      <c r="BE388">
        <f>1.482247404</f>
        <v>1.482247404</v>
      </c>
      <c r="BF388">
        <f>1.343246691</f>
        <v>1.343246691</v>
      </c>
      <c r="BG388">
        <f>1.342133674</f>
        <v>1.3421336740000001</v>
      </c>
      <c r="BH388">
        <f>1.391934309</f>
        <v>1.391934309</v>
      </c>
      <c r="BI388">
        <f>1.75788849</f>
        <v>1.75788849</v>
      </c>
      <c r="BJ388">
        <f>2.092473356</f>
        <v>2.0924733560000002</v>
      </c>
      <c r="BK388" t="str">
        <f>""</f>
        <v/>
      </c>
      <c r="BL388" t="str">
        <f>""</f>
        <v/>
      </c>
      <c r="BM388" t="str">
        <f>""</f>
        <v/>
      </c>
      <c r="BN388" t="str">
        <f>""</f>
        <v/>
      </c>
      <c r="BO388" t="str">
        <f>""</f>
        <v/>
      </c>
      <c r="BP388" t="str">
        <f>""</f>
        <v/>
      </c>
      <c r="BQ388" t="str">
        <f>""</f>
        <v/>
      </c>
      <c r="BR388" t="str">
        <f>""</f>
        <v/>
      </c>
      <c r="BS388" t="str">
        <f>""</f>
        <v/>
      </c>
    </row>
    <row r="389" spans="1:71" x14ac:dyDescent="0.25">
      <c r="A389" t="str">
        <f>"        Western Alliance Bancorp"</f>
        <v xml:space="preserve">        Western Alliance Bancorp</v>
      </c>
      <c r="B389" t="str">
        <f>"WAL US Equity"</f>
        <v>WAL US Equity</v>
      </c>
      <c r="C389" t="str">
        <f t="shared" si="51"/>
        <v>F0127</v>
      </c>
      <c r="D389" t="str">
        <f t="shared" si="52"/>
        <v>FED_FARMERS_LOANS_%_TOT_LNS_LEAS</v>
      </c>
      <c r="E389" t="str">
        <f t="shared" si="53"/>
        <v>Dynamic</v>
      </c>
      <c r="F389">
        <f ca="1">IF(AND(ISNUMBER($F$787),$B$427=1),$F$787,HLOOKUP(INDIRECT(ADDRESS(2,COLUMN())),OFFSET($AM$2,0,0,ROW()-1,33),ROW()-1,FALSE))</f>
        <v>1.82762E-4</v>
      </c>
      <c r="G389">
        <f ca="1">IF(AND(ISNUMBER($G$787),$B$427=1),$G$787,HLOOKUP(INDIRECT(ADDRESS(2,COLUMN())),OFFSET($AM$2,0,0,ROW()-1,33),ROW()-1,FALSE))</f>
        <v>4.4331E-5</v>
      </c>
      <c r="H389">
        <f ca="1">IF(AND(ISNUMBER($H$787),$B$427=1),$H$787,HLOOKUP(INDIRECT(ADDRESS(2,COLUMN())),OFFSET($AM$2,0,0,ROW()-1,33),ROW()-1,FALSE))</f>
        <v>1.30669E-5</v>
      </c>
      <c r="I389">
        <f ca="1">IF(AND(ISNUMBER($I$787),$B$427=1),$I$787,HLOOKUP(INDIRECT(ADDRESS(2,COLUMN())),OFFSET($AM$2,0,0,ROW()-1,33),ROW()-1,FALSE))</f>
        <v>6.8877800000000002E-4</v>
      </c>
      <c r="J389">
        <f ca="1">IF(AND(ISNUMBER($J$787),$B$427=1),$J$787,HLOOKUP(INDIRECT(ADDRESS(2,COLUMN())),OFFSET($AM$2,0,0,ROW()-1,33),ROW()-1,FALSE))</f>
        <v>1.145898E-3</v>
      </c>
      <c r="K389">
        <f ca="1">IF(AND(ISNUMBER($K$787),$B$427=1),$K$787,HLOOKUP(INDIRECT(ADDRESS(2,COLUMN())),OFFSET($AM$2,0,0,ROW()-1,33),ROW()-1,FALSE))</f>
        <v>6.7697799999999995E-4</v>
      </c>
      <c r="L389">
        <f ca="1">IF(AND(ISNUMBER($L$787),$B$427=1),$L$787,HLOOKUP(INDIRECT(ADDRESS(2,COLUMN())),OFFSET($AM$2,0,0,ROW()-1,33),ROW()-1,FALSE))</f>
        <v>5.2510839999999996E-3</v>
      </c>
      <c r="M389">
        <f ca="1">IF(AND(ISNUMBER($M$787),$B$427=1),$M$787,HLOOKUP(INDIRECT(ADDRESS(2,COLUMN())),OFFSET($AM$2,0,0,ROW()-1,33),ROW()-1,FALSE))</f>
        <v>5.6446509999999997E-3</v>
      </c>
      <c r="N389">
        <f ca="1">IF(AND(ISNUMBER($N$787),$B$427=1),$N$787,HLOOKUP(INDIRECT(ADDRESS(2,COLUMN())),OFFSET($AM$2,0,0,ROW()-1,33),ROW()-1,FALSE))</f>
        <v>6.7835430000000004E-3</v>
      </c>
      <c r="O389">
        <f ca="1">IF(AND(ISNUMBER($O$787),$B$427=1),$O$787,HLOOKUP(INDIRECT(ADDRESS(2,COLUMN())),OFFSET($AM$2,0,0,ROW()-1,33),ROW()-1,FALSE))</f>
        <v>2.3041012999999999E-2</v>
      </c>
      <c r="P389">
        <f ca="1">IF(AND(ISNUMBER($P$787),$B$427=1),$P$787,HLOOKUP(INDIRECT(ADDRESS(2,COLUMN())),OFFSET($AM$2,0,0,ROW()-1,33),ROW()-1,FALSE))</f>
        <v>2.7160371999999999E-2</v>
      </c>
      <c r="Q389">
        <f ca="1">IF(AND(ISNUMBER($Q$787),$B$427=1),$Q$787,HLOOKUP(INDIRECT(ADDRESS(2,COLUMN())),OFFSET($AM$2,0,0,ROW()-1,33),ROW()-1,FALSE))</f>
        <v>3.2874814000000002E-2</v>
      </c>
      <c r="R389">
        <f ca="1">IF(AND(ISNUMBER($R$787),$B$427=1),$R$787,HLOOKUP(INDIRECT(ADDRESS(2,COLUMN())),OFFSET($AM$2,0,0,ROW()-1,33),ROW()-1,FALSE))</f>
        <v>2.7259855999999999E-2</v>
      </c>
      <c r="S389">
        <f ca="1">IF(AND(ISNUMBER($S$787),$B$427=1),$S$787,HLOOKUP(INDIRECT(ADDRESS(2,COLUMN())),OFFSET($AM$2,0,0,ROW()-1,33),ROW()-1,FALSE))</f>
        <v>3.6827865000000001E-2</v>
      </c>
      <c r="T389">
        <f ca="1">IF(AND(ISNUMBER($T$787),$B$427=1),$T$787,HLOOKUP(INDIRECT(ADDRESS(2,COLUMN())),OFFSET($AM$2,0,0,ROW()-1,33),ROW()-1,FALSE))</f>
        <v>3.0636410999999999E-2</v>
      </c>
      <c r="U389">
        <f ca="1">IF(AND(ISNUMBER($U$787),$B$427=1),$U$787,HLOOKUP(INDIRECT(ADDRESS(2,COLUMN())),OFFSET($AM$2,0,0,ROW()-1,33),ROW()-1,FALSE))</f>
        <v>8.6054417999999994E-2</v>
      </c>
      <c r="V389">
        <f ca="1">IF(AND(ISNUMBER($V$787),$B$427=1),$V$787,HLOOKUP(INDIRECT(ADDRESS(2,COLUMN())),OFFSET($AM$2,0,0,ROW()-1,33),ROW()-1,FALSE))</f>
        <v>7.7659893999999993E-2</v>
      </c>
      <c r="W389">
        <f ca="1">IF(AND(ISNUMBER($W$787),$B$427=1),$W$787,HLOOKUP(INDIRECT(ADDRESS(2,COLUMN())),OFFSET($AM$2,0,0,ROW()-1,33),ROW()-1,FALSE))</f>
        <v>9.8004029000000006E-2</v>
      </c>
      <c r="X389">
        <f ca="1">IF(AND(ISNUMBER($X$787),$B$427=1),$X$787,HLOOKUP(INDIRECT(ADDRESS(2,COLUMN())),OFFSET($AM$2,0,0,ROW()-1,33),ROW()-1,FALSE))</f>
        <v>3.6914869999999998E-3</v>
      </c>
      <c r="Y389">
        <f ca="1">IF(AND(ISNUMBER($Y$787),$B$427=1),$Y$787,HLOOKUP(INDIRECT(ADDRESS(2,COLUMN())),OFFSET($AM$2,0,0,ROW()-1,33),ROW()-1,FALSE))</f>
        <v>7.7967300000000004E-4</v>
      </c>
      <c r="Z389">
        <f ca="1">IF(AND(ISNUMBER($Z$787),$B$427=1),$Z$787,HLOOKUP(INDIRECT(ADDRESS(2,COLUMN())),OFFSET($AM$2,0,0,ROW()-1,33),ROW()-1,FALSE))</f>
        <v>0</v>
      </c>
      <c r="AA389">
        <f ca="1">IF(AND(ISNUMBER($AA$787),$B$427=1),$AA$787,HLOOKUP(INDIRECT(ADDRESS(2,COLUMN())),OFFSET($AM$2,0,0,ROW()-1,33),ROW()-1,FALSE))</f>
        <v>0</v>
      </c>
      <c r="AB389">
        <f ca="1">IF(AND(ISNUMBER($AB$787),$B$427=1),$AB$787,HLOOKUP(INDIRECT(ADDRESS(2,COLUMN())),OFFSET($AM$2,0,0,ROW()-1,33),ROW()-1,FALSE))</f>
        <v>0</v>
      </c>
      <c r="AC389">
        <f ca="1">IF(AND(ISNUMBER($AC$787),$B$427=1),$AC$787,HLOOKUP(INDIRECT(ADDRESS(2,COLUMN())),OFFSET($AM$2,0,0,ROW()-1,33),ROW()-1,FALSE))</f>
        <v>0</v>
      </c>
      <c r="AD389" t="str">
        <f ca="1">IF(AND(ISNUMBER($AD$787),$B$427=1),$AD$787,HLOOKUP(INDIRECT(ADDRESS(2,COLUMN())),OFFSET($AM$2,0,0,ROW()-1,33),ROW()-1,FALSE))</f>
        <v/>
      </c>
      <c r="AE389" t="str">
        <f ca="1">IF(AND(ISNUMBER($AE$787),$B$427=1),$AE$787,HLOOKUP(INDIRECT(ADDRESS(2,COLUMN())),OFFSET($AM$2,0,0,ROW()-1,33),ROW()-1,FALSE))</f>
        <v/>
      </c>
      <c r="AF389" t="str">
        <f ca="1">IF(AND(ISNUMBER($AF$787),$B$427=1),$AF$787,HLOOKUP(INDIRECT(ADDRESS(2,COLUMN())),OFFSET($AM$2,0,0,ROW()-1,33),ROW()-1,FALSE))</f>
        <v/>
      </c>
      <c r="AG389" t="str">
        <f ca="1">IF(AND(ISNUMBER($AG$787),$B$427=1),$AG$787,HLOOKUP(INDIRECT(ADDRESS(2,COLUMN())),OFFSET($AM$2,0,0,ROW()-1,33),ROW()-1,FALSE))</f>
        <v/>
      </c>
      <c r="AH389" t="str">
        <f ca="1">IF(AND(ISNUMBER($AH$787),$B$427=1),$AH$787,HLOOKUP(INDIRECT(ADDRESS(2,COLUMN())),OFFSET($AM$2,0,0,ROW()-1,33),ROW()-1,FALSE))</f>
        <v/>
      </c>
      <c r="AI389" t="str">
        <f ca="1">IF(AND(ISNUMBER($AI$787),$B$427=1),$AI$787,HLOOKUP(INDIRECT(ADDRESS(2,COLUMN())),OFFSET($AM$2,0,0,ROW()-1,33),ROW()-1,FALSE))</f>
        <v/>
      </c>
      <c r="AJ389" t="str">
        <f ca="1">IF(AND(ISNUMBER($AJ$787),$B$427=1),$AJ$787,HLOOKUP(INDIRECT(ADDRESS(2,COLUMN())),OFFSET($AM$2,0,0,ROW()-1,33),ROW()-1,FALSE))</f>
        <v/>
      </c>
      <c r="AK389" t="str">
        <f ca="1">IF(AND(ISNUMBER($AK$787),$B$427=1),$AK$787,HLOOKUP(INDIRECT(ADDRESS(2,COLUMN())),OFFSET($AM$2,0,0,ROW()-1,33),ROW()-1,FALSE))</f>
        <v/>
      </c>
      <c r="AL389" t="str">
        <f ca="1">IF(AND(ISNUMBER($AL$787),$B$427=1),$AL$787,HLOOKUP(INDIRECT(ADDRESS(2,COLUMN())),OFFSET($AM$2,0,0,ROW()-1,33),ROW()-1,FALSE))</f>
        <v/>
      </c>
      <c r="AM389">
        <f>0.000182762</f>
        <v>1.82762E-4</v>
      </c>
      <c r="AN389">
        <f>0.000044331</f>
        <v>4.4331E-5</v>
      </c>
      <c r="AO389">
        <f>0.0000130669</f>
        <v>1.30669E-5</v>
      </c>
      <c r="AP389">
        <f>0.000688778</f>
        <v>6.8877800000000002E-4</v>
      </c>
      <c r="AQ389">
        <f>0.001145898</f>
        <v>1.145898E-3</v>
      </c>
      <c r="AR389">
        <f>0.000676978</f>
        <v>6.7697799999999995E-4</v>
      </c>
      <c r="AS389">
        <f>0.005251084</f>
        <v>5.2510839999999996E-3</v>
      </c>
      <c r="AT389">
        <f>0.005644651</f>
        <v>5.6446509999999997E-3</v>
      </c>
      <c r="AU389">
        <f>0.006783543</f>
        <v>6.7835430000000004E-3</v>
      </c>
      <c r="AV389">
        <f>0.023041013</f>
        <v>2.3041012999999999E-2</v>
      </c>
      <c r="AW389">
        <f>0.027160372</f>
        <v>2.7160371999999999E-2</v>
      </c>
      <c r="AX389">
        <f>0.032874814</f>
        <v>3.2874814000000002E-2</v>
      </c>
      <c r="AY389">
        <f>0.027259856</f>
        <v>2.7259855999999999E-2</v>
      </c>
      <c r="AZ389">
        <f>0.036827865</f>
        <v>3.6827865000000001E-2</v>
      </c>
      <c r="BA389">
        <f>0.030636411</f>
        <v>3.0636410999999999E-2</v>
      </c>
      <c r="BB389">
        <f>0.086054418</f>
        <v>8.6054417999999994E-2</v>
      </c>
      <c r="BC389">
        <f>0.077659894</f>
        <v>7.7659893999999993E-2</v>
      </c>
      <c r="BD389">
        <f>0.098004029</f>
        <v>9.8004029000000006E-2</v>
      </c>
      <c r="BE389">
        <f>0.003691487</f>
        <v>3.6914869999999998E-3</v>
      </c>
      <c r="BF389">
        <f>0.000779673</f>
        <v>7.7967300000000004E-4</v>
      </c>
      <c r="BG389">
        <f>0</f>
        <v>0</v>
      </c>
      <c r="BH389">
        <f>0</f>
        <v>0</v>
      </c>
      <c r="BI389">
        <f>0</f>
        <v>0</v>
      </c>
      <c r="BJ389">
        <f>0</f>
        <v>0</v>
      </c>
      <c r="BK389" t="str">
        <f>""</f>
        <v/>
      </c>
      <c r="BL389" t="str">
        <f>""</f>
        <v/>
      </c>
      <c r="BM389" t="str">
        <f>""</f>
        <v/>
      </c>
      <c r="BN389" t="str">
        <f>""</f>
        <v/>
      </c>
      <c r="BO389" t="str">
        <f>""</f>
        <v/>
      </c>
      <c r="BP389" t="str">
        <f>""</f>
        <v/>
      </c>
      <c r="BQ389" t="str">
        <f>""</f>
        <v/>
      </c>
      <c r="BR389" t="str">
        <f>""</f>
        <v/>
      </c>
      <c r="BS389" t="str">
        <f>""</f>
        <v/>
      </c>
    </row>
    <row r="390" spans="1:71" x14ac:dyDescent="0.25">
      <c r="A390" t="str">
        <f>"        Zions Bancorp NA"</f>
        <v xml:space="preserve">        Zions Bancorp NA</v>
      </c>
      <c r="B390" t="str">
        <f>"ZION US Equity"</f>
        <v>ZION US Equity</v>
      </c>
      <c r="C390" t="str">
        <f t="shared" si="51"/>
        <v>F0127</v>
      </c>
      <c r="D390" t="str">
        <f t="shared" si="52"/>
        <v>FED_FARMERS_LOANS_%_TOT_LNS_LEAS</v>
      </c>
      <c r="E390" t="str">
        <f t="shared" si="53"/>
        <v>Dynamic</v>
      </c>
      <c r="F390" t="str">
        <f ca="1">IF(AND(ISNUMBER($F$788),$B$427=1),$F$788,HLOOKUP(INDIRECT(ADDRESS(2,COLUMN())),OFFSET($AM$2,0,0,ROW()-1,33),ROW()-1,FALSE))</f>
        <v/>
      </c>
      <c r="G390" t="str">
        <f ca="1">IF(AND(ISNUMBER($G$788),$B$427=1),$G$788,HLOOKUP(INDIRECT(ADDRESS(2,COLUMN())),OFFSET($AM$2,0,0,ROW()-1,33),ROW()-1,FALSE))</f>
        <v/>
      </c>
      <c r="H390" t="str">
        <f ca="1">IF(AND(ISNUMBER($H$788),$B$427=1),$H$788,HLOOKUP(INDIRECT(ADDRESS(2,COLUMN())),OFFSET($AM$2,0,0,ROW()-1,33),ROW()-1,FALSE))</f>
        <v/>
      </c>
      <c r="I390" t="str">
        <f ca="1">IF(AND(ISNUMBER($I$788),$B$427=1),$I$788,HLOOKUP(INDIRECT(ADDRESS(2,COLUMN())),OFFSET($AM$2,0,0,ROW()-1,33),ROW()-1,FALSE))</f>
        <v/>
      </c>
      <c r="J390" t="str">
        <f ca="1">IF(AND(ISNUMBER($J$788),$B$427=1),$J$788,HLOOKUP(INDIRECT(ADDRESS(2,COLUMN())),OFFSET($AM$2,0,0,ROW()-1,33),ROW()-1,FALSE))</f>
        <v/>
      </c>
      <c r="K390" t="str">
        <f ca="1">IF(AND(ISNUMBER($K$788),$B$427=1),$K$788,HLOOKUP(INDIRECT(ADDRESS(2,COLUMN())),OFFSET($AM$2,0,0,ROW()-1,33),ROW()-1,FALSE))</f>
        <v/>
      </c>
      <c r="L390" t="str">
        <f ca="1">IF(AND(ISNUMBER($L$788),$B$427=1),$L$788,HLOOKUP(INDIRECT(ADDRESS(2,COLUMN())),OFFSET($AM$2,0,0,ROW()-1,33),ROW()-1,FALSE))</f>
        <v/>
      </c>
      <c r="M390" t="str">
        <f ca="1">IF(AND(ISNUMBER($M$788),$B$427=1),$M$788,HLOOKUP(INDIRECT(ADDRESS(2,COLUMN())),OFFSET($AM$2,0,0,ROW()-1,33),ROW()-1,FALSE))</f>
        <v/>
      </c>
      <c r="N390" t="str">
        <f ca="1">IF(AND(ISNUMBER($N$788),$B$427=1),$N$788,HLOOKUP(INDIRECT(ADDRESS(2,COLUMN())),OFFSET($AM$2,0,0,ROW()-1,33),ROW()-1,FALSE))</f>
        <v/>
      </c>
      <c r="O390" t="str">
        <f ca="1">IF(AND(ISNUMBER($O$788),$B$427=1),$O$788,HLOOKUP(INDIRECT(ADDRESS(2,COLUMN())),OFFSET($AM$2,0,0,ROW()-1,33),ROW()-1,FALSE))</f>
        <v/>
      </c>
      <c r="P390" t="str">
        <f ca="1">IF(AND(ISNUMBER($P$788),$B$427=1),$P$788,HLOOKUP(INDIRECT(ADDRESS(2,COLUMN())),OFFSET($AM$2,0,0,ROW()-1,33),ROW()-1,FALSE))</f>
        <v/>
      </c>
      <c r="Q390" t="str">
        <f ca="1">IF(AND(ISNUMBER($Q$788),$B$427=1),$Q$788,HLOOKUP(INDIRECT(ADDRESS(2,COLUMN())),OFFSET($AM$2,0,0,ROW()-1,33),ROW()-1,FALSE))</f>
        <v/>
      </c>
      <c r="R390" t="str">
        <f ca="1">IF(AND(ISNUMBER($R$788),$B$427=1),$R$788,HLOOKUP(INDIRECT(ADDRESS(2,COLUMN())),OFFSET($AM$2,0,0,ROW()-1,33),ROW()-1,FALSE))</f>
        <v/>
      </c>
      <c r="S390" t="str">
        <f ca="1">IF(AND(ISNUMBER($S$788),$B$427=1),$S$788,HLOOKUP(INDIRECT(ADDRESS(2,COLUMN())),OFFSET($AM$2,0,0,ROW()-1,33),ROW()-1,FALSE))</f>
        <v/>
      </c>
      <c r="T390" t="str">
        <f ca="1">IF(AND(ISNUMBER($T$788),$B$427=1),$T$788,HLOOKUP(INDIRECT(ADDRESS(2,COLUMN())),OFFSET($AM$2,0,0,ROW()-1,33),ROW()-1,FALSE))</f>
        <v/>
      </c>
      <c r="U390" t="str">
        <f ca="1">IF(AND(ISNUMBER($U$788),$B$427=1),$U$788,HLOOKUP(INDIRECT(ADDRESS(2,COLUMN())),OFFSET($AM$2,0,0,ROW()-1,33),ROW()-1,FALSE))</f>
        <v/>
      </c>
      <c r="V390" t="str">
        <f ca="1">IF(AND(ISNUMBER($V$788),$B$427=1),$V$788,HLOOKUP(INDIRECT(ADDRESS(2,COLUMN())),OFFSET($AM$2,0,0,ROW()-1,33),ROW()-1,FALSE))</f>
        <v/>
      </c>
      <c r="W390" t="str">
        <f ca="1">IF(AND(ISNUMBER($W$788),$B$427=1),$W$788,HLOOKUP(INDIRECT(ADDRESS(2,COLUMN())),OFFSET($AM$2,0,0,ROW()-1,33),ROW()-1,FALSE))</f>
        <v/>
      </c>
      <c r="X390" t="str">
        <f ca="1">IF(AND(ISNUMBER($X$788),$B$427=1),$X$788,HLOOKUP(INDIRECT(ADDRESS(2,COLUMN())),OFFSET($AM$2,0,0,ROW()-1,33),ROW()-1,FALSE))</f>
        <v/>
      </c>
      <c r="Y390" t="str">
        <f ca="1">IF(AND(ISNUMBER($Y$788),$B$427=1),$Y$788,HLOOKUP(INDIRECT(ADDRESS(2,COLUMN())),OFFSET($AM$2,0,0,ROW()-1,33),ROW()-1,FALSE))</f>
        <v/>
      </c>
      <c r="Z390" t="str">
        <f ca="1">IF(AND(ISNUMBER($Z$788),$B$427=1),$Z$788,HLOOKUP(INDIRECT(ADDRESS(2,COLUMN())),OFFSET($AM$2,0,0,ROW()-1,33),ROW()-1,FALSE))</f>
        <v/>
      </c>
      <c r="AA390" t="str">
        <f ca="1">IF(AND(ISNUMBER($AA$788),$B$427=1),$AA$788,HLOOKUP(INDIRECT(ADDRESS(2,COLUMN())),OFFSET($AM$2,0,0,ROW()-1,33),ROW()-1,FALSE))</f>
        <v/>
      </c>
      <c r="AB390" t="str">
        <f ca="1">IF(AND(ISNUMBER($AB$788),$B$427=1),$AB$788,HLOOKUP(INDIRECT(ADDRESS(2,COLUMN())),OFFSET($AM$2,0,0,ROW()-1,33),ROW()-1,FALSE))</f>
        <v/>
      </c>
      <c r="AC390" t="str">
        <f ca="1">IF(AND(ISNUMBER($AC$788),$B$427=1),$AC$788,HLOOKUP(INDIRECT(ADDRESS(2,COLUMN())),OFFSET($AM$2,0,0,ROW()-1,33),ROW()-1,FALSE))</f>
        <v/>
      </c>
      <c r="AD390" t="str">
        <f ca="1">IF(AND(ISNUMBER($AD$788),$B$427=1),$AD$788,HLOOKUP(INDIRECT(ADDRESS(2,COLUMN())),OFFSET($AM$2,0,0,ROW()-1,33),ROW()-1,FALSE))</f>
        <v/>
      </c>
      <c r="AE390" t="str">
        <f ca="1">IF(AND(ISNUMBER($AE$788),$B$427=1),$AE$788,HLOOKUP(INDIRECT(ADDRESS(2,COLUMN())),OFFSET($AM$2,0,0,ROW()-1,33),ROW()-1,FALSE))</f>
        <v/>
      </c>
      <c r="AF390" t="str">
        <f ca="1">IF(AND(ISNUMBER($AF$788),$B$427=1),$AF$788,HLOOKUP(INDIRECT(ADDRESS(2,COLUMN())),OFFSET($AM$2,0,0,ROW()-1,33),ROW()-1,FALSE))</f>
        <v/>
      </c>
      <c r="AG390" t="str">
        <f ca="1">IF(AND(ISNUMBER($AG$788),$B$427=1),$AG$788,HLOOKUP(INDIRECT(ADDRESS(2,COLUMN())),OFFSET($AM$2,0,0,ROW()-1,33),ROW()-1,FALSE))</f>
        <v/>
      </c>
      <c r="AH390" t="str">
        <f ca="1">IF(AND(ISNUMBER($AH$788),$B$427=1),$AH$788,HLOOKUP(INDIRECT(ADDRESS(2,COLUMN())),OFFSET($AM$2,0,0,ROW()-1,33),ROW()-1,FALSE))</f>
        <v/>
      </c>
      <c r="AI390" t="str">
        <f ca="1">IF(AND(ISNUMBER($AI$788),$B$427=1),$AI$788,HLOOKUP(INDIRECT(ADDRESS(2,COLUMN())),OFFSET($AM$2,0,0,ROW()-1,33),ROW()-1,FALSE))</f>
        <v/>
      </c>
      <c r="AJ390" t="str">
        <f ca="1">IF(AND(ISNUMBER($AJ$788),$B$427=1),$AJ$788,HLOOKUP(INDIRECT(ADDRESS(2,COLUMN())),OFFSET($AM$2,0,0,ROW()-1,33),ROW()-1,FALSE))</f>
        <v/>
      </c>
      <c r="AK390" t="str">
        <f ca="1">IF(AND(ISNUMBER($AK$788),$B$427=1),$AK$788,HLOOKUP(INDIRECT(ADDRESS(2,COLUMN())),OFFSET($AM$2,0,0,ROW()-1,33),ROW()-1,FALSE))</f>
        <v/>
      </c>
      <c r="AL390" t="str">
        <f ca="1">IF(AND(ISNUMBER($AL$788),$B$427=1),$AL$788,HLOOKUP(INDIRECT(ADDRESS(2,COLUMN())),OFFSET($AM$2,0,0,ROW()-1,33),ROW()-1,FALSE))</f>
        <v/>
      </c>
      <c r="AM390" t="str">
        <f>""</f>
        <v/>
      </c>
      <c r="AN390" t="str">
        <f>""</f>
        <v/>
      </c>
      <c r="AO390" t="str">
        <f>""</f>
        <v/>
      </c>
      <c r="AP390" t="str">
        <f>""</f>
        <v/>
      </c>
      <c r="AQ390" t="str">
        <f>""</f>
        <v/>
      </c>
      <c r="AR390" t="str">
        <f>""</f>
        <v/>
      </c>
      <c r="AS390" t="str">
        <f>""</f>
        <v/>
      </c>
      <c r="AT390" t="str">
        <f>""</f>
        <v/>
      </c>
      <c r="AU390" t="str">
        <f>""</f>
        <v/>
      </c>
      <c r="AV390" t="str">
        <f>""</f>
        <v/>
      </c>
      <c r="AW390" t="str">
        <f>""</f>
        <v/>
      </c>
      <c r="AX390" t="str">
        <f>""</f>
        <v/>
      </c>
      <c r="AY390" t="str">
        <f>""</f>
        <v/>
      </c>
      <c r="AZ390" t="str">
        <f>""</f>
        <v/>
      </c>
      <c r="BA390" t="str">
        <f>""</f>
        <v/>
      </c>
      <c r="BB390" t="str">
        <f>""</f>
        <v/>
      </c>
      <c r="BC390" t="str">
        <f>""</f>
        <v/>
      </c>
      <c r="BD390" t="str">
        <f>""</f>
        <v/>
      </c>
      <c r="BE390" t="str">
        <f>""</f>
        <v/>
      </c>
      <c r="BF390" t="str">
        <f>""</f>
        <v/>
      </c>
      <c r="BG390" t="str">
        <f>""</f>
        <v/>
      </c>
      <c r="BH390" t="str">
        <f>""</f>
        <v/>
      </c>
      <c r="BI390" t="str">
        <f>""</f>
        <v/>
      </c>
      <c r="BJ390" t="str">
        <f>""</f>
        <v/>
      </c>
      <c r="BK390" t="str">
        <f>""</f>
        <v/>
      </c>
      <c r="BL390" t="str">
        <f>""</f>
        <v/>
      </c>
      <c r="BM390" t="str">
        <f>""</f>
        <v/>
      </c>
      <c r="BN390" t="str">
        <f>""</f>
        <v/>
      </c>
      <c r="BO390" t="str">
        <f>""</f>
        <v/>
      </c>
      <c r="BP390" t="str">
        <f>""</f>
        <v/>
      </c>
      <c r="BQ390" t="str">
        <f>""</f>
        <v/>
      </c>
      <c r="BR390" t="str">
        <f>""</f>
        <v/>
      </c>
      <c r="BS390" t="str">
        <f>""</f>
        <v/>
      </c>
    </row>
    <row r="391" spans="1:71" x14ac:dyDescent="0.25">
      <c r="A391" t="str">
        <f>"    Other"</f>
        <v xml:space="preserve">    Other</v>
      </c>
      <c r="B391" t="str">
        <f>""</f>
        <v/>
      </c>
      <c r="E391" t="str">
        <f>"Median"</f>
        <v>Median</v>
      </c>
      <c r="F391">
        <f ca="1">IF(ISERROR(IF(MEDIAN($F$392:$F$411) = 0, "", MEDIAN($F$392:$F$411))), "", (IF(MEDIAN($F$392:$F$411) = 0, "", MEDIAN($F$392:$F$411))))</f>
        <v>3.4350821125</v>
      </c>
      <c r="G391">
        <f ca="1">IF(ISERROR(IF(MEDIAN($G$392:$G$411) = 0, "", MEDIAN($G$392:$G$411))), "", (IF(MEDIAN($G$392:$G$411) = 0, "", MEDIAN($G$392:$G$411))))</f>
        <v>3.1432493739999998</v>
      </c>
      <c r="H391">
        <f ca="1">IF(ISERROR(IF(MEDIAN($H$392:$H$411) = 0, "", MEDIAN($H$392:$H$411))), "", (IF(MEDIAN($H$392:$H$411) = 0, "", MEDIAN($H$392:$H$411))))</f>
        <v>2.9934485309999999</v>
      </c>
      <c r="I391">
        <f ca="1">IF(ISERROR(IF(MEDIAN($I$392:$I$411) = 0, "", MEDIAN($I$392:$I$411))), "", (IF(MEDIAN($I$392:$I$411) = 0, "", MEDIAN($I$392:$I$411))))</f>
        <v>2.6991828820000001</v>
      </c>
      <c r="J391">
        <f ca="1">IF(ISERROR(IF(MEDIAN($J$392:$J$411) = 0, "", MEDIAN($J$392:$J$411))), "", (IF(MEDIAN($J$392:$J$411) = 0, "", MEDIAN($J$392:$J$411))))</f>
        <v>3.104458792</v>
      </c>
      <c r="K391">
        <f ca="1">IF(ISERROR(IF(MEDIAN($K$392:$K$411) = 0, "", MEDIAN($K$392:$K$411))), "", (IF(MEDIAN($K$392:$K$411) = 0, "", MEDIAN($K$392:$K$411))))</f>
        <v>3.0493851200000002</v>
      </c>
      <c r="L391">
        <f ca="1">IF(ISERROR(IF(MEDIAN($L$392:$L$411) = 0, "", MEDIAN($L$392:$L$411))), "", (IF(MEDIAN($L$392:$L$411) = 0, "", MEDIAN($L$392:$L$411))))</f>
        <v>3.2355125830000002</v>
      </c>
      <c r="M391">
        <f ca="1">IF(ISERROR(IF(MEDIAN($M$392:$M$411) = 0, "", MEDIAN($M$392:$M$411))), "", (IF(MEDIAN($M$392:$M$411) = 0, "", MEDIAN($M$392:$M$411))))</f>
        <v>3.5683061760000001</v>
      </c>
      <c r="N391">
        <f ca="1">IF(ISERROR(IF(MEDIAN($N$392:$N$411) = 0, "", MEDIAN($N$392:$N$411))), "", (IF(MEDIAN($N$392:$N$411) = 0, "", MEDIAN($N$392:$N$411))))</f>
        <v>3.4167469050000001</v>
      </c>
      <c r="O391">
        <f ca="1">IF(ISERROR(IF(MEDIAN($O$392:$O$411) = 0, "", MEDIAN($O$392:$O$411))), "", (IF(MEDIAN($O$392:$O$411) = 0, "", MEDIAN($O$392:$O$411))))</f>
        <v>3.4659480560000002</v>
      </c>
      <c r="P391">
        <f ca="1">IF(ISERROR(IF(MEDIAN($P$392:$P$411) = 0, "", MEDIAN($P$392:$P$411))), "", (IF(MEDIAN($P$392:$P$411) = 0, "", MEDIAN($P$392:$P$411))))</f>
        <v>3.3218746440000002</v>
      </c>
      <c r="Q391">
        <f ca="1">IF(ISERROR(IF(MEDIAN($Q$392:$Q$411) = 0, "", MEDIAN($Q$392:$Q$411))), "", (IF(MEDIAN($Q$392:$Q$411) = 0, "", MEDIAN($Q$392:$Q$411))))</f>
        <v>2.7825608100000001</v>
      </c>
      <c r="R391">
        <f ca="1">IF(ISERROR(IF(MEDIAN($R$392:$R$411) = 0, "", MEDIAN($R$392:$R$411))), "", (IF(MEDIAN($R$392:$R$411) = 0, "", MEDIAN($R$392:$R$411))))</f>
        <v>2.3399273049999998</v>
      </c>
      <c r="S391">
        <f ca="1">IF(ISERROR(IF(MEDIAN($S$392:$S$411) = 0, "", MEDIAN($S$392:$S$411))), "", (IF(MEDIAN($S$392:$S$411) = 0, "", MEDIAN($S$392:$S$411))))</f>
        <v>1.919748671</v>
      </c>
      <c r="T391">
        <f ca="1">IF(ISERROR(IF(MEDIAN($T$392:$T$411) = 0, "", MEDIAN($T$392:$T$411))), "", (IF(MEDIAN($T$392:$T$411) = 0, "", MEDIAN($T$392:$T$411))))</f>
        <v>1.901238194</v>
      </c>
      <c r="U391" t="str">
        <f ca="1">IF(ISERROR(IF(MEDIAN($U$392:$U$411) = 0, "", MEDIAN($U$392:$U$411))), "", (IF(MEDIAN($U$392:$U$411) = 0, "", MEDIAN($U$392:$U$411))))</f>
        <v/>
      </c>
      <c r="V391" t="str">
        <f ca="1">IF(ISERROR(IF(MEDIAN($V$392:$V$411) = 0, "", MEDIAN($V$392:$V$411))), "", (IF(MEDIAN($V$392:$V$411) = 0, "", MEDIAN($V$392:$V$411))))</f>
        <v/>
      </c>
      <c r="W391" t="str">
        <f ca="1">IF(ISERROR(IF(MEDIAN($W$392:$W$411) = 0, "", MEDIAN($W$392:$W$411))), "", (IF(MEDIAN($W$392:$W$411) = 0, "", MEDIAN($W$392:$W$411))))</f>
        <v/>
      </c>
      <c r="X391" t="str">
        <f ca="1">IF(ISERROR(IF(MEDIAN($X$392:$X$411) = 0, "", MEDIAN($X$392:$X$411))), "", (IF(MEDIAN($X$392:$X$411) = 0, "", MEDIAN($X$392:$X$411))))</f>
        <v/>
      </c>
      <c r="Y391" t="str">
        <f ca="1">IF(ISERROR(IF(MEDIAN($Y$392:$Y$411) = 0, "", MEDIAN($Y$392:$Y$411))), "", (IF(MEDIAN($Y$392:$Y$411) = 0, "", MEDIAN($Y$392:$Y$411))))</f>
        <v/>
      </c>
      <c r="Z391" t="str">
        <f ca="1">IF(ISERROR(IF(MEDIAN($Z$392:$Z$411) = 0, "", MEDIAN($Z$392:$Z$411))), "", (IF(MEDIAN($Z$392:$Z$411) = 0, "", MEDIAN($Z$392:$Z$411))))</f>
        <v/>
      </c>
      <c r="AA391" t="str">
        <f ca="1">IF(ISERROR(IF(MEDIAN($AA$392:$AA$411) = 0, "", MEDIAN($AA$392:$AA$411))), "", (IF(MEDIAN($AA$392:$AA$411) = 0, "", MEDIAN($AA$392:$AA$411))))</f>
        <v/>
      </c>
      <c r="AB391" t="str">
        <f ca="1">IF(ISERROR(IF(MEDIAN($AB$392:$AB$411) = 0, "", MEDIAN($AB$392:$AB$411))), "", (IF(MEDIAN($AB$392:$AB$411) = 0, "", MEDIAN($AB$392:$AB$411))))</f>
        <v/>
      </c>
      <c r="AC391" t="str">
        <f ca="1">IF(ISERROR(IF(MEDIAN($AC$392:$AC$411) = 0, "", MEDIAN($AC$392:$AC$411))), "", (IF(MEDIAN($AC$392:$AC$411) = 0, "", MEDIAN($AC$392:$AC$411))))</f>
        <v/>
      </c>
      <c r="AD391" t="str">
        <f ca="1">IF(ISERROR(IF(MEDIAN($AD$392:$AD$411) = 0, "", MEDIAN($AD$392:$AD$411))), "", (IF(MEDIAN($AD$392:$AD$411) = 0, "", MEDIAN($AD$392:$AD$411))))</f>
        <v/>
      </c>
      <c r="AE391" t="str">
        <f ca="1">IF(ISERROR(IF(MEDIAN($AE$392:$AE$411) = 0, "", MEDIAN($AE$392:$AE$411))), "", (IF(MEDIAN($AE$392:$AE$411) = 0, "", MEDIAN($AE$392:$AE$411))))</f>
        <v/>
      </c>
      <c r="AF391" t="str">
        <f ca="1">IF(ISERROR(IF(MEDIAN($AF$392:$AF$411) = 0, "", MEDIAN($AF$392:$AF$411))), "", (IF(MEDIAN($AF$392:$AF$411) = 0, "", MEDIAN($AF$392:$AF$411))))</f>
        <v/>
      </c>
      <c r="AG391" t="str">
        <f ca="1">IF(ISERROR(IF(MEDIAN($AG$392:$AG$411) = 0, "", MEDIAN($AG$392:$AG$411))), "", (IF(MEDIAN($AG$392:$AG$411) = 0, "", MEDIAN($AG$392:$AG$411))))</f>
        <v/>
      </c>
      <c r="AH391" t="str">
        <f ca="1">IF(ISERROR(IF(MEDIAN($AH$392:$AH$411) = 0, "", MEDIAN($AH$392:$AH$411))), "", (IF(MEDIAN($AH$392:$AH$411) = 0, "", MEDIAN($AH$392:$AH$411))))</f>
        <v/>
      </c>
      <c r="AI391" t="str">
        <f ca="1">IF(ISERROR(IF(MEDIAN($AI$392:$AI$411) = 0, "", MEDIAN($AI$392:$AI$411))), "", (IF(MEDIAN($AI$392:$AI$411) = 0, "", MEDIAN($AI$392:$AI$411))))</f>
        <v/>
      </c>
      <c r="AJ391" t="str">
        <f ca="1">IF(ISERROR(IF(MEDIAN($AJ$392:$AJ$411) = 0, "", MEDIAN($AJ$392:$AJ$411))), "", (IF(MEDIAN($AJ$392:$AJ$411) = 0, "", MEDIAN($AJ$392:$AJ$411))))</f>
        <v/>
      </c>
      <c r="AK391" t="str">
        <f ca="1">IF(ISERROR(IF(MEDIAN($AK$392:$AK$411) = 0, "", MEDIAN($AK$392:$AK$411))), "", (IF(MEDIAN($AK$392:$AK$411) = 0, "", MEDIAN($AK$392:$AK$411))))</f>
        <v/>
      </c>
      <c r="AL391" t="str">
        <f ca="1">IF(ISERROR(IF(MEDIAN($AL$392:$AL$411) = 0, "", MEDIAN($AL$392:$AL$411))), "", (IF(MEDIAN($AL$392:$AL$411) = 0, "", MEDIAN($AL$392:$AL$411))))</f>
        <v/>
      </c>
      <c r="AM391">
        <f>3.435082112</f>
        <v>3.4350821119999999</v>
      </c>
      <c r="AN391">
        <f>3.143249374</f>
        <v>3.1432493739999998</v>
      </c>
      <c r="AO391">
        <f>2.993448531</f>
        <v>2.9934485309999999</v>
      </c>
      <c r="AP391">
        <f>2.699182882</f>
        <v>2.6991828820000001</v>
      </c>
      <c r="AQ391">
        <f>3.104458792</f>
        <v>3.104458792</v>
      </c>
      <c r="AR391">
        <f>3.04938512</f>
        <v>3.0493851200000002</v>
      </c>
      <c r="AS391">
        <f>3.235512583</f>
        <v>3.2355125830000002</v>
      </c>
      <c r="AT391">
        <f>3.568306176</f>
        <v>3.5683061760000001</v>
      </c>
      <c r="AU391">
        <f>3.416746905</f>
        <v>3.4167469050000001</v>
      </c>
      <c r="AV391">
        <f>3.465948056</f>
        <v>3.4659480560000002</v>
      </c>
      <c r="AW391">
        <f>3.321874644</f>
        <v>3.3218746440000002</v>
      </c>
      <c r="AX391">
        <f>2.78256081</f>
        <v>2.7825608100000001</v>
      </c>
      <c r="AY391">
        <f>2.339927305</f>
        <v>2.3399273049999998</v>
      </c>
      <c r="AZ391">
        <f>1.919748671</f>
        <v>1.919748671</v>
      </c>
      <c r="BA391">
        <f>1.901238194</f>
        <v>1.901238194</v>
      </c>
      <c r="BB391" t="str">
        <f>""</f>
        <v/>
      </c>
      <c r="BC391" t="str">
        <f>""</f>
        <v/>
      </c>
      <c r="BD391" t="str">
        <f>""</f>
        <v/>
      </c>
      <c r="BE391" t="str">
        <f>""</f>
        <v/>
      </c>
      <c r="BF391" t="str">
        <f>""</f>
        <v/>
      </c>
      <c r="BG391" t="str">
        <f>""</f>
        <v/>
      </c>
      <c r="BH391" t="str">
        <f>""</f>
        <v/>
      </c>
      <c r="BI391" t="str">
        <f>""</f>
        <v/>
      </c>
      <c r="BJ391" t="str">
        <f>""</f>
        <v/>
      </c>
      <c r="BK391" t="str">
        <f>""</f>
        <v/>
      </c>
      <c r="BL391" t="str">
        <f>""</f>
        <v/>
      </c>
      <c r="BM391" t="str">
        <f>""</f>
        <v/>
      </c>
      <c r="BN391" t="str">
        <f>""</f>
        <v/>
      </c>
      <c r="BO391" t="str">
        <f>""</f>
        <v/>
      </c>
      <c r="BP391" t="str">
        <f>""</f>
        <v/>
      </c>
      <c r="BQ391" t="str">
        <f>""</f>
        <v/>
      </c>
      <c r="BR391" t="str">
        <f>""</f>
        <v/>
      </c>
      <c r="BS391" t="str">
        <f>""</f>
        <v/>
      </c>
    </row>
    <row r="392" spans="1:71" x14ac:dyDescent="0.25">
      <c r="A392" t="str">
        <f>"        Bank of America Corp"</f>
        <v xml:space="preserve">        Bank of America Corp</v>
      </c>
      <c r="B392" t="str">
        <f>"BAC US Equity"</f>
        <v>BAC US Equity</v>
      </c>
      <c r="C392" t="str">
        <f t="shared" ref="C392:C411" si="54">"F0128"</f>
        <v>F0128</v>
      </c>
      <c r="D392" t="str">
        <f t="shared" ref="D392:D411" si="55">"FED_OTH_NONCONS_LNS_%_TOT_LNS_LS"</f>
        <v>FED_OTH_NONCONS_LNS_%_TOT_LNS_LS</v>
      </c>
      <c r="E392" t="str">
        <f t="shared" ref="E392:E411" si="56">"Dynamic"</f>
        <v>Dynamic</v>
      </c>
      <c r="F392">
        <f ca="1">IF(AND(ISNUMBER($F$789),$B$427=1),$F$789,HLOOKUP(INDIRECT(ADDRESS(2,COLUMN())),OFFSET($AM$2,0,0,ROW()-1,33),ROW()-1,FALSE))</f>
        <v>6.7997001429999999</v>
      </c>
      <c r="G392">
        <f ca="1">IF(AND(ISNUMBER($G$789),$B$427=1),$G$789,HLOOKUP(INDIRECT(ADDRESS(2,COLUMN())),OFFSET($AM$2,0,0,ROW()-1,33),ROW()-1,FALSE))</f>
        <v>6.3470644519999997</v>
      </c>
      <c r="H392">
        <f ca="1">IF(AND(ISNUMBER($H$789),$B$427=1),$H$789,HLOOKUP(INDIRECT(ADDRESS(2,COLUMN())),OFFSET($AM$2,0,0,ROW()-1,33),ROW()-1,FALSE))</f>
        <v>7.0405092680000001</v>
      </c>
      <c r="I392">
        <f ca="1">IF(AND(ISNUMBER($I$789),$B$427=1),$I$789,HLOOKUP(INDIRECT(ADDRESS(2,COLUMN())),OFFSET($AM$2,0,0,ROW()-1,33),ROW()-1,FALSE))</f>
        <v>6.8080910120000002</v>
      </c>
      <c r="J392">
        <f ca="1">IF(AND(ISNUMBER($J$789),$B$427=1),$J$789,HLOOKUP(INDIRECT(ADDRESS(2,COLUMN())),OFFSET($AM$2,0,0,ROW()-1,33),ROW()-1,FALSE))</f>
        <v>5.3528968099999998</v>
      </c>
      <c r="K392">
        <f ca="1">IF(AND(ISNUMBER($K$789),$B$427=1),$K$789,HLOOKUP(INDIRECT(ADDRESS(2,COLUMN())),OFFSET($AM$2,0,0,ROW()-1,33),ROW()-1,FALSE))</f>
        <v>4.65140245</v>
      </c>
      <c r="L392">
        <f ca="1">IF(AND(ISNUMBER($L$789),$B$427=1),$L$789,HLOOKUP(INDIRECT(ADDRESS(2,COLUMN())),OFFSET($AM$2,0,0,ROW()-1,33),ROW()-1,FALSE))</f>
        <v>5.0943511700000004</v>
      </c>
      <c r="M392">
        <f ca="1">IF(AND(ISNUMBER($M$789),$B$427=1),$M$789,HLOOKUP(INDIRECT(ADDRESS(2,COLUMN())),OFFSET($AM$2,0,0,ROW()-1,33),ROW()-1,FALSE))</f>
        <v>4.7028354429999997</v>
      </c>
      <c r="N392">
        <f ca="1">IF(AND(ISNUMBER($N$789),$B$427=1),$N$789,HLOOKUP(INDIRECT(ADDRESS(2,COLUMN())),OFFSET($AM$2,0,0,ROW()-1,33),ROW()-1,FALSE))</f>
        <v>4.7465874790000004</v>
      </c>
      <c r="O392">
        <f ca="1">IF(AND(ISNUMBER($O$789),$B$427=1),$O$789,HLOOKUP(INDIRECT(ADDRESS(2,COLUMN())),OFFSET($AM$2,0,0,ROW()-1,33),ROW()-1,FALSE))</f>
        <v>4.7956831219999998</v>
      </c>
      <c r="P392">
        <f ca="1">IF(AND(ISNUMBER($P$789),$B$427=1),$P$789,HLOOKUP(INDIRECT(ADDRESS(2,COLUMN())),OFFSET($AM$2,0,0,ROW()-1,33),ROW()-1,FALSE))</f>
        <v>3.8344185259999999</v>
      </c>
      <c r="Q392">
        <f ca="1">IF(AND(ISNUMBER($Q$789),$B$427=1),$Q$789,HLOOKUP(INDIRECT(ADDRESS(2,COLUMN())),OFFSET($AM$2,0,0,ROW()-1,33),ROW()-1,FALSE))</f>
        <v>3.6861667389999999</v>
      </c>
      <c r="R392">
        <f ca="1">IF(AND(ISNUMBER($R$789),$B$427=1),$R$789,HLOOKUP(INDIRECT(ADDRESS(2,COLUMN())),OFFSET($AM$2,0,0,ROW()-1,33),ROW()-1,FALSE))</f>
        <v>3.396472524</v>
      </c>
      <c r="S392">
        <f ca="1">IF(AND(ISNUMBER($S$789),$B$427=1),$S$789,HLOOKUP(INDIRECT(ADDRESS(2,COLUMN())),OFFSET($AM$2,0,0,ROW()-1,33),ROW()-1,FALSE))</f>
        <v>3.145337922</v>
      </c>
      <c r="T392">
        <f ca="1">IF(AND(ISNUMBER($T$789),$B$427=1),$T$789,HLOOKUP(INDIRECT(ADDRESS(2,COLUMN())),OFFSET($AM$2,0,0,ROW()-1,33),ROW()-1,FALSE))</f>
        <v>3.1011210120000001</v>
      </c>
      <c r="U392" t="str">
        <f ca="1">IF(AND(ISNUMBER($U$789),$B$427=1),$U$789,HLOOKUP(INDIRECT(ADDRESS(2,COLUMN())),OFFSET($AM$2,0,0,ROW()-1,33),ROW()-1,FALSE))</f>
        <v/>
      </c>
      <c r="V392" t="str">
        <f ca="1">IF(AND(ISNUMBER($V$789),$B$427=1),$V$789,HLOOKUP(INDIRECT(ADDRESS(2,COLUMN())),OFFSET($AM$2,0,0,ROW()-1,33),ROW()-1,FALSE))</f>
        <v/>
      </c>
      <c r="W392" t="str">
        <f ca="1">IF(AND(ISNUMBER($W$789),$B$427=1),$W$789,HLOOKUP(INDIRECT(ADDRESS(2,COLUMN())),OFFSET($AM$2,0,0,ROW()-1,33),ROW()-1,FALSE))</f>
        <v/>
      </c>
      <c r="X392" t="str">
        <f ca="1">IF(AND(ISNUMBER($X$789),$B$427=1),$X$789,HLOOKUP(INDIRECT(ADDRESS(2,COLUMN())),OFFSET($AM$2,0,0,ROW()-1,33),ROW()-1,FALSE))</f>
        <v/>
      </c>
      <c r="Y392" t="str">
        <f ca="1">IF(AND(ISNUMBER($Y$789),$B$427=1),$Y$789,HLOOKUP(INDIRECT(ADDRESS(2,COLUMN())),OFFSET($AM$2,0,0,ROW()-1,33),ROW()-1,FALSE))</f>
        <v/>
      </c>
      <c r="Z392" t="str">
        <f ca="1">IF(AND(ISNUMBER($Z$789),$B$427=1),$Z$789,HLOOKUP(INDIRECT(ADDRESS(2,COLUMN())),OFFSET($AM$2,0,0,ROW()-1,33),ROW()-1,FALSE))</f>
        <v/>
      </c>
      <c r="AA392" t="str">
        <f ca="1">IF(AND(ISNUMBER($AA$789),$B$427=1),$AA$789,HLOOKUP(INDIRECT(ADDRESS(2,COLUMN())),OFFSET($AM$2,0,0,ROW()-1,33),ROW()-1,FALSE))</f>
        <v/>
      </c>
      <c r="AB392" t="str">
        <f ca="1">IF(AND(ISNUMBER($AB$789),$B$427=1),$AB$789,HLOOKUP(INDIRECT(ADDRESS(2,COLUMN())),OFFSET($AM$2,0,0,ROW()-1,33),ROW()-1,FALSE))</f>
        <v/>
      </c>
      <c r="AC392" t="str">
        <f ca="1">IF(AND(ISNUMBER($AC$789),$B$427=1),$AC$789,HLOOKUP(INDIRECT(ADDRESS(2,COLUMN())),OFFSET($AM$2,0,0,ROW()-1,33),ROW()-1,FALSE))</f>
        <v/>
      </c>
      <c r="AD392" t="str">
        <f ca="1">IF(AND(ISNUMBER($AD$789),$B$427=1),$AD$789,HLOOKUP(INDIRECT(ADDRESS(2,COLUMN())),OFFSET($AM$2,0,0,ROW()-1,33),ROW()-1,FALSE))</f>
        <v/>
      </c>
      <c r="AE392" t="str">
        <f ca="1">IF(AND(ISNUMBER($AE$789),$B$427=1),$AE$789,HLOOKUP(INDIRECT(ADDRESS(2,COLUMN())),OFFSET($AM$2,0,0,ROW()-1,33),ROW()-1,FALSE))</f>
        <v/>
      </c>
      <c r="AF392" t="str">
        <f ca="1">IF(AND(ISNUMBER($AF$789),$B$427=1),$AF$789,HLOOKUP(INDIRECT(ADDRESS(2,COLUMN())),OFFSET($AM$2,0,0,ROW()-1,33),ROW()-1,FALSE))</f>
        <v/>
      </c>
      <c r="AG392" t="str">
        <f ca="1">IF(AND(ISNUMBER($AG$789),$B$427=1),$AG$789,HLOOKUP(INDIRECT(ADDRESS(2,COLUMN())),OFFSET($AM$2,0,0,ROW()-1,33),ROW()-1,FALSE))</f>
        <v/>
      </c>
      <c r="AH392" t="str">
        <f ca="1">IF(AND(ISNUMBER($AH$789),$B$427=1),$AH$789,HLOOKUP(INDIRECT(ADDRESS(2,COLUMN())),OFFSET($AM$2,0,0,ROW()-1,33),ROW()-1,FALSE))</f>
        <v/>
      </c>
      <c r="AI392" t="str">
        <f ca="1">IF(AND(ISNUMBER($AI$789),$B$427=1),$AI$789,HLOOKUP(INDIRECT(ADDRESS(2,COLUMN())),OFFSET($AM$2,0,0,ROW()-1,33),ROW()-1,FALSE))</f>
        <v/>
      </c>
      <c r="AJ392" t="str">
        <f ca="1">IF(AND(ISNUMBER($AJ$789),$B$427=1),$AJ$789,HLOOKUP(INDIRECT(ADDRESS(2,COLUMN())),OFFSET($AM$2,0,0,ROW()-1,33),ROW()-1,FALSE))</f>
        <v/>
      </c>
      <c r="AK392" t="str">
        <f ca="1">IF(AND(ISNUMBER($AK$789),$B$427=1),$AK$789,HLOOKUP(INDIRECT(ADDRESS(2,COLUMN())),OFFSET($AM$2,0,0,ROW()-1,33),ROW()-1,FALSE))</f>
        <v/>
      </c>
      <c r="AL392" t="str">
        <f ca="1">IF(AND(ISNUMBER($AL$789),$B$427=1),$AL$789,HLOOKUP(INDIRECT(ADDRESS(2,COLUMN())),OFFSET($AM$2,0,0,ROW()-1,33),ROW()-1,FALSE))</f>
        <v/>
      </c>
      <c r="AM392">
        <f>6.799700143</f>
        <v>6.7997001429999999</v>
      </c>
      <c r="AN392">
        <f>6.347064452</f>
        <v>6.3470644519999997</v>
      </c>
      <c r="AO392">
        <f>7.040509268</f>
        <v>7.0405092680000001</v>
      </c>
      <c r="AP392">
        <f>6.808091012</f>
        <v>6.8080910120000002</v>
      </c>
      <c r="AQ392">
        <f>5.35289681</f>
        <v>5.3528968099999998</v>
      </c>
      <c r="AR392">
        <f>4.65140245</f>
        <v>4.65140245</v>
      </c>
      <c r="AS392">
        <f>5.09435117</f>
        <v>5.0943511700000004</v>
      </c>
      <c r="AT392">
        <f>4.702835443</f>
        <v>4.7028354429999997</v>
      </c>
      <c r="AU392">
        <f>4.746587479</f>
        <v>4.7465874790000004</v>
      </c>
      <c r="AV392">
        <f>4.795683122</f>
        <v>4.7956831219999998</v>
      </c>
      <c r="AW392">
        <f>3.834418526</f>
        <v>3.8344185259999999</v>
      </c>
      <c r="AX392">
        <f>3.686166739</f>
        <v>3.6861667389999999</v>
      </c>
      <c r="AY392">
        <f>3.396472524</f>
        <v>3.396472524</v>
      </c>
      <c r="AZ392">
        <f>3.145337922</f>
        <v>3.145337922</v>
      </c>
      <c r="BA392">
        <f>3.101121012</f>
        <v>3.1011210120000001</v>
      </c>
      <c r="BB392" t="str">
        <f>""</f>
        <v/>
      </c>
      <c r="BC392" t="str">
        <f>""</f>
        <v/>
      </c>
      <c r="BD392" t="str">
        <f>""</f>
        <v/>
      </c>
      <c r="BE392" t="str">
        <f>""</f>
        <v/>
      </c>
      <c r="BF392" t="str">
        <f>""</f>
        <v/>
      </c>
      <c r="BG392" t="str">
        <f>""</f>
        <v/>
      </c>
      <c r="BH392" t="str">
        <f>""</f>
        <v/>
      </c>
      <c r="BI392" t="str">
        <f>""</f>
        <v/>
      </c>
      <c r="BJ392" t="str">
        <f>""</f>
        <v/>
      </c>
      <c r="BK392" t="str">
        <f>""</f>
        <v/>
      </c>
      <c r="BL392" t="str">
        <f>""</f>
        <v/>
      </c>
      <c r="BM392" t="str">
        <f>""</f>
        <v/>
      </c>
      <c r="BN392" t="str">
        <f>""</f>
        <v/>
      </c>
      <c r="BO392" t="str">
        <f>""</f>
        <v/>
      </c>
      <c r="BP392" t="str">
        <f>""</f>
        <v/>
      </c>
      <c r="BQ392" t="str">
        <f>""</f>
        <v/>
      </c>
      <c r="BR392" t="str">
        <f>""</f>
        <v/>
      </c>
      <c r="BS392" t="str">
        <f>""</f>
        <v/>
      </c>
    </row>
    <row r="393" spans="1:71" x14ac:dyDescent="0.25">
      <c r="A393" t="str">
        <f>"        Citigroup Inc"</f>
        <v xml:space="preserve">        Citigroup Inc</v>
      </c>
      <c r="B393" t="str">
        <f>"C US Equity"</f>
        <v>C US Equity</v>
      </c>
      <c r="C393" t="str">
        <f t="shared" si="54"/>
        <v>F0128</v>
      </c>
      <c r="D393" t="str">
        <f t="shared" si="55"/>
        <v>FED_OTH_NONCONS_LNS_%_TOT_LNS_LS</v>
      </c>
      <c r="E393" t="str">
        <f t="shared" si="56"/>
        <v>Dynamic</v>
      </c>
      <c r="F393">
        <f ca="1">IF(AND(ISNUMBER($F$790),$B$427=1),$F$790,HLOOKUP(INDIRECT(ADDRESS(2,COLUMN())),OFFSET($AM$2,0,0,ROW()-1,33),ROW()-1,FALSE))</f>
        <v>5.5035433100000004</v>
      </c>
      <c r="G393">
        <f ca="1">IF(AND(ISNUMBER($G$790),$B$427=1),$G$790,HLOOKUP(INDIRECT(ADDRESS(2,COLUMN())),OFFSET($AM$2,0,0,ROW()-1,33),ROW()-1,FALSE))</f>
        <v>5.2939750099999996</v>
      </c>
      <c r="H393">
        <f ca="1">IF(AND(ISNUMBER($H$790),$B$427=1),$H$790,HLOOKUP(INDIRECT(ADDRESS(2,COLUMN())),OFFSET($AM$2,0,0,ROW()-1,33),ROW()-1,FALSE))</f>
        <v>9.160716592</v>
      </c>
      <c r="I393">
        <f ca="1">IF(AND(ISNUMBER($I$790),$B$427=1),$I$790,HLOOKUP(INDIRECT(ADDRESS(2,COLUMN())),OFFSET($AM$2,0,0,ROW()-1,33),ROW()-1,FALSE))</f>
        <v>8.8914415370000004</v>
      </c>
      <c r="J393">
        <f ca="1">IF(AND(ISNUMBER($J$790),$B$427=1),$J$790,HLOOKUP(INDIRECT(ADDRESS(2,COLUMN())),OFFSET($AM$2,0,0,ROW()-1,33),ROW()-1,FALSE))</f>
        <v>8.389059413</v>
      </c>
      <c r="K393">
        <f ca="1">IF(AND(ISNUMBER($K$790),$B$427=1),$K$790,HLOOKUP(INDIRECT(ADDRESS(2,COLUMN())),OFFSET($AM$2,0,0,ROW()-1,33),ROW()-1,FALSE))</f>
        <v>8.0338384049999991</v>
      </c>
      <c r="L393">
        <f ca="1">IF(AND(ISNUMBER($L$790),$B$427=1),$L$790,HLOOKUP(INDIRECT(ADDRESS(2,COLUMN())),OFFSET($AM$2,0,0,ROW()-1,33),ROW()-1,FALSE))</f>
        <v>8.6202423009999993</v>
      </c>
      <c r="M393">
        <f ca="1">IF(AND(ISNUMBER($M$790),$B$427=1),$M$790,HLOOKUP(INDIRECT(ADDRESS(2,COLUMN())),OFFSET($AM$2,0,0,ROW()-1,33),ROW()-1,FALSE))</f>
        <v>8.1088654640000009</v>
      </c>
      <c r="N393">
        <f ca="1">IF(AND(ISNUMBER($N$790),$B$427=1),$N$790,HLOOKUP(INDIRECT(ADDRESS(2,COLUMN())),OFFSET($AM$2,0,0,ROW()-1,33),ROW()-1,FALSE))</f>
        <v>8.4782899629999999</v>
      </c>
      <c r="O393">
        <f ca="1">IF(AND(ISNUMBER($O$790),$B$427=1),$O$790,HLOOKUP(INDIRECT(ADDRESS(2,COLUMN())),OFFSET($AM$2,0,0,ROW()-1,33),ROW()-1,FALSE))</f>
        <v>7.9248913400000003</v>
      </c>
      <c r="P393">
        <f ca="1">IF(AND(ISNUMBER($P$790),$B$427=1),$P$790,HLOOKUP(INDIRECT(ADDRESS(2,COLUMN())),OFFSET($AM$2,0,0,ROW()-1,33),ROW()-1,FALSE))</f>
        <v>6.6422678780000002</v>
      </c>
      <c r="Q393">
        <f ca="1">IF(AND(ISNUMBER($Q$790),$B$427=1),$Q$790,HLOOKUP(INDIRECT(ADDRESS(2,COLUMN())),OFFSET($AM$2,0,0,ROW()-1,33),ROW()-1,FALSE))</f>
        <v>7.2282220600000002</v>
      </c>
      <c r="R393">
        <f ca="1">IF(AND(ISNUMBER($R$790),$B$427=1),$R$790,HLOOKUP(INDIRECT(ADDRESS(2,COLUMN())),OFFSET($AM$2,0,0,ROW()-1,33),ROW()-1,FALSE))</f>
        <v>5.9039059590000003</v>
      </c>
      <c r="S393">
        <f ca="1">IF(AND(ISNUMBER($S$790),$B$427=1),$S$790,HLOOKUP(INDIRECT(ADDRESS(2,COLUMN())),OFFSET($AM$2,0,0,ROW()-1,33),ROW()-1,FALSE))</f>
        <v>5.9829690190000004</v>
      </c>
      <c r="T393">
        <f ca="1">IF(AND(ISNUMBER($T$790),$B$427=1),$T$790,HLOOKUP(INDIRECT(ADDRESS(2,COLUMN())),OFFSET($AM$2,0,0,ROW()-1,33),ROW()-1,FALSE))</f>
        <v>5.7549868430000002</v>
      </c>
      <c r="U393" t="str">
        <f ca="1">IF(AND(ISNUMBER($U$790),$B$427=1),$U$790,HLOOKUP(INDIRECT(ADDRESS(2,COLUMN())),OFFSET($AM$2,0,0,ROW()-1,33),ROW()-1,FALSE))</f>
        <v/>
      </c>
      <c r="V393" t="str">
        <f ca="1">IF(AND(ISNUMBER($V$790),$B$427=1),$V$790,HLOOKUP(INDIRECT(ADDRESS(2,COLUMN())),OFFSET($AM$2,0,0,ROW()-1,33),ROW()-1,FALSE))</f>
        <v/>
      </c>
      <c r="W393" t="str">
        <f ca="1">IF(AND(ISNUMBER($W$790),$B$427=1),$W$790,HLOOKUP(INDIRECT(ADDRESS(2,COLUMN())),OFFSET($AM$2,0,0,ROW()-1,33),ROW()-1,FALSE))</f>
        <v/>
      </c>
      <c r="X393" t="str">
        <f ca="1">IF(AND(ISNUMBER($X$790),$B$427=1),$X$790,HLOOKUP(INDIRECT(ADDRESS(2,COLUMN())),OFFSET($AM$2,0,0,ROW()-1,33),ROW()-1,FALSE))</f>
        <v/>
      </c>
      <c r="Y393" t="str">
        <f ca="1">IF(AND(ISNUMBER($Y$790),$B$427=1),$Y$790,HLOOKUP(INDIRECT(ADDRESS(2,COLUMN())),OFFSET($AM$2,0,0,ROW()-1,33),ROW()-1,FALSE))</f>
        <v/>
      </c>
      <c r="Z393" t="str">
        <f ca="1">IF(AND(ISNUMBER($Z$790),$B$427=1),$Z$790,HLOOKUP(INDIRECT(ADDRESS(2,COLUMN())),OFFSET($AM$2,0,0,ROW()-1,33),ROW()-1,FALSE))</f>
        <v/>
      </c>
      <c r="AA393" t="str">
        <f ca="1">IF(AND(ISNUMBER($AA$790),$B$427=1),$AA$790,HLOOKUP(INDIRECT(ADDRESS(2,COLUMN())),OFFSET($AM$2,0,0,ROW()-1,33),ROW()-1,FALSE))</f>
        <v/>
      </c>
      <c r="AB393" t="str">
        <f ca="1">IF(AND(ISNUMBER($AB$790),$B$427=1),$AB$790,HLOOKUP(INDIRECT(ADDRESS(2,COLUMN())),OFFSET($AM$2,0,0,ROW()-1,33),ROW()-1,FALSE))</f>
        <v/>
      </c>
      <c r="AC393" t="str">
        <f ca="1">IF(AND(ISNUMBER($AC$790),$B$427=1),$AC$790,HLOOKUP(INDIRECT(ADDRESS(2,COLUMN())),OFFSET($AM$2,0,0,ROW()-1,33),ROW()-1,FALSE))</f>
        <v/>
      </c>
      <c r="AD393" t="str">
        <f ca="1">IF(AND(ISNUMBER($AD$790),$B$427=1),$AD$790,HLOOKUP(INDIRECT(ADDRESS(2,COLUMN())),OFFSET($AM$2,0,0,ROW()-1,33),ROW()-1,FALSE))</f>
        <v/>
      </c>
      <c r="AE393" t="str">
        <f ca="1">IF(AND(ISNUMBER($AE$790),$B$427=1),$AE$790,HLOOKUP(INDIRECT(ADDRESS(2,COLUMN())),OFFSET($AM$2,0,0,ROW()-1,33),ROW()-1,FALSE))</f>
        <v/>
      </c>
      <c r="AF393" t="str">
        <f ca="1">IF(AND(ISNUMBER($AF$790),$B$427=1),$AF$790,HLOOKUP(INDIRECT(ADDRESS(2,COLUMN())),OFFSET($AM$2,0,0,ROW()-1,33),ROW()-1,FALSE))</f>
        <v/>
      </c>
      <c r="AG393" t="str">
        <f ca="1">IF(AND(ISNUMBER($AG$790),$B$427=1),$AG$790,HLOOKUP(INDIRECT(ADDRESS(2,COLUMN())),OFFSET($AM$2,0,0,ROW()-1,33),ROW()-1,FALSE))</f>
        <v/>
      </c>
      <c r="AH393" t="str">
        <f ca="1">IF(AND(ISNUMBER($AH$790),$B$427=1),$AH$790,HLOOKUP(INDIRECT(ADDRESS(2,COLUMN())),OFFSET($AM$2,0,0,ROW()-1,33),ROW()-1,FALSE))</f>
        <v/>
      </c>
      <c r="AI393" t="str">
        <f ca="1">IF(AND(ISNUMBER($AI$790),$B$427=1),$AI$790,HLOOKUP(INDIRECT(ADDRESS(2,COLUMN())),OFFSET($AM$2,0,0,ROW()-1,33),ROW()-1,FALSE))</f>
        <v/>
      </c>
      <c r="AJ393" t="str">
        <f ca="1">IF(AND(ISNUMBER($AJ$790),$B$427=1),$AJ$790,HLOOKUP(INDIRECT(ADDRESS(2,COLUMN())),OFFSET($AM$2,0,0,ROW()-1,33),ROW()-1,FALSE))</f>
        <v/>
      </c>
      <c r="AK393" t="str">
        <f ca="1">IF(AND(ISNUMBER($AK$790),$B$427=1),$AK$790,HLOOKUP(INDIRECT(ADDRESS(2,COLUMN())),OFFSET($AM$2,0,0,ROW()-1,33),ROW()-1,FALSE))</f>
        <v/>
      </c>
      <c r="AL393" t="str">
        <f ca="1">IF(AND(ISNUMBER($AL$790),$B$427=1),$AL$790,HLOOKUP(INDIRECT(ADDRESS(2,COLUMN())),OFFSET($AM$2,0,0,ROW()-1,33),ROW()-1,FALSE))</f>
        <v/>
      </c>
      <c r="AM393">
        <f>5.50354331</f>
        <v>5.5035433100000004</v>
      </c>
      <c r="AN393">
        <f>5.29397501</f>
        <v>5.2939750099999996</v>
      </c>
      <c r="AO393">
        <f>9.160716592</f>
        <v>9.160716592</v>
      </c>
      <c r="AP393">
        <f>8.891441537</f>
        <v>8.8914415370000004</v>
      </c>
      <c r="AQ393">
        <f>8.389059413</f>
        <v>8.389059413</v>
      </c>
      <c r="AR393">
        <f>8.033838405</f>
        <v>8.0338384049999991</v>
      </c>
      <c r="AS393">
        <f>8.620242301</f>
        <v>8.6202423009999993</v>
      </c>
      <c r="AT393">
        <f>8.108865464</f>
        <v>8.1088654640000009</v>
      </c>
      <c r="AU393">
        <f>8.478289963</f>
        <v>8.4782899629999999</v>
      </c>
      <c r="AV393">
        <f>7.92489134</f>
        <v>7.9248913400000003</v>
      </c>
      <c r="AW393">
        <f>6.642267878</f>
        <v>6.6422678780000002</v>
      </c>
      <c r="AX393">
        <f>7.22822206</f>
        <v>7.2282220600000002</v>
      </c>
      <c r="AY393">
        <f>5.903905959</f>
        <v>5.9039059590000003</v>
      </c>
      <c r="AZ393">
        <f>5.982969019</f>
        <v>5.9829690190000004</v>
      </c>
      <c r="BA393">
        <f>5.754986843</f>
        <v>5.7549868430000002</v>
      </c>
      <c r="BB393" t="str">
        <f>""</f>
        <v/>
      </c>
      <c r="BC393" t="str">
        <f>""</f>
        <v/>
      </c>
      <c r="BD393" t="str">
        <f>""</f>
        <v/>
      </c>
      <c r="BE393" t="str">
        <f>""</f>
        <v/>
      </c>
      <c r="BF393" t="str">
        <f>""</f>
        <v/>
      </c>
      <c r="BG393" t="str">
        <f>""</f>
        <v/>
      </c>
      <c r="BH393" t="str">
        <f>""</f>
        <v/>
      </c>
      <c r="BI393" t="str">
        <f>""</f>
        <v/>
      </c>
      <c r="BJ393" t="str">
        <f>""</f>
        <v/>
      </c>
      <c r="BK393" t="str">
        <f>""</f>
        <v/>
      </c>
      <c r="BL393" t="str">
        <f>""</f>
        <v/>
      </c>
      <c r="BM393" t="str">
        <f>""</f>
        <v/>
      </c>
      <c r="BN393" t="str">
        <f>""</f>
        <v/>
      </c>
      <c r="BO393" t="str">
        <f>""</f>
        <v/>
      </c>
      <c r="BP393" t="str">
        <f>""</f>
        <v/>
      </c>
      <c r="BQ393" t="str">
        <f>""</f>
        <v/>
      </c>
      <c r="BR393" t="str">
        <f>""</f>
        <v/>
      </c>
      <c r="BS393" t="str">
        <f>""</f>
        <v/>
      </c>
    </row>
    <row r="394" spans="1:71" x14ac:dyDescent="0.25">
      <c r="A394" t="str">
        <f>"        Citizens Financial Group Inc"</f>
        <v xml:space="preserve">        Citizens Financial Group Inc</v>
      </c>
      <c r="B394" t="str">
        <f>"CFG US Equity"</f>
        <v>CFG US Equity</v>
      </c>
      <c r="C394" t="str">
        <f t="shared" si="54"/>
        <v>F0128</v>
      </c>
      <c r="D394" t="str">
        <f t="shared" si="55"/>
        <v>FED_OTH_NONCONS_LNS_%_TOT_LNS_LS</v>
      </c>
      <c r="E394" t="str">
        <f t="shared" si="56"/>
        <v>Dynamic</v>
      </c>
      <c r="F394">
        <f ca="1">IF(AND(ISNUMBER($F$791),$B$427=1),$F$791,HLOOKUP(INDIRECT(ADDRESS(2,COLUMN())),OFFSET($AM$2,0,0,ROW()-1,33),ROW()-1,FALSE))</f>
        <v>0.43046330999999999</v>
      </c>
      <c r="G394">
        <f ca="1">IF(AND(ISNUMBER($G$791),$B$427=1),$G$791,HLOOKUP(INDIRECT(ADDRESS(2,COLUMN())),OFFSET($AM$2,0,0,ROW()-1,33),ROW()-1,FALSE))</f>
        <v>0.662390861</v>
      </c>
      <c r="H394">
        <f ca="1">IF(AND(ISNUMBER($H$791),$B$427=1),$H$791,HLOOKUP(INDIRECT(ADDRESS(2,COLUMN())),OFFSET($AM$2,0,0,ROW()-1,33),ROW()-1,FALSE))</f>
        <v>0.74001894899999998</v>
      </c>
      <c r="I394">
        <f ca="1">IF(AND(ISNUMBER($I$791),$B$427=1),$I$791,HLOOKUP(INDIRECT(ADDRESS(2,COLUMN())),OFFSET($AM$2,0,0,ROW()-1,33),ROW()-1,FALSE))</f>
        <v>0.71896290299999999</v>
      </c>
      <c r="J394">
        <f ca="1">IF(AND(ISNUMBER($J$791),$B$427=1),$J$791,HLOOKUP(INDIRECT(ADDRESS(2,COLUMN())),OFFSET($AM$2,0,0,ROW()-1,33),ROW()-1,FALSE))</f>
        <v>0.99454315800000004</v>
      </c>
      <c r="K394">
        <f ca="1">IF(AND(ISNUMBER($K$791),$B$427=1),$K$791,HLOOKUP(INDIRECT(ADDRESS(2,COLUMN())),OFFSET($AM$2,0,0,ROW()-1,33),ROW()-1,FALSE))</f>
        <v>0.87696041999999996</v>
      </c>
      <c r="L394">
        <f ca="1">IF(AND(ISNUMBER($L$791),$B$427=1),$L$791,HLOOKUP(INDIRECT(ADDRESS(2,COLUMN())),OFFSET($AM$2,0,0,ROW()-1,33),ROW()-1,FALSE))</f>
        <v>1.092729509</v>
      </c>
      <c r="M394">
        <f ca="1">IF(AND(ISNUMBER($M$791),$B$427=1),$M$791,HLOOKUP(INDIRECT(ADDRESS(2,COLUMN())),OFFSET($AM$2,0,0,ROW()-1,33),ROW()-1,FALSE))</f>
        <v>1.3378050779999999</v>
      </c>
      <c r="N394">
        <f ca="1">IF(AND(ISNUMBER($N$791),$B$427=1),$N$791,HLOOKUP(INDIRECT(ADDRESS(2,COLUMN())),OFFSET($AM$2,0,0,ROW()-1,33),ROW()-1,FALSE))</f>
        <v>1.5675528510000001</v>
      </c>
      <c r="O394">
        <f ca="1">IF(AND(ISNUMBER($O$791),$B$427=1),$O$791,HLOOKUP(INDIRECT(ADDRESS(2,COLUMN())),OFFSET($AM$2,0,0,ROW()-1,33),ROW()-1,FALSE))</f>
        <v>1.782970841</v>
      </c>
      <c r="P394">
        <f ca="1">IF(AND(ISNUMBER($P$791),$B$427=1),$P$791,HLOOKUP(INDIRECT(ADDRESS(2,COLUMN())),OFFSET($AM$2,0,0,ROW()-1,33),ROW()-1,FALSE))</f>
        <v>1.9276850350000001</v>
      </c>
      <c r="Q394">
        <f ca="1">IF(AND(ISNUMBER($Q$791),$B$427=1),$Q$791,HLOOKUP(INDIRECT(ADDRESS(2,COLUMN())),OFFSET($AM$2,0,0,ROW()-1,33),ROW()-1,FALSE))</f>
        <v>1.3799406080000001</v>
      </c>
      <c r="R394">
        <f ca="1">IF(AND(ISNUMBER($R$791),$B$427=1),$R$791,HLOOKUP(INDIRECT(ADDRESS(2,COLUMN())),OFFSET($AM$2,0,0,ROW()-1,33),ROW()-1,FALSE))</f>
        <v>1.1715840909999999</v>
      </c>
      <c r="S394">
        <f ca="1">IF(AND(ISNUMBER($S$791),$B$427=1),$S$791,HLOOKUP(INDIRECT(ADDRESS(2,COLUMN())),OFFSET($AM$2,0,0,ROW()-1,33),ROW()-1,FALSE))</f>
        <v>1.150678036</v>
      </c>
      <c r="T394">
        <f ca="1">IF(AND(ISNUMBER($T$791),$B$427=1),$T$791,HLOOKUP(INDIRECT(ADDRESS(2,COLUMN())),OFFSET($AM$2,0,0,ROW()-1,33),ROW()-1,FALSE))</f>
        <v>1.2067570830000001</v>
      </c>
      <c r="U394" t="str">
        <f ca="1">IF(AND(ISNUMBER($U$791),$B$427=1),$U$791,HLOOKUP(INDIRECT(ADDRESS(2,COLUMN())),OFFSET($AM$2,0,0,ROW()-1,33),ROW()-1,FALSE))</f>
        <v/>
      </c>
      <c r="V394" t="str">
        <f ca="1">IF(AND(ISNUMBER($V$791),$B$427=1),$V$791,HLOOKUP(INDIRECT(ADDRESS(2,COLUMN())),OFFSET($AM$2,0,0,ROW()-1,33),ROW()-1,FALSE))</f>
        <v/>
      </c>
      <c r="W394" t="str">
        <f ca="1">IF(AND(ISNUMBER($W$791),$B$427=1),$W$791,HLOOKUP(INDIRECT(ADDRESS(2,COLUMN())),OFFSET($AM$2,0,0,ROW()-1,33),ROW()-1,FALSE))</f>
        <v/>
      </c>
      <c r="X394" t="str">
        <f ca="1">IF(AND(ISNUMBER($X$791),$B$427=1),$X$791,HLOOKUP(INDIRECT(ADDRESS(2,COLUMN())),OFFSET($AM$2,0,0,ROW()-1,33),ROW()-1,FALSE))</f>
        <v/>
      </c>
      <c r="Y394" t="str">
        <f ca="1">IF(AND(ISNUMBER($Y$791),$B$427=1),$Y$791,HLOOKUP(INDIRECT(ADDRESS(2,COLUMN())),OFFSET($AM$2,0,0,ROW()-1,33),ROW()-1,FALSE))</f>
        <v/>
      </c>
      <c r="Z394" t="str">
        <f ca="1">IF(AND(ISNUMBER($Z$791),$B$427=1),$Z$791,HLOOKUP(INDIRECT(ADDRESS(2,COLUMN())),OFFSET($AM$2,0,0,ROW()-1,33),ROW()-1,FALSE))</f>
        <v/>
      </c>
      <c r="AA394" t="str">
        <f ca="1">IF(AND(ISNUMBER($AA$791),$B$427=1),$AA$791,HLOOKUP(INDIRECT(ADDRESS(2,COLUMN())),OFFSET($AM$2,0,0,ROW()-1,33),ROW()-1,FALSE))</f>
        <v/>
      </c>
      <c r="AB394" t="str">
        <f ca="1">IF(AND(ISNUMBER($AB$791),$B$427=1),$AB$791,HLOOKUP(INDIRECT(ADDRESS(2,COLUMN())),OFFSET($AM$2,0,0,ROW()-1,33),ROW()-1,FALSE))</f>
        <v/>
      </c>
      <c r="AC394" t="str">
        <f ca="1">IF(AND(ISNUMBER($AC$791),$B$427=1),$AC$791,HLOOKUP(INDIRECT(ADDRESS(2,COLUMN())),OFFSET($AM$2,0,0,ROW()-1,33),ROW()-1,FALSE))</f>
        <v/>
      </c>
      <c r="AD394" t="str">
        <f ca="1">IF(AND(ISNUMBER($AD$791),$B$427=1),$AD$791,HLOOKUP(INDIRECT(ADDRESS(2,COLUMN())),OFFSET($AM$2,0,0,ROW()-1,33),ROW()-1,FALSE))</f>
        <v/>
      </c>
      <c r="AE394" t="str">
        <f ca="1">IF(AND(ISNUMBER($AE$791),$B$427=1),$AE$791,HLOOKUP(INDIRECT(ADDRESS(2,COLUMN())),OFFSET($AM$2,0,0,ROW()-1,33),ROW()-1,FALSE))</f>
        <v/>
      </c>
      <c r="AF394" t="str">
        <f ca="1">IF(AND(ISNUMBER($AF$791),$B$427=1),$AF$791,HLOOKUP(INDIRECT(ADDRESS(2,COLUMN())),OFFSET($AM$2,0,0,ROW()-1,33),ROW()-1,FALSE))</f>
        <v/>
      </c>
      <c r="AG394" t="str">
        <f ca="1">IF(AND(ISNUMBER($AG$791),$B$427=1),$AG$791,HLOOKUP(INDIRECT(ADDRESS(2,COLUMN())),OFFSET($AM$2,0,0,ROW()-1,33),ROW()-1,FALSE))</f>
        <v/>
      </c>
      <c r="AH394" t="str">
        <f ca="1">IF(AND(ISNUMBER($AH$791),$B$427=1),$AH$791,HLOOKUP(INDIRECT(ADDRESS(2,COLUMN())),OFFSET($AM$2,0,0,ROW()-1,33),ROW()-1,FALSE))</f>
        <v/>
      </c>
      <c r="AI394" t="str">
        <f ca="1">IF(AND(ISNUMBER($AI$791),$B$427=1),$AI$791,HLOOKUP(INDIRECT(ADDRESS(2,COLUMN())),OFFSET($AM$2,0,0,ROW()-1,33),ROW()-1,FALSE))</f>
        <v/>
      </c>
      <c r="AJ394" t="str">
        <f ca="1">IF(AND(ISNUMBER($AJ$791),$B$427=1),$AJ$791,HLOOKUP(INDIRECT(ADDRESS(2,COLUMN())),OFFSET($AM$2,0,0,ROW()-1,33),ROW()-1,FALSE))</f>
        <v/>
      </c>
      <c r="AK394" t="str">
        <f ca="1">IF(AND(ISNUMBER($AK$791),$B$427=1),$AK$791,HLOOKUP(INDIRECT(ADDRESS(2,COLUMN())),OFFSET($AM$2,0,0,ROW()-1,33),ROW()-1,FALSE))</f>
        <v/>
      </c>
      <c r="AL394" t="str">
        <f ca="1">IF(AND(ISNUMBER($AL$791),$B$427=1),$AL$791,HLOOKUP(INDIRECT(ADDRESS(2,COLUMN())),OFFSET($AM$2,0,0,ROW()-1,33),ROW()-1,FALSE))</f>
        <v/>
      </c>
      <c r="AM394">
        <f>0.43046331</f>
        <v>0.43046330999999999</v>
      </c>
      <c r="AN394">
        <f>0.662390861</f>
        <v>0.662390861</v>
      </c>
      <c r="AO394">
        <f>0.740018949</f>
        <v>0.74001894899999998</v>
      </c>
      <c r="AP394">
        <f>0.718962903</f>
        <v>0.71896290299999999</v>
      </c>
      <c r="AQ394">
        <f>0.994543158</f>
        <v>0.99454315800000004</v>
      </c>
      <c r="AR394">
        <f>0.87696042</f>
        <v>0.87696041999999996</v>
      </c>
      <c r="AS394">
        <f>1.092729509</f>
        <v>1.092729509</v>
      </c>
      <c r="AT394">
        <f>1.337805078</f>
        <v>1.3378050779999999</v>
      </c>
      <c r="AU394">
        <f>1.567552851</f>
        <v>1.5675528510000001</v>
      </c>
      <c r="AV394">
        <f>1.782970841</f>
        <v>1.782970841</v>
      </c>
      <c r="AW394">
        <f>1.927685035</f>
        <v>1.9276850350000001</v>
      </c>
      <c r="AX394">
        <f>1.379940608</f>
        <v>1.3799406080000001</v>
      </c>
      <c r="AY394">
        <f>1.171584091</f>
        <v>1.1715840909999999</v>
      </c>
      <c r="AZ394">
        <f>1.150678036</f>
        <v>1.150678036</v>
      </c>
      <c r="BA394">
        <f>1.206757083</f>
        <v>1.2067570830000001</v>
      </c>
      <c r="BB394" t="str">
        <f>""</f>
        <v/>
      </c>
      <c r="BC394" t="str">
        <f>""</f>
        <v/>
      </c>
      <c r="BD394" t="str">
        <f>""</f>
        <v/>
      </c>
      <c r="BE394" t="str">
        <f>""</f>
        <v/>
      </c>
      <c r="BF394" t="str">
        <f>""</f>
        <v/>
      </c>
      <c r="BG394" t="str">
        <f>""</f>
        <v/>
      </c>
      <c r="BH394" t="str">
        <f>""</f>
        <v/>
      </c>
      <c r="BI394" t="str">
        <f>""</f>
        <v/>
      </c>
      <c r="BJ394" t="str">
        <f>""</f>
        <v/>
      </c>
      <c r="BK394" t="str">
        <f>""</f>
        <v/>
      </c>
      <c r="BL394" t="str">
        <f>""</f>
        <v/>
      </c>
      <c r="BM394" t="str">
        <f>""</f>
        <v/>
      </c>
      <c r="BN394" t="str">
        <f>""</f>
        <v/>
      </c>
      <c r="BO394" t="str">
        <f>""</f>
        <v/>
      </c>
      <c r="BP394" t="str">
        <f>""</f>
        <v/>
      </c>
      <c r="BQ394" t="str">
        <f>""</f>
        <v/>
      </c>
      <c r="BR394" t="str">
        <f>""</f>
        <v/>
      </c>
      <c r="BS394" t="str">
        <f>""</f>
        <v/>
      </c>
    </row>
    <row r="395" spans="1:71" x14ac:dyDescent="0.25">
      <c r="A395" t="str">
        <f>"        Capital One Financial Corp"</f>
        <v xml:space="preserve">        Capital One Financial Corp</v>
      </c>
      <c r="B395" t="str">
        <f>"COF US Equity"</f>
        <v>COF US Equity</v>
      </c>
      <c r="C395" t="str">
        <f t="shared" si="54"/>
        <v>F0128</v>
      </c>
      <c r="D395" t="str">
        <f t="shared" si="55"/>
        <v>FED_OTH_NONCONS_LNS_%_TOT_LNS_LS</v>
      </c>
      <c r="E395" t="str">
        <f t="shared" si="56"/>
        <v>Dynamic</v>
      </c>
      <c r="F395">
        <f ca="1">IF(AND(ISNUMBER($F$792),$B$427=1),$F$792,HLOOKUP(INDIRECT(ADDRESS(2,COLUMN())),OFFSET($AM$2,0,0,ROW()-1,33),ROW()-1,FALSE))</f>
        <v>2.544606586</v>
      </c>
      <c r="G395">
        <f ca="1">IF(AND(ISNUMBER($G$792),$B$427=1),$G$792,HLOOKUP(INDIRECT(ADDRESS(2,COLUMN())),OFFSET($AM$2,0,0,ROW()-1,33),ROW()-1,FALSE))</f>
        <v>2.6060803309999998</v>
      </c>
      <c r="H395">
        <f ca="1">IF(AND(ISNUMBER($H$792),$B$427=1),$H$792,HLOOKUP(INDIRECT(ADDRESS(2,COLUMN())),OFFSET($AM$2,0,0,ROW()-1,33),ROW()-1,FALSE))</f>
        <v>2.629438156</v>
      </c>
      <c r="I395">
        <f ca="1">IF(AND(ISNUMBER($I$792),$B$427=1),$I$792,HLOOKUP(INDIRECT(ADDRESS(2,COLUMN())),OFFSET($AM$2,0,0,ROW()-1,33),ROW()-1,FALSE))</f>
        <v>2.572208083</v>
      </c>
      <c r="J395">
        <f ca="1">IF(AND(ISNUMBER($J$792),$B$427=1),$J$792,HLOOKUP(INDIRECT(ADDRESS(2,COLUMN())),OFFSET($AM$2,0,0,ROW()-1,33),ROW()-1,FALSE))</f>
        <v>2.9654900350000002</v>
      </c>
      <c r="K395">
        <f ca="1">IF(AND(ISNUMBER($K$792),$B$427=1),$K$792,HLOOKUP(INDIRECT(ADDRESS(2,COLUMN())),OFFSET($AM$2,0,0,ROW()-1,33),ROW()-1,FALSE))</f>
        <v>2.6057032800000002</v>
      </c>
      <c r="L395">
        <f ca="1">IF(AND(ISNUMBER($L$792),$B$427=1),$L$792,HLOOKUP(INDIRECT(ADDRESS(2,COLUMN())),OFFSET($AM$2,0,0,ROW()-1,33),ROW()-1,FALSE))</f>
        <v>2.6952494389999999</v>
      </c>
      <c r="M395">
        <f ca="1">IF(AND(ISNUMBER($M$792),$B$427=1),$M$792,HLOOKUP(INDIRECT(ADDRESS(2,COLUMN())),OFFSET($AM$2,0,0,ROW()-1,33),ROW()-1,FALSE))</f>
        <v>2.6458629760000001</v>
      </c>
      <c r="N395">
        <f ca="1">IF(AND(ISNUMBER($N$792),$B$427=1),$N$792,HLOOKUP(INDIRECT(ADDRESS(2,COLUMN())),OFFSET($AM$2,0,0,ROW()-1,33),ROW()-1,FALSE))</f>
        <v>2.6817074399999998</v>
      </c>
      <c r="O395">
        <f ca="1">IF(AND(ISNUMBER($O$792),$B$427=1),$O$792,HLOOKUP(INDIRECT(ADDRESS(2,COLUMN())),OFFSET($AM$2,0,0,ROW()-1,33),ROW()-1,FALSE))</f>
        <v>2.6871087380000001</v>
      </c>
      <c r="P395">
        <f ca="1">IF(AND(ISNUMBER($P$792),$B$427=1),$P$792,HLOOKUP(INDIRECT(ADDRESS(2,COLUMN())),OFFSET($AM$2,0,0,ROW()-1,33),ROW()-1,FALSE))</f>
        <v>2.7486755559999998</v>
      </c>
      <c r="Q395">
        <f ca="1">IF(AND(ISNUMBER($Q$792),$B$427=1),$Q$792,HLOOKUP(INDIRECT(ADDRESS(2,COLUMN())),OFFSET($AM$2,0,0,ROW()-1,33),ROW()-1,FALSE))</f>
        <v>2.5086929769999999</v>
      </c>
      <c r="R395">
        <f ca="1">IF(AND(ISNUMBER($R$792),$B$427=1),$R$792,HLOOKUP(INDIRECT(ADDRESS(2,COLUMN())),OFFSET($AM$2,0,0,ROW()-1,33),ROW()-1,FALSE))</f>
        <v>1.147122867</v>
      </c>
      <c r="S395">
        <f ca="1">IF(AND(ISNUMBER($S$792),$B$427=1),$S$792,HLOOKUP(INDIRECT(ADDRESS(2,COLUMN())),OFFSET($AM$2,0,0,ROW()-1,33),ROW()-1,FALSE))</f>
        <v>1.4704244120000001</v>
      </c>
      <c r="T395">
        <f ca="1">IF(AND(ISNUMBER($T$792),$B$427=1),$T$792,HLOOKUP(INDIRECT(ADDRESS(2,COLUMN())),OFFSET($AM$2,0,0,ROW()-1,33),ROW()-1,FALSE))</f>
        <v>1.3129018160000001</v>
      </c>
      <c r="U395" t="str">
        <f ca="1">IF(AND(ISNUMBER($U$792),$B$427=1),$U$792,HLOOKUP(INDIRECT(ADDRESS(2,COLUMN())),OFFSET($AM$2,0,0,ROW()-1,33),ROW()-1,FALSE))</f>
        <v/>
      </c>
      <c r="V395" t="str">
        <f ca="1">IF(AND(ISNUMBER($V$792),$B$427=1),$V$792,HLOOKUP(INDIRECT(ADDRESS(2,COLUMN())),OFFSET($AM$2,0,0,ROW()-1,33),ROW()-1,FALSE))</f>
        <v/>
      </c>
      <c r="W395" t="str">
        <f ca="1">IF(AND(ISNUMBER($W$792),$B$427=1),$W$792,HLOOKUP(INDIRECT(ADDRESS(2,COLUMN())),OFFSET($AM$2,0,0,ROW()-1,33),ROW()-1,FALSE))</f>
        <v/>
      </c>
      <c r="X395" t="str">
        <f ca="1">IF(AND(ISNUMBER($X$792),$B$427=1),$X$792,HLOOKUP(INDIRECT(ADDRESS(2,COLUMN())),OFFSET($AM$2,0,0,ROW()-1,33),ROW()-1,FALSE))</f>
        <v/>
      </c>
      <c r="Y395" t="str">
        <f ca="1">IF(AND(ISNUMBER($Y$792),$B$427=1),$Y$792,HLOOKUP(INDIRECT(ADDRESS(2,COLUMN())),OFFSET($AM$2,0,0,ROW()-1,33),ROW()-1,FALSE))</f>
        <v/>
      </c>
      <c r="Z395" t="str">
        <f ca="1">IF(AND(ISNUMBER($Z$792),$B$427=1),$Z$792,HLOOKUP(INDIRECT(ADDRESS(2,COLUMN())),OFFSET($AM$2,0,0,ROW()-1,33),ROW()-1,FALSE))</f>
        <v/>
      </c>
      <c r="AA395" t="str">
        <f ca="1">IF(AND(ISNUMBER($AA$792),$B$427=1),$AA$792,HLOOKUP(INDIRECT(ADDRESS(2,COLUMN())),OFFSET($AM$2,0,0,ROW()-1,33),ROW()-1,FALSE))</f>
        <v/>
      </c>
      <c r="AB395" t="str">
        <f ca="1">IF(AND(ISNUMBER($AB$792),$B$427=1),$AB$792,HLOOKUP(INDIRECT(ADDRESS(2,COLUMN())),OFFSET($AM$2,0,0,ROW()-1,33),ROW()-1,FALSE))</f>
        <v/>
      </c>
      <c r="AC395" t="str">
        <f ca="1">IF(AND(ISNUMBER($AC$792),$B$427=1),$AC$792,HLOOKUP(INDIRECT(ADDRESS(2,COLUMN())),OFFSET($AM$2,0,0,ROW()-1,33),ROW()-1,FALSE))</f>
        <v/>
      </c>
      <c r="AD395" t="str">
        <f ca="1">IF(AND(ISNUMBER($AD$792),$B$427=1),$AD$792,HLOOKUP(INDIRECT(ADDRESS(2,COLUMN())),OFFSET($AM$2,0,0,ROW()-1,33),ROW()-1,FALSE))</f>
        <v/>
      </c>
      <c r="AE395" t="str">
        <f ca="1">IF(AND(ISNUMBER($AE$792),$B$427=1),$AE$792,HLOOKUP(INDIRECT(ADDRESS(2,COLUMN())),OFFSET($AM$2,0,0,ROW()-1,33),ROW()-1,FALSE))</f>
        <v/>
      </c>
      <c r="AF395" t="str">
        <f ca="1">IF(AND(ISNUMBER($AF$792),$B$427=1),$AF$792,HLOOKUP(INDIRECT(ADDRESS(2,COLUMN())),OFFSET($AM$2,0,0,ROW()-1,33),ROW()-1,FALSE))</f>
        <v/>
      </c>
      <c r="AG395" t="str">
        <f ca="1">IF(AND(ISNUMBER($AG$792),$B$427=1),$AG$792,HLOOKUP(INDIRECT(ADDRESS(2,COLUMN())),OFFSET($AM$2,0,0,ROW()-1,33),ROW()-1,FALSE))</f>
        <v/>
      </c>
      <c r="AH395" t="str">
        <f ca="1">IF(AND(ISNUMBER($AH$792),$B$427=1),$AH$792,HLOOKUP(INDIRECT(ADDRESS(2,COLUMN())),OFFSET($AM$2,0,0,ROW()-1,33),ROW()-1,FALSE))</f>
        <v/>
      </c>
      <c r="AI395" t="str">
        <f ca="1">IF(AND(ISNUMBER($AI$792),$B$427=1),$AI$792,HLOOKUP(INDIRECT(ADDRESS(2,COLUMN())),OFFSET($AM$2,0,0,ROW()-1,33),ROW()-1,FALSE))</f>
        <v/>
      </c>
      <c r="AJ395" t="str">
        <f ca="1">IF(AND(ISNUMBER($AJ$792),$B$427=1),$AJ$792,HLOOKUP(INDIRECT(ADDRESS(2,COLUMN())),OFFSET($AM$2,0,0,ROW()-1,33),ROW()-1,FALSE))</f>
        <v/>
      </c>
      <c r="AK395" t="str">
        <f ca="1">IF(AND(ISNUMBER($AK$792),$B$427=1),$AK$792,HLOOKUP(INDIRECT(ADDRESS(2,COLUMN())),OFFSET($AM$2,0,0,ROW()-1,33),ROW()-1,FALSE))</f>
        <v/>
      </c>
      <c r="AL395" t="str">
        <f ca="1">IF(AND(ISNUMBER($AL$792),$B$427=1),$AL$792,HLOOKUP(INDIRECT(ADDRESS(2,COLUMN())),OFFSET($AM$2,0,0,ROW()-1,33),ROW()-1,FALSE))</f>
        <v/>
      </c>
      <c r="AM395">
        <f>2.544606586</f>
        <v>2.544606586</v>
      </c>
      <c r="AN395">
        <f>2.606080331</f>
        <v>2.6060803309999998</v>
      </c>
      <c r="AO395">
        <f>2.629438156</f>
        <v>2.629438156</v>
      </c>
      <c r="AP395">
        <f>2.572208083</f>
        <v>2.572208083</v>
      </c>
      <c r="AQ395">
        <f>2.965490035</f>
        <v>2.9654900350000002</v>
      </c>
      <c r="AR395">
        <f>2.60570328</f>
        <v>2.6057032800000002</v>
      </c>
      <c r="AS395">
        <f>2.695249439</f>
        <v>2.6952494389999999</v>
      </c>
      <c r="AT395">
        <f>2.645862976</f>
        <v>2.6458629760000001</v>
      </c>
      <c r="AU395">
        <f>2.68170744</f>
        <v>2.6817074399999998</v>
      </c>
      <c r="AV395">
        <f>2.687108738</f>
        <v>2.6871087380000001</v>
      </c>
      <c r="AW395">
        <f>2.748675556</f>
        <v>2.7486755559999998</v>
      </c>
      <c r="AX395">
        <f>2.508692977</f>
        <v>2.5086929769999999</v>
      </c>
      <c r="AY395">
        <f>1.147122867</f>
        <v>1.147122867</v>
      </c>
      <c r="AZ395">
        <f>1.470424412</f>
        <v>1.4704244120000001</v>
      </c>
      <c r="BA395">
        <f>1.312901816</f>
        <v>1.3129018160000001</v>
      </c>
      <c r="BB395" t="str">
        <f>""</f>
        <v/>
      </c>
      <c r="BC395" t="str">
        <f>""</f>
        <v/>
      </c>
      <c r="BD395" t="str">
        <f>""</f>
        <v/>
      </c>
      <c r="BE395" t="str">
        <f>""</f>
        <v/>
      </c>
      <c r="BF395" t="str">
        <f>""</f>
        <v/>
      </c>
      <c r="BG395" t="str">
        <f>""</f>
        <v/>
      </c>
      <c r="BH395" t="str">
        <f>""</f>
        <v/>
      </c>
      <c r="BI395" t="str">
        <f>""</f>
        <v/>
      </c>
      <c r="BJ395" t="str">
        <f>""</f>
        <v/>
      </c>
      <c r="BK395" t="str">
        <f>""</f>
        <v/>
      </c>
      <c r="BL395" t="str">
        <f>""</f>
        <v/>
      </c>
      <c r="BM395" t="str">
        <f>""</f>
        <v/>
      </c>
      <c r="BN395" t="str">
        <f>""</f>
        <v/>
      </c>
      <c r="BO395" t="str">
        <f>""</f>
        <v/>
      </c>
      <c r="BP395" t="str">
        <f>""</f>
        <v/>
      </c>
      <c r="BQ395" t="str">
        <f>""</f>
        <v/>
      </c>
      <c r="BR395" t="str">
        <f>""</f>
        <v/>
      </c>
      <c r="BS395" t="str">
        <f>""</f>
        <v/>
      </c>
    </row>
    <row r="396" spans="1:71" x14ac:dyDescent="0.25">
      <c r="A396" t="str">
        <f>"        Comerica Inc"</f>
        <v xml:space="preserve">        Comerica Inc</v>
      </c>
      <c r="B396" t="str">
        <f>"CMA US Equity"</f>
        <v>CMA US Equity</v>
      </c>
      <c r="C396" t="str">
        <f t="shared" si="54"/>
        <v>F0128</v>
      </c>
      <c r="D396" t="str">
        <f t="shared" si="55"/>
        <v>FED_OTH_NONCONS_LNS_%_TOT_LNS_LS</v>
      </c>
      <c r="E396" t="str">
        <f t="shared" si="56"/>
        <v>Dynamic</v>
      </c>
      <c r="F396" t="str">
        <f ca="1">IF(AND(ISNUMBER($F$793),$B$427=1),$F$793,HLOOKUP(INDIRECT(ADDRESS(2,COLUMN())),OFFSET($AM$2,0,0,ROW()-1,33),ROW()-1,FALSE))</f>
        <v/>
      </c>
      <c r="G396">
        <f ca="1">IF(AND(ISNUMBER($G$793),$B$427=1),$G$793,HLOOKUP(INDIRECT(ADDRESS(2,COLUMN())),OFFSET($AM$2,0,0,ROW()-1,33),ROW()-1,FALSE))</f>
        <v>0.83102493099999997</v>
      </c>
      <c r="H396">
        <f ca="1">IF(AND(ISNUMBER($H$793),$B$427=1),$H$793,HLOOKUP(INDIRECT(ADDRESS(2,COLUMN())),OFFSET($AM$2,0,0,ROW()-1,33),ROW()-1,FALSE))</f>
        <v>0.78085500799999996</v>
      </c>
      <c r="I396">
        <f ca="1">IF(AND(ISNUMBER($I$793),$B$427=1),$I$793,HLOOKUP(INDIRECT(ADDRESS(2,COLUMN())),OFFSET($AM$2,0,0,ROW()-1,33),ROW()-1,FALSE))</f>
        <v>0.81759347599999999</v>
      </c>
      <c r="J396">
        <f ca="1">IF(AND(ISNUMBER($J$793),$B$427=1),$J$793,HLOOKUP(INDIRECT(ADDRESS(2,COLUMN())),OFFSET($AM$2,0,0,ROW()-1,33),ROW()-1,FALSE))</f>
        <v>0.91785222600000005</v>
      </c>
      <c r="K396">
        <f ca="1">IF(AND(ISNUMBER($K$793),$B$427=1),$K$793,HLOOKUP(INDIRECT(ADDRESS(2,COLUMN())),OFFSET($AM$2,0,0,ROW()-1,33),ROW()-1,FALSE))</f>
        <v>0.89923773200000001</v>
      </c>
      <c r="L396">
        <f ca="1">IF(AND(ISNUMBER($L$793),$B$427=1),$L$793,HLOOKUP(INDIRECT(ADDRESS(2,COLUMN())),OFFSET($AM$2,0,0,ROW()-1,33),ROW()-1,FALSE))</f>
        <v>1.0413913910000001</v>
      </c>
      <c r="M396">
        <f ca="1">IF(AND(ISNUMBER($M$793),$B$427=1),$M$793,HLOOKUP(INDIRECT(ADDRESS(2,COLUMN())),OFFSET($AM$2,0,0,ROW()-1,33),ROW()-1,FALSE))</f>
        <v>0.97563052800000005</v>
      </c>
      <c r="N396">
        <f ca="1">IF(AND(ISNUMBER($N$793),$B$427=1),$N$793,HLOOKUP(INDIRECT(ADDRESS(2,COLUMN())),OFFSET($AM$2,0,0,ROW()-1,33),ROW()-1,FALSE))</f>
        <v>1.368416584</v>
      </c>
      <c r="O396">
        <f ca="1">IF(AND(ISNUMBER($O$793),$B$427=1),$O$793,HLOOKUP(INDIRECT(ADDRESS(2,COLUMN())),OFFSET($AM$2,0,0,ROW()-1,33),ROW()-1,FALSE))</f>
        <v>1.3407973230000001</v>
      </c>
      <c r="P396">
        <f ca="1">IF(AND(ISNUMBER($P$793),$B$427=1),$P$793,HLOOKUP(INDIRECT(ADDRESS(2,COLUMN())),OFFSET($AM$2,0,0,ROW()-1,33),ROW()-1,FALSE))</f>
        <v>1.438473691</v>
      </c>
      <c r="Q396">
        <f ca="1">IF(AND(ISNUMBER($Q$793),$B$427=1),$Q$793,HLOOKUP(INDIRECT(ADDRESS(2,COLUMN())),OFFSET($AM$2,0,0,ROW()-1,33),ROW()-1,FALSE))</f>
        <v>1.8654045370000001</v>
      </c>
      <c r="R396">
        <f ca="1">IF(AND(ISNUMBER($R$793),$B$427=1),$R$793,HLOOKUP(INDIRECT(ADDRESS(2,COLUMN())),OFFSET($AM$2,0,0,ROW()-1,33),ROW()-1,FALSE))</f>
        <v>1.5145471020000001</v>
      </c>
      <c r="S396">
        <f ca="1">IF(AND(ISNUMBER($S$793),$B$427=1),$S$793,HLOOKUP(INDIRECT(ADDRESS(2,COLUMN())),OFFSET($AM$2,0,0,ROW()-1,33),ROW()-1,FALSE))</f>
        <v>1.501383232</v>
      </c>
      <c r="T396">
        <f ca="1">IF(AND(ISNUMBER($T$793),$B$427=1),$T$793,HLOOKUP(INDIRECT(ADDRESS(2,COLUMN())),OFFSET($AM$2,0,0,ROW()-1,33),ROW()-1,FALSE))</f>
        <v>1.5251721540000001</v>
      </c>
      <c r="U396" t="str">
        <f ca="1">IF(AND(ISNUMBER($U$793),$B$427=1),$U$793,HLOOKUP(INDIRECT(ADDRESS(2,COLUMN())),OFFSET($AM$2,0,0,ROW()-1,33),ROW()-1,FALSE))</f>
        <v/>
      </c>
      <c r="V396" t="str">
        <f ca="1">IF(AND(ISNUMBER($V$793),$B$427=1),$V$793,HLOOKUP(INDIRECT(ADDRESS(2,COLUMN())),OFFSET($AM$2,0,0,ROW()-1,33),ROW()-1,FALSE))</f>
        <v/>
      </c>
      <c r="W396" t="str">
        <f ca="1">IF(AND(ISNUMBER($W$793),$B$427=1),$W$793,HLOOKUP(INDIRECT(ADDRESS(2,COLUMN())),OFFSET($AM$2,0,0,ROW()-1,33),ROW()-1,FALSE))</f>
        <v/>
      </c>
      <c r="X396" t="str">
        <f ca="1">IF(AND(ISNUMBER($X$793),$B$427=1),$X$793,HLOOKUP(INDIRECT(ADDRESS(2,COLUMN())),OFFSET($AM$2,0,0,ROW()-1,33),ROW()-1,FALSE))</f>
        <v/>
      </c>
      <c r="Y396" t="str">
        <f ca="1">IF(AND(ISNUMBER($Y$793),$B$427=1),$Y$793,HLOOKUP(INDIRECT(ADDRESS(2,COLUMN())),OFFSET($AM$2,0,0,ROW()-1,33),ROW()-1,FALSE))</f>
        <v/>
      </c>
      <c r="Z396" t="str">
        <f ca="1">IF(AND(ISNUMBER($Z$793),$B$427=1),$Z$793,HLOOKUP(INDIRECT(ADDRESS(2,COLUMN())),OFFSET($AM$2,0,0,ROW()-1,33),ROW()-1,FALSE))</f>
        <v/>
      </c>
      <c r="AA396" t="str">
        <f ca="1">IF(AND(ISNUMBER($AA$793),$B$427=1),$AA$793,HLOOKUP(INDIRECT(ADDRESS(2,COLUMN())),OFFSET($AM$2,0,0,ROW()-1,33),ROW()-1,FALSE))</f>
        <v/>
      </c>
      <c r="AB396" t="str">
        <f ca="1">IF(AND(ISNUMBER($AB$793),$B$427=1),$AB$793,HLOOKUP(INDIRECT(ADDRESS(2,COLUMN())),OFFSET($AM$2,0,0,ROW()-1,33),ROW()-1,FALSE))</f>
        <v/>
      </c>
      <c r="AC396" t="str">
        <f ca="1">IF(AND(ISNUMBER($AC$793),$B$427=1),$AC$793,HLOOKUP(INDIRECT(ADDRESS(2,COLUMN())),OFFSET($AM$2,0,0,ROW()-1,33),ROW()-1,FALSE))</f>
        <v/>
      </c>
      <c r="AD396" t="str">
        <f ca="1">IF(AND(ISNUMBER($AD$793),$B$427=1),$AD$793,HLOOKUP(INDIRECT(ADDRESS(2,COLUMN())),OFFSET($AM$2,0,0,ROW()-1,33),ROW()-1,FALSE))</f>
        <v/>
      </c>
      <c r="AE396" t="str">
        <f ca="1">IF(AND(ISNUMBER($AE$793),$B$427=1),$AE$793,HLOOKUP(INDIRECT(ADDRESS(2,COLUMN())),OFFSET($AM$2,0,0,ROW()-1,33),ROW()-1,FALSE))</f>
        <v/>
      </c>
      <c r="AF396" t="str">
        <f ca="1">IF(AND(ISNUMBER($AF$793),$B$427=1),$AF$793,HLOOKUP(INDIRECT(ADDRESS(2,COLUMN())),OFFSET($AM$2,0,0,ROW()-1,33),ROW()-1,FALSE))</f>
        <v/>
      </c>
      <c r="AG396" t="str">
        <f ca="1">IF(AND(ISNUMBER($AG$793),$B$427=1),$AG$793,HLOOKUP(INDIRECT(ADDRESS(2,COLUMN())),OFFSET($AM$2,0,0,ROW()-1,33),ROW()-1,FALSE))</f>
        <v/>
      </c>
      <c r="AH396" t="str">
        <f ca="1">IF(AND(ISNUMBER($AH$793),$B$427=1),$AH$793,HLOOKUP(INDIRECT(ADDRESS(2,COLUMN())),OFFSET($AM$2,0,0,ROW()-1,33),ROW()-1,FALSE))</f>
        <v/>
      </c>
      <c r="AI396" t="str">
        <f ca="1">IF(AND(ISNUMBER($AI$793),$B$427=1),$AI$793,HLOOKUP(INDIRECT(ADDRESS(2,COLUMN())),OFFSET($AM$2,0,0,ROW()-1,33),ROW()-1,FALSE))</f>
        <v/>
      </c>
      <c r="AJ396" t="str">
        <f ca="1">IF(AND(ISNUMBER($AJ$793),$B$427=1),$AJ$793,HLOOKUP(INDIRECT(ADDRESS(2,COLUMN())),OFFSET($AM$2,0,0,ROW()-1,33),ROW()-1,FALSE))</f>
        <v/>
      </c>
      <c r="AK396" t="str">
        <f ca="1">IF(AND(ISNUMBER($AK$793),$B$427=1),$AK$793,HLOOKUP(INDIRECT(ADDRESS(2,COLUMN())),OFFSET($AM$2,0,0,ROW()-1,33),ROW()-1,FALSE))</f>
        <v/>
      </c>
      <c r="AL396" t="str">
        <f ca="1">IF(AND(ISNUMBER($AL$793),$B$427=1),$AL$793,HLOOKUP(INDIRECT(ADDRESS(2,COLUMN())),OFFSET($AM$2,0,0,ROW()-1,33),ROW()-1,FALSE))</f>
        <v/>
      </c>
      <c r="AM396" t="str">
        <f>""</f>
        <v/>
      </c>
      <c r="AN396">
        <f>0.831024931</f>
        <v>0.83102493099999997</v>
      </c>
      <c r="AO396">
        <f>0.780855008</f>
        <v>0.78085500799999996</v>
      </c>
      <c r="AP396">
        <f>0.817593476</f>
        <v>0.81759347599999999</v>
      </c>
      <c r="AQ396">
        <f>0.917852226</f>
        <v>0.91785222600000005</v>
      </c>
      <c r="AR396">
        <f>0.899237732</f>
        <v>0.89923773200000001</v>
      </c>
      <c r="AS396">
        <f>1.041391391</f>
        <v>1.0413913910000001</v>
      </c>
      <c r="AT396">
        <f>0.975630528</f>
        <v>0.97563052800000005</v>
      </c>
      <c r="AU396">
        <f>1.368416584</f>
        <v>1.368416584</v>
      </c>
      <c r="AV396">
        <f>1.340797323</f>
        <v>1.3407973230000001</v>
      </c>
      <c r="AW396">
        <f>1.438473691</f>
        <v>1.438473691</v>
      </c>
      <c r="AX396">
        <f>1.865404537</f>
        <v>1.8654045370000001</v>
      </c>
      <c r="AY396">
        <f>1.514547102</f>
        <v>1.5145471020000001</v>
      </c>
      <c r="AZ396">
        <f>1.501383232</f>
        <v>1.501383232</v>
      </c>
      <c r="BA396">
        <f>1.525172154</f>
        <v>1.5251721540000001</v>
      </c>
      <c r="BB396" t="str">
        <f>""</f>
        <v/>
      </c>
      <c r="BC396" t="str">
        <f>""</f>
        <v/>
      </c>
      <c r="BD396" t="str">
        <f>""</f>
        <v/>
      </c>
      <c r="BE396" t="str">
        <f>""</f>
        <v/>
      </c>
      <c r="BF396" t="str">
        <f>""</f>
        <v/>
      </c>
      <c r="BG396" t="str">
        <f>""</f>
        <v/>
      </c>
      <c r="BH396" t="str">
        <f>""</f>
        <v/>
      </c>
      <c r="BI396" t="str">
        <f>""</f>
        <v/>
      </c>
      <c r="BJ396" t="str">
        <f>""</f>
        <v/>
      </c>
      <c r="BK396" t="str">
        <f>""</f>
        <v/>
      </c>
      <c r="BL396" t="str">
        <f>""</f>
        <v/>
      </c>
      <c r="BM396" t="str">
        <f>""</f>
        <v/>
      </c>
      <c r="BN396" t="str">
        <f>""</f>
        <v/>
      </c>
      <c r="BO396" t="str">
        <f>""</f>
        <v/>
      </c>
      <c r="BP396" t="str">
        <f>""</f>
        <v/>
      </c>
      <c r="BQ396" t="str">
        <f>""</f>
        <v/>
      </c>
      <c r="BR396" t="str">
        <f>""</f>
        <v/>
      </c>
      <c r="BS396" t="str">
        <f>""</f>
        <v/>
      </c>
    </row>
    <row r="397" spans="1:71" x14ac:dyDescent="0.25">
      <c r="A397" t="str">
        <f>"        East West Bancorp Inc"</f>
        <v xml:space="preserve">        East West Bancorp Inc</v>
      </c>
      <c r="B397" t="str">
        <f>"EWBC US Equity"</f>
        <v>EWBC US Equity</v>
      </c>
      <c r="C397" t="str">
        <f t="shared" si="54"/>
        <v>F0128</v>
      </c>
      <c r="D397" t="str">
        <f t="shared" si="55"/>
        <v>FED_OTH_NONCONS_LNS_%_TOT_LNS_LS</v>
      </c>
      <c r="E397" t="str">
        <f t="shared" si="56"/>
        <v>Dynamic</v>
      </c>
      <c r="F397" t="str">
        <f ca="1">IF(AND(ISNUMBER($F$794),$B$427=1),$F$794,HLOOKUP(INDIRECT(ADDRESS(2,COLUMN())),OFFSET($AM$2,0,0,ROW()-1,33),ROW()-1,FALSE))</f>
        <v/>
      </c>
      <c r="G397">
        <f ca="1">IF(AND(ISNUMBER($G$794),$B$427=1),$G$794,HLOOKUP(INDIRECT(ADDRESS(2,COLUMN())),OFFSET($AM$2,0,0,ROW()-1,33),ROW()-1,FALSE))</f>
        <v>0.123686821</v>
      </c>
      <c r="H397">
        <f ca="1">IF(AND(ISNUMBER($H$794),$B$427=1),$H$794,HLOOKUP(INDIRECT(ADDRESS(2,COLUMN())),OFFSET($AM$2,0,0,ROW()-1,33),ROW()-1,FALSE))</f>
        <v>0.23542348499999999</v>
      </c>
      <c r="I397">
        <f ca="1">IF(AND(ISNUMBER($I$794),$B$427=1),$I$794,HLOOKUP(INDIRECT(ADDRESS(2,COLUMN())),OFFSET($AM$2,0,0,ROW()-1,33),ROW()-1,FALSE))</f>
        <v>2.6835112809999999</v>
      </c>
      <c r="J397">
        <f ca="1">IF(AND(ISNUMBER($J$794),$B$427=1),$J$794,HLOOKUP(INDIRECT(ADDRESS(2,COLUMN())),OFFSET($AM$2,0,0,ROW()-1,33),ROW()-1,FALSE))</f>
        <v>1.1774662760000001</v>
      </c>
      <c r="K397">
        <f ca="1">IF(AND(ISNUMBER($K$794),$B$427=1),$K$794,HLOOKUP(INDIRECT(ADDRESS(2,COLUMN())),OFFSET($AM$2,0,0,ROW()-1,33),ROW()-1,FALSE))</f>
        <v>0.77487337000000001</v>
      </c>
      <c r="L397">
        <f ca="1">IF(AND(ISNUMBER($L$794),$B$427=1),$L$794,HLOOKUP(INDIRECT(ADDRESS(2,COLUMN())),OFFSET($AM$2,0,0,ROW()-1,33),ROW()-1,FALSE))</f>
        <v>0.91791323599999997</v>
      </c>
      <c r="M397">
        <f ca="1">IF(AND(ISNUMBER($M$794),$B$427=1),$M$794,HLOOKUP(INDIRECT(ADDRESS(2,COLUMN())),OFFSET($AM$2,0,0,ROW()-1,33),ROW()-1,FALSE))</f>
        <v>1.150672541</v>
      </c>
      <c r="N397">
        <f ca="1">IF(AND(ISNUMBER($N$794),$B$427=1),$N$794,HLOOKUP(INDIRECT(ADDRESS(2,COLUMN())),OFFSET($AM$2,0,0,ROW()-1,33),ROW()-1,FALSE))</f>
        <v>1.65295075</v>
      </c>
      <c r="O397">
        <f ca="1">IF(AND(ISNUMBER($O$794),$B$427=1),$O$794,HLOOKUP(INDIRECT(ADDRESS(2,COLUMN())),OFFSET($AM$2,0,0,ROW()-1,33),ROW()-1,FALSE))</f>
        <v>1.638381318</v>
      </c>
      <c r="P397">
        <f ca="1">IF(AND(ISNUMBER($P$794),$B$427=1),$P$794,HLOOKUP(INDIRECT(ADDRESS(2,COLUMN())),OFFSET($AM$2,0,0,ROW()-1,33),ROW()-1,FALSE))</f>
        <v>1.8016328500000001</v>
      </c>
      <c r="Q397">
        <f ca="1">IF(AND(ISNUMBER($Q$794),$B$427=1),$Q$794,HLOOKUP(INDIRECT(ADDRESS(2,COLUMN())),OFFSET($AM$2,0,0,ROW()-1,33),ROW()-1,FALSE))</f>
        <v>1.7247414889999999</v>
      </c>
      <c r="R397">
        <f ca="1">IF(AND(ISNUMBER($R$794),$B$427=1),$R$794,HLOOKUP(INDIRECT(ADDRESS(2,COLUMN())),OFFSET($AM$2,0,0,ROW()-1,33),ROW()-1,FALSE))</f>
        <v>0.116105533</v>
      </c>
      <c r="S397">
        <f ca="1">IF(AND(ISNUMBER($S$794),$B$427=1),$S$794,HLOOKUP(INDIRECT(ADDRESS(2,COLUMN())),OFFSET($AM$2,0,0,ROW()-1,33),ROW()-1,FALSE))</f>
        <v>0.14337407199999999</v>
      </c>
      <c r="T397">
        <f ca="1">IF(AND(ISNUMBER($T$794),$B$427=1),$T$794,HLOOKUP(INDIRECT(ADDRESS(2,COLUMN())),OFFSET($AM$2,0,0,ROW()-1,33),ROW()-1,FALSE))</f>
        <v>4.4761429999999998E-2</v>
      </c>
      <c r="U397" t="str">
        <f ca="1">IF(AND(ISNUMBER($U$794),$B$427=1),$U$794,HLOOKUP(INDIRECT(ADDRESS(2,COLUMN())),OFFSET($AM$2,0,0,ROW()-1,33),ROW()-1,FALSE))</f>
        <v/>
      </c>
      <c r="V397" t="str">
        <f ca="1">IF(AND(ISNUMBER($V$794),$B$427=1),$V$794,HLOOKUP(INDIRECT(ADDRESS(2,COLUMN())),OFFSET($AM$2,0,0,ROW()-1,33),ROW()-1,FALSE))</f>
        <v/>
      </c>
      <c r="W397" t="str">
        <f ca="1">IF(AND(ISNUMBER($W$794),$B$427=1),$W$794,HLOOKUP(INDIRECT(ADDRESS(2,COLUMN())),OFFSET($AM$2,0,0,ROW()-1,33),ROW()-1,FALSE))</f>
        <v/>
      </c>
      <c r="X397" t="str">
        <f ca="1">IF(AND(ISNUMBER($X$794),$B$427=1),$X$794,HLOOKUP(INDIRECT(ADDRESS(2,COLUMN())),OFFSET($AM$2,0,0,ROW()-1,33),ROW()-1,FALSE))</f>
        <v/>
      </c>
      <c r="Y397" t="str">
        <f ca="1">IF(AND(ISNUMBER($Y$794),$B$427=1),$Y$794,HLOOKUP(INDIRECT(ADDRESS(2,COLUMN())),OFFSET($AM$2,0,0,ROW()-1,33),ROW()-1,FALSE))</f>
        <v/>
      </c>
      <c r="Z397" t="str">
        <f ca="1">IF(AND(ISNUMBER($Z$794),$B$427=1),$Z$794,HLOOKUP(INDIRECT(ADDRESS(2,COLUMN())),OFFSET($AM$2,0,0,ROW()-1,33),ROW()-1,FALSE))</f>
        <v/>
      </c>
      <c r="AA397" t="str">
        <f ca="1">IF(AND(ISNUMBER($AA$794),$B$427=1),$AA$794,HLOOKUP(INDIRECT(ADDRESS(2,COLUMN())),OFFSET($AM$2,0,0,ROW()-1,33),ROW()-1,FALSE))</f>
        <v/>
      </c>
      <c r="AB397" t="str">
        <f ca="1">IF(AND(ISNUMBER($AB$794),$B$427=1),$AB$794,HLOOKUP(INDIRECT(ADDRESS(2,COLUMN())),OFFSET($AM$2,0,0,ROW()-1,33),ROW()-1,FALSE))</f>
        <v/>
      </c>
      <c r="AC397" t="str">
        <f ca="1">IF(AND(ISNUMBER($AC$794),$B$427=1),$AC$794,HLOOKUP(INDIRECT(ADDRESS(2,COLUMN())),OFFSET($AM$2,0,0,ROW()-1,33),ROW()-1,FALSE))</f>
        <v/>
      </c>
      <c r="AD397" t="str">
        <f ca="1">IF(AND(ISNUMBER($AD$794),$B$427=1),$AD$794,HLOOKUP(INDIRECT(ADDRESS(2,COLUMN())),OFFSET($AM$2,0,0,ROW()-1,33),ROW()-1,FALSE))</f>
        <v/>
      </c>
      <c r="AE397" t="str">
        <f ca="1">IF(AND(ISNUMBER($AE$794),$B$427=1),$AE$794,HLOOKUP(INDIRECT(ADDRESS(2,COLUMN())),OFFSET($AM$2,0,0,ROW()-1,33),ROW()-1,FALSE))</f>
        <v/>
      </c>
      <c r="AF397" t="str">
        <f ca="1">IF(AND(ISNUMBER($AF$794),$B$427=1),$AF$794,HLOOKUP(INDIRECT(ADDRESS(2,COLUMN())),OFFSET($AM$2,0,0,ROW()-1,33),ROW()-1,FALSE))</f>
        <v/>
      </c>
      <c r="AG397" t="str">
        <f ca="1">IF(AND(ISNUMBER($AG$794),$B$427=1),$AG$794,HLOOKUP(INDIRECT(ADDRESS(2,COLUMN())),OFFSET($AM$2,0,0,ROW()-1,33),ROW()-1,FALSE))</f>
        <v/>
      </c>
      <c r="AH397" t="str">
        <f ca="1">IF(AND(ISNUMBER($AH$794),$B$427=1),$AH$794,HLOOKUP(INDIRECT(ADDRESS(2,COLUMN())),OFFSET($AM$2,0,0,ROW()-1,33),ROW()-1,FALSE))</f>
        <v/>
      </c>
      <c r="AI397" t="str">
        <f ca="1">IF(AND(ISNUMBER($AI$794),$B$427=1),$AI$794,HLOOKUP(INDIRECT(ADDRESS(2,COLUMN())),OFFSET($AM$2,0,0,ROW()-1,33),ROW()-1,FALSE))</f>
        <v/>
      </c>
      <c r="AJ397" t="str">
        <f ca="1">IF(AND(ISNUMBER($AJ$794),$B$427=1),$AJ$794,HLOOKUP(INDIRECT(ADDRESS(2,COLUMN())),OFFSET($AM$2,0,0,ROW()-1,33),ROW()-1,FALSE))</f>
        <v/>
      </c>
      <c r="AK397" t="str">
        <f ca="1">IF(AND(ISNUMBER($AK$794),$B$427=1),$AK$794,HLOOKUP(INDIRECT(ADDRESS(2,COLUMN())),OFFSET($AM$2,0,0,ROW()-1,33),ROW()-1,FALSE))</f>
        <v/>
      </c>
      <c r="AL397" t="str">
        <f ca="1">IF(AND(ISNUMBER($AL$794),$B$427=1),$AL$794,HLOOKUP(INDIRECT(ADDRESS(2,COLUMN())),OFFSET($AM$2,0,0,ROW()-1,33),ROW()-1,FALSE))</f>
        <v/>
      </c>
      <c r="AM397" t="str">
        <f>""</f>
        <v/>
      </c>
      <c r="AN397">
        <f>0.123686821</f>
        <v>0.123686821</v>
      </c>
      <c r="AO397">
        <f>0.235423485</f>
        <v>0.23542348499999999</v>
      </c>
      <c r="AP397">
        <f>2.683511281</f>
        <v>2.6835112809999999</v>
      </c>
      <c r="AQ397">
        <f>1.177466276</f>
        <v>1.1774662760000001</v>
      </c>
      <c r="AR397">
        <f>0.77487337</f>
        <v>0.77487337000000001</v>
      </c>
      <c r="AS397">
        <f>0.917913236</f>
        <v>0.91791323599999997</v>
      </c>
      <c r="AT397">
        <f>1.150672541</f>
        <v>1.150672541</v>
      </c>
      <c r="AU397">
        <f>1.65295075</f>
        <v>1.65295075</v>
      </c>
      <c r="AV397">
        <f>1.638381318</f>
        <v>1.638381318</v>
      </c>
      <c r="AW397">
        <f>1.80163285</f>
        <v>1.8016328500000001</v>
      </c>
      <c r="AX397">
        <f>1.724741489</f>
        <v>1.7247414889999999</v>
      </c>
      <c r="AY397">
        <f>0.116105533</f>
        <v>0.116105533</v>
      </c>
      <c r="AZ397">
        <f>0.143374072</f>
        <v>0.14337407199999999</v>
      </c>
      <c r="BA397">
        <f>0.04476143</f>
        <v>4.4761429999999998E-2</v>
      </c>
      <c r="BB397" t="str">
        <f>""</f>
        <v/>
      </c>
      <c r="BC397" t="str">
        <f>""</f>
        <v/>
      </c>
      <c r="BD397" t="str">
        <f>""</f>
        <v/>
      </c>
      <c r="BE397" t="str">
        <f>""</f>
        <v/>
      </c>
      <c r="BF397" t="str">
        <f>""</f>
        <v/>
      </c>
      <c r="BG397" t="str">
        <f>""</f>
        <v/>
      </c>
      <c r="BH397" t="str">
        <f>""</f>
        <v/>
      </c>
      <c r="BI397" t="str">
        <f>""</f>
        <v/>
      </c>
      <c r="BJ397" t="str">
        <f>""</f>
        <v/>
      </c>
      <c r="BK397" t="str">
        <f>""</f>
        <v/>
      </c>
      <c r="BL397" t="str">
        <f>""</f>
        <v/>
      </c>
      <c r="BM397" t="str">
        <f>""</f>
        <v/>
      </c>
      <c r="BN397" t="str">
        <f>""</f>
        <v/>
      </c>
      <c r="BO397" t="str">
        <f>""</f>
        <v/>
      </c>
      <c r="BP397" t="str">
        <f>""</f>
        <v/>
      </c>
      <c r="BQ397" t="str">
        <f>""</f>
        <v/>
      </c>
      <c r="BR397" t="str">
        <f>""</f>
        <v/>
      </c>
      <c r="BS397" t="str">
        <f>""</f>
        <v/>
      </c>
    </row>
    <row r="398" spans="1:71" x14ac:dyDescent="0.25">
      <c r="A398" t="str">
        <f>"        Fifth Third Bancorp"</f>
        <v xml:space="preserve">        Fifth Third Bancorp</v>
      </c>
      <c r="B398" t="str">
        <f>"FITB US Equity"</f>
        <v>FITB US Equity</v>
      </c>
      <c r="C398" t="str">
        <f t="shared" si="54"/>
        <v>F0128</v>
      </c>
      <c r="D398" t="str">
        <f t="shared" si="55"/>
        <v>FED_OTH_NONCONS_LNS_%_TOT_LNS_LS</v>
      </c>
      <c r="E398" t="str">
        <f t="shared" si="56"/>
        <v>Dynamic</v>
      </c>
      <c r="F398">
        <f ca="1">IF(AND(ISNUMBER($F$795),$B$427=1),$F$795,HLOOKUP(INDIRECT(ADDRESS(2,COLUMN())),OFFSET($AM$2,0,0,ROW()-1,33),ROW()-1,FALSE))</f>
        <v>1.6075595149999999</v>
      </c>
      <c r="G398">
        <f ca="1">IF(AND(ISNUMBER($G$795),$B$427=1),$G$795,HLOOKUP(INDIRECT(ADDRESS(2,COLUMN())),OFFSET($AM$2,0,0,ROW()-1,33),ROW()-1,FALSE))</f>
        <v>2.1885521890000001</v>
      </c>
      <c r="H398">
        <f ca="1">IF(AND(ISNUMBER($H$795),$B$427=1),$H$795,HLOOKUP(INDIRECT(ADDRESS(2,COLUMN())),OFFSET($AM$2,0,0,ROW()-1,33),ROW()-1,FALSE))</f>
        <v>2.2903233549999999</v>
      </c>
      <c r="I398">
        <f ca="1">IF(AND(ISNUMBER($I$795),$B$427=1),$I$795,HLOOKUP(INDIRECT(ADDRESS(2,COLUMN())),OFFSET($AM$2,0,0,ROW()-1,33),ROW()-1,FALSE))</f>
        <v>2.4226210629999998</v>
      </c>
      <c r="J398">
        <f ca="1">IF(AND(ISNUMBER($J$795),$B$427=1),$J$795,HLOOKUP(INDIRECT(ADDRESS(2,COLUMN())),OFFSET($AM$2,0,0,ROW()-1,33),ROW()-1,FALSE))</f>
        <v>3.104458792</v>
      </c>
      <c r="K398">
        <f ca="1">IF(AND(ISNUMBER($K$795),$B$427=1),$K$795,HLOOKUP(INDIRECT(ADDRESS(2,COLUMN())),OFFSET($AM$2,0,0,ROW()-1,33),ROW()-1,FALSE))</f>
        <v>3.0493851200000002</v>
      </c>
      <c r="L398">
        <f ca="1">IF(AND(ISNUMBER($L$795),$B$427=1),$L$795,HLOOKUP(INDIRECT(ADDRESS(2,COLUMN())),OFFSET($AM$2,0,0,ROW()-1,33),ROW()-1,FALSE))</f>
        <v>3.2355125830000002</v>
      </c>
      <c r="M398">
        <f ca="1">IF(AND(ISNUMBER($M$795),$B$427=1),$M$795,HLOOKUP(INDIRECT(ADDRESS(2,COLUMN())),OFFSET($AM$2,0,0,ROW()-1,33),ROW()-1,FALSE))</f>
        <v>3.5683061760000001</v>
      </c>
      <c r="N398">
        <f ca="1">IF(AND(ISNUMBER($N$795),$B$427=1),$N$795,HLOOKUP(INDIRECT(ADDRESS(2,COLUMN())),OFFSET($AM$2,0,0,ROW()-1,33),ROW()-1,FALSE))</f>
        <v>3.4167469050000001</v>
      </c>
      <c r="O398">
        <f ca="1">IF(AND(ISNUMBER($O$795),$B$427=1),$O$795,HLOOKUP(INDIRECT(ADDRESS(2,COLUMN())),OFFSET($AM$2,0,0,ROW()-1,33),ROW()-1,FALSE))</f>
        <v>3.4659480560000002</v>
      </c>
      <c r="P398">
        <f ca="1">IF(AND(ISNUMBER($P$795),$B$427=1),$P$795,HLOOKUP(INDIRECT(ADDRESS(2,COLUMN())),OFFSET($AM$2,0,0,ROW()-1,33),ROW()-1,FALSE))</f>
        <v>3.2913082629999999</v>
      </c>
      <c r="Q398">
        <f ca="1">IF(AND(ISNUMBER($Q$795),$B$427=1),$Q$795,HLOOKUP(INDIRECT(ADDRESS(2,COLUMN())),OFFSET($AM$2,0,0,ROW()-1,33),ROW()-1,FALSE))</f>
        <v>2.7825608100000001</v>
      </c>
      <c r="R398">
        <f ca="1">IF(AND(ISNUMBER($R$795),$B$427=1),$R$795,HLOOKUP(INDIRECT(ADDRESS(2,COLUMN())),OFFSET($AM$2,0,0,ROW()-1,33),ROW()-1,FALSE))</f>
        <v>2.2660492739999998</v>
      </c>
      <c r="S398">
        <f ca="1">IF(AND(ISNUMBER($S$795),$B$427=1),$S$795,HLOOKUP(INDIRECT(ADDRESS(2,COLUMN())),OFFSET($AM$2,0,0,ROW()-1,33),ROW()-1,FALSE))</f>
        <v>1.918510387</v>
      </c>
      <c r="T398">
        <f ca="1">IF(AND(ISNUMBER($T$795),$B$427=1),$T$795,HLOOKUP(INDIRECT(ADDRESS(2,COLUMN())),OFFSET($AM$2,0,0,ROW()-1,33),ROW()-1,FALSE))</f>
        <v>1.628065621</v>
      </c>
      <c r="U398" t="str">
        <f ca="1">IF(AND(ISNUMBER($U$795),$B$427=1),$U$795,HLOOKUP(INDIRECT(ADDRESS(2,COLUMN())),OFFSET($AM$2,0,0,ROW()-1,33),ROW()-1,FALSE))</f>
        <v/>
      </c>
      <c r="V398" t="str">
        <f ca="1">IF(AND(ISNUMBER($V$795),$B$427=1),$V$795,HLOOKUP(INDIRECT(ADDRESS(2,COLUMN())),OFFSET($AM$2,0,0,ROW()-1,33),ROW()-1,FALSE))</f>
        <v/>
      </c>
      <c r="W398" t="str">
        <f ca="1">IF(AND(ISNUMBER($W$795),$B$427=1),$W$795,HLOOKUP(INDIRECT(ADDRESS(2,COLUMN())),OFFSET($AM$2,0,0,ROW()-1,33),ROW()-1,FALSE))</f>
        <v/>
      </c>
      <c r="X398" t="str">
        <f ca="1">IF(AND(ISNUMBER($X$795),$B$427=1),$X$795,HLOOKUP(INDIRECT(ADDRESS(2,COLUMN())),OFFSET($AM$2,0,0,ROW()-1,33),ROW()-1,FALSE))</f>
        <v/>
      </c>
      <c r="Y398" t="str">
        <f ca="1">IF(AND(ISNUMBER($Y$795),$B$427=1),$Y$795,HLOOKUP(INDIRECT(ADDRESS(2,COLUMN())),OFFSET($AM$2,0,0,ROW()-1,33),ROW()-1,FALSE))</f>
        <v/>
      </c>
      <c r="Z398" t="str">
        <f ca="1">IF(AND(ISNUMBER($Z$795),$B$427=1),$Z$795,HLOOKUP(INDIRECT(ADDRESS(2,COLUMN())),OFFSET($AM$2,0,0,ROW()-1,33),ROW()-1,FALSE))</f>
        <v/>
      </c>
      <c r="AA398" t="str">
        <f ca="1">IF(AND(ISNUMBER($AA$795),$B$427=1),$AA$795,HLOOKUP(INDIRECT(ADDRESS(2,COLUMN())),OFFSET($AM$2,0,0,ROW()-1,33),ROW()-1,FALSE))</f>
        <v/>
      </c>
      <c r="AB398" t="str">
        <f ca="1">IF(AND(ISNUMBER($AB$795),$B$427=1),$AB$795,HLOOKUP(INDIRECT(ADDRESS(2,COLUMN())),OFFSET($AM$2,0,0,ROW()-1,33),ROW()-1,FALSE))</f>
        <v/>
      </c>
      <c r="AC398" t="str">
        <f ca="1">IF(AND(ISNUMBER($AC$795),$B$427=1),$AC$795,HLOOKUP(INDIRECT(ADDRESS(2,COLUMN())),OFFSET($AM$2,0,0,ROW()-1,33),ROW()-1,FALSE))</f>
        <v/>
      </c>
      <c r="AD398" t="str">
        <f ca="1">IF(AND(ISNUMBER($AD$795),$B$427=1),$AD$795,HLOOKUP(INDIRECT(ADDRESS(2,COLUMN())),OFFSET($AM$2,0,0,ROW()-1,33),ROW()-1,FALSE))</f>
        <v/>
      </c>
      <c r="AE398" t="str">
        <f ca="1">IF(AND(ISNUMBER($AE$795),$B$427=1),$AE$795,HLOOKUP(INDIRECT(ADDRESS(2,COLUMN())),OFFSET($AM$2,0,0,ROW()-1,33),ROW()-1,FALSE))</f>
        <v/>
      </c>
      <c r="AF398" t="str">
        <f ca="1">IF(AND(ISNUMBER($AF$795),$B$427=1),$AF$795,HLOOKUP(INDIRECT(ADDRESS(2,COLUMN())),OFFSET($AM$2,0,0,ROW()-1,33),ROW()-1,FALSE))</f>
        <v/>
      </c>
      <c r="AG398" t="str">
        <f ca="1">IF(AND(ISNUMBER($AG$795),$B$427=1),$AG$795,HLOOKUP(INDIRECT(ADDRESS(2,COLUMN())),OFFSET($AM$2,0,0,ROW()-1,33),ROW()-1,FALSE))</f>
        <v/>
      </c>
      <c r="AH398" t="str">
        <f ca="1">IF(AND(ISNUMBER($AH$795),$B$427=1),$AH$795,HLOOKUP(INDIRECT(ADDRESS(2,COLUMN())),OFFSET($AM$2,0,0,ROW()-1,33),ROW()-1,FALSE))</f>
        <v/>
      </c>
      <c r="AI398" t="str">
        <f ca="1">IF(AND(ISNUMBER($AI$795),$B$427=1),$AI$795,HLOOKUP(INDIRECT(ADDRESS(2,COLUMN())),OFFSET($AM$2,0,0,ROW()-1,33),ROW()-1,FALSE))</f>
        <v/>
      </c>
      <c r="AJ398" t="str">
        <f ca="1">IF(AND(ISNUMBER($AJ$795),$B$427=1),$AJ$795,HLOOKUP(INDIRECT(ADDRESS(2,COLUMN())),OFFSET($AM$2,0,0,ROW()-1,33),ROW()-1,FALSE))</f>
        <v/>
      </c>
      <c r="AK398" t="str">
        <f ca="1">IF(AND(ISNUMBER($AK$795),$B$427=1),$AK$795,HLOOKUP(INDIRECT(ADDRESS(2,COLUMN())),OFFSET($AM$2,0,0,ROW()-1,33),ROW()-1,FALSE))</f>
        <v/>
      </c>
      <c r="AL398" t="str">
        <f ca="1">IF(AND(ISNUMBER($AL$795),$B$427=1),$AL$795,HLOOKUP(INDIRECT(ADDRESS(2,COLUMN())),OFFSET($AM$2,0,0,ROW()-1,33),ROW()-1,FALSE))</f>
        <v/>
      </c>
      <c r="AM398">
        <f>1.607559515</f>
        <v>1.6075595149999999</v>
      </c>
      <c r="AN398">
        <f>2.188552189</f>
        <v>2.1885521890000001</v>
      </c>
      <c r="AO398">
        <f>2.290323355</f>
        <v>2.2903233549999999</v>
      </c>
      <c r="AP398">
        <f>2.422621063</f>
        <v>2.4226210629999998</v>
      </c>
      <c r="AQ398">
        <f>3.104458792</f>
        <v>3.104458792</v>
      </c>
      <c r="AR398">
        <f>3.04938512</f>
        <v>3.0493851200000002</v>
      </c>
      <c r="AS398">
        <f>3.235512583</f>
        <v>3.2355125830000002</v>
      </c>
      <c r="AT398">
        <f>3.568306176</f>
        <v>3.5683061760000001</v>
      </c>
      <c r="AU398">
        <f>3.416746905</f>
        <v>3.4167469050000001</v>
      </c>
      <c r="AV398">
        <f>3.465948056</f>
        <v>3.4659480560000002</v>
      </c>
      <c r="AW398">
        <f>3.291308263</f>
        <v>3.2913082629999999</v>
      </c>
      <c r="AX398">
        <f>2.78256081</f>
        <v>2.7825608100000001</v>
      </c>
      <c r="AY398">
        <f>2.266049274</f>
        <v>2.2660492739999998</v>
      </c>
      <c r="AZ398">
        <f>1.918510387</f>
        <v>1.918510387</v>
      </c>
      <c r="BA398">
        <f>1.628065621</f>
        <v>1.628065621</v>
      </c>
      <c r="BB398" t="str">
        <f>""</f>
        <v/>
      </c>
      <c r="BC398" t="str">
        <f>""</f>
        <v/>
      </c>
      <c r="BD398" t="str">
        <f>""</f>
        <v/>
      </c>
      <c r="BE398" t="str">
        <f>""</f>
        <v/>
      </c>
      <c r="BF398" t="str">
        <f>""</f>
        <v/>
      </c>
      <c r="BG398" t="str">
        <f>""</f>
        <v/>
      </c>
      <c r="BH398" t="str">
        <f>""</f>
        <v/>
      </c>
      <c r="BI398" t="str">
        <f>""</f>
        <v/>
      </c>
      <c r="BJ398" t="str">
        <f>""</f>
        <v/>
      </c>
      <c r="BK398" t="str">
        <f>""</f>
        <v/>
      </c>
      <c r="BL398" t="str">
        <f>""</f>
        <v/>
      </c>
      <c r="BM398" t="str">
        <f>""</f>
        <v/>
      </c>
      <c r="BN398" t="str">
        <f>""</f>
        <v/>
      </c>
      <c r="BO398" t="str">
        <f>""</f>
        <v/>
      </c>
      <c r="BP398" t="str">
        <f>""</f>
        <v/>
      </c>
      <c r="BQ398" t="str">
        <f>""</f>
        <v/>
      </c>
      <c r="BR398" t="str">
        <f>""</f>
        <v/>
      </c>
      <c r="BS398" t="str">
        <f>""</f>
        <v/>
      </c>
    </row>
    <row r="399" spans="1:71" x14ac:dyDescent="0.25">
      <c r="A399" t="str">
        <f>"        First Citizens BancShares Inc/"</f>
        <v xml:space="preserve">        First Citizens BancShares Inc/</v>
      </c>
      <c r="B399" t="str">
        <f>"FCNCA US Equity"</f>
        <v>FCNCA US Equity</v>
      </c>
      <c r="C399" t="str">
        <f t="shared" si="54"/>
        <v>F0128</v>
      </c>
      <c r="D399" t="str">
        <f t="shared" si="55"/>
        <v>FED_OTH_NONCONS_LNS_%_TOT_LNS_LS</v>
      </c>
      <c r="E399" t="str">
        <f t="shared" si="56"/>
        <v>Dynamic</v>
      </c>
      <c r="F399">
        <f ca="1">IF(AND(ISNUMBER($F$796),$B$427=1),$F$796,HLOOKUP(INDIRECT(ADDRESS(2,COLUMN())),OFFSET($AM$2,0,0,ROW()-1,33),ROW()-1,FALSE))</f>
        <v>3.2251626839999998</v>
      </c>
      <c r="G399">
        <f ca="1">IF(AND(ISNUMBER($G$796),$B$427=1),$G$796,HLOOKUP(INDIRECT(ADDRESS(2,COLUMN())),OFFSET($AM$2,0,0,ROW()-1,33),ROW()-1,FALSE))</f>
        <v>3.1163853910000001</v>
      </c>
      <c r="H399">
        <f ca="1">IF(AND(ISNUMBER($H$796),$B$427=1),$H$796,HLOOKUP(INDIRECT(ADDRESS(2,COLUMN())),OFFSET($AM$2,0,0,ROW()-1,33),ROW()-1,FALSE))</f>
        <v>2.8454380389999998</v>
      </c>
      <c r="I399">
        <f ca="1">IF(AND(ISNUMBER($I$796),$B$427=1),$I$796,HLOOKUP(INDIRECT(ADDRESS(2,COLUMN())),OFFSET($AM$2,0,0,ROW()-1,33),ROW()-1,FALSE))</f>
        <v>2.3498762540000002</v>
      </c>
      <c r="J399">
        <f ca="1">IF(AND(ISNUMBER($J$796),$B$427=1),$J$796,HLOOKUP(INDIRECT(ADDRESS(2,COLUMN())),OFFSET($AM$2,0,0,ROW()-1,33),ROW()-1,FALSE))</f>
        <v>2.0892758389999999</v>
      </c>
      <c r="K399">
        <f ca="1">IF(AND(ISNUMBER($K$796),$B$427=1),$K$796,HLOOKUP(INDIRECT(ADDRESS(2,COLUMN())),OFFSET($AM$2,0,0,ROW()-1,33),ROW()-1,FALSE))</f>
        <v>2.1251139710000002</v>
      </c>
      <c r="L399">
        <f ca="1">IF(AND(ISNUMBER($L$796),$B$427=1),$L$796,HLOOKUP(INDIRECT(ADDRESS(2,COLUMN())),OFFSET($AM$2,0,0,ROW()-1,33),ROW()-1,FALSE))</f>
        <v>2.319367513</v>
      </c>
      <c r="M399">
        <f ca="1">IF(AND(ISNUMBER($M$796),$B$427=1),$M$796,HLOOKUP(INDIRECT(ADDRESS(2,COLUMN())),OFFSET($AM$2,0,0,ROW()-1,33),ROW()-1,FALSE))</f>
        <v>2.5005746790000001</v>
      </c>
      <c r="N399">
        <f ca="1">IF(AND(ISNUMBER($N$796),$B$427=1),$N$796,HLOOKUP(INDIRECT(ADDRESS(2,COLUMN())),OFFSET($AM$2,0,0,ROW()-1,33),ROW()-1,FALSE))</f>
        <v>2.9232617099999998</v>
      </c>
      <c r="O399">
        <f ca="1">IF(AND(ISNUMBER($O$796),$B$427=1),$O$796,HLOOKUP(INDIRECT(ADDRESS(2,COLUMN())),OFFSET($AM$2,0,0,ROW()-1,33),ROW()-1,FALSE))</f>
        <v>3.038332086</v>
      </c>
      <c r="P399">
        <f ca="1">IF(AND(ISNUMBER($P$796),$B$427=1),$P$796,HLOOKUP(INDIRECT(ADDRESS(2,COLUMN())),OFFSET($AM$2,0,0,ROW()-1,33),ROW()-1,FALSE))</f>
        <v>3.3218746440000002</v>
      </c>
      <c r="Q399">
        <f ca="1">IF(AND(ISNUMBER($Q$796),$B$427=1),$Q$796,HLOOKUP(INDIRECT(ADDRESS(2,COLUMN())),OFFSET($AM$2,0,0,ROW()-1,33),ROW()-1,FALSE))</f>
        <v>1.7661943</v>
      </c>
      <c r="R399">
        <f ca="1">IF(AND(ISNUMBER($R$796),$B$427=1),$R$796,HLOOKUP(INDIRECT(ADDRESS(2,COLUMN())),OFFSET($AM$2,0,0,ROW()-1,33),ROW()-1,FALSE))</f>
        <v>1.034436455</v>
      </c>
      <c r="S399">
        <f ca="1">IF(AND(ISNUMBER($S$796),$B$427=1),$S$796,HLOOKUP(INDIRECT(ADDRESS(2,COLUMN())),OFFSET($AM$2,0,0,ROW()-1,33),ROW()-1,FALSE))</f>
        <v>1.177451824</v>
      </c>
      <c r="T399">
        <f ca="1">IF(AND(ISNUMBER($T$796),$B$427=1),$T$796,HLOOKUP(INDIRECT(ADDRESS(2,COLUMN())),OFFSET($AM$2,0,0,ROW()-1,33),ROW()-1,FALSE))</f>
        <v>1.368067567</v>
      </c>
      <c r="U399" t="str">
        <f ca="1">IF(AND(ISNUMBER($U$796),$B$427=1),$U$796,HLOOKUP(INDIRECT(ADDRESS(2,COLUMN())),OFFSET($AM$2,0,0,ROW()-1,33),ROW()-1,FALSE))</f>
        <v/>
      </c>
      <c r="V399" t="str">
        <f ca="1">IF(AND(ISNUMBER($V$796),$B$427=1),$V$796,HLOOKUP(INDIRECT(ADDRESS(2,COLUMN())),OFFSET($AM$2,0,0,ROW()-1,33),ROW()-1,FALSE))</f>
        <v/>
      </c>
      <c r="W399" t="str">
        <f ca="1">IF(AND(ISNUMBER($W$796),$B$427=1),$W$796,HLOOKUP(INDIRECT(ADDRESS(2,COLUMN())),OFFSET($AM$2,0,0,ROW()-1,33),ROW()-1,FALSE))</f>
        <v/>
      </c>
      <c r="X399" t="str">
        <f ca="1">IF(AND(ISNUMBER($X$796),$B$427=1),$X$796,HLOOKUP(INDIRECT(ADDRESS(2,COLUMN())),OFFSET($AM$2,0,0,ROW()-1,33),ROW()-1,FALSE))</f>
        <v/>
      </c>
      <c r="Y399" t="str">
        <f ca="1">IF(AND(ISNUMBER($Y$796),$B$427=1),$Y$796,HLOOKUP(INDIRECT(ADDRESS(2,COLUMN())),OFFSET($AM$2,0,0,ROW()-1,33),ROW()-1,FALSE))</f>
        <v/>
      </c>
      <c r="Z399" t="str">
        <f ca="1">IF(AND(ISNUMBER($Z$796),$B$427=1),$Z$796,HLOOKUP(INDIRECT(ADDRESS(2,COLUMN())),OFFSET($AM$2,0,0,ROW()-1,33),ROW()-1,FALSE))</f>
        <v/>
      </c>
      <c r="AA399" t="str">
        <f ca="1">IF(AND(ISNUMBER($AA$796),$B$427=1),$AA$796,HLOOKUP(INDIRECT(ADDRESS(2,COLUMN())),OFFSET($AM$2,0,0,ROW()-1,33),ROW()-1,FALSE))</f>
        <v/>
      </c>
      <c r="AB399" t="str">
        <f ca="1">IF(AND(ISNUMBER($AB$796),$B$427=1),$AB$796,HLOOKUP(INDIRECT(ADDRESS(2,COLUMN())),OFFSET($AM$2,0,0,ROW()-1,33),ROW()-1,FALSE))</f>
        <v/>
      </c>
      <c r="AC399" t="str">
        <f ca="1">IF(AND(ISNUMBER($AC$796),$B$427=1),$AC$796,HLOOKUP(INDIRECT(ADDRESS(2,COLUMN())),OFFSET($AM$2,0,0,ROW()-1,33),ROW()-1,FALSE))</f>
        <v/>
      </c>
      <c r="AD399" t="str">
        <f ca="1">IF(AND(ISNUMBER($AD$796),$B$427=1),$AD$796,HLOOKUP(INDIRECT(ADDRESS(2,COLUMN())),OFFSET($AM$2,0,0,ROW()-1,33),ROW()-1,FALSE))</f>
        <v/>
      </c>
      <c r="AE399" t="str">
        <f ca="1">IF(AND(ISNUMBER($AE$796),$B$427=1),$AE$796,HLOOKUP(INDIRECT(ADDRESS(2,COLUMN())),OFFSET($AM$2,0,0,ROW()-1,33),ROW()-1,FALSE))</f>
        <v/>
      </c>
      <c r="AF399" t="str">
        <f ca="1">IF(AND(ISNUMBER($AF$796),$B$427=1),$AF$796,HLOOKUP(INDIRECT(ADDRESS(2,COLUMN())),OFFSET($AM$2,0,0,ROW()-1,33),ROW()-1,FALSE))</f>
        <v/>
      </c>
      <c r="AG399" t="str">
        <f ca="1">IF(AND(ISNUMBER($AG$796),$B$427=1),$AG$796,HLOOKUP(INDIRECT(ADDRESS(2,COLUMN())),OFFSET($AM$2,0,0,ROW()-1,33),ROW()-1,FALSE))</f>
        <v/>
      </c>
      <c r="AH399" t="str">
        <f ca="1">IF(AND(ISNUMBER($AH$796),$B$427=1),$AH$796,HLOOKUP(INDIRECT(ADDRESS(2,COLUMN())),OFFSET($AM$2,0,0,ROW()-1,33),ROW()-1,FALSE))</f>
        <v/>
      </c>
      <c r="AI399" t="str">
        <f ca="1">IF(AND(ISNUMBER($AI$796),$B$427=1),$AI$796,HLOOKUP(INDIRECT(ADDRESS(2,COLUMN())),OFFSET($AM$2,0,0,ROW()-1,33),ROW()-1,FALSE))</f>
        <v/>
      </c>
      <c r="AJ399" t="str">
        <f ca="1">IF(AND(ISNUMBER($AJ$796),$B$427=1),$AJ$796,HLOOKUP(INDIRECT(ADDRESS(2,COLUMN())),OFFSET($AM$2,0,0,ROW()-1,33),ROW()-1,FALSE))</f>
        <v/>
      </c>
      <c r="AK399" t="str">
        <f ca="1">IF(AND(ISNUMBER($AK$796),$B$427=1),$AK$796,HLOOKUP(INDIRECT(ADDRESS(2,COLUMN())),OFFSET($AM$2,0,0,ROW()-1,33),ROW()-1,FALSE))</f>
        <v/>
      </c>
      <c r="AL399" t="str">
        <f ca="1">IF(AND(ISNUMBER($AL$796),$B$427=1),$AL$796,HLOOKUP(INDIRECT(ADDRESS(2,COLUMN())),OFFSET($AM$2,0,0,ROW()-1,33),ROW()-1,FALSE))</f>
        <v/>
      </c>
      <c r="AM399">
        <f>3.225162684</f>
        <v>3.2251626839999998</v>
      </c>
      <c r="AN399">
        <f>3.116385391</f>
        <v>3.1163853910000001</v>
      </c>
      <c r="AO399">
        <f>2.845438039</f>
        <v>2.8454380389999998</v>
      </c>
      <c r="AP399">
        <f>2.349876254</f>
        <v>2.3498762540000002</v>
      </c>
      <c r="AQ399">
        <f>2.089275839</f>
        <v>2.0892758389999999</v>
      </c>
      <c r="AR399">
        <f>2.125113971</f>
        <v>2.1251139710000002</v>
      </c>
      <c r="AS399">
        <f>2.319367513</f>
        <v>2.319367513</v>
      </c>
      <c r="AT399">
        <f>2.500574679</f>
        <v>2.5005746790000001</v>
      </c>
      <c r="AU399">
        <f>2.92326171</f>
        <v>2.9232617099999998</v>
      </c>
      <c r="AV399">
        <f>3.038332086</f>
        <v>3.038332086</v>
      </c>
      <c r="AW399">
        <f>3.321874644</f>
        <v>3.3218746440000002</v>
      </c>
      <c r="AX399">
        <f>1.7661943</f>
        <v>1.7661943</v>
      </c>
      <c r="AY399">
        <f>1.034436455</f>
        <v>1.034436455</v>
      </c>
      <c r="AZ399">
        <f>1.177451824</f>
        <v>1.177451824</v>
      </c>
      <c r="BA399">
        <f>1.368067567</f>
        <v>1.368067567</v>
      </c>
      <c r="BB399" t="str">
        <f>""</f>
        <v/>
      </c>
      <c r="BC399" t="str">
        <f>""</f>
        <v/>
      </c>
      <c r="BD399" t="str">
        <f>""</f>
        <v/>
      </c>
      <c r="BE399" t="str">
        <f>""</f>
        <v/>
      </c>
      <c r="BF399" t="str">
        <f>""</f>
        <v/>
      </c>
      <c r="BG399" t="str">
        <f>""</f>
        <v/>
      </c>
      <c r="BH399" t="str">
        <f>""</f>
        <v/>
      </c>
      <c r="BI399" t="str">
        <f>""</f>
        <v/>
      </c>
      <c r="BJ399" t="str">
        <f>""</f>
        <v/>
      </c>
      <c r="BK399" t="str">
        <f>""</f>
        <v/>
      </c>
      <c r="BL399" t="str">
        <f>""</f>
        <v/>
      </c>
      <c r="BM399" t="str">
        <f>""</f>
        <v/>
      </c>
      <c r="BN399" t="str">
        <f>""</f>
        <v/>
      </c>
      <c r="BO399" t="str">
        <f>""</f>
        <v/>
      </c>
      <c r="BP399" t="str">
        <f>""</f>
        <v/>
      </c>
      <c r="BQ399" t="str">
        <f>""</f>
        <v/>
      </c>
      <c r="BR399" t="str">
        <f>""</f>
        <v/>
      </c>
      <c r="BS399" t="str">
        <f>""</f>
        <v/>
      </c>
    </row>
    <row r="400" spans="1:71" x14ac:dyDescent="0.25">
      <c r="A400" t="str">
        <f>"        Flagstar Financial Inc"</f>
        <v xml:space="preserve">        Flagstar Financial Inc</v>
      </c>
      <c r="B400" t="str">
        <f>"FLG US Equity"</f>
        <v>FLG US Equity</v>
      </c>
      <c r="C400" t="str">
        <f t="shared" si="54"/>
        <v>F0128</v>
      </c>
      <c r="D400" t="str">
        <f t="shared" si="55"/>
        <v>FED_OTH_NONCONS_LNS_%_TOT_LNS_LS</v>
      </c>
      <c r="E400" t="str">
        <f t="shared" si="56"/>
        <v>Dynamic</v>
      </c>
      <c r="F400" t="str">
        <f ca="1">IF(AND(ISNUMBER($F$797),$B$427=1),$F$797,HLOOKUP(INDIRECT(ADDRESS(2,COLUMN())),OFFSET($AM$2,0,0,ROW()-1,33),ROW()-1,FALSE))</f>
        <v/>
      </c>
      <c r="G400">
        <f ca="1">IF(AND(ISNUMBER($G$797),$B$427=1),$G$797,HLOOKUP(INDIRECT(ADDRESS(2,COLUMN())),OFFSET($AM$2,0,0,ROW()-1,33),ROW()-1,FALSE))</f>
        <v>1.27304219</v>
      </c>
      <c r="H400">
        <f ca="1">IF(AND(ISNUMBER($H$797),$B$427=1),$H$797,HLOOKUP(INDIRECT(ADDRESS(2,COLUMN())),OFFSET($AM$2,0,0,ROW()-1,33),ROW()-1,FALSE))</f>
        <v>3.8618464999999998E-2</v>
      </c>
      <c r="I400">
        <f ca="1">IF(AND(ISNUMBER($I$797),$B$427=1),$I$797,HLOOKUP(INDIRECT(ADDRESS(2,COLUMN())),OFFSET($AM$2,0,0,ROW()-1,33),ROW()-1,FALSE))</f>
        <v>9.2875800000000001E-3</v>
      </c>
      <c r="J400">
        <f ca="1">IF(AND(ISNUMBER($J$797),$B$427=1),$J$797,HLOOKUP(INDIRECT(ADDRESS(2,COLUMN())),OFFSET($AM$2,0,0,ROW()-1,33),ROW()-1,FALSE))</f>
        <v>1.0346335E-2</v>
      </c>
      <c r="K400">
        <f ca="1">IF(AND(ISNUMBER($K$797),$B$427=1),$K$797,HLOOKUP(INDIRECT(ADDRESS(2,COLUMN())),OFFSET($AM$2,0,0,ROW()-1,33),ROW()-1,FALSE))</f>
        <v>1.1901422E-2</v>
      </c>
      <c r="L400">
        <f ca="1">IF(AND(ISNUMBER($L$797),$B$427=1),$L$797,HLOOKUP(INDIRECT(ADDRESS(2,COLUMN())),OFFSET($AM$2,0,0,ROW()-1,33),ROW()-1,FALSE))</f>
        <v>1.3362077999999999E-2</v>
      </c>
      <c r="M400">
        <f ca="1">IF(AND(ISNUMBER($M$797),$B$427=1),$M$797,HLOOKUP(INDIRECT(ADDRESS(2,COLUMN())),OFFSET($AM$2,0,0,ROW()-1,33),ROW()-1,FALSE))</f>
        <v>1.4072217E-2</v>
      </c>
      <c r="N400">
        <f ca="1">IF(AND(ISNUMBER($N$797),$B$427=1),$N$797,HLOOKUP(INDIRECT(ADDRESS(2,COLUMN())),OFFSET($AM$2,0,0,ROW()-1,33),ROW()-1,FALSE))</f>
        <v>2.1580143E-2</v>
      </c>
      <c r="O400">
        <f ca="1">IF(AND(ISNUMBER($O$797),$B$427=1),$O$797,HLOOKUP(INDIRECT(ADDRESS(2,COLUMN())),OFFSET($AM$2,0,0,ROW()-1,33),ROW()-1,FALSE))</f>
        <v>2.8274038000000001E-2</v>
      </c>
      <c r="P400">
        <f ca="1">IF(AND(ISNUMBER($P$797),$B$427=1),$P$797,HLOOKUP(INDIRECT(ADDRESS(2,COLUMN())),OFFSET($AM$2,0,0,ROW()-1,33),ROW()-1,FALSE))</f>
        <v>1.1648199999999999E-2</v>
      </c>
      <c r="Q400">
        <f ca="1">IF(AND(ISNUMBER($Q$797),$B$427=1),$Q$797,HLOOKUP(INDIRECT(ADDRESS(2,COLUMN())),OFFSET($AM$2,0,0,ROW()-1,33),ROW()-1,FALSE))</f>
        <v>1.4943631000000001E-2</v>
      </c>
      <c r="R400">
        <f ca="1">IF(AND(ISNUMBER($R$797),$B$427=1),$R$797,HLOOKUP(INDIRECT(ADDRESS(2,COLUMN())),OFFSET($AM$2,0,0,ROW()-1,33),ROW()-1,FALSE))</f>
        <v>1.5737983000000001E-2</v>
      </c>
      <c r="S400">
        <f ca="1">IF(AND(ISNUMBER($S$797),$B$427=1),$S$797,HLOOKUP(INDIRECT(ADDRESS(2,COLUMN())),OFFSET($AM$2,0,0,ROW()-1,33),ROW()-1,FALSE))</f>
        <v>3.2713832999999998E-2</v>
      </c>
      <c r="T400">
        <f ca="1">IF(AND(ISNUMBER($T$797),$B$427=1),$T$797,HLOOKUP(INDIRECT(ADDRESS(2,COLUMN())),OFFSET($AM$2,0,0,ROW()-1,33),ROW()-1,FALSE))</f>
        <v>7.7303627E-2</v>
      </c>
      <c r="U400" t="str">
        <f ca="1">IF(AND(ISNUMBER($U$797),$B$427=1),$U$797,HLOOKUP(INDIRECT(ADDRESS(2,COLUMN())),OFFSET($AM$2,0,0,ROW()-1,33),ROW()-1,FALSE))</f>
        <v/>
      </c>
      <c r="V400" t="str">
        <f ca="1">IF(AND(ISNUMBER($V$797),$B$427=1),$V$797,HLOOKUP(INDIRECT(ADDRESS(2,COLUMN())),OFFSET($AM$2,0,0,ROW()-1,33),ROW()-1,FALSE))</f>
        <v/>
      </c>
      <c r="W400" t="str">
        <f ca="1">IF(AND(ISNUMBER($W$797),$B$427=1),$W$797,HLOOKUP(INDIRECT(ADDRESS(2,COLUMN())),OFFSET($AM$2,0,0,ROW()-1,33),ROW()-1,FALSE))</f>
        <v/>
      </c>
      <c r="X400" t="str">
        <f ca="1">IF(AND(ISNUMBER($X$797),$B$427=1),$X$797,HLOOKUP(INDIRECT(ADDRESS(2,COLUMN())),OFFSET($AM$2,0,0,ROW()-1,33),ROW()-1,FALSE))</f>
        <v/>
      </c>
      <c r="Y400" t="str">
        <f ca="1">IF(AND(ISNUMBER($Y$797),$B$427=1),$Y$797,HLOOKUP(INDIRECT(ADDRESS(2,COLUMN())),OFFSET($AM$2,0,0,ROW()-1,33),ROW()-1,FALSE))</f>
        <v/>
      </c>
      <c r="Z400" t="str">
        <f ca="1">IF(AND(ISNUMBER($Z$797),$B$427=1),$Z$797,HLOOKUP(INDIRECT(ADDRESS(2,COLUMN())),OFFSET($AM$2,0,0,ROW()-1,33),ROW()-1,FALSE))</f>
        <v/>
      </c>
      <c r="AA400" t="str">
        <f ca="1">IF(AND(ISNUMBER($AA$797),$B$427=1),$AA$797,HLOOKUP(INDIRECT(ADDRESS(2,COLUMN())),OFFSET($AM$2,0,0,ROW()-1,33),ROW()-1,FALSE))</f>
        <v/>
      </c>
      <c r="AB400" t="str">
        <f ca="1">IF(AND(ISNUMBER($AB$797),$B$427=1),$AB$797,HLOOKUP(INDIRECT(ADDRESS(2,COLUMN())),OFFSET($AM$2,0,0,ROW()-1,33),ROW()-1,FALSE))</f>
        <v/>
      </c>
      <c r="AC400" t="str">
        <f ca="1">IF(AND(ISNUMBER($AC$797),$B$427=1),$AC$797,HLOOKUP(INDIRECT(ADDRESS(2,COLUMN())),OFFSET($AM$2,0,0,ROW()-1,33),ROW()-1,FALSE))</f>
        <v/>
      </c>
      <c r="AD400" t="str">
        <f ca="1">IF(AND(ISNUMBER($AD$797),$B$427=1),$AD$797,HLOOKUP(INDIRECT(ADDRESS(2,COLUMN())),OFFSET($AM$2,0,0,ROW()-1,33),ROW()-1,FALSE))</f>
        <v/>
      </c>
      <c r="AE400" t="str">
        <f ca="1">IF(AND(ISNUMBER($AE$797),$B$427=1),$AE$797,HLOOKUP(INDIRECT(ADDRESS(2,COLUMN())),OFFSET($AM$2,0,0,ROW()-1,33),ROW()-1,FALSE))</f>
        <v/>
      </c>
      <c r="AF400" t="str">
        <f ca="1">IF(AND(ISNUMBER($AF$797),$B$427=1),$AF$797,HLOOKUP(INDIRECT(ADDRESS(2,COLUMN())),OFFSET($AM$2,0,0,ROW()-1,33),ROW()-1,FALSE))</f>
        <v/>
      </c>
      <c r="AG400" t="str">
        <f ca="1">IF(AND(ISNUMBER($AG$797),$B$427=1),$AG$797,HLOOKUP(INDIRECT(ADDRESS(2,COLUMN())),OFFSET($AM$2,0,0,ROW()-1,33),ROW()-1,FALSE))</f>
        <v/>
      </c>
      <c r="AH400" t="str">
        <f ca="1">IF(AND(ISNUMBER($AH$797),$B$427=1),$AH$797,HLOOKUP(INDIRECT(ADDRESS(2,COLUMN())),OFFSET($AM$2,0,0,ROW()-1,33),ROW()-1,FALSE))</f>
        <v/>
      </c>
      <c r="AI400" t="str">
        <f ca="1">IF(AND(ISNUMBER($AI$797),$B$427=1),$AI$797,HLOOKUP(INDIRECT(ADDRESS(2,COLUMN())),OFFSET($AM$2,0,0,ROW()-1,33),ROW()-1,FALSE))</f>
        <v/>
      </c>
      <c r="AJ400" t="str">
        <f ca="1">IF(AND(ISNUMBER($AJ$797),$B$427=1),$AJ$797,HLOOKUP(INDIRECT(ADDRESS(2,COLUMN())),OFFSET($AM$2,0,0,ROW()-1,33),ROW()-1,FALSE))</f>
        <v/>
      </c>
      <c r="AK400" t="str">
        <f ca="1">IF(AND(ISNUMBER($AK$797),$B$427=1),$AK$797,HLOOKUP(INDIRECT(ADDRESS(2,COLUMN())),OFFSET($AM$2,0,0,ROW()-1,33),ROW()-1,FALSE))</f>
        <v/>
      </c>
      <c r="AL400" t="str">
        <f ca="1">IF(AND(ISNUMBER($AL$797),$B$427=1),$AL$797,HLOOKUP(INDIRECT(ADDRESS(2,COLUMN())),OFFSET($AM$2,0,0,ROW()-1,33),ROW()-1,FALSE))</f>
        <v/>
      </c>
      <c r="AM400" t="str">
        <f>""</f>
        <v/>
      </c>
      <c r="AN400">
        <f>1.27304219</f>
        <v>1.27304219</v>
      </c>
      <c r="AO400">
        <f>0.038618465</f>
        <v>3.8618464999999998E-2</v>
      </c>
      <c r="AP400">
        <f>0.00928758</f>
        <v>9.2875800000000001E-3</v>
      </c>
      <c r="AQ400">
        <f>0.010346335</f>
        <v>1.0346335E-2</v>
      </c>
      <c r="AR400">
        <f>0.011901422</f>
        <v>1.1901422E-2</v>
      </c>
      <c r="AS400">
        <f>0.013362078</f>
        <v>1.3362077999999999E-2</v>
      </c>
      <c r="AT400">
        <f>0.014072217</f>
        <v>1.4072217E-2</v>
      </c>
      <c r="AU400">
        <f>0.021580143</f>
        <v>2.1580143E-2</v>
      </c>
      <c r="AV400">
        <f>0.028274038</f>
        <v>2.8274038000000001E-2</v>
      </c>
      <c r="AW400">
        <f>0.0116482</f>
        <v>1.1648199999999999E-2</v>
      </c>
      <c r="AX400">
        <f>0.014943631</f>
        <v>1.4943631000000001E-2</v>
      </c>
      <c r="AY400">
        <f>0.015737983</f>
        <v>1.5737983000000001E-2</v>
      </c>
      <c r="AZ400">
        <f>0.032713833</f>
        <v>3.2713832999999998E-2</v>
      </c>
      <c r="BA400">
        <f>0.077303627</f>
        <v>7.7303627E-2</v>
      </c>
      <c r="BB400" t="str">
        <f>""</f>
        <v/>
      </c>
      <c r="BC400" t="str">
        <f>""</f>
        <v/>
      </c>
      <c r="BD400" t="str">
        <f>""</f>
        <v/>
      </c>
      <c r="BE400" t="str">
        <f>""</f>
        <v/>
      </c>
      <c r="BF400" t="str">
        <f>""</f>
        <v/>
      </c>
      <c r="BG400" t="str">
        <f>""</f>
        <v/>
      </c>
      <c r="BH400" t="str">
        <f>""</f>
        <v/>
      </c>
      <c r="BI400" t="str">
        <f>""</f>
        <v/>
      </c>
      <c r="BJ400" t="str">
        <f>""</f>
        <v/>
      </c>
      <c r="BK400" t="str">
        <f>""</f>
        <v/>
      </c>
      <c r="BL400" t="str">
        <f>""</f>
        <v/>
      </c>
      <c r="BM400" t="str">
        <f>""</f>
        <v/>
      </c>
      <c r="BN400" t="str">
        <f>""</f>
        <v/>
      </c>
      <c r="BO400" t="str">
        <f>""</f>
        <v/>
      </c>
      <c r="BP400" t="str">
        <f>""</f>
        <v/>
      </c>
      <c r="BQ400" t="str">
        <f>""</f>
        <v/>
      </c>
      <c r="BR400" t="str">
        <f>""</f>
        <v/>
      </c>
      <c r="BS400" t="str">
        <f>""</f>
        <v/>
      </c>
    </row>
    <row r="401" spans="1:71" x14ac:dyDescent="0.25">
      <c r="A401" t="str">
        <f>"        Huntington Bancshares Inc/OH"</f>
        <v xml:space="preserve">        Huntington Bancshares Inc/OH</v>
      </c>
      <c r="B401" t="str">
        <f>"HBAN US Equity"</f>
        <v>HBAN US Equity</v>
      </c>
      <c r="C401" t="str">
        <f t="shared" si="54"/>
        <v>F0128</v>
      </c>
      <c r="D401" t="str">
        <f t="shared" si="55"/>
        <v>FED_OTH_NONCONS_LNS_%_TOT_LNS_LS</v>
      </c>
      <c r="E401" t="str">
        <f t="shared" si="56"/>
        <v>Dynamic</v>
      </c>
      <c r="F401">
        <f ca="1">IF(AND(ISNUMBER($F$798),$B$427=1),$F$798,HLOOKUP(INDIRECT(ADDRESS(2,COLUMN())),OFFSET($AM$2,0,0,ROW()-1,33),ROW()-1,FALSE))</f>
        <v>1.037549987</v>
      </c>
      <c r="G401">
        <f ca="1">IF(AND(ISNUMBER($G$798),$B$427=1),$G$798,HLOOKUP(INDIRECT(ADDRESS(2,COLUMN())),OFFSET($AM$2,0,0,ROW()-1,33),ROW()-1,FALSE))</f>
        <v>1.192018255</v>
      </c>
      <c r="H401">
        <f ca="1">IF(AND(ISNUMBER($H$798),$B$427=1),$H$798,HLOOKUP(INDIRECT(ADDRESS(2,COLUMN())),OFFSET($AM$2,0,0,ROW()-1,33),ROW()-1,FALSE))</f>
        <v>1.3837535679999999</v>
      </c>
      <c r="I401">
        <f ca="1">IF(AND(ISNUMBER($I$798),$B$427=1),$I$798,HLOOKUP(INDIRECT(ADDRESS(2,COLUMN())),OFFSET($AM$2,0,0,ROW()-1,33),ROW()-1,FALSE))</f>
        <v>1.8777728659999999</v>
      </c>
      <c r="J401">
        <f ca="1">IF(AND(ISNUMBER($J$798),$B$427=1),$J$798,HLOOKUP(INDIRECT(ADDRESS(2,COLUMN())),OFFSET($AM$2,0,0,ROW()-1,33),ROW()-1,FALSE))</f>
        <v>2.2628235800000001</v>
      </c>
      <c r="K401">
        <f ca="1">IF(AND(ISNUMBER($K$798),$B$427=1),$K$798,HLOOKUP(INDIRECT(ADDRESS(2,COLUMN())),OFFSET($AM$2,0,0,ROW()-1,33),ROW()-1,FALSE))</f>
        <v>1.3617140539999999</v>
      </c>
      <c r="L401">
        <f ca="1">IF(AND(ISNUMBER($L$798),$B$427=1),$L$798,HLOOKUP(INDIRECT(ADDRESS(2,COLUMN())),OFFSET($AM$2,0,0,ROW()-1,33),ROW()-1,FALSE))</f>
        <v>1.283540473</v>
      </c>
      <c r="M401">
        <f ca="1">IF(AND(ISNUMBER($M$798),$B$427=1),$M$798,HLOOKUP(INDIRECT(ADDRESS(2,COLUMN())),OFFSET($AM$2,0,0,ROW()-1,33),ROW()-1,FALSE))</f>
        <v>1.4529271669999999</v>
      </c>
      <c r="N401">
        <f ca="1">IF(AND(ISNUMBER($N$798),$B$427=1),$N$798,HLOOKUP(INDIRECT(ADDRESS(2,COLUMN())),OFFSET($AM$2,0,0,ROW()-1,33),ROW()-1,FALSE))</f>
        <v>1.5151112449999999</v>
      </c>
      <c r="O401">
        <f ca="1">IF(AND(ISNUMBER($O$798),$B$427=1),$O$798,HLOOKUP(INDIRECT(ADDRESS(2,COLUMN())),OFFSET($AM$2,0,0,ROW()-1,33),ROW()-1,FALSE))</f>
        <v>1.383714444</v>
      </c>
      <c r="P401">
        <f ca="1">IF(AND(ISNUMBER($P$798),$B$427=1),$P$798,HLOOKUP(INDIRECT(ADDRESS(2,COLUMN())),OFFSET($AM$2,0,0,ROW()-1,33),ROW()-1,FALSE))</f>
        <v>1.3059564930000001</v>
      </c>
      <c r="Q401">
        <f ca="1">IF(AND(ISNUMBER($Q$798),$B$427=1),$Q$798,HLOOKUP(INDIRECT(ADDRESS(2,COLUMN())),OFFSET($AM$2,0,0,ROW()-1,33),ROW()-1,FALSE))</f>
        <v>1.016764156</v>
      </c>
      <c r="R401">
        <f ca="1">IF(AND(ISNUMBER($R$798),$B$427=1),$R$798,HLOOKUP(INDIRECT(ADDRESS(2,COLUMN())),OFFSET($AM$2,0,0,ROW()-1,33),ROW()-1,FALSE))</f>
        <v>1.6762260950000001</v>
      </c>
      <c r="S401">
        <f ca="1">IF(AND(ISNUMBER($S$798),$B$427=1),$S$798,HLOOKUP(INDIRECT(ADDRESS(2,COLUMN())),OFFSET($AM$2,0,0,ROW()-1,33),ROW()-1,FALSE))</f>
        <v>1.212130903</v>
      </c>
      <c r="T401">
        <f ca="1">IF(AND(ISNUMBER($T$798),$B$427=1),$T$798,HLOOKUP(INDIRECT(ADDRESS(2,COLUMN())),OFFSET($AM$2,0,0,ROW()-1,33),ROW()-1,FALSE))</f>
        <v>1.4378620929999999</v>
      </c>
      <c r="U401" t="str">
        <f ca="1">IF(AND(ISNUMBER($U$798),$B$427=1),$U$798,HLOOKUP(INDIRECT(ADDRESS(2,COLUMN())),OFFSET($AM$2,0,0,ROW()-1,33),ROW()-1,FALSE))</f>
        <v/>
      </c>
      <c r="V401" t="str">
        <f ca="1">IF(AND(ISNUMBER($V$798),$B$427=1),$V$798,HLOOKUP(INDIRECT(ADDRESS(2,COLUMN())),OFFSET($AM$2,0,0,ROW()-1,33),ROW()-1,FALSE))</f>
        <v/>
      </c>
      <c r="W401" t="str">
        <f ca="1">IF(AND(ISNUMBER($W$798),$B$427=1),$W$798,HLOOKUP(INDIRECT(ADDRESS(2,COLUMN())),OFFSET($AM$2,0,0,ROW()-1,33),ROW()-1,FALSE))</f>
        <v/>
      </c>
      <c r="X401" t="str">
        <f ca="1">IF(AND(ISNUMBER($X$798),$B$427=1),$X$798,HLOOKUP(INDIRECT(ADDRESS(2,COLUMN())),OFFSET($AM$2,0,0,ROW()-1,33),ROW()-1,FALSE))</f>
        <v/>
      </c>
      <c r="Y401" t="str">
        <f ca="1">IF(AND(ISNUMBER($Y$798),$B$427=1),$Y$798,HLOOKUP(INDIRECT(ADDRESS(2,COLUMN())),OFFSET($AM$2,0,0,ROW()-1,33),ROW()-1,FALSE))</f>
        <v/>
      </c>
      <c r="Z401" t="str">
        <f ca="1">IF(AND(ISNUMBER($Z$798),$B$427=1),$Z$798,HLOOKUP(INDIRECT(ADDRESS(2,COLUMN())),OFFSET($AM$2,0,0,ROW()-1,33),ROW()-1,FALSE))</f>
        <v/>
      </c>
      <c r="AA401" t="str">
        <f ca="1">IF(AND(ISNUMBER($AA$798),$B$427=1),$AA$798,HLOOKUP(INDIRECT(ADDRESS(2,COLUMN())),OFFSET($AM$2,0,0,ROW()-1,33),ROW()-1,FALSE))</f>
        <v/>
      </c>
      <c r="AB401" t="str">
        <f ca="1">IF(AND(ISNUMBER($AB$798),$B$427=1),$AB$798,HLOOKUP(INDIRECT(ADDRESS(2,COLUMN())),OFFSET($AM$2,0,0,ROW()-1,33),ROW()-1,FALSE))</f>
        <v/>
      </c>
      <c r="AC401" t="str">
        <f ca="1">IF(AND(ISNUMBER($AC$798),$B$427=1),$AC$798,HLOOKUP(INDIRECT(ADDRESS(2,COLUMN())),OFFSET($AM$2,0,0,ROW()-1,33),ROW()-1,FALSE))</f>
        <v/>
      </c>
      <c r="AD401" t="str">
        <f ca="1">IF(AND(ISNUMBER($AD$798),$B$427=1),$AD$798,HLOOKUP(INDIRECT(ADDRESS(2,COLUMN())),OFFSET($AM$2,0,0,ROW()-1,33),ROW()-1,FALSE))</f>
        <v/>
      </c>
      <c r="AE401" t="str">
        <f ca="1">IF(AND(ISNUMBER($AE$798),$B$427=1),$AE$798,HLOOKUP(INDIRECT(ADDRESS(2,COLUMN())),OFFSET($AM$2,0,0,ROW()-1,33),ROW()-1,FALSE))</f>
        <v/>
      </c>
      <c r="AF401" t="str">
        <f ca="1">IF(AND(ISNUMBER($AF$798),$B$427=1),$AF$798,HLOOKUP(INDIRECT(ADDRESS(2,COLUMN())),OFFSET($AM$2,0,0,ROW()-1,33),ROW()-1,FALSE))</f>
        <v/>
      </c>
      <c r="AG401" t="str">
        <f ca="1">IF(AND(ISNUMBER($AG$798),$B$427=1),$AG$798,HLOOKUP(INDIRECT(ADDRESS(2,COLUMN())),OFFSET($AM$2,0,0,ROW()-1,33),ROW()-1,FALSE))</f>
        <v/>
      </c>
      <c r="AH401" t="str">
        <f ca="1">IF(AND(ISNUMBER($AH$798),$B$427=1),$AH$798,HLOOKUP(INDIRECT(ADDRESS(2,COLUMN())),OFFSET($AM$2,0,0,ROW()-1,33),ROW()-1,FALSE))</f>
        <v/>
      </c>
      <c r="AI401" t="str">
        <f ca="1">IF(AND(ISNUMBER($AI$798),$B$427=1),$AI$798,HLOOKUP(INDIRECT(ADDRESS(2,COLUMN())),OFFSET($AM$2,0,0,ROW()-1,33),ROW()-1,FALSE))</f>
        <v/>
      </c>
      <c r="AJ401" t="str">
        <f ca="1">IF(AND(ISNUMBER($AJ$798),$B$427=1),$AJ$798,HLOOKUP(INDIRECT(ADDRESS(2,COLUMN())),OFFSET($AM$2,0,0,ROW()-1,33),ROW()-1,FALSE))</f>
        <v/>
      </c>
      <c r="AK401" t="str">
        <f ca="1">IF(AND(ISNUMBER($AK$798),$B$427=1),$AK$798,HLOOKUP(INDIRECT(ADDRESS(2,COLUMN())),OFFSET($AM$2,0,0,ROW()-1,33),ROW()-1,FALSE))</f>
        <v/>
      </c>
      <c r="AL401" t="str">
        <f ca="1">IF(AND(ISNUMBER($AL$798),$B$427=1),$AL$798,HLOOKUP(INDIRECT(ADDRESS(2,COLUMN())),OFFSET($AM$2,0,0,ROW()-1,33),ROW()-1,FALSE))</f>
        <v/>
      </c>
      <c r="AM401">
        <f>1.037549987</f>
        <v>1.037549987</v>
      </c>
      <c r="AN401">
        <f>1.192018255</f>
        <v>1.192018255</v>
      </c>
      <c r="AO401">
        <f>1.383753568</f>
        <v>1.3837535679999999</v>
      </c>
      <c r="AP401">
        <f>1.877772866</f>
        <v>1.8777728659999999</v>
      </c>
      <c r="AQ401">
        <f>2.26282358</f>
        <v>2.2628235800000001</v>
      </c>
      <c r="AR401">
        <f>1.361714054</f>
        <v>1.3617140539999999</v>
      </c>
      <c r="AS401">
        <f>1.283540473</f>
        <v>1.283540473</v>
      </c>
      <c r="AT401">
        <f>1.452927167</f>
        <v>1.4529271669999999</v>
      </c>
      <c r="AU401">
        <f>1.515111245</f>
        <v>1.5151112449999999</v>
      </c>
      <c r="AV401">
        <f>1.383714444</f>
        <v>1.383714444</v>
      </c>
      <c r="AW401">
        <f>1.305956493</f>
        <v>1.3059564930000001</v>
      </c>
      <c r="AX401">
        <f>1.016764156</f>
        <v>1.016764156</v>
      </c>
      <c r="AY401">
        <f>1.676226095</f>
        <v>1.6762260950000001</v>
      </c>
      <c r="AZ401">
        <f>1.212130903</f>
        <v>1.212130903</v>
      </c>
      <c r="BA401">
        <f>1.437862093</f>
        <v>1.4378620929999999</v>
      </c>
      <c r="BB401" t="str">
        <f>""</f>
        <v/>
      </c>
      <c r="BC401" t="str">
        <f>""</f>
        <v/>
      </c>
      <c r="BD401" t="str">
        <f>""</f>
        <v/>
      </c>
      <c r="BE401" t="str">
        <f>""</f>
        <v/>
      </c>
      <c r="BF401" t="str">
        <f>""</f>
        <v/>
      </c>
      <c r="BG401" t="str">
        <f>""</f>
        <v/>
      </c>
      <c r="BH401" t="str">
        <f>""</f>
        <v/>
      </c>
      <c r="BI401" t="str">
        <f>""</f>
        <v/>
      </c>
      <c r="BJ401" t="str">
        <f>""</f>
        <v/>
      </c>
      <c r="BK401" t="str">
        <f>""</f>
        <v/>
      </c>
      <c r="BL401" t="str">
        <f>""</f>
        <v/>
      </c>
      <c r="BM401" t="str">
        <f>""</f>
        <v/>
      </c>
      <c r="BN401" t="str">
        <f>""</f>
        <v/>
      </c>
      <c r="BO401" t="str">
        <f>""</f>
        <v/>
      </c>
      <c r="BP401" t="str">
        <f>""</f>
        <v/>
      </c>
      <c r="BQ401" t="str">
        <f>""</f>
        <v/>
      </c>
      <c r="BR401" t="str">
        <f>""</f>
        <v/>
      </c>
      <c r="BS401" t="str">
        <f>""</f>
        <v/>
      </c>
    </row>
    <row r="402" spans="1:71" x14ac:dyDescent="0.25">
      <c r="A402" t="str">
        <f>"        JPMorgan Chase &amp; Co"</f>
        <v xml:space="preserve">        JPMorgan Chase &amp; Co</v>
      </c>
      <c r="B402" t="str">
        <f>"JPM US Equity"</f>
        <v>JPM US Equity</v>
      </c>
      <c r="C402" t="str">
        <f t="shared" si="54"/>
        <v>F0128</v>
      </c>
      <c r="D402" t="str">
        <f t="shared" si="55"/>
        <v>FED_OTH_NONCONS_LNS_%_TOT_LNS_LS</v>
      </c>
      <c r="E402" t="str">
        <f t="shared" si="56"/>
        <v>Dynamic</v>
      </c>
      <c r="F402">
        <f ca="1">IF(AND(ISNUMBER($F$799),$B$427=1),$F$799,HLOOKUP(INDIRECT(ADDRESS(2,COLUMN())),OFFSET($AM$2,0,0,ROW()-1,33),ROW()-1,FALSE))</f>
        <v>12.158935140000001</v>
      </c>
      <c r="G402">
        <f ca="1">IF(AND(ISNUMBER($G$799),$B$427=1),$G$799,HLOOKUP(INDIRECT(ADDRESS(2,COLUMN())),OFFSET($AM$2,0,0,ROW()-1,33),ROW()-1,FALSE))</f>
        <v>12.126682450000001</v>
      </c>
      <c r="H402">
        <f ca="1">IF(AND(ISNUMBER($H$799),$B$427=1),$H$799,HLOOKUP(INDIRECT(ADDRESS(2,COLUMN())),OFFSET($AM$2,0,0,ROW()-1,33),ROW()-1,FALSE))</f>
        <v>12.71545613</v>
      </c>
      <c r="I402">
        <f ca="1">IF(AND(ISNUMBER($I$799),$B$427=1),$I$799,HLOOKUP(INDIRECT(ADDRESS(2,COLUMN())),OFFSET($AM$2,0,0,ROW()-1,33),ROW()-1,FALSE))</f>
        <v>12.92111369</v>
      </c>
      <c r="J402">
        <f ca="1">IF(AND(ISNUMBER($J$799),$B$427=1),$J$799,HLOOKUP(INDIRECT(ADDRESS(2,COLUMN())),OFFSET($AM$2,0,0,ROW()-1,33),ROW()-1,FALSE))</f>
        <v>13.5717505</v>
      </c>
      <c r="K402">
        <f ca="1">IF(AND(ISNUMBER($K$799),$B$427=1),$K$799,HLOOKUP(INDIRECT(ADDRESS(2,COLUMN())),OFFSET($AM$2,0,0,ROW()-1,33),ROW()-1,FALSE))</f>
        <v>13.004283900000001</v>
      </c>
      <c r="L402">
        <f ca="1">IF(AND(ISNUMBER($L$799),$B$427=1),$L$799,HLOOKUP(INDIRECT(ADDRESS(2,COLUMN())),OFFSET($AM$2,0,0,ROW()-1,33),ROW()-1,FALSE))</f>
        <v>11.85220223</v>
      </c>
      <c r="M402">
        <f ca="1">IF(AND(ISNUMBER($M$799),$B$427=1),$M$799,HLOOKUP(INDIRECT(ADDRESS(2,COLUMN())),OFFSET($AM$2,0,0,ROW()-1,33),ROW()-1,FALSE))</f>
        <v>11.49912889</v>
      </c>
      <c r="N402">
        <f ca="1">IF(AND(ISNUMBER($N$799),$B$427=1),$N$799,HLOOKUP(INDIRECT(ADDRESS(2,COLUMN())),OFFSET($AM$2,0,0,ROW()-1,33),ROW()-1,FALSE))</f>
        <v>11.315401749999999</v>
      </c>
      <c r="O402">
        <f ca="1">IF(AND(ISNUMBER($O$799),$B$427=1),$O$799,HLOOKUP(INDIRECT(ADDRESS(2,COLUMN())),OFFSET($AM$2,0,0,ROW()-1,33),ROW()-1,FALSE))</f>
        <v>12.22582435</v>
      </c>
      <c r="P402">
        <f ca="1">IF(AND(ISNUMBER($P$799),$B$427=1),$P$799,HLOOKUP(INDIRECT(ADDRESS(2,COLUMN())),OFFSET($AM$2,0,0,ROW()-1,33),ROW()-1,FALSE))</f>
        <v>11.90074362</v>
      </c>
      <c r="Q402">
        <f ca="1">IF(AND(ISNUMBER($Q$799),$B$427=1),$Q$799,HLOOKUP(INDIRECT(ADDRESS(2,COLUMN())),OFFSET($AM$2,0,0,ROW()-1,33),ROW()-1,FALSE))</f>
        <v>11.4862816</v>
      </c>
      <c r="R402">
        <f ca="1">IF(AND(ISNUMBER($R$799),$B$427=1),$R$799,HLOOKUP(INDIRECT(ADDRESS(2,COLUMN())),OFFSET($AM$2,0,0,ROW()-1,33),ROW()-1,FALSE))</f>
        <v>8.2957678900000005</v>
      </c>
      <c r="S402">
        <f ca="1">IF(AND(ISNUMBER($S$799),$B$427=1),$S$799,HLOOKUP(INDIRECT(ADDRESS(2,COLUMN())),OFFSET($AM$2,0,0,ROW()-1,33),ROW()-1,FALSE))</f>
        <v>8.1526402499999993</v>
      </c>
      <c r="T402">
        <f ca="1">IF(AND(ISNUMBER($T$799),$B$427=1),$T$799,HLOOKUP(INDIRECT(ADDRESS(2,COLUMN())),OFFSET($AM$2,0,0,ROW()-1,33),ROW()-1,FALSE))</f>
        <v>6.7692269600000001</v>
      </c>
      <c r="U402" t="str">
        <f ca="1">IF(AND(ISNUMBER($U$799),$B$427=1),$U$799,HLOOKUP(INDIRECT(ADDRESS(2,COLUMN())),OFFSET($AM$2,0,0,ROW()-1,33),ROW()-1,FALSE))</f>
        <v/>
      </c>
      <c r="V402" t="str">
        <f ca="1">IF(AND(ISNUMBER($V$799),$B$427=1),$V$799,HLOOKUP(INDIRECT(ADDRESS(2,COLUMN())),OFFSET($AM$2,0,0,ROW()-1,33),ROW()-1,FALSE))</f>
        <v/>
      </c>
      <c r="W402" t="str">
        <f ca="1">IF(AND(ISNUMBER($W$799),$B$427=1),$W$799,HLOOKUP(INDIRECT(ADDRESS(2,COLUMN())),OFFSET($AM$2,0,0,ROW()-1,33),ROW()-1,FALSE))</f>
        <v/>
      </c>
      <c r="X402" t="str">
        <f ca="1">IF(AND(ISNUMBER($X$799),$B$427=1),$X$799,HLOOKUP(INDIRECT(ADDRESS(2,COLUMN())),OFFSET($AM$2,0,0,ROW()-1,33),ROW()-1,FALSE))</f>
        <v/>
      </c>
      <c r="Y402" t="str">
        <f ca="1">IF(AND(ISNUMBER($Y$799),$B$427=1),$Y$799,HLOOKUP(INDIRECT(ADDRESS(2,COLUMN())),OFFSET($AM$2,0,0,ROW()-1,33),ROW()-1,FALSE))</f>
        <v/>
      </c>
      <c r="Z402" t="str">
        <f ca="1">IF(AND(ISNUMBER($Z$799),$B$427=1),$Z$799,HLOOKUP(INDIRECT(ADDRESS(2,COLUMN())),OFFSET($AM$2,0,0,ROW()-1,33),ROW()-1,FALSE))</f>
        <v/>
      </c>
      <c r="AA402" t="str">
        <f ca="1">IF(AND(ISNUMBER($AA$799),$B$427=1),$AA$799,HLOOKUP(INDIRECT(ADDRESS(2,COLUMN())),OFFSET($AM$2,0,0,ROW()-1,33),ROW()-1,FALSE))</f>
        <v/>
      </c>
      <c r="AB402" t="str">
        <f ca="1">IF(AND(ISNUMBER($AB$799),$B$427=1),$AB$799,HLOOKUP(INDIRECT(ADDRESS(2,COLUMN())),OFFSET($AM$2,0,0,ROW()-1,33),ROW()-1,FALSE))</f>
        <v/>
      </c>
      <c r="AC402" t="str">
        <f ca="1">IF(AND(ISNUMBER($AC$799),$B$427=1),$AC$799,HLOOKUP(INDIRECT(ADDRESS(2,COLUMN())),OFFSET($AM$2,0,0,ROW()-1,33),ROW()-1,FALSE))</f>
        <v/>
      </c>
      <c r="AD402" t="str">
        <f ca="1">IF(AND(ISNUMBER($AD$799),$B$427=1),$AD$799,HLOOKUP(INDIRECT(ADDRESS(2,COLUMN())),OFFSET($AM$2,0,0,ROW()-1,33),ROW()-1,FALSE))</f>
        <v/>
      </c>
      <c r="AE402" t="str">
        <f ca="1">IF(AND(ISNUMBER($AE$799),$B$427=1),$AE$799,HLOOKUP(INDIRECT(ADDRESS(2,COLUMN())),OFFSET($AM$2,0,0,ROW()-1,33),ROW()-1,FALSE))</f>
        <v/>
      </c>
      <c r="AF402" t="str">
        <f ca="1">IF(AND(ISNUMBER($AF$799),$B$427=1),$AF$799,HLOOKUP(INDIRECT(ADDRESS(2,COLUMN())),OFFSET($AM$2,0,0,ROW()-1,33),ROW()-1,FALSE))</f>
        <v/>
      </c>
      <c r="AG402" t="str">
        <f ca="1">IF(AND(ISNUMBER($AG$799),$B$427=1),$AG$799,HLOOKUP(INDIRECT(ADDRESS(2,COLUMN())),OFFSET($AM$2,0,0,ROW()-1,33),ROW()-1,FALSE))</f>
        <v/>
      </c>
      <c r="AH402" t="str">
        <f ca="1">IF(AND(ISNUMBER($AH$799),$B$427=1),$AH$799,HLOOKUP(INDIRECT(ADDRESS(2,COLUMN())),OFFSET($AM$2,0,0,ROW()-1,33),ROW()-1,FALSE))</f>
        <v/>
      </c>
      <c r="AI402" t="str">
        <f ca="1">IF(AND(ISNUMBER($AI$799),$B$427=1),$AI$799,HLOOKUP(INDIRECT(ADDRESS(2,COLUMN())),OFFSET($AM$2,0,0,ROW()-1,33),ROW()-1,FALSE))</f>
        <v/>
      </c>
      <c r="AJ402" t="str">
        <f ca="1">IF(AND(ISNUMBER($AJ$799),$B$427=1),$AJ$799,HLOOKUP(INDIRECT(ADDRESS(2,COLUMN())),OFFSET($AM$2,0,0,ROW()-1,33),ROW()-1,FALSE))</f>
        <v/>
      </c>
      <c r="AK402" t="str">
        <f ca="1">IF(AND(ISNUMBER($AK$799),$B$427=1),$AK$799,HLOOKUP(INDIRECT(ADDRESS(2,COLUMN())),OFFSET($AM$2,0,0,ROW()-1,33),ROW()-1,FALSE))</f>
        <v/>
      </c>
      <c r="AL402" t="str">
        <f ca="1">IF(AND(ISNUMBER($AL$799),$B$427=1),$AL$799,HLOOKUP(INDIRECT(ADDRESS(2,COLUMN())),OFFSET($AM$2,0,0,ROW()-1,33),ROW()-1,FALSE))</f>
        <v/>
      </c>
      <c r="AM402">
        <f>12.15893514</f>
        <v>12.158935140000001</v>
      </c>
      <c r="AN402">
        <f>12.12668245</f>
        <v>12.126682450000001</v>
      </c>
      <c r="AO402">
        <f>12.71545613</f>
        <v>12.71545613</v>
      </c>
      <c r="AP402">
        <f>12.92111369</f>
        <v>12.92111369</v>
      </c>
      <c r="AQ402">
        <f>13.5717505</f>
        <v>13.5717505</v>
      </c>
      <c r="AR402">
        <f>13.0042839</f>
        <v>13.004283900000001</v>
      </c>
      <c r="AS402">
        <f>11.85220223</f>
        <v>11.85220223</v>
      </c>
      <c r="AT402">
        <f>11.49912889</f>
        <v>11.49912889</v>
      </c>
      <c r="AU402">
        <f>11.31540175</f>
        <v>11.315401749999999</v>
      </c>
      <c r="AV402">
        <f>12.22582435</f>
        <v>12.22582435</v>
      </c>
      <c r="AW402">
        <f>11.90074362</f>
        <v>11.90074362</v>
      </c>
      <c r="AX402">
        <f>11.4862816</f>
        <v>11.4862816</v>
      </c>
      <c r="AY402">
        <f>8.29576789</f>
        <v>8.2957678900000005</v>
      </c>
      <c r="AZ402">
        <f>8.15264025</f>
        <v>8.1526402499999993</v>
      </c>
      <c r="BA402">
        <f>6.76922696</f>
        <v>6.7692269600000001</v>
      </c>
      <c r="BB402" t="str">
        <f>""</f>
        <v/>
      </c>
      <c r="BC402" t="str">
        <f>""</f>
        <v/>
      </c>
      <c r="BD402" t="str">
        <f>""</f>
        <v/>
      </c>
      <c r="BE402" t="str">
        <f>""</f>
        <v/>
      </c>
      <c r="BF402" t="str">
        <f>""</f>
        <v/>
      </c>
      <c r="BG402" t="str">
        <f>""</f>
        <v/>
      </c>
      <c r="BH402" t="str">
        <f>""</f>
        <v/>
      </c>
      <c r="BI402" t="str">
        <f>""</f>
        <v/>
      </c>
      <c r="BJ402" t="str">
        <f>""</f>
        <v/>
      </c>
      <c r="BK402" t="str">
        <f>""</f>
        <v/>
      </c>
      <c r="BL402" t="str">
        <f>""</f>
        <v/>
      </c>
      <c r="BM402" t="str">
        <f>""</f>
        <v/>
      </c>
      <c r="BN402" t="str">
        <f>""</f>
        <v/>
      </c>
      <c r="BO402" t="str">
        <f>""</f>
        <v/>
      </c>
      <c r="BP402" t="str">
        <f>""</f>
        <v/>
      </c>
      <c r="BQ402" t="str">
        <f>""</f>
        <v/>
      </c>
      <c r="BR402" t="str">
        <f>""</f>
        <v/>
      </c>
      <c r="BS402" t="str">
        <f>""</f>
        <v/>
      </c>
    </row>
    <row r="403" spans="1:71" x14ac:dyDescent="0.25">
      <c r="A403" t="str">
        <f>"        KeyCorp"</f>
        <v xml:space="preserve">        KeyCorp</v>
      </c>
      <c r="B403" t="str">
        <f>"KEY US Equity"</f>
        <v>KEY US Equity</v>
      </c>
      <c r="C403" t="str">
        <f t="shared" si="54"/>
        <v>F0128</v>
      </c>
      <c r="D403" t="str">
        <f t="shared" si="55"/>
        <v>FED_OTH_NONCONS_LNS_%_TOT_LNS_LS</v>
      </c>
      <c r="E403" t="str">
        <f t="shared" si="56"/>
        <v>Dynamic</v>
      </c>
      <c r="F403">
        <f ca="1">IF(AND(ISNUMBER($F$800),$B$427=1),$F$800,HLOOKUP(INDIRECT(ADDRESS(2,COLUMN())),OFFSET($AM$2,0,0,ROW()-1,33),ROW()-1,FALSE))</f>
        <v>4.6957522540000003</v>
      </c>
      <c r="G403">
        <f ca="1">IF(AND(ISNUMBER($G$800),$B$427=1),$G$800,HLOOKUP(INDIRECT(ADDRESS(2,COLUMN())),OFFSET($AM$2,0,0,ROW()-1,33),ROW()-1,FALSE))</f>
        <v>4.8473989749999999</v>
      </c>
      <c r="H403">
        <f ca="1">IF(AND(ISNUMBER($H$800),$B$427=1),$H$800,HLOOKUP(INDIRECT(ADDRESS(2,COLUMN())),OFFSET($AM$2,0,0,ROW()-1,33),ROW()-1,FALSE))</f>
        <v>4.7071254390000004</v>
      </c>
      <c r="I403">
        <f ca="1">IF(AND(ISNUMBER($I$800),$B$427=1),$I$800,HLOOKUP(INDIRECT(ADDRESS(2,COLUMN())),OFFSET($AM$2,0,0,ROW()-1,33),ROW()-1,FALSE))</f>
        <v>6.2260480840000003</v>
      </c>
      <c r="J403">
        <f ca="1">IF(AND(ISNUMBER($J$800),$B$427=1),$J$800,HLOOKUP(INDIRECT(ADDRESS(2,COLUMN())),OFFSET($AM$2,0,0,ROW()-1,33),ROW()-1,FALSE))</f>
        <v>5.9887420450000004</v>
      </c>
      <c r="K403">
        <f ca="1">IF(AND(ISNUMBER($K$800),$B$427=1),$K$800,HLOOKUP(INDIRECT(ADDRESS(2,COLUMN())),OFFSET($AM$2,0,0,ROW()-1,33),ROW()-1,FALSE))</f>
        <v>6.7083031130000004</v>
      </c>
      <c r="L403">
        <f ca="1">IF(AND(ISNUMBER($L$800),$B$427=1),$L$800,HLOOKUP(INDIRECT(ADDRESS(2,COLUMN())),OFFSET($AM$2,0,0,ROW()-1,33),ROW()-1,FALSE))</f>
        <v>7.0098902489999997</v>
      </c>
      <c r="M403">
        <f ca="1">IF(AND(ISNUMBER($M$800),$B$427=1),$M$800,HLOOKUP(INDIRECT(ADDRESS(2,COLUMN())),OFFSET($AM$2,0,0,ROW()-1,33),ROW()-1,FALSE))</f>
        <v>7.2977527660000003</v>
      </c>
      <c r="N403">
        <f ca="1">IF(AND(ISNUMBER($N$800),$B$427=1),$N$800,HLOOKUP(INDIRECT(ADDRESS(2,COLUMN())),OFFSET($AM$2,0,0,ROW()-1,33),ROW()-1,FALSE))</f>
        <v>6.1463825520000004</v>
      </c>
      <c r="O403">
        <f ca="1">IF(AND(ISNUMBER($O$800),$B$427=1),$O$800,HLOOKUP(INDIRECT(ADDRESS(2,COLUMN())),OFFSET($AM$2,0,0,ROW()-1,33),ROW()-1,FALSE))</f>
        <v>7.5500463910000004</v>
      </c>
      <c r="P403">
        <f ca="1">IF(AND(ISNUMBER($P$800),$B$427=1),$P$800,HLOOKUP(INDIRECT(ADDRESS(2,COLUMN())),OFFSET($AM$2,0,0,ROW()-1,33),ROW()-1,FALSE))</f>
        <v>7.2612811260000001</v>
      </c>
      <c r="Q403">
        <f ca="1">IF(AND(ISNUMBER($Q$800),$B$427=1),$Q$800,HLOOKUP(INDIRECT(ADDRESS(2,COLUMN())),OFFSET($AM$2,0,0,ROW()-1,33),ROW()-1,FALSE))</f>
        <v>6.6758675829999996</v>
      </c>
      <c r="R403">
        <f ca="1">IF(AND(ISNUMBER($R$800),$B$427=1),$R$800,HLOOKUP(INDIRECT(ADDRESS(2,COLUMN())),OFFSET($AM$2,0,0,ROW()-1,33),ROW()-1,FALSE))</f>
        <v>6.1791464339999997</v>
      </c>
      <c r="S403">
        <f ca="1">IF(AND(ISNUMBER($S$800),$B$427=1),$S$800,HLOOKUP(INDIRECT(ADDRESS(2,COLUMN())),OFFSET($AM$2,0,0,ROW()-1,33),ROW()-1,FALSE))</f>
        <v>5.0885575049999998</v>
      </c>
      <c r="T403">
        <f ca="1">IF(AND(ISNUMBER($T$800),$B$427=1),$T$800,HLOOKUP(INDIRECT(ADDRESS(2,COLUMN())),OFFSET($AM$2,0,0,ROW()-1,33),ROW()-1,FALSE))</f>
        <v>3.981671945</v>
      </c>
      <c r="U403" t="str">
        <f ca="1">IF(AND(ISNUMBER($U$800),$B$427=1),$U$800,HLOOKUP(INDIRECT(ADDRESS(2,COLUMN())),OFFSET($AM$2,0,0,ROW()-1,33),ROW()-1,FALSE))</f>
        <v/>
      </c>
      <c r="V403" t="str">
        <f ca="1">IF(AND(ISNUMBER($V$800),$B$427=1),$V$800,HLOOKUP(INDIRECT(ADDRESS(2,COLUMN())),OFFSET($AM$2,0,0,ROW()-1,33),ROW()-1,FALSE))</f>
        <v/>
      </c>
      <c r="W403" t="str">
        <f ca="1">IF(AND(ISNUMBER($W$800),$B$427=1),$W$800,HLOOKUP(INDIRECT(ADDRESS(2,COLUMN())),OFFSET($AM$2,0,0,ROW()-1,33),ROW()-1,FALSE))</f>
        <v/>
      </c>
      <c r="X403" t="str">
        <f ca="1">IF(AND(ISNUMBER($X$800),$B$427=1),$X$800,HLOOKUP(INDIRECT(ADDRESS(2,COLUMN())),OFFSET($AM$2,0,0,ROW()-1,33),ROW()-1,FALSE))</f>
        <v/>
      </c>
      <c r="Y403" t="str">
        <f ca="1">IF(AND(ISNUMBER($Y$800),$B$427=1),$Y$800,HLOOKUP(INDIRECT(ADDRESS(2,COLUMN())),OFFSET($AM$2,0,0,ROW()-1,33),ROW()-1,FALSE))</f>
        <v/>
      </c>
      <c r="Z403" t="str">
        <f ca="1">IF(AND(ISNUMBER($Z$800),$B$427=1),$Z$800,HLOOKUP(INDIRECT(ADDRESS(2,COLUMN())),OFFSET($AM$2,0,0,ROW()-1,33),ROW()-1,FALSE))</f>
        <v/>
      </c>
      <c r="AA403" t="str">
        <f ca="1">IF(AND(ISNUMBER($AA$800),$B$427=1),$AA$800,HLOOKUP(INDIRECT(ADDRESS(2,COLUMN())),OFFSET($AM$2,0,0,ROW()-1,33),ROW()-1,FALSE))</f>
        <v/>
      </c>
      <c r="AB403" t="str">
        <f ca="1">IF(AND(ISNUMBER($AB$800),$B$427=1),$AB$800,HLOOKUP(INDIRECT(ADDRESS(2,COLUMN())),OFFSET($AM$2,0,0,ROW()-1,33),ROW()-1,FALSE))</f>
        <v/>
      </c>
      <c r="AC403" t="str">
        <f ca="1">IF(AND(ISNUMBER($AC$800),$B$427=1),$AC$800,HLOOKUP(INDIRECT(ADDRESS(2,COLUMN())),OFFSET($AM$2,0,0,ROW()-1,33),ROW()-1,FALSE))</f>
        <v/>
      </c>
      <c r="AD403" t="str">
        <f ca="1">IF(AND(ISNUMBER($AD$800),$B$427=1),$AD$800,HLOOKUP(INDIRECT(ADDRESS(2,COLUMN())),OFFSET($AM$2,0,0,ROW()-1,33),ROW()-1,FALSE))</f>
        <v/>
      </c>
      <c r="AE403" t="str">
        <f ca="1">IF(AND(ISNUMBER($AE$800),$B$427=1),$AE$800,HLOOKUP(INDIRECT(ADDRESS(2,COLUMN())),OFFSET($AM$2,0,0,ROW()-1,33),ROW()-1,FALSE))</f>
        <v/>
      </c>
      <c r="AF403" t="str">
        <f ca="1">IF(AND(ISNUMBER($AF$800),$B$427=1),$AF$800,HLOOKUP(INDIRECT(ADDRESS(2,COLUMN())),OFFSET($AM$2,0,0,ROW()-1,33),ROW()-1,FALSE))</f>
        <v/>
      </c>
      <c r="AG403" t="str">
        <f ca="1">IF(AND(ISNUMBER($AG$800),$B$427=1),$AG$800,HLOOKUP(INDIRECT(ADDRESS(2,COLUMN())),OFFSET($AM$2,0,0,ROW()-1,33),ROW()-1,FALSE))</f>
        <v/>
      </c>
      <c r="AH403" t="str">
        <f ca="1">IF(AND(ISNUMBER($AH$800),$B$427=1),$AH$800,HLOOKUP(INDIRECT(ADDRESS(2,COLUMN())),OFFSET($AM$2,0,0,ROW()-1,33),ROW()-1,FALSE))</f>
        <v/>
      </c>
      <c r="AI403" t="str">
        <f ca="1">IF(AND(ISNUMBER($AI$800),$B$427=1),$AI$800,HLOOKUP(INDIRECT(ADDRESS(2,COLUMN())),OFFSET($AM$2,0,0,ROW()-1,33),ROW()-1,FALSE))</f>
        <v/>
      </c>
      <c r="AJ403" t="str">
        <f ca="1">IF(AND(ISNUMBER($AJ$800),$B$427=1),$AJ$800,HLOOKUP(INDIRECT(ADDRESS(2,COLUMN())),OFFSET($AM$2,0,0,ROW()-1,33),ROW()-1,FALSE))</f>
        <v/>
      </c>
      <c r="AK403" t="str">
        <f ca="1">IF(AND(ISNUMBER($AK$800),$B$427=1),$AK$800,HLOOKUP(INDIRECT(ADDRESS(2,COLUMN())),OFFSET($AM$2,0,0,ROW()-1,33),ROW()-1,FALSE))</f>
        <v/>
      </c>
      <c r="AL403" t="str">
        <f ca="1">IF(AND(ISNUMBER($AL$800),$B$427=1),$AL$800,HLOOKUP(INDIRECT(ADDRESS(2,COLUMN())),OFFSET($AM$2,0,0,ROW()-1,33),ROW()-1,FALSE))</f>
        <v/>
      </c>
      <c r="AM403">
        <f>4.695752254</f>
        <v>4.6957522540000003</v>
      </c>
      <c r="AN403">
        <f>4.847398975</f>
        <v>4.8473989749999999</v>
      </c>
      <c r="AO403">
        <f>4.707125439</f>
        <v>4.7071254390000004</v>
      </c>
      <c r="AP403">
        <f>6.226048084</f>
        <v>6.2260480840000003</v>
      </c>
      <c r="AQ403">
        <f>5.988742045</f>
        <v>5.9887420450000004</v>
      </c>
      <c r="AR403">
        <f>6.708303113</f>
        <v>6.7083031130000004</v>
      </c>
      <c r="AS403">
        <f>7.009890249</f>
        <v>7.0098902489999997</v>
      </c>
      <c r="AT403">
        <f>7.297752766</f>
        <v>7.2977527660000003</v>
      </c>
      <c r="AU403">
        <f>6.146382552</f>
        <v>6.1463825520000004</v>
      </c>
      <c r="AV403">
        <f>7.550046391</f>
        <v>7.5500463910000004</v>
      </c>
      <c r="AW403">
        <f>7.261281126</f>
        <v>7.2612811260000001</v>
      </c>
      <c r="AX403">
        <f>6.675867583</f>
        <v>6.6758675829999996</v>
      </c>
      <c r="AY403">
        <f>6.179146434</f>
        <v>6.1791464339999997</v>
      </c>
      <c r="AZ403">
        <f>5.088557505</f>
        <v>5.0885575049999998</v>
      </c>
      <c r="BA403">
        <f>3.981671945</f>
        <v>3.981671945</v>
      </c>
      <c r="BB403" t="str">
        <f>""</f>
        <v/>
      </c>
      <c r="BC403" t="str">
        <f>""</f>
        <v/>
      </c>
      <c r="BD403" t="str">
        <f>""</f>
        <v/>
      </c>
      <c r="BE403" t="str">
        <f>""</f>
        <v/>
      </c>
      <c r="BF403" t="str">
        <f>""</f>
        <v/>
      </c>
      <c r="BG403" t="str">
        <f>""</f>
        <v/>
      </c>
      <c r="BH403" t="str">
        <f>""</f>
        <v/>
      </c>
      <c r="BI403" t="str">
        <f>""</f>
        <v/>
      </c>
      <c r="BJ403" t="str">
        <f>""</f>
        <v/>
      </c>
      <c r="BK403" t="str">
        <f>""</f>
        <v/>
      </c>
      <c r="BL403" t="str">
        <f>""</f>
        <v/>
      </c>
      <c r="BM403" t="str">
        <f>""</f>
        <v/>
      </c>
      <c r="BN403" t="str">
        <f>""</f>
        <v/>
      </c>
      <c r="BO403" t="str">
        <f>""</f>
        <v/>
      </c>
      <c r="BP403" t="str">
        <f>""</f>
        <v/>
      </c>
      <c r="BQ403" t="str">
        <f>""</f>
        <v/>
      </c>
      <c r="BR403" t="str">
        <f>""</f>
        <v/>
      </c>
      <c r="BS403" t="str">
        <f>""</f>
        <v/>
      </c>
    </row>
    <row r="404" spans="1:71" x14ac:dyDescent="0.25">
      <c r="A404" t="str">
        <f>"        M&amp;T Bank Corp"</f>
        <v xml:space="preserve">        M&amp;T Bank Corp</v>
      </c>
      <c r="B404" t="str">
        <f>"MTB US Equity"</f>
        <v>MTB US Equity</v>
      </c>
      <c r="C404" t="str">
        <f t="shared" si="54"/>
        <v>F0128</v>
      </c>
      <c r="D404" t="str">
        <f t="shared" si="55"/>
        <v>FED_OTH_NONCONS_LNS_%_TOT_LNS_LS</v>
      </c>
      <c r="E404" t="str">
        <f t="shared" si="56"/>
        <v>Dynamic</v>
      </c>
      <c r="F404">
        <f ca="1">IF(AND(ISNUMBER($F$801),$B$427=1),$F$801,HLOOKUP(INDIRECT(ADDRESS(2,COLUMN())),OFFSET($AM$2,0,0,ROW()-1,33),ROW()-1,FALSE))</f>
        <v>3.1742002739999999</v>
      </c>
      <c r="G404">
        <f ca="1">IF(AND(ISNUMBER($G$801),$B$427=1),$G$801,HLOOKUP(INDIRECT(ADDRESS(2,COLUMN())),OFFSET($AM$2,0,0,ROW()-1,33),ROW()-1,FALSE))</f>
        <v>3.1432493739999998</v>
      </c>
      <c r="H404">
        <f ca="1">IF(AND(ISNUMBER($H$801),$B$427=1),$H$801,HLOOKUP(INDIRECT(ADDRESS(2,COLUMN())),OFFSET($AM$2,0,0,ROW()-1,33),ROW()-1,FALSE))</f>
        <v>2.9934485309999999</v>
      </c>
      <c r="I404">
        <f ca="1">IF(AND(ISNUMBER($I$801),$B$427=1),$I$801,HLOOKUP(INDIRECT(ADDRESS(2,COLUMN())),OFFSET($AM$2,0,0,ROW()-1,33),ROW()-1,FALSE))</f>
        <v>2.6991828820000001</v>
      </c>
      <c r="J404">
        <f ca="1">IF(AND(ISNUMBER($J$801),$B$427=1),$J$801,HLOOKUP(INDIRECT(ADDRESS(2,COLUMN())),OFFSET($AM$2,0,0,ROW()-1,33),ROW()-1,FALSE))</f>
        <v>2.50571703</v>
      </c>
      <c r="K404">
        <f ca="1">IF(AND(ISNUMBER($K$801),$B$427=1),$K$801,HLOOKUP(INDIRECT(ADDRESS(2,COLUMN())),OFFSET($AM$2,0,0,ROW()-1,33),ROW()-1,FALSE))</f>
        <v>2.401859977</v>
      </c>
      <c r="L404">
        <f ca="1">IF(AND(ISNUMBER($L$801),$B$427=1),$L$801,HLOOKUP(INDIRECT(ADDRESS(2,COLUMN())),OFFSET($AM$2,0,0,ROW()-1,33),ROW()-1,FALSE))</f>
        <v>2.3841980280000001</v>
      </c>
      <c r="M404">
        <f ca="1">IF(AND(ISNUMBER($M$801),$B$427=1),$M$801,HLOOKUP(INDIRECT(ADDRESS(2,COLUMN())),OFFSET($AM$2,0,0,ROW()-1,33),ROW()-1,FALSE))</f>
        <v>2.2990844209999999</v>
      </c>
      <c r="N404">
        <f ca="1">IF(AND(ISNUMBER($N$801),$B$427=1),$N$801,HLOOKUP(INDIRECT(ADDRESS(2,COLUMN())),OFFSET($AM$2,0,0,ROW()-1,33),ROW()-1,FALSE))</f>
        <v>2.2269278240000001</v>
      </c>
      <c r="O404">
        <f ca="1">IF(AND(ISNUMBER($O$801),$B$427=1),$O$801,HLOOKUP(INDIRECT(ADDRESS(2,COLUMN())),OFFSET($AM$2,0,0,ROW()-1,33),ROW()-1,FALSE))</f>
        <v>1.973480269</v>
      </c>
      <c r="P404">
        <f ca="1">IF(AND(ISNUMBER($P$801),$B$427=1),$P$801,HLOOKUP(INDIRECT(ADDRESS(2,COLUMN())),OFFSET($AM$2,0,0,ROW()-1,33),ROW()-1,FALSE))</f>
        <v>2.25337853</v>
      </c>
      <c r="Q404">
        <f ca="1">IF(AND(ISNUMBER($Q$801),$B$427=1),$Q$801,HLOOKUP(INDIRECT(ADDRESS(2,COLUMN())),OFFSET($AM$2,0,0,ROW()-1,33),ROW()-1,FALSE))</f>
        <v>2.1735825449999999</v>
      </c>
      <c r="R404">
        <f ca="1">IF(AND(ISNUMBER($R$801),$B$427=1),$R$801,HLOOKUP(INDIRECT(ADDRESS(2,COLUMN())),OFFSET($AM$2,0,0,ROW()-1,33),ROW()-1,FALSE))</f>
        <v>2.3399273049999998</v>
      </c>
      <c r="S404">
        <f ca="1">IF(AND(ISNUMBER($S$801),$B$427=1),$S$801,HLOOKUP(INDIRECT(ADDRESS(2,COLUMN())),OFFSET($AM$2,0,0,ROW()-1,33),ROW()-1,FALSE))</f>
        <v>1.872227613</v>
      </c>
      <c r="T404">
        <f ca="1">IF(AND(ISNUMBER($T$801),$B$427=1),$T$801,HLOOKUP(INDIRECT(ADDRESS(2,COLUMN())),OFFSET($AM$2,0,0,ROW()-1,33),ROW()-1,FALSE))</f>
        <v>1.901238194</v>
      </c>
      <c r="U404" t="str">
        <f ca="1">IF(AND(ISNUMBER($U$801),$B$427=1),$U$801,HLOOKUP(INDIRECT(ADDRESS(2,COLUMN())),OFFSET($AM$2,0,0,ROW()-1,33),ROW()-1,FALSE))</f>
        <v/>
      </c>
      <c r="V404" t="str">
        <f ca="1">IF(AND(ISNUMBER($V$801),$B$427=1),$V$801,HLOOKUP(INDIRECT(ADDRESS(2,COLUMN())),OFFSET($AM$2,0,0,ROW()-1,33),ROW()-1,FALSE))</f>
        <v/>
      </c>
      <c r="W404" t="str">
        <f ca="1">IF(AND(ISNUMBER($W$801),$B$427=1),$W$801,HLOOKUP(INDIRECT(ADDRESS(2,COLUMN())),OFFSET($AM$2,0,0,ROW()-1,33),ROW()-1,FALSE))</f>
        <v/>
      </c>
      <c r="X404" t="str">
        <f ca="1">IF(AND(ISNUMBER($X$801),$B$427=1),$X$801,HLOOKUP(INDIRECT(ADDRESS(2,COLUMN())),OFFSET($AM$2,0,0,ROW()-1,33),ROW()-1,FALSE))</f>
        <v/>
      </c>
      <c r="Y404" t="str">
        <f ca="1">IF(AND(ISNUMBER($Y$801),$B$427=1),$Y$801,HLOOKUP(INDIRECT(ADDRESS(2,COLUMN())),OFFSET($AM$2,0,0,ROW()-1,33),ROW()-1,FALSE))</f>
        <v/>
      </c>
      <c r="Z404" t="str">
        <f ca="1">IF(AND(ISNUMBER($Z$801),$B$427=1),$Z$801,HLOOKUP(INDIRECT(ADDRESS(2,COLUMN())),OFFSET($AM$2,0,0,ROW()-1,33),ROW()-1,FALSE))</f>
        <v/>
      </c>
      <c r="AA404" t="str">
        <f ca="1">IF(AND(ISNUMBER($AA$801),$B$427=1),$AA$801,HLOOKUP(INDIRECT(ADDRESS(2,COLUMN())),OFFSET($AM$2,0,0,ROW()-1,33),ROW()-1,FALSE))</f>
        <v/>
      </c>
      <c r="AB404" t="str">
        <f ca="1">IF(AND(ISNUMBER($AB$801),$B$427=1),$AB$801,HLOOKUP(INDIRECT(ADDRESS(2,COLUMN())),OFFSET($AM$2,0,0,ROW()-1,33),ROW()-1,FALSE))</f>
        <v/>
      </c>
      <c r="AC404" t="str">
        <f ca="1">IF(AND(ISNUMBER($AC$801),$B$427=1),$AC$801,HLOOKUP(INDIRECT(ADDRESS(2,COLUMN())),OFFSET($AM$2,0,0,ROW()-1,33),ROW()-1,FALSE))</f>
        <v/>
      </c>
      <c r="AD404" t="str">
        <f ca="1">IF(AND(ISNUMBER($AD$801),$B$427=1),$AD$801,HLOOKUP(INDIRECT(ADDRESS(2,COLUMN())),OFFSET($AM$2,0,0,ROW()-1,33),ROW()-1,FALSE))</f>
        <v/>
      </c>
      <c r="AE404" t="str">
        <f ca="1">IF(AND(ISNUMBER($AE$801),$B$427=1),$AE$801,HLOOKUP(INDIRECT(ADDRESS(2,COLUMN())),OFFSET($AM$2,0,0,ROW()-1,33),ROW()-1,FALSE))</f>
        <v/>
      </c>
      <c r="AF404" t="str">
        <f ca="1">IF(AND(ISNUMBER($AF$801),$B$427=1),$AF$801,HLOOKUP(INDIRECT(ADDRESS(2,COLUMN())),OFFSET($AM$2,0,0,ROW()-1,33),ROW()-1,FALSE))</f>
        <v/>
      </c>
      <c r="AG404" t="str">
        <f ca="1">IF(AND(ISNUMBER($AG$801),$B$427=1),$AG$801,HLOOKUP(INDIRECT(ADDRESS(2,COLUMN())),OFFSET($AM$2,0,0,ROW()-1,33),ROW()-1,FALSE))</f>
        <v/>
      </c>
      <c r="AH404" t="str">
        <f ca="1">IF(AND(ISNUMBER($AH$801),$B$427=1),$AH$801,HLOOKUP(INDIRECT(ADDRESS(2,COLUMN())),OFFSET($AM$2,0,0,ROW()-1,33),ROW()-1,FALSE))</f>
        <v/>
      </c>
      <c r="AI404" t="str">
        <f ca="1">IF(AND(ISNUMBER($AI$801),$B$427=1),$AI$801,HLOOKUP(INDIRECT(ADDRESS(2,COLUMN())),OFFSET($AM$2,0,0,ROW()-1,33),ROW()-1,FALSE))</f>
        <v/>
      </c>
      <c r="AJ404" t="str">
        <f ca="1">IF(AND(ISNUMBER($AJ$801),$B$427=1),$AJ$801,HLOOKUP(INDIRECT(ADDRESS(2,COLUMN())),OFFSET($AM$2,0,0,ROW()-1,33),ROW()-1,FALSE))</f>
        <v/>
      </c>
      <c r="AK404" t="str">
        <f ca="1">IF(AND(ISNUMBER($AK$801),$B$427=1),$AK$801,HLOOKUP(INDIRECT(ADDRESS(2,COLUMN())),OFFSET($AM$2,0,0,ROW()-1,33),ROW()-1,FALSE))</f>
        <v/>
      </c>
      <c r="AL404" t="str">
        <f ca="1">IF(AND(ISNUMBER($AL$801),$B$427=1),$AL$801,HLOOKUP(INDIRECT(ADDRESS(2,COLUMN())),OFFSET($AM$2,0,0,ROW()-1,33),ROW()-1,FALSE))</f>
        <v/>
      </c>
      <c r="AM404">
        <f>3.174200274</f>
        <v>3.1742002739999999</v>
      </c>
      <c r="AN404">
        <f>3.143249374</f>
        <v>3.1432493739999998</v>
      </c>
      <c r="AO404">
        <f>2.993448531</f>
        <v>2.9934485309999999</v>
      </c>
      <c r="AP404">
        <f>2.699182882</f>
        <v>2.6991828820000001</v>
      </c>
      <c r="AQ404">
        <f>2.50571703</f>
        <v>2.50571703</v>
      </c>
      <c r="AR404">
        <f>2.401859977</f>
        <v>2.401859977</v>
      </c>
      <c r="AS404">
        <f>2.384198028</f>
        <v>2.3841980280000001</v>
      </c>
      <c r="AT404">
        <f>2.299084421</f>
        <v>2.2990844209999999</v>
      </c>
      <c r="AU404">
        <f>2.226927824</f>
        <v>2.2269278240000001</v>
      </c>
      <c r="AV404">
        <f>1.973480269</f>
        <v>1.973480269</v>
      </c>
      <c r="AW404">
        <f>2.25337853</f>
        <v>2.25337853</v>
      </c>
      <c r="AX404">
        <f>2.173582545</f>
        <v>2.1735825449999999</v>
      </c>
      <c r="AY404">
        <f>2.339927305</f>
        <v>2.3399273049999998</v>
      </c>
      <c r="AZ404">
        <f>1.872227613</f>
        <v>1.872227613</v>
      </c>
      <c r="BA404">
        <f>1.901238194</f>
        <v>1.901238194</v>
      </c>
      <c r="BB404" t="str">
        <f>""</f>
        <v/>
      </c>
      <c r="BC404" t="str">
        <f>""</f>
        <v/>
      </c>
      <c r="BD404" t="str">
        <f>""</f>
        <v/>
      </c>
      <c r="BE404" t="str">
        <f>""</f>
        <v/>
      </c>
      <c r="BF404" t="str">
        <f>""</f>
        <v/>
      </c>
      <c r="BG404" t="str">
        <f>""</f>
        <v/>
      </c>
      <c r="BH404" t="str">
        <f>""</f>
        <v/>
      </c>
      <c r="BI404" t="str">
        <f>""</f>
        <v/>
      </c>
      <c r="BJ404" t="str">
        <f>""</f>
        <v/>
      </c>
      <c r="BK404" t="str">
        <f>""</f>
        <v/>
      </c>
      <c r="BL404" t="str">
        <f>""</f>
        <v/>
      </c>
      <c r="BM404" t="str">
        <f>""</f>
        <v/>
      </c>
      <c r="BN404" t="str">
        <f>""</f>
        <v/>
      </c>
      <c r="BO404" t="str">
        <f>""</f>
        <v/>
      </c>
      <c r="BP404" t="str">
        <f>""</f>
        <v/>
      </c>
      <c r="BQ404" t="str">
        <f>""</f>
        <v/>
      </c>
      <c r="BR404" t="str">
        <f>""</f>
        <v/>
      </c>
      <c r="BS404" t="str">
        <f>""</f>
        <v/>
      </c>
    </row>
    <row r="405" spans="1:71" x14ac:dyDescent="0.25">
      <c r="A405" t="str">
        <f>"        PNC Financial Services Group I"</f>
        <v xml:space="preserve">        PNC Financial Services Group I</v>
      </c>
      <c r="B405" t="str">
        <f>"PNC US Equity"</f>
        <v>PNC US Equity</v>
      </c>
      <c r="C405" t="str">
        <f t="shared" si="54"/>
        <v>F0128</v>
      </c>
      <c r="D405" t="str">
        <f t="shared" si="55"/>
        <v>FED_OTH_NONCONS_LNS_%_TOT_LNS_LS</v>
      </c>
      <c r="E405" t="str">
        <f t="shared" si="56"/>
        <v>Dynamic</v>
      </c>
      <c r="F405" t="str">
        <f ca="1">IF(AND(ISNUMBER($F$802),$B$427=1),$F$802,HLOOKUP(INDIRECT(ADDRESS(2,COLUMN())),OFFSET($AM$2,0,0,ROW()-1,33),ROW()-1,FALSE))</f>
        <v/>
      </c>
      <c r="G405">
        <f ca="1">IF(AND(ISNUMBER($G$802),$B$427=1),$G$802,HLOOKUP(INDIRECT(ADDRESS(2,COLUMN())),OFFSET($AM$2,0,0,ROW()-1,33),ROW()-1,FALSE))</f>
        <v>5.5355393240000001</v>
      </c>
      <c r="H405">
        <f ca="1">IF(AND(ISNUMBER($H$802),$B$427=1),$H$802,HLOOKUP(INDIRECT(ADDRESS(2,COLUMN())),OFFSET($AM$2,0,0,ROW()-1,33),ROW()-1,FALSE))</f>
        <v>6.4055599230000002</v>
      </c>
      <c r="I405">
        <f ca="1">IF(AND(ISNUMBER($I$802),$B$427=1),$I$802,HLOOKUP(INDIRECT(ADDRESS(2,COLUMN())),OFFSET($AM$2,0,0,ROW()-1,33),ROW()-1,FALSE))</f>
        <v>6.7100390150000004</v>
      </c>
      <c r="J405">
        <f ca="1">IF(AND(ISNUMBER($J$802),$B$427=1),$J$802,HLOOKUP(INDIRECT(ADDRESS(2,COLUMN())),OFFSET($AM$2,0,0,ROW()-1,33),ROW()-1,FALSE))</f>
        <v>6.1868080839999999</v>
      </c>
      <c r="K405">
        <f ca="1">IF(AND(ISNUMBER($K$802),$B$427=1),$K$802,HLOOKUP(INDIRECT(ADDRESS(2,COLUMN())),OFFSET($AM$2,0,0,ROW()-1,33),ROW()-1,FALSE))</f>
        <v>5.4632974949999999</v>
      </c>
      <c r="L405">
        <f ca="1">IF(AND(ISNUMBER($L$802),$B$427=1),$L$802,HLOOKUP(INDIRECT(ADDRESS(2,COLUMN())),OFFSET($AM$2,0,0,ROW()-1,33),ROW()-1,FALSE))</f>
        <v>6.1853900199999998</v>
      </c>
      <c r="M405">
        <f ca="1">IF(AND(ISNUMBER($M$802),$B$427=1),$M$802,HLOOKUP(INDIRECT(ADDRESS(2,COLUMN())),OFFSET($AM$2,0,0,ROW()-1,33),ROW()-1,FALSE))</f>
        <v>7.7124973739999998</v>
      </c>
      <c r="N405">
        <f ca="1">IF(AND(ISNUMBER($N$802),$B$427=1),$N$802,HLOOKUP(INDIRECT(ADDRESS(2,COLUMN())),OFFSET($AM$2,0,0,ROW()-1,33),ROW()-1,FALSE))</f>
        <v>7.4289670460000004</v>
      </c>
      <c r="O405">
        <f ca="1">IF(AND(ISNUMBER($O$802),$B$427=1),$O$802,HLOOKUP(INDIRECT(ADDRESS(2,COLUMN())),OFFSET($AM$2,0,0,ROW()-1,33),ROW()-1,FALSE))</f>
        <v>7.6530611710000001</v>
      </c>
      <c r="P405">
        <f ca="1">IF(AND(ISNUMBER($P$802),$B$427=1),$P$802,HLOOKUP(INDIRECT(ADDRESS(2,COLUMN())),OFFSET($AM$2,0,0,ROW()-1,33),ROW()-1,FALSE))</f>
        <v>7.7065055630000003</v>
      </c>
      <c r="Q405">
        <f ca="1">IF(AND(ISNUMBER($Q$802),$B$427=1),$Q$802,HLOOKUP(INDIRECT(ADDRESS(2,COLUMN())),OFFSET($AM$2,0,0,ROW()-1,33),ROW()-1,FALSE))</f>
        <v>7.4829714479999998</v>
      </c>
      <c r="R405">
        <f ca="1">IF(AND(ISNUMBER($R$802),$B$427=1),$R$802,HLOOKUP(INDIRECT(ADDRESS(2,COLUMN())),OFFSET($AM$2,0,0,ROW()-1,33),ROW()-1,FALSE))</f>
        <v>6.1450707580000001</v>
      </c>
      <c r="S405">
        <f ca="1">IF(AND(ISNUMBER($S$802),$B$427=1),$S$802,HLOOKUP(INDIRECT(ADDRESS(2,COLUMN())),OFFSET($AM$2,0,0,ROW()-1,33),ROW()-1,FALSE))</f>
        <v>4.0051875929999996</v>
      </c>
      <c r="T405">
        <f ca="1">IF(AND(ISNUMBER($T$802),$B$427=1),$T$802,HLOOKUP(INDIRECT(ADDRESS(2,COLUMN())),OFFSET($AM$2,0,0,ROW()-1,33),ROW()-1,FALSE))</f>
        <v>2.5878505700000001</v>
      </c>
      <c r="U405" t="str">
        <f ca="1">IF(AND(ISNUMBER($U$802),$B$427=1),$U$802,HLOOKUP(INDIRECT(ADDRESS(2,COLUMN())),OFFSET($AM$2,0,0,ROW()-1,33),ROW()-1,FALSE))</f>
        <v/>
      </c>
      <c r="V405" t="str">
        <f ca="1">IF(AND(ISNUMBER($V$802),$B$427=1),$V$802,HLOOKUP(INDIRECT(ADDRESS(2,COLUMN())),OFFSET($AM$2,0,0,ROW()-1,33),ROW()-1,FALSE))</f>
        <v/>
      </c>
      <c r="W405" t="str">
        <f ca="1">IF(AND(ISNUMBER($W$802),$B$427=1),$W$802,HLOOKUP(INDIRECT(ADDRESS(2,COLUMN())),OFFSET($AM$2,0,0,ROW()-1,33),ROW()-1,FALSE))</f>
        <v/>
      </c>
      <c r="X405" t="str">
        <f ca="1">IF(AND(ISNUMBER($X$802),$B$427=1),$X$802,HLOOKUP(INDIRECT(ADDRESS(2,COLUMN())),OFFSET($AM$2,0,0,ROW()-1,33),ROW()-1,FALSE))</f>
        <v/>
      </c>
      <c r="Y405" t="str">
        <f ca="1">IF(AND(ISNUMBER($Y$802),$B$427=1),$Y$802,HLOOKUP(INDIRECT(ADDRESS(2,COLUMN())),OFFSET($AM$2,0,0,ROW()-1,33),ROW()-1,FALSE))</f>
        <v/>
      </c>
      <c r="Z405" t="str">
        <f ca="1">IF(AND(ISNUMBER($Z$802),$B$427=1),$Z$802,HLOOKUP(INDIRECT(ADDRESS(2,COLUMN())),OFFSET($AM$2,0,0,ROW()-1,33),ROW()-1,FALSE))</f>
        <v/>
      </c>
      <c r="AA405" t="str">
        <f ca="1">IF(AND(ISNUMBER($AA$802),$B$427=1),$AA$802,HLOOKUP(INDIRECT(ADDRESS(2,COLUMN())),OFFSET($AM$2,0,0,ROW()-1,33),ROW()-1,FALSE))</f>
        <v/>
      </c>
      <c r="AB405" t="str">
        <f ca="1">IF(AND(ISNUMBER($AB$802),$B$427=1),$AB$802,HLOOKUP(INDIRECT(ADDRESS(2,COLUMN())),OFFSET($AM$2,0,0,ROW()-1,33),ROW()-1,FALSE))</f>
        <v/>
      </c>
      <c r="AC405" t="str">
        <f ca="1">IF(AND(ISNUMBER($AC$802),$B$427=1),$AC$802,HLOOKUP(INDIRECT(ADDRESS(2,COLUMN())),OFFSET($AM$2,0,0,ROW()-1,33),ROW()-1,FALSE))</f>
        <v/>
      </c>
      <c r="AD405" t="str">
        <f ca="1">IF(AND(ISNUMBER($AD$802),$B$427=1),$AD$802,HLOOKUP(INDIRECT(ADDRESS(2,COLUMN())),OFFSET($AM$2,0,0,ROW()-1,33),ROW()-1,FALSE))</f>
        <v/>
      </c>
      <c r="AE405" t="str">
        <f ca="1">IF(AND(ISNUMBER($AE$802),$B$427=1),$AE$802,HLOOKUP(INDIRECT(ADDRESS(2,COLUMN())),OFFSET($AM$2,0,0,ROW()-1,33),ROW()-1,FALSE))</f>
        <v/>
      </c>
      <c r="AF405" t="str">
        <f ca="1">IF(AND(ISNUMBER($AF$802),$B$427=1),$AF$802,HLOOKUP(INDIRECT(ADDRESS(2,COLUMN())),OFFSET($AM$2,0,0,ROW()-1,33),ROW()-1,FALSE))</f>
        <v/>
      </c>
      <c r="AG405" t="str">
        <f ca="1">IF(AND(ISNUMBER($AG$802),$B$427=1),$AG$802,HLOOKUP(INDIRECT(ADDRESS(2,COLUMN())),OFFSET($AM$2,0,0,ROW()-1,33),ROW()-1,FALSE))</f>
        <v/>
      </c>
      <c r="AH405" t="str">
        <f ca="1">IF(AND(ISNUMBER($AH$802),$B$427=1),$AH$802,HLOOKUP(INDIRECT(ADDRESS(2,COLUMN())),OFFSET($AM$2,0,0,ROW()-1,33),ROW()-1,FALSE))</f>
        <v/>
      </c>
      <c r="AI405" t="str">
        <f ca="1">IF(AND(ISNUMBER($AI$802),$B$427=1),$AI$802,HLOOKUP(INDIRECT(ADDRESS(2,COLUMN())),OFFSET($AM$2,0,0,ROW()-1,33),ROW()-1,FALSE))</f>
        <v/>
      </c>
      <c r="AJ405" t="str">
        <f ca="1">IF(AND(ISNUMBER($AJ$802),$B$427=1),$AJ$802,HLOOKUP(INDIRECT(ADDRESS(2,COLUMN())),OFFSET($AM$2,0,0,ROW()-1,33),ROW()-1,FALSE))</f>
        <v/>
      </c>
      <c r="AK405" t="str">
        <f ca="1">IF(AND(ISNUMBER($AK$802),$B$427=1),$AK$802,HLOOKUP(INDIRECT(ADDRESS(2,COLUMN())),OFFSET($AM$2,0,0,ROW()-1,33),ROW()-1,FALSE))</f>
        <v/>
      </c>
      <c r="AL405" t="str">
        <f ca="1">IF(AND(ISNUMBER($AL$802),$B$427=1),$AL$802,HLOOKUP(INDIRECT(ADDRESS(2,COLUMN())),OFFSET($AM$2,0,0,ROW()-1,33),ROW()-1,FALSE))</f>
        <v/>
      </c>
      <c r="AM405" t="str">
        <f>""</f>
        <v/>
      </c>
      <c r="AN405">
        <f>5.535539324</f>
        <v>5.5355393240000001</v>
      </c>
      <c r="AO405">
        <f>6.405559923</f>
        <v>6.4055599230000002</v>
      </c>
      <c r="AP405">
        <f>6.710039015</f>
        <v>6.7100390150000004</v>
      </c>
      <c r="AQ405">
        <f>6.186808084</f>
        <v>6.1868080839999999</v>
      </c>
      <c r="AR405">
        <f>5.463297495</f>
        <v>5.4632974949999999</v>
      </c>
      <c r="AS405">
        <f>6.18539002</f>
        <v>6.1853900199999998</v>
      </c>
      <c r="AT405">
        <f>7.712497374</f>
        <v>7.7124973739999998</v>
      </c>
      <c r="AU405">
        <f>7.428967046</f>
        <v>7.4289670460000004</v>
      </c>
      <c r="AV405">
        <f>7.653061171</f>
        <v>7.6530611710000001</v>
      </c>
      <c r="AW405">
        <f>7.706505563</f>
        <v>7.7065055630000003</v>
      </c>
      <c r="AX405">
        <f>7.482971448</f>
        <v>7.4829714479999998</v>
      </c>
      <c r="AY405">
        <f>6.145070758</f>
        <v>6.1450707580000001</v>
      </c>
      <c r="AZ405">
        <f>4.005187593</f>
        <v>4.0051875929999996</v>
      </c>
      <c r="BA405">
        <f>2.58785057</f>
        <v>2.5878505700000001</v>
      </c>
      <c r="BB405" t="str">
        <f>""</f>
        <v/>
      </c>
      <c r="BC405" t="str">
        <f>""</f>
        <v/>
      </c>
      <c r="BD405" t="str">
        <f>""</f>
        <v/>
      </c>
      <c r="BE405" t="str">
        <f>""</f>
        <v/>
      </c>
      <c r="BF405" t="str">
        <f>""</f>
        <v/>
      </c>
      <c r="BG405" t="str">
        <f>""</f>
        <v/>
      </c>
      <c r="BH405" t="str">
        <f>""</f>
        <v/>
      </c>
      <c r="BI405" t="str">
        <f>""</f>
        <v/>
      </c>
      <c r="BJ405" t="str">
        <f>""</f>
        <v/>
      </c>
      <c r="BK405" t="str">
        <f>""</f>
        <v/>
      </c>
      <c r="BL405" t="str">
        <f>""</f>
        <v/>
      </c>
      <c r="BM405" t="str">
        <f>""</f>
        <v/>
      </c>
      <c r="BN405" t="str">
        <f>""</f>
        <v/>
      </c>
      <c r="BO405" t="str">
        <f>""</f>
        <v/>
      </c>
      <c r="BP405" t="str">
        <f>""</f>
        <v/>
      </c>
      <c r="BQ405" t="str">
        <f>""</f>
        <v/>
      </c>
      <c r="BR405" t="str">
        <f>""</f>
        <v/>
      </c>
      <c r="BS405" t="str">
        <f>""</f>
        <v/>
      </c>
    </row>
    <row r="406" spans="1:71" x14ac:dyDescent="0.25">
      <c r="A406" t="str">
        <f>"        Regions Financial Corp"</f>
        <v xml:space="preserve">        Regions Financial Corp</v>
      </c>
      <c r="B406" t="str">
        <f>"RF US Equity"</f>
        <v>RF US Equity</v>
      </c>
      <c r="C406" t="str">
        <f t="shared" si="54"/>
        <v>F0128</v>
      </c>
      <c r="D406" t="str">
        <f t="shared" si="55"/>
        <v>FED_OTH_NONCONS_LNS_%_TOT_LNS_LS</v>
      </c>
      <c r="E406" t="str">
        <f t="shared" si="56"/>
        <v>Dynamic</v>
      </c>
      <c r="F406" t="str">
        <f ca="1">IF(AND(ISNUMBER($F$803),$B$427=1),$F$803,HLOOKUP(INDIRECT(ADDRESS(2,COLUMN())),OFFSET($AM$2,0,0,ROW()-1,33),ROW()-1,FALSE))</f>
        <v/>
      </c>
      <c r="G406">
        <f ca="1">IF(AND(ISNUMBER($G$803),$B$427=1),$G$803,HLOOKUP(INDIRECT(ADDRESS(2,COLUMN())),OFFSET($AM$2,0,0,ROW()-1,33),ROW()-1,FALSE))</f>
        <v>8.1711589480000004</v>
      </c>
      <c r="H406">
        <f ca="1">IF(AND(ISNUMBER($H$803),$B$427=1),$H$803,HLOOKUP(INDIRECT(ADDRESS(2,COLUMN())),OFFSET($AM$2,0,0,ROW()-1,33),ROW()-1,FALSE))</f>
        <v>7.9283388290000003</v>
      </c>
      <c r="I406">
        <f ca="1">IF(AND(ISNUMBER($I$803),$B$427=1),$I$803,HLOOKUP(INDIRECT(ADDRESS(2,COLUMN())),OFFSET($AM$2,0,0,ROW()-1,33),ROW()-1,FALSE))</f>
        <v>7.9201117439999997</v>
      </c>
      <c r="J406">
        <f ca="1">IF(AND(ISNUMBER($J$803),$B$427=1),$J$803,HLOOKUP(INDIRECT(ADDRESS(2,COLUMN())),OFFSET($AM$2,0,0,ROW()-1,33),ROW()-1,FALSE))</f>
        <v>8.2052223390000005</v>
      </c>
      <c r="K406">
        <f ca="1">IF(AND(ISNUMBER($K$803),$B$427=1),$K$803,HLOOKUP(INDIRECT(ADDRESS(2,COLUMN())),OFFSET($AM$2,0,0,ROW()-1,33),ROW()-1,FALSE))</f>
        <v>7.8313397130000002</v>
      </c>
      <c r="L406">
        <f ca="1">IF(AND(ISNUMBER($L$803),$B$427=1),$L$803,HLOOKUP(INDIRECT(ADDRESS(2,COLUMN())),OFFSET($AM$2,0,0,ROW()-1,33),ROW()-1,FALSE))</f>
        <v>8.2484905029999993</v>
      </c>
      <c r="M406">
        <f ca="1">IF(AND(ISNUMBER($M$803),$B$427=1),$M$803,HLOOKUP(INDIRECT(ADDRESS(2,COLUMN())),OFFSET($AM$2,0,0,ROW()-1,33),ROW()-1,FALSE))</f>
        <v>7.9227435279999998</v>
      </c>
      <c r="N406">
        <f ca="1">IF(AND(ISNUMBER($N$803),$B$427=1),$N$803,HLOOKUP(INDIRECT(ADDRESS(2,COLUMN())),OFFSET($AM$2,0,0,ROW()-1,33),ROW()-1,FALSE))</f>
        <v>6.9161899780000002</v>
      </c>
      <c r="O406">
        <f ca="1">IF(AND(ISNUMBER($O$803),$B$427=1),$O$803,HLOOKUP(INDIRECT(ADDRESS(2,COLUMN())),OFFSET($AM$2,0,0,ROW()-1,33),ROW()-1,FALSE))</f>
        <v>5.4965331720000004</v>
      </c>
      <c r="P406">
        <f ca="1">IF(AND(ISNUMBER($P$803),$B$427=1),$P$803,HLOOKUP(INDIRECT(ADDRESS(2,COLUMN())),OFFSET($AM$2,0,0,ROW()-1,33),ROW()-1,FALSE))</f>
        <v>3.5541561480000001</v>
      </c>
      <c r="Q406">
        <f ca="1">IF(AND(ISNUMBER($Q$803),$B$427=1),$Q$803,HLOOKUP(INDIRECT(ADDRESS(2,COLUMN())),OFFSET($AM$2,0,0,ROW()-1,33),ROW()-1,FALSE))</f>
        <v>3.9339129480000001</v>
      </c>
      <c r="R406">
        <f ca="1">IF(AND(ISNUMBER($R$803),$B$427=1),$R$803,HLOOKUP(INDIRECT(ADDRESS(2,COLUMN())),OFFSET($AM$2,0,0,ROW()-1,33),ROW()-1,FALSE))</f>
        <v>4.1395515969999996</v>
      </c>
      <c r="S406">
        <f ca="1">IF(AND(ISNUMBER($S$803),$B$427=1),$S$803,HLOOKUP(INDIRECT(ADDRESS(2,COLUMN())),OFFSET($AM$2,0,0,ROW()-1,33),ROW()-1,FALSE))</f>
        <v>4.2325884819999997</v>
      </c>
      <c r="T406">
        <f ca="1">IF(AND(ISNUMBER($T$803),$B$427=1),$T$803,HLOOKUP(INDIRECT(ADDRESS(2,COLUMN())),OFFSET($AM$2,0,0,ROW()-1,33),ROW()-1,FALSE))</f>
        <v>3.8842513379999999</v>
      </c>
      <c r="U406" t="str">
        <f ca="1">IF(AND(ISNUMBER($U$803),$B$427=1),$U$803,HLOOKUP(INDIRECT(ADDRESS(2,COLUMN())),OFFSET($AM$2,0,0,ROW()-1,33),ROW()-1,FALSE))</f>
        <v/>
      </c>
      <c r="V406" t="str">
        <f ca="1">IF(AND(ISNUMBER($V$803),$B$427=1),$V$803,HLOOKUP(INDIRECT(ADDRESS(2,COLUMN())),OFFSET($AM$2,0,0,ROW()-1,33),ROW()-1,FALSE))</f>
        <v/>
      </c>
      <c r="W406" t="str">
        <f ca="1">IF(AND(ISNUMBER($W$803),$B$427=1),$W$803,HLOOKUP(INDIRECT(ADDRESS(2,COLUMN())),OFFSET($AM$2,0,0,ROW()-1,33),ROW()-1,FALSE))</f>
        <v/>
      </c>
      <c r="X406" t="str">
        <f ca="1">IF(AND(ISNUMBER($X$803),$B$427=1),$X$803,HLOOKUP(INDIRECT(ADDRESS(2,COLUMN())),OFFSET($AM$2,0,0,ROW()-1,33),ROW()-1,FALSE))</f>
        <v/>
      </c>
      <c r="Y406" t="str">
        <f ca="1">IF(AND(ISNUMBER($Y$803),$B$427=1),$Y$803,HLOOKUP(INDIRECT(ADDRESS(2,COLUMN())),OFFSET($AM$2,0,0,ROW()-1,33),ROW()-1,FALSE))</f>
        <v/>
      </c>
      <c r="Z406" t="str">
        <f ca="1">IF(AND(ISNUMBER($Z$803),$B$427=1),$Z$803,HLOOKUP(INDIRECT(ADDRESS(2,COLUMN())),OFFSET($AM$2,0,0,ROW()-1,33),ROW()-1,FALSE))</f>
        <v/>
      </c>
      <c r="AA406" t="str">
        <f ca="1">IF(AND(ISNUMBER($AA$803),$B$427=1),$AA$803,HLOOKUP(INDIRECT(ADDRESS(2,COLUMN())),OFFSET($AM$2,0,0,ROW()-1,33),ROW()-1,FALSE))</f>
        <v/>
      </c>
      <c r="AB406" t="str">
        <f ca="1">IF(AND(ISNUMBER($AB$803),$B$427=1),$AB$803,HLOOKUP(INDIRECT(ADDRESS(2,COLUMN())),OFFSET($AM$2,0,0,ROW()-1,33),ROW()-1,FALSE))</f>
        <v/>
      </c>
      <c r="AC406" t="str">
        <f ca="1">IF(AND(ISNUMBER($AC$803),$B$427=1),$AC$803,HLOOKUP(INDIRECT(ADDRESS(2,COLUMN())),OFFSET($AM$2,0,0,ROW()-1,33),ROW()-1,FALSE))</f>
        <v/>
      </c>
      <c r="AD406" t="str">
        <f ca="1">IF(AND(ISNUMBER($AD$803),$B$427=1),$AD$803,HLOOKUP(INDIRECT(ADDRESS(2,COLUMN())),OFFSET($AM$2,0,0,ROW()-1,33),ROW()-1,FALSE))</f>
        <v/>
      </c>
      <c r="AE406" t="str">
        <f ca="1">IF(AND(ISNUMBER($AE$803),$B$427=1),$AE$803,HLOOKUP(INDIRECT(ADDRESS(2,COLUMN())),OFFSET($AM$2,0,0,ROW()-1,33),ROW()-1,FALSE))</f>
        <v/>
      </c>
      <c r="AF406" t="str">
        <f ca="1">IF(AND(ISNUMBER($AF$803),$B$427=1),$AF$803,HLOOKUP(INDIRECT(ADDRESS(2,COLUMN())),OFFSET($AM$2,0,0,ROW()-1,33),ROW()-1,FALSE))</f>
        <v/>
      </c>
      <c r="AG406" t="str">
        <f ca="1">IF(AND(ISNUMBER($AG$803),$B$427=1),$AG$803,HLOOKUP(INDIRECT(ADDRESS(2,COLUMN())),OFFSET($AM$2,0,0,ROW()-1,33),ROW()-1,FALSE))</f>
        <v/>
      </c>
      <c r="AH406" t="str">
        <f ca="1">IF(AND(ISNUMBER($AH$803),$B$427=1),$AH$803,HLOOKUP(INDIRECT(ADDRESS(2,COLUMN())),OFFSET($AM$2,0,0,ROW()-1,33),ROW()-1,FALSE))</f>
        <v/>
      </c>
      <c r="AI406" t="str">
        <f ca="1">IF(AND(ISNUMBER($AI$803),$B$427=1),$AI$803,HLOOKUP(INDIRECT(ADDRESS(2,COLUMN())),OFFSET($AM$2,0,0,ROW()-1,33),ROW()-1,FALSE))</f>
        <v/>
      </c>
      <c r="AJ406" t="str">
        <f ca="1">IF(AND(ISNUMBER($AJ$803),$B$427=1),$AJ$803,HLOOKUP(INDIRECT(ADDRESS(2,COLUMN())),OFFSET($AM$2,0,0,ROW()-1,33),ROW()-1,FALSE))</f>
        <v/>
      </c>
      <c r="AK406" t="str">
        <f ca="1">IF(AND(ISNUMBER($AK$803),$B$427=1),$AK$803,HLOOKUP(INDIRECT(ADDRESS(2,COLUMN())),OFFSET($AM$2,0,0,ROW()-1,33),ROW()-1,FALSE))</f>
        <v/>
      </c>
      <c r="AL406" t="str">
        <f ca="1">IF(AND(ISNUMBER($AL$803),$B$427=1),$AL$803,HLOOKUP(INDIRECT(ADDRESS(2,COLUMN())),OFFSET($AM$2,0,0,ROW()-1,33),ROW()-1,FALSE))</f>
        <v/>
      </c>
      <c r="AM406" t="str">
        <f>""</f>
        <v/>
      </c>
      <c r="AN406">
        <f>8.171158948</f>
        <v>8.1711589480000004</v>
      </c>
      <c r="AO406">
        <f>7.928338829</f>
        <v>7.9283388290000003</v>
      </c>
      <c r="AP406">
        <f>7.920111744</f>
        <v>7.9201117439999997</v>
      </c>
      <c r="AQ406">
        <f>8.205222339</f>
        <v>8.2052223390000005</v>
      </c>
      <c r="AR406">
        <f>7.831339713</f>
        <v>7.8313397130000002</v>
      </c>
      <c r="AS406">
        <f>8.248490503</f>
        <v>8.2484905029999993</v>
      </c>
      <c r="AT406">
        <f>7.922743528</f>
        <v>7.9227435279999998</v>
      </c>
      <c r="AU406">
        <f>6.916189978</f>
        <v>6.9161899780000002</v>
      </c>
      <c r="AV406">
        <f>5.496533172</f>
        <v>5.4965331720000004</v>
      </c>
      <c r="AW406">
        <f>3.554156148</f>
        <v>3.5541561480000001</v>
      </c>
      <c r="AX406">
        <f>3.933912948</f>
        <v>3.9339129480000001</v>
      </c>
      <c r="AY406">
        <f>4.139551597</f>
        <v>4.1395515969999996</v>
      </c>
      <c r="AZ406">
        <f>4.232588482</f>
        <v>4.2325884819999997</v>
      </c>
      <c r="BA406">
        <f>3.884251338</f>
        <v>3.8842513379999999</v>
      </c>
      <c r="BB406" t="str">
        <f>""</f>
        <v/>
      </c>
      <c r="BC406" t="str">
        <f>""</f>
        <v/>
      </c>
      <c r="BD406" t="str">
        <f>""</f>
        <v/>
      </c>
      <c r="BE406" t="str">
        <f>""</f>
        <v/>
      </c>
      <c r="BF406" t="str">
        <f>""</f>
        <v/>
      </c>
      <c r="BG406" t="str">
        <f>""</f>
        <v/>
      </c>
      <c r="BH406" t="str">
        <f>""</f>
        <v/>
      </c>
      <c r="BI406" t="str">
        <f>""</f>
        <v/>
      </c>
      <c r="BJ406" t="str">
        <f>""</f>
        <v/>
      </c>
      <c r="BK406" t="str">
        <f>""</f>
        <v/>
      </c>
      <c r="BL406" t="str">
        <f>""</f>
        <v/>
      </c>
      <c r="BM406" t="str">
        <f>""</f>
        <v/>
      </c>
      <c r="BN406" t="str">
        <f>""</f>
        <v/>
      </c>
      <c r="BO406" t="str">
        <f>""</f>
        <v/>
      </c>
      <c r="BP406" t="str">
        <f>""</f>
        <v/>
      </c>
      <c r="BQ406" t="str">
        <f>""</f>
        <v/>
      </c>
      <c r="BR406" t="str">
        <f>""</f>
        <v/>
      </c>
      <c r="BS406" t="str">
        <f>""</f>
        <v/>
      </c>
    </row>
    <row r="407" spans="1:71" x14ac:dyDescent="0.25">
      <c r="A407" t="str">
        <f>"        Truist Financial Corp"</f>
        <v xml:space="preserve">        Truist Financial Corp</v>
      </c>
      <c r="B407" t="str">
        <f>"TFC US Equity"</f>
        <v>TFC US Equity</v>
      </c>
      <c r="C407" t="str">
        <f t="shared" si="54"/>
        <v>F0128</v>
      </c>
      <c r="D407" t="str">
        <f t="shared" si="55"/>
        <v>FED_OTH_NONCONS_LNS_%_TOT_LNS_LS</v>
      </c>
      <c r="E407" t="str">
        <f t="shared" si="56"/>
        <v>Dynamic</v>
      </c>
      <c r="F407">
        <f ca="1">IF(AND(ISNUMBER($F$804),$B$427=1),$F$804,HLOOKUP(INDIRECT(ADDRESS(2,COLUMN())),OFFSET($AM$2,0,0,ROW()-1,33),ROW()-1,FALSE))</f>
        <v>9.8001436129999995</v>
      </c>
      <c r="G407">
        <f ca="1">IF(AND(ISNUMBER($G$804),$B$427=1),$G$804,HLOOKUP(INDIRECT(ADDRESS(2,COLUMN())),OFFSET($AM$2,0,0,ROW()-1,33),ROW()-1,FALSE))</f>
        <v>9.8640139659999999</v>
      </c>
      <c r="H407">
        <f ca="1">IF(AND(ISNUMBER($H$804),$B$427=1),$H$804,HLOOKUP(INDIRECT(ADDRESS(2,COLUMN())),OFFSET($AM$2,0,0,ROW()-1,33),ROW()-1,FALSE))</f>
        <v>8.4093026099999992</v>
      </c>
      <c r="I407">
        <f ca="1">IF(AND(ISNUMBER($I$804),$B$427=1),$I$804,HLOOKUP(INDIRECT(ADDRESS(2,COLUMN())),OFFSET($AM$2,0,0,ROW()-1,33),ROW()-1,FALSE))</f>
        <v>8.3071434639999993</v>
      </c>
      <c r="J407">
        <f ca="1">IF(AND(ISNUMBER($J$804),$B$427=1),$J$804,HLOOKUP(INDIRECT(ADDRESS(2,COLUMN())),OFFSET($AM$2,0,0,ROW()-1,33),ROW()-1,FALSE))</f>
        <v>7.6996530329999997</v>
      </c>
      <c r="K407">
        <f ca="1">IF(AND(ISNUMBER($K$804),$B$427=1),$K$804,HLOOKUP(INDIRECT(ADDRESS(2,COLUMN())),OFFSET($AM$2,0,0,ROW()-1,33),ROW()-1,FALSE))</f>
        <v>6.8147234880000003</v>
      </c>
      <c r="L407">
        <f ca="1">IF(AND(ISNUMBER($L$804),$B$427=1),$L$804,HLOOKUP(INDIRECT(ADDRESS(2,COLUMN())),OFFSET($AM$2,0,0,ROW()-1,33),ROW()-1,FALSE))</f>
        <v>7.7412817250000003</v>
      </c>
      <c r="M407">
        <f ca="1">IF(AND(ISNUMBER($M$804),$B$427=1),$M$804,HLOOKUP(INDIRECT(ADDRESS(2,COLUMN())),OFFSET($AM$2,0,0,ROW()-1,33),ROW()-1,FALSE))</f>
        <v>8.0255524860000005</v>
      </c>
      <c r="N407">
        <f ca="1">IF(AND(ISNUMBER($N$804),$B$427=1),$N$804,HLOOKUP(INDIRECT(ADDRESS(2,COLUMN())),OFFSET($AM$2,0,0,ROW()-1,33),ROW()-1,FALSE))</f>
        <v>6.843033385</v>
      </c>
      <c r="O407">
        <f ca="1">IF(AND(ISNUMBER($O$804),$B$427=1),$O$804,HLOOKUP(INDIRECT(ADDRESS(2,COLUMN())),OFFSET($AM$2,0,0,ROW()-1,33),ROW()-1,FALSE))</f>
        <v>6.7167833640000003</v>
      </c>
      <c r="P407">
        <f ca="1">IF(AND(ISNUMBER($P$804),$B$427=1),$P$804,HLOOKUP(INDIRECT(ADDRESS(2,COLUMN())),OFFSET($AM$2,0,0,ROW()-1,33),ROW()-1,FALSE))</f>
        <v>6.6609222389999996</v>
      </c>
      <c r="Q407">
        <f ca="1">IF(AND(ISNUMBER($Q$804),$B$427=1),$Q$804,HLOOKUP(INDIRECT(ADDRESS(2,COLUMN())),OFFSET($AM$2,0,0,ROW()-1,33),ROW()-1,FALSE))</f>
        <v>6.6274537249999996</v>
      </c>
      <c r="R407">
        <f ca="1">IF(AND(ISNUMBER($R$804),$B$427=1),$R$804,HLOOKUP(INDIRECT(ADDRESS(2,COLUMN())),OFFSET($AM$2,0,0,ROW()-1,33),ROW()-1,FALSE))</f>
        <v>6.1864936349999997</v>
      </c>
      <c r="S407">
        <f ca="1">IF(AND(ISNUMBER($S$804),$B$427=1),$S$804,HLOOKUP(INDIRECT(ADDRESS(2,COLUMN())),OFFSET($AM$2,0,0,ROW()-1,33),ROW()-1,FALSE))</f>
        <v>5.3584174229999997</v>
      </c>
      <c r="T407">
        <f ca="1">IF(AND(ISNUMBER($T$804),$B$427=1),$T$804,HLOOKUP(INDIRECT(ADDRESS(2,COLUMN())),OFFSET($AM$2,0,0,ROW()-1,33),ROW()-1,FALSE))</f>
        <v>4.9855270569999997</v>
      </c>
      <c r="U407" t="str">
        <f ca="1">IF(AND(ISNUMBER($U$804),$B$427=1),$U$804,HLOOKUP(INDIRECT(ADDRESS(2,COLUMN())),OFFSET($AM$2,0,0,ROW()-1,33),ROW()-1,FALSE))</f>
        <v/>
      </c>
      <c r="V407" t="str">
        <f ca="1">IF(AND(ISNUMBER($V$804),$B$427=1),$V$804,HLOOKUP(INDIRECT(ADDRESS(2,COLUMN())),OFFSET($AM$2,0,0,ROW()-1,33),ROW()-1,FALSE))</f>
        <v/>
      </c>
      <c r="W407" t="str">
        <f ca="1">IF(AND(ISNUMBER($W$804),$B$427=1),$W$804,HLOOKUP(INDIRECT(ADDRESS(2,COLUMN())),OFFSET($AM$2,0,0,ROW()-1,33),ROW()-1,FALSE))</f>
        <v/>
      </c>
      <c r="X407" t="str">
        <f ca="1">IF(AND(ISNUMBER($X$804),$B$427=1),$X$804,HLOOKUP(INDIRECT(ADDRESS(2,COLUMN())),OFFSET($AM$2,0,0,ROW()-1,33),ROW()-1,FALSE))</f>
        <v/>
      </c>
      <c r="Y407" t="str">
        <f ca="1">IF(AND(ISNUMBER($Y$804),$B$427=1),$Y$804,HLOOKUP(INDIRECT(ADDRESS(2,COLUMN())),OFFSET($AM$2,0,0,ROW()-1,33),ROW()-1,FALSE))</f>
        <v/>
      </c>
      <c r="Z407" t="str">
        <f ca="1">IF(AND(ISNUMBER($Z$804),$B$427=1),$Z$804,HLOOKUP(INDIRECT(ADDRESS(2,COLUMN())),OFFSET($AM$2,0,0,ROW()-1,33),ROW()-1,FALSE))</f>
        <v/>
      </c>
      <c r="AA407" t="str">
        <f ca="1">IF(AND(ISNUMBER($AA$804),$B$427=1),$AA$804,HLOOKUP(INDIRECT(ADDRESS(2,COLUMN())),OFFSET($AM$2,0,0,ROW()-1,33),ROW()-1,FALSE))</f>
        <v/>
      </c>
      <c r="AB407" t="str">
        <f ca="1">IF(AND(ISNUMBER($AB$804),$B$427=1),$AB$804,HLOOKUP(INDIRECT(ADDRESS(2,COLUMN())),OFFSET($AM$2,0,0,ROW()-1,33),ROW()-1,FALSE))</f>
        <v/>
      </c>
      <c r="AC407" t="str">
        <f ca="1">IF(AND(ISNUMBER($AC$804),$B$427=1),$AC$804,HLOOKUP(INDIRECT(ADDRESS(2,COLUMN())),OFFSET($AM$2,0,0,ROW()-1,33),ROW()-1,FALSE))</f>
        <v/>
      </c>
      <c r="AD407" t="str">
        <f ca="1">IF(AND(ISNUMBER($AD$804),$B$427=1),$AD$804,HLOOKUP(INDIRECT(ADDRESS(2,COLUMN())),OFFSET($AM$2,0,0,ROW()-1,33),ROW()-1,FALSE))</f>
        <v/>
      </c>
      <c r="AE407" t="str">
        <f ca="1">IF(AND(ISNUMBER($AE$804),$B$427=1),$AE$804,HLOOKUP(INDIRECT(ADDRESS(2,COLUMN())),OFFSET($AM$2,0,0,ROW()-1,33),ROW()-1,FALSE))</f>
        <v/>
      </c>
      <c r="AF407" t="str">
        <f ca="1">IF(AND(ISNUMBER($AF$804),$B$427=1),$AF$804,HLOOKUP(INDIRECT(ADDRESS(2,COLUMN())),OFFSET($AM$2,0,0,ROW()-1,33),ROW()-1,FALSE))</f>
        <v/>
      </c>
      <c r="AG407" t="str">
        <f ca="1">IF(AND(ISNUMBER($AG$804),$B$427=1),$AG$804,HLOOKUP(INDIRECT(ADDRESS(2,COLUMN())),OFFSET($AM$2,0,0,ROW()-1,33),ROW()-1,FALSE))</f>
        <v/>
      </c>
      <c r="AH407" t="str">
        <f ca="1">IF(AND(ISNUMBER($AH$804),$B$427=1),$AH$804,HLOOKUP(INDIRECT(ADDRESS(2,COLUMN())),OFFSET($AM$2,0,0,ROW()-1,33),ROW()-1,FALSE))</f>
        <v/>
      </c>
      <c r="AI407" t="str">
        <f ca="1">IF(AND(ISNUMBER($AI$804),$B$427=1),$AI$804,HLOOKUP(INDIRECT(ADDRESS(2,COLUMN())),OFFSET($AM$2,0,0,ROW()-1,33),ROW()-1,FALSE))</f>
        <v/>
      </c>
      <c r="AJ407" t="str">
        <f ca="1">IF(AND(ISNUMBER($AJ$804),$B$427=1),$AJ$804,HLOOKUP(INDIRECT(ADDRESS(2,COLUMN())),OFFSET($AM$2,0,0,ROW()-1,33),ROW()-1,FALSE))</f>
        <v/>
      </c>
      <c r="AK407" t="str">
        <f ca="1">IF(AND(ISNUMBER($AK$804),$B$427=1),$AK$804,HLOOKUP(INDIRECT(ADDRESS(2,COLUMN())),OFFSET($AM$2,0,0,ROW()-1,33),ROW()-1,FALSE))</f>
        <v/>
      </c>
      <c r="AL407" t="str">
        <f ca="1">IF(AND(ISNUMBER($AL$804),$B$427=1),$AL$804,HLOOKUP(INDIRECT(ADDRESS(2,COLUMN())),OFFSET($AM$2,0,0,ROW()-1,33),ROW()-1,FALSE))</f>
        <v/>
      </c>
      <c r="AM407">
        <f>9.800143613</f>
        <v>9.8001436129999995</v>
      </c>
      <c r="AN407">
        <f>9.864013966</f>
        <v>9.8640139659999999</v>
      </c>
      <c r="AO407">
        <f>8.40930261</f>
        <v>8.4093026099999992</v>
      </c>
      <c r="AP407">
        <f>8.307143464</f>
        <v>8.3071434639999993</v>
      </c>
      <c r="AQ407">
        <f>7.699653033</f>
        <v>7.6996530329999997</v>
      </c>
      <c r="AR407">
        <f>6.814723488</f>
        <v>6.8147234880000003</v>
      </c>
      <c r="AS407">
        <f>7.741281725</f>
        <v>7.7412817250000003</v>
      </c>
      <c r="AT407">
        <f>8.025552486</f>
        <v>8.0255524860000005</v>
      </c>
      <c r="AU407">
        <f>6.843033385</f>
        <v>6.843033385</v>
      </c>
      <c r="AV407">
        <f>6.716783364</f>
        <v>6.7167833640000003</v>
      </c>
      <c r="AW407">
        <f>6.660922239</f>
        <v>6.6609222389999996</v>
      </c>
      <c r="AX407">
        <f>6.627453725</f>
        <v>6.6274537249999996</v>
      </c>
      <c r="AY407">
        <f>6.186493635</f>
        <v>6.1864936349999997</v>
      </c>
      <c r="AZ407">
        <f>5.358417423</f>
        <v>5.3584174229999997</v>
      </c>
      <c r="BA407">
        <f>4.985527057</f>
        <v>4.9855270569999997</v>
      </c>
      <c r="BB407" t="str">
        <f>""</f>
        <v/>
      </c>
      <c r="BC407" t="str">
        <f>""</f>
        <v/>
      </c>
      <c r="BD407" t="str">
        <f>""</f>
        <v/>
      </c>
      <c r="BE407" t="str">
        <f>""</f>
        <v/>
      </c>
      <c r="BF407" t="str">
        <f>""</f>
        <v/>
      </c>
      <c r="BG407" t="str">
        <f>""</f>
        <v/>
      </c>
      <c r="BH407" t="str">
        <f>""</f>
        <v/>
      </c>
      <c r="BI407" t="str">
        <f>""</f>
        <v/>
      </c>
      <c r="BJ407" t="str">
        <f>""</f>
        <v/>
      </c>
      <c r="BK407" t="str">
        <f>""</f>
        <v/>
      </c>
      <c r="BL407" t="str">
        <f>""</f>
        <v/>
      </c>
      <c r="BM407" t="str">
        <f>""</f>
        <v/>
      </c>
      <c r="BN407" t="str">
        <f>""</f>
        <v/>
      </c>
      <c r="BO407" t="str">
        <f>""</f>
        <v/>
      </c>
      <c r="BP407" t="str">
        <f>""</f>
        <v/>
      </c>
      <c r="BQ407" t="str">
        <f>""</f>
        <v/>
      </c>
      <c r="BR407" t="str">
        <f>""</f>
        <v/>
      </c>
      <c r="BS407" t="str">
        <f>""</f>
        <v/>
      </c>
    </row>
    <row r="408" spans="1:71" x14ac:dyDescent="0.25">
      <c r="A408" t="str">
        <f>"        US Bancorp"</f>
        <v xml:space="preserve">        US Bancorp</v>
      </c>
      <c r="B408" t="str">
        <f>"USB US Equity"</f>
        <v>USB US Equity</v>
      </c>
      <c r="C408" t="str">
        <f t="shared" si="54"/>
        <v>F0128</v>
      </c>
      <c r="D408" t="str">
        <f t="shared" si="55"/>
        <v>FED_OTH_NONCONS_LNS_%_TOT_LNS_LS</v>
      </c>
      <c r="E408" t="str">
        <f t="shared" si="56"/>
        <v>Dynamic</v>
      </c>
      <c r="F408">
        <f ca="1">IF(AND(ISNUMBER($F$805),$B$427=1),$F$805,HLOOKUP(INDIRECT(ADDRESS(2,COLUMN())),OFFSET($AM$2,0,0,ROW()-1,33),ROW()-1,FALSE))</f>
        <v>3.922542854</v>
      </c>
      <c r="G408">
        <f ca="1">IF(AND(ISNUMBER($G$805),$B$427=1),$G$805,HLOOKUP(INDIRECT(ADDRESS(2,COLUMN())),OFFSET($AM$2,0,0,ROW()-1,33),ROW()-1,FALSE))</f>
        <v>4.1583784530000001</v>
      </c>
      <c r="H408">
        <f ca="1">IF(AND(ISNUMBER($H$805),$B$427=1),$H$805,HLOOKUP(INDIRECT(ADDRESS(2,COLUMN())),OFFSET($AM$2,0,0,ROW()-1,33),ROW()-1,FALSE))</f>
        <v>3.9253303549999998</v>
      </c>
      <c r="I408">
        <f ca="1">IF(AND(ISNUMBER($I$805),$B$427=1),$I$805,HLOOKUP(INDIRECT(ADDRESS(2,COLUMN())),OFFSET($AM$2,0,0,ROW()-1,33),ROW()-1,FALSE))</f>
        <v>4.6165920900000001</v>
      </c>
      <c r="J408">
        <f ca="1">IF(AND(ISNUMBER($J$805),$B$427=1),$J$805,HLOOKUP(INDIRECT(ADDRESS(2,COLUMN())),OFFSET($AM$2,0,0,ROW()-1,33),ROW()-1,FALSE))</f>
        <v>4.9447250609999998</v>
      </c>
      <c r="K408">
        <f ca="1">IF(AND(ISNUMBER($K$805),$B$427=1),$K$805,HLOOKUP(INDIRECT(ADDRESS(2,COLUMN())),OFFSET($AM$2,0,0,ROW()-1,33),ROW()-1,FALSE))</f>
        <v>4.6913948550000004</v>
      </c>
      <c r="L408">
        <f ca="1">IF(AND(ISNUMBER($L$805),$B$427=1),$L$805,HLOOKUP(INDIRECT(ADDRESS(2,COLUMN())),OFFSET($AM$2,0,0,ROW()-1,33),ROW()-1,FALSE))</f>
        <v>5.4679437899999996</v>
      </c>
      <c r="M408">
        <f ca="1">IF(AND(ISNUMBER($M$805),$B$427=1),$M$805,HLOOKUP(INDIRECT(ADDRESS(2,COLUMN())),OFFSET($AM$2,0,0,ROW()-1,33),ROW()-1,FALSE))</f>
        <v>5.9764737429999997</v>
      </c>
      <c r="N408">
        <f ca="1">IF(AND(ISNUMBER($N$805),$B$427=1),$N$805,HLOOKUP(INDIRECT(ADDRESS(2,COLUMN())),OFFSET($AM$2,0,0,ROW()-1,33),ROW()-1,FALSE))</f>
        <v>5.9203762949999996</v>
      </c>
      <c r="O408">
        <f ca="1">IF(AND(ISNUMBER($O$805),$B$427=1),$O$805,HLOOKUP(INDIRECT(ADDRESS(2,COLUMN())),OFFSET($AM$2,0,0,ROW()-1,33),ROW()-1,FALSE))</f>
        <v>5.5482678769999998</v>
      </c>
      <c r="P408">
        <f ca="1">IF(AND(ISNUMBER($P$805),$B$427=1),$P$805,HLOOKUP(INDIRECT(ADDRESS(2,COLUMN())),OFFSET($AM$2,0,0,ROW()-1,33),ROW()-1,FALSE))</f>
        <v>5.011373216</v>
      </c>
      <c r="Q408">
        <f ca="1">IF(AND(ISNUMBER($Q$805),$B$427=1),$Q$805,HLOOKUP(INDIRECT(ADDRESS(2,COLUMN())),OFFSET($AM$2,0,0,ROW()-1,33),ROW()-1,FALSE))</f>
        <v>5.0923795820000004</v>
      </c>
      <c r="R408">
        <f ca="1">IF(AND(ISNUMBER($R$805),$B$427=1),$R$805,HLOOKUP(INDIRECT(ADDRESS(2,COLUMN())),OFFSET($AM$2,0,0,ROW()-1,33),ROW()-1,FALSE))</f>
        <v>4.9294641889999999</v>
      </c>
      <c r="S408">
        <f ca="1">IF(AND(ISNUMBER($S$805),$B$427=1),$S$805,HLOOKUP(INDIRECT(ADDRESS(2,COLUMN())),OFFSET($AM$2,0,0,ROW()-1,33),ROW()-1,FALSE))</f>
        <v>3.9059986480000002</v>
      </c>
      <c r="T408">
        <f ca="1">IF(AND(ISNUMBER($T$805),$B$427=1),$T$805,HLOOKUP(INDIRECT(ADDRESS(2,COLUMN())),OFFSET($AM$2,0,0,ROW()-1,33),ROW()-1,FALSE))</f>
        <v>3.1869299780000002</v>
      </c>
      <c r="U408" t="str">
        <f ca="1">IF(AND(ISNUMBER($U$805),$B$427=1),$U$805,HLOOKUP(INDIRECT(ADDRESS(2,COLUMN())),OFFSET($AM$2,0,0,ROW()-1,33),ROW()-1,FALSE))</f>
        <v/>
      </c>
      <c r="V408" t="str">
        <f ca="1">IF(AND(ISNUMBER($V$805),$B$427=1),$V$805,HLOOKUP(INDIRECT(ADDRESS(2,COLUMN())),OFFSET($AM$2,0,0,ROW()-1,33),ROW()-1,FALSE))</f>
        <v/>
      </c>
      <c r="W408" t="str">
        <f ca="1">IF(AND(ISNUMBER($W$805),$B$427=1),$W$805,HLOOKUP(INDIRECT(ADDRESS(2,COLUMN())),OFFSET($AM$2,0,0,ROW()-1,33),ROW()-1,FALSE))</f>
        <v/>
      </c>
      <c r="X408" t="str">
        <f ca="1">IF(AND(ISNUMBER($X$805),$B$427=1),$X$805,HLOOKUP(INDIRECT(ADDRESS(2,COLUMN())),OFFSET($AM$2,0,0,ROW()-1,33),ROW()-1,FALSE))</f>
        <v/>
      </c>
      <c r="Y408" t="str">
        <f ca="1">IF(AND(ISNUMBER($Y$805),$B$427=1),$Y$805,HLOOKUP(INDIRECT(ADDRESS(2,COLUMN())),OFFSET($AM$2,0,0,ROW()-1,33),ROW()-1,FALSE))</f>
        <v/>
      </c>
      <c r="Z408" t="str">
        <f ca="1">IF(AND(ISNUMBER($Z$805),$B$427=1),$Z$805,HLOOKUP(INDIRECT(ADDRESS(2,COLUMN())),OFFSET($AM$2,0,0,ROW()-1,33),ROW()-1,FALSE))</f>
        <v/>
      </c>
      <c r="AA408" t="str">
        <f ca="1">IF(AND(ISNUMBER($AA$805),$B$427=1),$AA$805,HLOOKUP(INDIRECT(ADDRESS(2,COLUMN())),OFFSET($AM$2,0,0,ROW()-1,33),ROW()-1,FALSE))</f>
        <v/>
      </c>
      <c r="AB408" t="str">
        <f ca="1">IF(AND(ISNUMBER($AB$805),$B$427=1),$AB$805,HLOOKUP(INDIRECT(ADDRESS(2,COLUMN())),OFFSET($AM$2,0,0,ROW()-1,33),ROW()-1,FALSE))</f>
        <v/>
      </c>
      <c r="AC408" t="str">
        <f ca="1">IF(AND(ISNUMBER($AC$805),$B$427=1),$AC$805,HLOOKUP(INDIRECT(ADDRESS(2,COLUMN())),OFFSET($AM$2,0,0,ROW()-1,33),ROW()-1,FALSE))</f>
        <v/>
      </c>
      <c r="AD408" t="str">
        <f ca="1">IF(AND(ISNUMBER($AD$805),$B$427=1),$AD$805,HLOOKUP(INDIRECT(ADDRESS(2,COLUMN())),OFFSET($AM$2,0,0,ROW()-1,33),ROW()-1,FALSE))</f>
        <v/>
      </c>
      <c r="AE408" t="str">
        <f ca="1">IF(AND(ISNUMBER($AE$805),$B$427=1),$AE$805,HLOOKUP(INDIRECT(ADDRESS(2,COLUMN())),OFFSET($AM$2,0,0,ROW()-1,33),ROW()-1,FALSE))</f>
        <v/>
      </c>
      <c r="AF408" t="str">
        <f ca="1">IF(AND(ISNUMBER($AF$805),$B$427=1),$AF$805,HLOOKUP(INDIRECT(ADDRESS(2,COLUMN())),OFFSET($AM$2,0,0,ROW()-1,33),ROW()-1,FALSE))</f>
        <v/>
      </c>
      <c r="AG408" t="str">
        <f ca="1">IF(AND(ISNUMBER($AG$805),$B$427=1),$AG$805,HLOOKUP(INDIRECT(ADDRESS(2,COLUMN())),OFFSET($AM$2,0,0,ROW()-1,33),ROW()-1,FALSE))</f>
        <v/>
      </c>
      <c r="AH408" t="str">
        <f ca="1">IF(AND(ISNUMBER($AH$805),$B$427=1),$AH$805,HLOOKUP(INDIRECT(ADDRESS(2,COLUMN())),OFFSET($AM$2,0,0,ROW()-1,33),ROW()-1,FALSE))</f>
        <v/>
      </c>
      <c r="AI408" t="str">
        <f ca="1">IF(AND(ISNUMBER($AI$805),$B$427=1),$AI$805,HLOOKUP(INDIRECT(ADDRESS(2,COLUMN())),OFFSET($AM$2,0,0,ROW()-1,33),ROW()-1,FALSE))</f>
        <v/>
      </c>
      <c r="AJ408" t="str">
        <f ca="1">IF(AND(ISNUMBER($AJ$805),$B$427=1),$AJ$805,HLOOKUP(INDIRECT(ADDRESS(2,COLUMN())),OFFSET($AM$2,0,0,ROW()-1,33),ROW()-1,FALSE))</f>
        <v/>
      </c>
      <c r="AK408" t="str">
        <f ca="1">IF(AND(ISNUMBER($AK$805),$B$427=1),$AK$805,HLOOKUP(INDIRECT(ADDRESS(2,COLUMN())),OFFSET($AM$2,0,0,ROW()-1,33),ROW()-1,FALSE))</f>
        <v/>
      </c>
      <c r="AL408" t="str">
        <f ca="1">IF(AND(ISNUMBER($AL$805),$B$427=1),$AL$805,HLOOKUP(INDIRECT(ADDRESS(2,COLUMN())),OFFSET($AM$2,0,0,ROW()-1,33),ROW()-1,FALSE))</f>
        <v/>
      </c>
      <c r="AM408">
        <f>3.922542854</f>
        <v>3.922542854</v>
      </c>
      <c r="AN408">
        <f>4.158378453</f>
        <v>4.1583784530000001</v>
      </c>
      <c r="AO408">
        <f>3.925330355</f>
        <v>3.9253303549999998</v>
      </c>
      <c r="AP408">
        <f>4.61659209</f>
        <v>4.6165920900000001</v>
      </c>
      <c r="AQ408">
        <f>4.944725061</f>
        <v>4.9447250609999998</v>
      </c>
      <c r="AR408">
        <f>4.691394855</f>
        <v>4.6913948550000004</v>
      </c>
      <c r="AS408">
        <f>5.46794379</f>
        <v>5.4679437899999996</v>
      </c>
      <c r="AT408">
        <f>5.976473743</f>
        <v>5.9764737429999997</v>
      </c>
      <c r="AU408">
        <f>5.920376295</f>
        <v>5.9203762949999996</v>
      </c>
      <c r="AV408">
        <f>5.548267877</f>
        <v>5.5482678769999998</v>
      </c>
      <c r="AW408">
        <f>5.011373216</f>
        <v>5.011373216</v>
      </c>
      <c r="AX408">
        <f>5.092379582</f>
        <v>5.0923795820000004</v>
      </c>
      <c r="AY408">
        <f>4.929464189</f>
        <v>4.9294641889999999</v>
      </c>
      <c r="AZ408">
        <f>3.905998648</f>
        <v>3.9059986480000002</v>
      </c>
      <c r="BA408">
        <f>3.186929978</f>
        <v>3.1869299780000002</v>
      </c>
      <c r="BB408" t="str">
        <f>""</f>
        <v/>
      </c>
      <c r="BC408" t="str">
        <f>""</f>
        <v/>
      </c>
      <c r="BD408" t="str">
        <f>""</f>
        <v/>
      </c>
      <c r="BE408" t="str">
        <f>""</f>
        <v/>
      </c>
      <c r="BF408" t="str">
        <f>""</f>
        <v/>
      </c>
      <c r="BG408" t="str">
        <f>""</f>
        <v/>
      </c>
      <c r="BH408" t="str">
        <f>""</f>
        <v/>
      </c>
      <c r="BI408" t="str">
        <f>""</f>
        <v/>
      </c>
      <c r="BJ408" t="str">
        <f>""</f>
        <v/>
      </c>
      <c r="BK408" t="str">
        <f>""</f>
        <v/>
      </c>
      <c r="BL408" t="str">
        <f>""</f>
        <v/>
      </c>
      <c r="BM408" t="str">
        <f>""</f>
        <v/>
      </c>
      <c r="BN408" t="str">
        <f>""</f>
        <v/>
      </c>
      <c r="BO408" t="str">
        <f>""</f>
        <v/>
      </c>
      <c r="BP408" t="str">
        <f>""</f>
        <v/>
      </c>
      <c r="BQ408" t="str">
        <f>""</f>
        <v/>
      </c>
      <c r="BR408" t="str">
        <f>""</f>
        <v/>
      </c>
      <c r="BS408" t="str">
        <f>""</f>
        <v/>
      </c>
    </row>
    <row r="409" spans="1:71" x14ac:dyDescent="0.25">
      <c r="A409" t="str">
        <f>"        Wells Fargo &amp; Co"</f>
        <v xml:space="preserve">        Wells Fargo &amp; Co</v>
      </c>
      <c r="B409" t="str">
        <f>"WFC US Equity"</f>
        <v>WFC US Equity</v>
      </c>
      <c r="C409" t="str">
        <f t="shared" si="54"/>
        <v>F0128</v>
      </c>
      <c r="D409" t="str">
        <f t="shared" si="55"/>
        <v>FED_OTH_NONCONS_LNS_%_TOT_LNS_LS</v>
      </c>
      <c r="E409" t="str">
        <f t="shared" si="56"/>
        <v>Dynamic</v>
      </c>
      <c r="F409">
        <f ca="1">IF(AND(ISNUMBER($F$806),$B$427=1),$F$806,HLOOKUP(INDIRECT(ADDRESS(2,COLUMN())),OFFSET($AM$2,0,0,ROW()-1,33),ROW()-1,FALSE))</f>
        <v>2.9587576389999999</v>
      </c>
      <c r="G409">
        <f ca="1">IF(AND(ISNUMBER($G$806),$B$427=1),$G$806,HLOOKUP(INDIRECT(ADDRESS(2,COLUMN())),OFFSET($AM$2,0,0,ROW()-1,33),ROW()-1,FALSE))</f>
        <v>2.8028622350000001</v>
      </c>
      <c r="H409">
        <f ca="1">IF(AND(ISNUMBER($H$806),$B$427=1),$H$806,HLOOKUP(INDIRECT(ADDRESS(2,COLUMN())),OFFSET($AM$2,0,0,ROW()-1,33),ROW()-1,FALSE))</f>
        <v>2.8258705850000001</v>
      </c>
      <c r="I409">
        <f ca="1">IF(AND(ISNUMBER($I$806),$B$427=1),$I$806,HLOOKUP(INDIRECT(ADDRESS(2,COLUMN())),OFFSET($AM$2,0,0,ROW()-1,33),ROW()-1,FALSE))</f>
        <v>2.6510045849999999</v>
      </c>
      <c r="J409">
        <f ca="1">IF(AND(ISNUMBER($J$806),$B$427=1),$J$806,HLOOKUP(INDIRECT(ADDRESS(2,COLUMN())),OFFSET($AM$2,0,0,ROW()-1,33),ROW()-1,FALSE))</f>
        <v>2.8771466490000002</v>
      </c>
      <c r="K409">
        <f ca="1">IF(AND(ISNUMBER($K$806),$B$427=1),$K$806,HLOOKUP(INDIRECT(ADDRESS(2,COLUMN())),OFFSET($AM$2,0,0,ROW()-1,33),ROW()-1,FALSE))</f>
        <v>2.6165624379999999</v>
      </c>
      <c r="L409">
        <f ca="1">IF(AND(ISNUMBER($L$806),$B$427=1),$L$806,HLOOKUP(INDIRECT(ADDRESS(2,COLUMN())),OFFSET($AM$2,0,0,ROW()-1,33),ROW()-1,FALSE))</f>
        <v>2.868546625</v>
      </c>
      <c r="M409">
        <f ca="1">IF(AND(ISNUMBER($M$806),$B$427=1),$M$806,HLOOKUP(INDIRECT(ADDRESS(2,COLUMN())),OFFSET($AM$2,0,0,ROW()-1,33),ROW()-1,FALSE))</f>
        <v>3.1235416379999998</v>
      </c>
      <c r="N409">
        <f ca="1">IF(AND(ISNUMBER($N$806),$B$427=1),$N$806,HLOOKUP(INDIRECT(ADDRESS(2,COLUMN())),OFFSET($AM$2,0,0,ROW()-1,33),ROW()-1,FALSE))</f>
        <v>3.0948427039999999</v>
      </c>
      <c r="O409">
        <f ca="1">IF(AND(ISNUMBER($O$806),$B$427=1),$O$806,HLOOKUP(INDIRECT(ADDRESS(2,COLUMN())),OFFSET($AM$2,0,0,ROW()-1,33),ROW()-1,FALSE))</f>
        <v>2.7939153440000002</v>
      </c>
      <c r="P409">
        <f ca="1">IF(AND(ISNUMBER($P$806),$B$427=1),$P$806,HLOOKUP(INDIRECT(ADDRESS(2,COLUMN())),OFFSET($AM$2,0,0,ROW()-1,33),ROW()-1,FALSE))</f>
        <v>2.7061626699999999</v>
      </c>
      <c r="Q409">
        <f ca="1">IF(AND(ISNUMBER($Q$806),$B$427=1),$Q$806,HLOOKUP(INDIRECT(ADDRESS(2,COLUMN())),OFFSET($AM$2,0,0,ROW()-1,33),ROW()-1,FALSE))</f>
        <v>1.554665067</v>
      </c>
      <c r="R409">
        <f ca="1">IF(AND(ISNUMBER($R$806),$B$427=1),$R$806,HLOOKUP(INDIRECT(ADDRESS(2,COLUMN())),OFFSET($AM$2,0,0,ROW()-1,33),ROW()-1,FALSE))</f>
        <v>1.1117789179999999</v>
      </c>
      <c r="S409">
        <f ca="1">IF(AND(ISNUMBER($S$806),$B$427=1),$S$806,HLOOKUP(INDIRECT(ADDRESS(2,COLUMN())),OFFSET($AM$2,0,0,ROW()-1,33),ROW()-1,FALSE))</f>
        <v>1.919748671</v>
      </c>
      <c r="T409">
        <f ca="1">IF(AND(ISNUMBER($T$806),$B$427=1),$T$806,HLOOKUP(INDIRECT(ADDRESS(2,COLUMN())),OFFSET($AM$2,0,0,ROW()-1,33),ROW()-1,FALSE))</f>
        <v>2.0874624069999999</v>
      </c>
      <c r="U409" t="str">
        <f ca="1">IF(AND(ISNUMBER($U$806),$B$427=1),$U$806,HLOOKUP(INDIRECT(ADDRESS(2,COLUMN())),OFFSET($AM$2,0,0,ROW()-1,33),ROW()-1,FALSE))</f>
        <v/>
      </c>
      <c r="V409" t="str">
        <f ca="1">IF(AND(ISNUMBER($V$806),$B$427=1),$V$806,HLOOKUP(INDIRECT(ADDRESS(2,COLUMN())),OFFSET($AM$2,0,0,ROW()-1,33),ROW()-1,FALSE))</f>
        <v/>
      </c>
      <c r="W409" t="str">
        <f ca="1">IF(AND(ISNUMBER($W$806),$B$427=1),$W$806,HLOOKUP(INDIRECT(ADDRESS(2,COLUMN())),OFFSET($AM$2,0,0,ROW()-1,33),ROW()-1,FALSE))</f>
        <v/>
      </c>
      <c r="X409" t="str">
        <f ca="1">IF(AND(ISNUMBER($X$806),$B$427=1),$X$806,HLOOKUP(INDIRECT(ADDRESS(2,COLUMN())),OFFSET($AM$2,0,0,ROW()-1,33),ROW()-1,FALSE))</f>
        <v/>
      </c>
      <c r="Y409" t="str">
        <f ca="1">IF(AND(ISNUMBER($Y$806),$B$427=1),$Y$806,HLOOKUP(INDIRECT(ADDRESS(2,COLUMN())),OFFSET($AM$2,0,0,ROW()-1,33),ROW()-1,FALSE))</f>
        <v/>
      </c>
      <c r="Z409" t="str">
        <f ca="1">IF(AND(ISNUMBER($Z$806),$B$427=1),$Z$806,HLOOKUP(INDIRECT(ADDRESS(2,COLUMN())),OFFSET($AM$2,0,0,ROW()-1,33),ROW()-1,FALSE))</f>
        <v/>
      </c>
      <c r="AA409" t="str">
        <f ca="1">IF(AND(ISNUMBER($AA$806),$B$427=1),$AA$806,HLOOKUP(INDIRECT(ADDRESS(2,COLUMN())),OFFSET($AM$2,0,0,ROW()-1,33),ROW()-1,FALSE))</f>
        <v/>
      </c>
      <c r="AB409" t="str">
        <f ca="1">IF(AND(ISNUMBER($AB$806),$B$427=1),$AB$806,HLOOKUP(INDIRECT(ADDRESS(2,COLUMN())),OFFSET($AM$2,0,0,ROW()-1,33),ROW()-1,FALSE))</f>
        <v/>
      </c>
      <c r="AC409" t="str">
        <f ca="1">IF(AND(ISNUMBER($AC$806),$B$427=1),$AC$806,HLOOKUP(INDIRECT(ADDRESS(2,COLUMN())),OFFSET($AM$2,0,0,ROW()-1,33),ROW()-1,FALSE))</f>
        <v/>
      </c>
      <c r="AD409" t="str">
        <f ca="1">IF(AND(ISNUMBER($AD$806),$B$427=1),$AD$806,HLOOKUP(INDIRECT(ADDRESS(2,COLUMN())),OFFSET($AM$2,0,0,ROW()-1,33),ROW()-1,FALSE))</f>
        <v/>
      </c>
      <c r="AE409" t="str">
        <f ca="1">IF(AND(ISNUMBER($AE$806),$B$427=1),$AE$806,HLOOKUP(INDIRECT(ADDRESS(2,COLUMN())),OFFSET($AM$2,0,0,ROW()-1,33),ROW()-1,FALSE))</f>
        <v/>
      </c>
      <c r="AF409" t="str">
        <f ca="1">IF(AND(ISNUMBER($AF$806),$B$427=1),$AF$806,HLOOKUP(INDIRECT(ADDRESS(2,COLUMN())),OFFSET($AM$2,0,0,ROW()-1,33),ROW()-1,FALSE))</f>
        <v/>
      </c>
      <c r="AG409" t="str">
        <f ca="1">IF(AND(ISNUMBER($AG$806),$B$427=1),$AG$806,HLOOKUP(INDIRECT(ADDRESS(2,COLUMN())),OFFSET($AM$2,0,0,ROW()-1,33),ROW()-1,FALSE))</f>
        <v/>
      </c>
      <c r="AH409" t="str">
        <f ca="1">IF(AND(ISNUMBER($AH$806),$B$427=1),$AH$806,HLOOKUP(INDIRECT(ADDRESS(2,COLUMN())),OFFSET($AM$2,0,0,ROW()-1,33),ROW()-1,FALSE))</f>
        <v/>
      </c>
      <c r="AI409" t="str">
        <f ca="1">IF(AND(ISNUMBER($AI$806),$B$427=1),$AI$806,HLOOKUP(INDIRECT(ADDRESS(2,COLUMN())),OFFSET($AM$2,0,0,ROW()-1,33),ROW()-1,FALSE))</f>
        <v/>
      </c>
      <c r="AJ409" t="str">
        <f ca="1">IF(AND(ISNUMBER($AJ$806),$B$427=1),$AJ$806,HLOOKUP(INDIRECT(ADDRESS(2,COLUMN())),OFFSET($AM$2,0,0,ROW()-1,33),ROW()-1,FALSE))</f>
        <v/>
      </c>
      <c r="AK409" t="str">
        <f ca="1">IF(AND(ISNUMBER($AK$806),$B$427=1),$AK$806,HLOOKUP(INDIRECT(ADDRESS(2,COLUMN())),OFFSET($AM$2,0,0,ROW()-1,33),ROW()-1,FALSE))</f>
        <v/>
      </c>
      <c r="AL409" t="str">
        <f ca="1">IF(AND(ISNUMBER($AL$806),$B$427=1),$AL$806,HLOOKUP(INDIRECT(ADDRESS(2,COLUMN())),OFFSET($AM$2,0,0,ROW()-1,33),ROW()-1,FALSE))</f>
        <v/>
      </c>
      <c r="AM409">
        <f>2.958757639</f>
        <v>2.9587576389999999</v>
      </c>
      <c r="AN409">
        <f>2.802862235</f>
        <v>2.8028622350000001</v>
      </c>
      <c r="AO409">
        <f>2.825870585</f>
        <v>2.8258705850000001</v>
      </c>
      <c r="AP409">
        <f>2.651004585</f>
        <v>2.6510045849999999</v>
      </c>
      <c r="AQ409">
        <f>2.877146649</f>
        <v>2.8771466490000002</v>
      </c>
      <c r="AR409">
        <f>2.616562438</f>
        <v>2.6165624379999999</v>
      </c>
      <c r="AS409">
        <f>2.868546625</f>
        <v>2.868546625</v>
      </c>
      <c r="AT409">
        <f>3.123541638</f>
        <v>3.1235416379999998</v>
      </c>
      <c r="AU409">
        <f>3.094842704</f>
        <v>3.0948427039999999</v>
      </c>
      <c r="AV409">
        <f>2.793915344</f>
        <v>2.7939153440000002</v>
      </c>
      <c r="AW409">
        <f>2.70616267</f>
        <v>2.7061626699999999</v>
      </c>
      <c r="AX409">
        <f>1.554665067</f>
        <v>1.554665067</v>
      </c>
      <c r="AY409">
        <f>1.111778918</f>
        <v>1.1117789179999999</v>
      </c>
      <c r="AZ409">
        <f>1.919748671</f>
        <v>1.919748671</v>
      </c>
      <c r="BA409">
        <f>2.087462407</f>
        <v>2.0874624069999999</v>
      </c>
      <c r="BB409" t="str">
        <f>""</f>
        <v/>
      </c>
      <c r="BC409" t="str">
        <f>""</f>
        <v/>
      </c>
      <c r="BD409" t="str">
        <f>""</f>
        <v/>
      </c>
      <c r="BE409" t="str">
        <f>""</f>
        <v/>
      </c>
      <c r="BF409" t="str">
        <f>""</f>
        <v/>
      </c>
      <c r="BG409" t="str">
        <f>""</f>
        <v/>
      </c>
      <c r="BH409" t="str">
        <f>""</f>
        <v/>
      </c>
      <c r="BI409" t="str">
        <f>""</f>
        <v/>
      </c>
      <c r="BJ409" t="str">
        <f>""</f>
        <v/>
      </c>
      <c r="BK409" t="str">
        <f>""</f>
        <v/>
      </c>
      <c r="BL409" t="str">
        <f>""</f>
        <v/>
      </c>
      <c r="BM409" t="str">
        <f>""</f>
        <v/>
      </c>
      <c r="BN409" t="str">
        <f>""</f>
        <v/>
      </c>
      <c r="BO409" t="str">
        <f>""</f>
        <v/>
      </c>
      <c r="BP409" t="str">
        <f>""</f>
        <v/>
      </c>
      <c r="BQ409" t="str">
        <f>""</f>
        <v/>
      </c>
      <c r="BR409" t="str">
        <f>""</f>
        <v/>
      </c>
      <c r="BS409" t="str">
        <f>""</f>
        <v/>
      </c>
    </row>
    <row r="410" spans="1:71" x14ac:dyDescent="0.25">
      <c r="A410" t="str">
        <f>"        Western Alliance Bancorp"</f>
        <v xml:space="preserve">        Western Alliance Bancorp</v>
      </c>
      <c r="B410" t="str">
        <f>"WAL US Equity"</f>
        <v>WAL US Equity</v>
      </c>
      <c r="C410" t="str">
        <f t="shared" si="54"/>
        <v>F0128</v>
      </c>
      <c r="D410" t="str">
        <f t="shared" si="55"/>
        <v>FED_OTH_NONCONS_LNS_%_TOT_LNS_LS</v>
      </c>
      <c r="E410" t="str">
        <f t="shared" si="56"/>
        <v>Dynamic</v>
      </c>
      <c r="F410">
        <f ca="1">IF(AND(ISNUMBER($F$807),$B$427=1),$F$807,HLOOKUP(INDIRECT(ADDRESS(2,COLUMN())),OFFSET($AM$2,0,0,ROW()-1,33),ROW()-1,FALSE))</f>
        <v>3.6450015410000001</v>
      </c>
      <c r="G410">
        <f ca="1">IF(AND(ISNUMBER($G$807),$B$427=1),$G$807,HLOOKUP(INDIRECT(ADDRESS(2,COLUMN())),OFFSET($AM$2,0,0,ROW()-1,33),ROW()-1,FALSE))</f>
        <v>4.048134481</v>
      </c>
      <c r="H410">
        <f ca="1">IF(AND(ISNUMBER($H$807),$B$427=1),$H$807,HLOOKUP(INDIRECT(ADDRESS(2,COLUMN())),OFFSET($AM$2,0,0,ROW()-1,33),ROW()-1,FALSE))</f>
        <v>3.834480122</v>
      </c>
      <c r="I410">
        <f ca="1">IF(AND(ISNUMBER($I$807),$B$427=1),$I$807,HLOOKUP(INDIRECT(ADDRESS(2,COLUMN())),OFFSET($AM$2,0,0,ROW()-1,33),ROW()-1,FALSE))</f>
        <v>4.6441572119999996</v>
      </c>
      <c r="J410">
        <f ca="1">IF(AND(ISNUMBER($J$807),$B$427=1),$J$807,HLOOKUP(INDIRECT(ADDRESS(2,COLUMN())),OFFSET($AM$2,0,0,ROW()-1,33),ROW()-1,FALSE))</f>
        <v>8.5903983060000009</v>
      </c>
      <c r="K410">
        <f ca="1">IF(AND(ISNUMBER($K$807),$B$427=1),$K$807,HLOOKUP(INDIRECT(ADDRESS(2,COLUMN())),OFFSET($AM$2,0,0,ROW()-1,33),ROW()-1,FALSE))</f>
        <v>10.26339829</v>
      </c>
      <c r="L410">
        <f ca="1">IF(AND(ISNUMBER($L$807),$B$427=1),$L$807,HLOOKUP(INDIRECT(ADDRESS(2,COLUMN())),OFFSET($AM$2,0,0,ROW()-1,33),ROW()-1,FALSE))</f>
        <v>11.625905550000001</v>
      </c>
      <c r="M410">
        <f ca="1">IF(AND(ISNUMBER($M$807),$B$427=1),$M$807,HLOOKUP(INDIRECT(ADDRESS(2,COLUMN())),OFFSET($AM$2,0,0,ROW()-1,33),ROW()-1,FALSE))</f>
        <v>13.252740259999999</v>
      </c>
      <c r="N410">
        <f ca="1">IF(AND(ISNUMBER($N$807),$B$427=1),$N$807,HLOOKUP(INDIRECT(ADDRESS(2,COLUMN())),OFFSET($AM$2,0,0,ROW()-1,33),ROW()-1,FALSE))</f>
        <v>13.75829811</v>
      </c>
      <c r="O410">
        <f ca="1">IF(AND(ISNUMBER($O$807),$B$427=1),$O$807,HLOOKUP(INDIRECT(ADDRESS(2,COLUMN())),OFFSET($AM$2,0,0,ROW()-1,33),ROW()-1,FALSE))</f>
        <v>15.35557824</v>
      </c>
      <c r="P410">
        <f ca="1">IF(AND(ISNUMBER($P$807),$B$427=1),$P$807,HLOOKUP(INDIRECT(ADDRESS(2,COLUMN())),OFFSET($AM$2,0,0,ROW()-1,33),ROW()-1,FALSE))</f>
        <v>12.983395979999999</v>
      </c>
      <c r="Q410">
        <f ca="1">IF(AND(ISNUMBER($Q$807),$B$427=1),$Q$807,HLOOKUP(INDIRECT(ADDRESS(2,COLUMN())),OFFSET($AM$2,0,0,ROW()-1,33),ROW()-1,FALSE))</f>
        <v>12.01287389</v>
      </c>
      <c r="R410">
        <f ca="1">IF(AND(ISNUMBER($R$807),$B$427=1),$R$807,HLOOKUP(INDIRECT(ADDRESS(2,COLUMN())),OFFSET($AM$2,0,0,ROW()-1,33),ROW()-1,FALSE))</f>
        <v>6.4437015740000003</v>
      </c>
      <c r="S410">
        <f ca="1">IF(AND(ISNUMBER($S$807),$B$427=1),$S$807,HLOOKUP(INDIRECT(ADDRESS(2,COLUMN())),OFFSET($AM$2,0,0,ROW()-1,33),ROW()-1,FALSE))</f>
        <v>2.7466735849999999</v>
      </c>
      <c r="T410">
        <f ca="1">IF(AND(ISNUMBER($T$807),$B$427=1),$T$807,HLOOKUP(INDIRECT(ADDRESS(2,COLUMN())),OFFSET($AM$2,0,0,ROW()-1,33),ROW()-1,FALSE))</f>
        <v>6.6665395000000002E-2</v>
      </c>
      <c r="U410" t="str">
        <f ca="1">IF(AND(ISNUMBER($U$807),$B$427=1),$U$807,HLOOKUP(INDIRECT(ADDRESS(2,COLUMN())),OFFSET($AM$2,0,0,ROW()-1,33),ROW()-1,FALSE))</f>
        <v/>
      </c>
      <c r="V410" t="str">
        <f ca="1">IF(AND(ISNUMBER($V$807),$B$427=1),$V$807,HLOOKUP(INDIRECT(ADDRESS(2,COLUMN())),OFFSET($AM$2,0,0,ROW()-1,33),ROW()-1,FALSE))</f>
        <v/>
      </c>
      <c r="W410" t="str">
        <f ca="1">IF(AND(ISNUMBER($W$807),$B$427=1),$W$807,HLOOKUP(INDIRECT(ADDRESS(2,COLUMN())),OFFSET($AM$2,0,0,ROW()-1,33),ROW()-1,FALSE))</f>
        <v/>
      </c>
      <c r="X410" t="str">
        <f ca="1">IF(AND(ISNUMBER($X$807),$B$427=1),$X$807,HLOOKUP(INDIRECT(ADDRESS(2,COLUMN())),OFFSET($AM$2,0,0,ROW()-1,33),ROW()-1,FALSE))</f>
        <v/>
      </c>
      <c r="Y410" t="str">
        <f ca="1">IF(AND(ISNUMBER($Y$807),$B$427=1),$Y$807,HLOOKUP(INDIRECT(ADDRESS(2,COLUMN())),OFFSET($AM$2,0,0,ROW()-1,33),ROW()-1,FALSE))</f>
        <v/>
      </c>
      <c r="Z410" t="str">
        <f ca="1">IF(AND(ISNUMBER($Z$807),$B$427=1),$Z$807,HLOOKUP(INDIRECT(ADDRESS(2,COLUMN())),OFFSET($AM$2,0,0,ROW()-1,33),ROW()-1,FALSE))</f>
        <v/>
      </c>
      <c r="AA410" t="str">
        <f ca="1">IF(AND(ISNUMBER($AA$807),$B$427=1),$AA$807,HLOOKUP(INDIRECT(ADDRESS(2,COLUMN())),OFFSET($AM$2,0,0,ROW()-1,33),ROW()-1,FALSE))</f>
        <v/>
      </c>
      <c r="AB410" t="str">
        <f ca="1">IF(AND(ISNUMBER($AB$807),$B$427=1),$AB$807,HLOOKUP(INDIRECT(ADDRESS(2,COLUMN())),OFFSET($AM$2,0,0,ROW()-1,33),ROW()-1,FALSE))</f>
        <v/>
      </c>
      <c r="AC410" t="str">
        <f ca="1">IF(AND(ISNUMBER($AC$807),$B$427=1),$AC$807,HLOOKUP(INDIRECT(ADDRESS(2,COLUMN())),OFFSET($AM$2,0,0,ROW()-1,33),ROW()-1,FALSE))</f>
        <v/>
      </c>
      <c r="AD410" t="str">
        <f ca="1">IF(AND(ISNUMBER($AD$807),$B$427=1),$AD$807,HLOOKUP(INDIRECT(ADDRESS(2,COLUMN())),OFFSET($AM$2,0,0,ROW()-1,33),ROW()-1,FALSE))</f>
        <v/>
      </c>
      <c r="AE410" t="str">
        <f ca="1">IF(AND(ISNUMBER($AE$807),$B$427=1),$AE$807,HLOOKUP(INDIRECT(ADDRESS(2,COLUMN())),OFFSET($AM$2,0,0,ROW()-1,33),ROW()-1,FALSE))</f>
        <v/>
      </c>
      <c r="AF410" t="str">
        <f ca="1">IF(AND(ISNUMBER($AF$807),$B$427=1),$AF$807,HLOOKUP(INDIRECT(ADDRESS(2,COLUMN())),OFFSET($AM$2,0,0,ROW()-1,33),ROW()-1,FALSE))</f>
        <v/>
      </c>
      <c r="AG410" t="str">
        <f ca="1">IF(AND(ISNUMBER($AG$807),$B$427=1),$AG$807,HLOOKUP(INDIRECT(ADDRESS(2,COLUMN())),OFFSET($AM$2,0,0,ROW()-1,33),ROW()-1,FALSE))</f>
        <v/>
      </c>
      <c r="AH410" t="str">
        <f ca="1">IF(AND(ISNUMBER($AH$807),$B$427=1),$AH$807,HLOOKUP(INDIRECT(ADDRESS(2,COLUMN())),OFFSET($AM$2,0,0,ROW()-1,33),ROW()-1,FALSE))</f>
        <v/>
      </c>
      <c r="AI410" t="str">
        <f ca="1">IF(AND(ISNUMBER($AI$807),$B$427=1),$AI$807,HLOOKUP(INDIRECT(ADDRESS(2,COLUMN())),OFFSET($AM$2,0,0,ROW()-1,33),ROW()-1,FALSE))</f>
        <v/>
      </c>
      <c r="AJ410" t="str">
        <f ca="1">IF(AND(ISNUMBER($AJ$807),$B$427=1),$AJ$807,HLOOKUP(INDIRECT(ADDRESS(2,COLUMN())),OFFSET($AM$2,0,0,ROW()-1,33),ROW()-1,FALSE))</f>
        <v/>
      </c>
      <c r="AK410" t="str">
        <f ca="1">IF(AND(ISNUMBER($AK$807),$B$427=1),$AK$807,HLOOKUP(INDIRECT(ADDRESS(2,COLUMN())),OFFSET($AM$2,0,0,ROW()-1,33),ROW()-1,FALSE))</f>
        <v/>
      </c>
      <c r="AL410" t="str">
        <f ca="1">IF(AND(ISNUMBER($AL$807),$B$427=1),$AL$807,HLOOKUP(INDIRECT(ADDRESS(2,COLUMN())),OFFSET($AM$2,0,0,ROW()-1,33),ROW()-1,FALSE))</f>
        <v/>
      </c>
      <c r="AM410">
        <f>3.645001541</f>
        <v>3.6450015410000001</v>
      </c>
      <c r="AN410">
        <f>4.048134481</f>
        <v>4.048134481</v>
      </c>
      <c r="AO410">
        <f>3.834480122</f>
        <v>3.834480122</v>
      </c>
      <c r="AP410">
        <f>4.644157212</f>
        <v>4.6441572119999996</v>
      </c>
      <c r="AQ410">
        <f>8.590398306</f>
        <v>8.5903983060000009</v>
      </c>
      <c r="AR410">
        <f>10.26339829</f>
        <v>10.26339829</v>
      </c>
      <c r="AS410">
        <f>11.62590555</f>
        <v>11.625905550000001</v>
      </c>
      <c r="AT410">
        <f>13.25274026</f>
        <v>13.252740259999999</v>
      </c>
      <c r="AU410">
        <f>13.75829811</f>
        <v>13.75829811</v>
      </c>
      <c r="AV410">
        <f>15.35557824</f>
        <v>15.35557824</v>
      </c>
      <c r="AW410">
        <f>12.98339598</f>
        <v>12.983395979999999</v>
      </c>
      <c r="AX410">
        <f>12.01287389</f>
        <v>12.01287389</v>
      </c>
      <c r="AY410">
        <f>6.443701574</f>
        <v>6.4437015740000003</v>
      </c>
      <c r="AZ410">
        <f>2.746673585</f>
        <v>2.7466735849999999</v>
      </c>
      <c r="BA410">
        <f>0.066665395</f>
        <v>6.6665395000000002E-2</v>
      </c>
      <c r="BB410" t="str">
        <f>""</f>
        <v/>
      </c>
      <c r="BC410" t="str">
        <f>""</f>
        <v/>
      </c>
      <c r="BD410" t="str">
        <f>""</f>
        <v/>
      </c>
      <c r="BE410" t="str">
        <f>""</f>
        <v/>
      </c>
      <c r="BF410" t="str">
        <f>""</f>
        <v/>
      </c>
      <c r="BG410" t="str">
        <f>""</f>
        <v/>
      </c>
      <c r="BH410" t="str">
        <f>""</f>
        <v/>
      </c>
      <c r="BI410" t="str">
        <f>""</f>
        <v/>
      </c>
      <c r="BJ410" t="str">
        <f>""</f>
        <v/>
      </c>
      <c r="BK410" t="str">
        <f>""</f>
        <v/>
      </c>
      <c r="BL410" t="str">
        <f>""</f>
        <v/>
      </c>
      <c r="BM410" t="str">
        <f>""</f>
        <v/>
      </c>
      <c r="BN410" t="str">
        <f>""</f>
        <v/>
      </c>
      <c r="BO410" t="str">
        <f>""</f>
        <v/>
      </c>
      <c r="BP410" t="str">
        <f>""</f>
        <v/>
      </c>
      <c r="BQ410" t="str">
        <f>""</f>
        <v/>
      </c>
      <c r="BR410" t="str">
        <f>""</f>
        <v/>
      </c>
      <c r="BS410" t="str">
        <f>""</f>
        <v/>
      </c>
    </row>
    <row r="411" spans="1:71" x14ac:dyDescent="0.25">
      <c r="A411" t="str">
        <f>"        Zions Bancorp NA"</f>
        <v xml:space="preserve">        Zions Bancorp NA</v>
      </c>
      <c r="B411" t="str">
        <f>"ZION US Equity"</f>
        <v>ZION US Equity</v>
      </c>
      <c r="C411" t="str">
        <f t="shared" si="54"/>
        <v>F0128</v>
      </c>
      <c r="D411" t="str">
        <f t="shared" si="55"/>
        <v>FED_OTH_NONCONS_LNS_%_TOT_LNS_LS</v>
      </c>
      <c r="E411" t="str">
        <f t="shared" si="56"/>
        <v>Dynamic</v>
      </c>
      <c r="F411" t="str">
        <f ca="1">IF(AND(ISNUMBER($F$808),$B$427=1),$F$808,HLOOKUP(INDIRECT(ADDRESS(2,COLUMN())),OFFSET($AM$2,0,0,ROW()-1,33),ROW()-1,FALSE))</f>
        <v/>
      </c>
      <c r="G411" t="str">
        <f ca="1">IF(AND(ISNUMBER($G$808),$B$427=1),$G$808,HLOOKUP(INDIRECT(ADDRESS(2,COLUMN())),OFFSET($AM$2,0,0,ROW()-1,33),ROW()-1,FALSE))</f>
        <v/>
      </c>
      <c r="H411" t="str">
        <f ca="1">IF(AND(ISNUMBER($H$808),$B$427=1),$H$808,HLOOKUP(INDIRECT(ADDRESS(2,COLUMN())),OFFSET($AM$2,0,0,ROW()-1,33),ROW()-1,FALSE))</f>
        <v/>
      </c>
      <c r="I411" t="str">
        <f ca="1">IF(AND(ISNUMBER($I$808),$B$427=1),$I$808,HLOOKUP(INDIRECT(ADDRESS(2,COLUMN())),OFFSET($AM$2,0,0,ROW()-1,33),ROW()-1,FALSE))</f>
        <v/>
      </c>
      <c r="J411" t="str">
        <f ca="1">IF(AND(ISNUMBER($J$808),$B$427=1),$J$808,HLOOKUP(INDIRECT(ADDRESS(2,COLUMN())),OFFSET($AM$2,0,0,ROW()-1,33),ROW()-1,FALSE))</f>
        <v/>
      </c>
      <c r="K411" t="str">
        <f ca="1">IF(AND(ISNUMBER($K$808),$B$427=1),$K$808,HLOOKUP(INDIRECT(ADDRESS(2,COLUMN())),OFFSET($AM$2,0,0,ROW()-1,33),ROW()-1,FALSE))</f>
        <v/>
      </c>
      <c r="L411" t="str">
        <f ca="1">IF(AND(ISNUMBER($L$808),$B$427=1),$L$808,HLOOKUP(INDIRECT(ADDRESS(2,COLUMN())),OFFSET($AM$2,0,0,ROW()-1,33),ROW()-1,FALSE))</f>
        <v/>
      </c>
      <c r="M411" t="str">
        <f ca="1">IF(AND(ISNUMBER($M$808),$B$427=1),$M$808,HLOOKUP(INDIRECT(ADDRESS(2,COLUMN())),OFFSET($AM$2,0,0,ROW()-1,33),ROW()-1,FALSE))</f>
        <v/>
      </c>
      <c r="N411" t="str">
        <f ca="1">IF(AND(ISNUMBER($N$808),$B$427=1),$N$808,HLOOKUP(INDIRECT(ADDRESS(2,COLUMN())),OFFSET($AM$2,0,0,ROW()-1,33),ROW()-1,FALSE))</f>
        <v/>
      </c>
      <c r="O411" t="str">
        <f ca="1">IF(AND(ISNUMBER($O$808),$B$427=1),$O$808,HLOOKUP(INDIRECT(ADDRESS(2,COLUMN())),OFFSET($AM$2,0,0,ROW()-1,33),ROW()-1,FALSE))</f>
        <v/>
      </c>
      <c r="P411" t="str">
        <f ca="1">IF(AND(ISNUMBER($P$808),$B$427=1),$P$808,HLOOKUP(INDIRECT(ADDRESS(2,COLUMN())),OFFSET($AM$2,0,0,ROW()-1,33),ROW()-1,FALSE))</f>
        <v/>
      </c>
      <c r="Q411" t="str">
        <f ca="1">IF(AND(ISNUMBER($Q$808),$B$427=1),$Q$808,HLOOKUP(INDIRECT(ADDRESS(2,COLUMN())),OFFSET($AM$2,0,0,ROW()-1,33),ROW()-1,FALSE))</f>
        <v/>
      </c>
      <c r="R411" t="str">
        <f ca="1">IF(AND(ISNUMBER($R$808),$B$427=1),$R$808,HLOOKUP(INDIRECT(ADDRESS(2,COLUMN())),OFFSET($AM$2,0,0,ROW()-1,33),ROW()-1,FALSE))</f>
        <v/>
      </c>
      <c r="S411" t="str">
        <f ca="1">IF(AND(ISNUMBER($S$808),$B$427=1),$S$808,HLOOKUP(INDIRECT(ADDRESS(2,COLUMN())),OFFSET($AM$2,0,0,ROW()-1,33),ROW()-1,FALSE))</f>
        <v/>
      </c>
      <c r="T411" t="str">
        <f ca="1">IF(AND(ISNUMBER($T$808),$B$427=1),$T$808,HLOOKUP(INDIRECT(ADDRESS(2,COLUMN())),OFFSET($AM$2,0,0,ROW()-1,33),ROW()-1,FALSE))</f>
        <v/>
      </c>
      <c r="U411" t="str">
        <f ca="1">IF(AND(ISNUMBER($U$808),$B$427=1),$U$808,HLOOKUP(INDIRECT(ADDRESS(2,COLUMN())),OFFSET($AM$2,0,0,ROW()-1,33),ROW()-1,FALSE))</f>
        <v/>
      </c>
      <c r="V411" t="str">
        <f ca="1">IF(AND(ISNUMBER($V$808),$B$427=1),$V$808,HLOOKUP(INDIRECT(ADDRESS(2,COLUMN())),OFFSET($AM$2,0,0,ROW()-1,33),ROW()-1,FALSE))</f>
        <v/>
      </c>
      <c r="W411" t="str">
        <f ca="1">IF(AND(ISNUMBER($W$808),$B$427=1),$W$808,HLOOKUP(INDIRECT(ADDRESS(2,COLUMN())),OFFSET($AM$2,0,0,ROW()-1,33),ROW()-1,FALSE))</f>
        <v/>
      </c>
      <c r="X411" t="str">
        <f ca="1">IF(AND(ISNUMBER($X$808),$B$427=1),$X$808,HLOOKUP(INDIRECT(ADDRESS(2,COLUMN())),OFFSET($AM$2,0,0,ROW()-1,33),ROW()-1,FALSE))</f>
        <v/>
      </c>
      <c r="Y411" t="str">
        <f ca="1">IF(AND(ISNUMBER($Y$808),$B$427=1),$Y$808,HLOOKUP(INDIRECT(ADDRESS(2,COLUMN())),OFFSET($AM$2,0,0,ROW()-1,33),ROW()-1,FALSE))</f>
        <v/>
      </c>
      <c r="Z411" t="str">
        <f ca="1">IF(AND(ISNUMBER($Z$808),$B$427=1),$Z$808,HLOOKUP(INDIRECT(ADDRESS(2,COLUMN())),OFFSET($AM$2,0,0,ROW()-1,33),ROW()-1,FALSE))</f>
        <v/>
      </c>
      <c r="AA411" t="str">
        <f ca="1">IF(AND(ISNUMBER($AA$808),$B$427=1),$AA$808,HLOOKUP(INDIRECT(ADDRESS(2,COLUMN())),OFFSET($AM$2,0,0,ROW()-1,33),ROW()-1,FALSE))</f>
        <v/>
      </c>
      <c r="AB411" t="str">
        <f ca="1">IF(AND(ISNUMBER($AB$808),$B$427=1),$AB$808,HLOOKUP(INDIRECT(ADDRESS(2,COLUMN())),OFFSET($AM$2,0,0,ROW()-1,33),ROW()-1,FALSE))</f>
        <v/>
      </c>
      <c r="AC411" t="str">
        <f ca="1">IF(AND(ISNUMBER($AC$808),$B$427=1),$AC$808,HLOOKUP(INDIRECT(ADDRESS(2,COLUMN())),OFFSET($AM$2,0,0,ROW()-1,33),ROW()-1,FALSE))</f>
        <v/>
      </c>
      <c r="AD411" t="str">
        <f ca="1">IF(AND(ISNUMBER($AD$808),$B$427=1),$AD$808,HLOOKUP(INDIRECT(ADDRESS(2,COLUMN())),OFFSET($AM$2,0,0,ROW()-1,33),ROW()-1,FALSE))</f>
        <v/>
      </c>
      <c r="AE411" t="str">
        <f ca="1">IF(AND(ISNUMBER($AE$808),$B$427=1),$AE$808,HLOOKUP(INDIRECT(ADDRESS(2,COLUMN())),OFFSET($AM$2,0,0,ROW()-1,33),ROW()-1,FALSE))</f>
        <v/>
      </c>
      <c r="AF411" t="str">
        <f ca="1">IF(AND(ISNUMBER($AF$808),$B$427=1),$AF$808,HLOOKUP(INDIRECT(ADDRESS(2,COLUMN())),OFFSET($AM$2,0,0,ROW()-1,33),ROW()-1,FALSE))</f>
        <v/>
      </c>
      <c r="AG411" t="str">
        <f ca="1">IF(AND(ISNUMBER($AG$808),$B$427=1),$AG$808,HLOOKUP(INDIRECT(ADDRESS(2,COLUMN())),OFFSET($AM$2,0,0,ROW()-1,33),ROW()-1,FALSE))</f>
        <v/>
      </c>
      <c r="AH411" t="str">
        <f ca="1">IF(AND(ISNUMBER($AH$808),$B$427=1),$AH$808,HLOOKUP(INDIRECT(ADDRESS(2,COLUMN())),OFFSET($AM$2,0,0,ROW()-1,33),ROW()-1,FALSE))</f>
        <v/>
      </c>
      <c r="AI411" t="str">
        <f ca="1">IF(AND(ISNUMBER($AI$808),$B$427=1),$AI$808,HLOOKUP(INDIRECT(ADDRESS(2,COLUMN())),OFFSET($AM$2,0,0,ROW()-1,33),ROW()-1,FALSE))</f>
        <v/>
      </c>
      <c r="AJ411" t="str">
        <f ca="1">IF(AND(ISNUMBER($AJ$808),$B$427=1),$AJ$808,HLOOKUP(INDIRECT(ADDRESS(2,COLUMN())),OFFSET($AM$2,0,0,ROW()-1,33),ROW()-1,FALSE))</f>
        <v/>
      </c>
      <c r="AK411" t="str">
        <f ca="1">IF(AND(ISNUMBER($AK$808),$B$427=1),$AK$808,HLOOKUP(INDIRECT(ADDRESS(2,COLUMN())),OFFSET($AM$2,0,0,ROW()-1,33),ROW()-1,FALSE))</f>
        <v/>
      </c>
      <c r="AL411" t="str">
        <f ca="1">IF(AND(ISNUMBER($AL$808),$B$427=1),$AL$808,HLOOKUP(INDIRECT(ADDRESS(2,COLUMN())),OFFSET($AM$2,0,0,ROW()-1,33),ROW()-1,FALSE))</f>
        <v/>
      </c>
      <c r="AM411" t="str">
        <f>""</f>
        <v/>
      </c>
      <c r="AN411" t="str">
        <f>""</f>
        <v/>
      </c>
      <c r="AO411" t="str">
        <f>""</f>
        <v/>
      </c>
      <c r="AP411" t="str">
        <f>""</f>
        <v/>
      </c>
      <c r="AQ411" t="str">
        <f>""</f>
        <v/>
      </c>
      <c r="AR411" t="str">
        <f>""</f>
        <v/>
      </c>
      <c r="AS411" t="str">
        <f>""</f>
        <v/>
      </c>
      <c r="AT411" t="str">
        <f>""</f>
        <v/>
      </c>
      <c r="AU411" t="str">
        <f>""</f>
        <v/>
      </c>
      <c r="AV411" t="str">
        <f>""</f>
        <v/>
      </c>
      <c r="AW411" t="str">
        <f>""</f>
        <v/>
      </c>
      <c r="AX411" t="str">
        <f>""</f>
        <v/>
      </c>
      <c r="AY411" t="str">
        <f>""</f>
        <v/>
      </c>
      <c r="AZ411" t="str">
        <f>""</f>
        <v/>
      </c>
      <c r="BA411" t="str">
        <f>""</f>
        <v/>
      </c>
      <c r="BB411" t="str">
        <f>""</f>
        <v/>
      </c>
      <c r="BC411" t="str">
        <f>""</f>
        <v/>
      </c>
      <c r="BD411" t="str">
        <f>""</f>
        <v/>
      </c>
      <c r="BE411" t="str">
        <f>""</f>
        <v/>
      </c>
      <c r="BF411" t="str">
        <f>""</f>
        <v/>
      </c>
      <c r="BG411" t="str">
        <f>""</f>
        <v/>
      </c>
      <c r="BH411" t="str">
        <f>""</f>
        <v/>
      </c>
      <c r="BI411" t="str">
        <f>""</f>
        <v/>
      </c>
      <c r="BJ411" t="str">
        <f>""</f>
        <v/>
      </c>
      <c r="BK411" t="str">
        <f>""</f>
        <v/>
      </c>
      <c r="BL411" t="str">
        <f>""</f>
        <v/>
      </c>
      <c r="BM411" t="str">
        <f>""</f>
        <v/>
      </c>
      <c r="BN411" t="str">
        <f>""</f>
        <v/>
      </c>
      <c r="BO411" t="str">
        <f>""</f>
        <v/>
      </c>
      <c r="BP411" t="str">
        <f>""</f>
        <v/>
      </c>
      <c r="BQ411" t="str">
        <f>""</f>
        <v/>
      </c>
      <c r="BR411" t="str">
        <f>""</f>
        <v/>
      </c>
      <c r="BS411" t="str">
        <f>""</f>
        <v/>
      </c>
    </row>
    <row r="412" spans="1:71" x14ac:dyDescent="0.25">
      <c r="AM412" t="str">
        <f>""</f>
        <v/>
      </c>
      <c r="AN412" t="str">
        <f>""</f>
        <v/>
      </c>
      <c r="AO412" t="str">
        <f>""</f>
        <v/>
      </c>
      <c r="AP412" t="str">
        <f>""</f>
        <v/>
      </c>
      <c r="AQ412" t="str">
        <f>""</f>
        <v/>
      </c>
      <c r="AR412" t="str">
        <f>""</f>
        <v/>
      </c>
      <c r="AS412" t="str">
        <f>""</f>
        <v/>
      </c>
      <c r="AT412" t="str">
        <f>""</f>
        <v/>
      </c>
      <c r="AU412" t="str">
        <f>""</f>
        <v/>
      </c>
      <c r="AV412" t="str">
        <f>""</f>
        <v/>
      </c>
      <c r="AW412" t="str">
        <f>""</f>
        <v/>
      </c>
      <c r="AX412" t="str">
        <f>""</f>
        <v/>
      </c>
      <c r="AY412" t="str">
        <f>""</f>
        <v/>
      </c>
      <c r="AZ412" t="str">
        <f>""</f>
        <v/>
      </c>
      <c r="BA412" t="str">
        <f>""</f>
        <v/>
      </c>
      <c r="BB412" t="str">
        <f>""</f>
        <v/>
      </c>
      <c r="BC412" t="str">
        <f>""</f>
        <v/>
      </c>
      <c r="BD412" t="str">
        <f>""</f>
        <v/>
      </c>
      <c r="BE412" t="str">
        <f>""</f>
        <v/>
      </c>
      <c r="BF412" t="str">
        <f>""</f>
        <v/>
      </c>
      <c r="BG412" t="str">
        <f>""</f>
        <v/>
      </c>
      <c r="BH412" t="str">
        <f>""</f>
        <v/>
      </c>
      <c r="BI412" t="str">
        <f>""</f>
        <v/>
      </c>
      <c r="BJ412" t="str">
        <f>""</f>
        <v/>
      </c>
      <c r="BK412" t="str">
        <f>""</f>
        <v/>
      </c>
      <c r="BL412" t="str">
        <f>""</f>
        <v/>
      </c>
      <c r="BM412" t="str">
        <f>""</f>
        <v/>
      </c>
      <c r="BN412" t="str">
        <f>""</f>
        <v/>
      </c>
      <c r="BO412" t="str">
        <f>""</f>
        <v/>
      </c>
      <c r="BP412" t="str">
        <f>""</f>
        <v/>
      </c>
      <c r="BQ412" t="str">
        <f>""</f>
        <v/>
      </c>
      <c r="BR412" t="str">
        <f>""</f>
        <v/>
      </c>
      <c r="BS412" t="str">
        <f>""</f>
        <v/>
      </c>
    </row>
    <row r="413" spans="1:71" x14ac:dyDescent="0.25">
      <c r="AM413" t="str">
        <f>""</f>
        <v/>
      </c>
      <c r="AN413" t="str">
        <f>""</f>
        <v/>
      </c>
      <c r="AO413" t="str">
        <f>""</f>
        <v/>
      </c>
      <c r="AP413" t="str">
        <f>""</f>
        <v/>
      </c>
      <c r="AQ413" t="str">
        <f>""</f>
        <v/>
      </c>
      <c r="AR413" t="str">
        <f>""</f>
        <v/>
      </c>
      <c r="AS413" t="str">
        <f>""</f>
        <v/>
      </c>
      <c r="AT413" t="str">
        <f>""</f>
        <v/>
      </c>
      <c r="AU413" t="str">
        <f>""</f>
        <v/>
      </c>
      <c r="AV413" t="str">
        <f>""</f>
        <v/>
      </c>
      <c r="AW413" t="str">
        <f>""</f>
        <v/>
      </c>
      <c r="AX413" t="str">
        <f>""</f>
        <v/>
      </c>
      <c r="AY413" t="str">
        <f>""</f>
        <v/>
      </c>
      <c r="AZ413" t="str">
        <f>""</f>
        <v/>
      </c>
      <c r="BA413" t="str">
        <f>""</f>
        <v/>
      </c>
      <c r="BB413" t="str">
        <f>""</f>
        <v/>
      </c>
      <c r="BC413" t="str">
        <f>""</f>
        <v/>
      </c>
      <c r="BD413" t="str">
        <f>""</f>
        <v/>
      </c>
      <c r="BE413" t="str">
        <f>""</f>
        <v/>
      </c>
      <c r="BF413" t="str">
        <f>""</f>
        <v/>
      </c>
      <c r="BG413" t="str">
        <f>""</f>
        <v/>
      </c>
      <c r="BH413" t="str">
        <f>""</f>
        <v/>
      </c>
      <c r="BI413" t="str">
        <f>""</f>
        <v/>
      </c>
      <c r="BJ413" t="str">
        <f>""</f>
        <v/>
      </c>
      <c r="BK413" t="str">
        <f>""</f>
        <v/>
      </c>
      <c r="BL413" t="str">
        <f>""</f>
        <v/>
      </c>
      <c r="BM413" t="str">
        <f>""</f>
        <v/>
      </c>
      <c r="BN413" t="str">
        <f>""</f>
        <v/>
      </c>
      <c r="BO413" t="str">
        <f>""</f>
        <v/>
      </c>
      <c r="BP413" t="str">
        <f>""</f>
        <v/>
      </c>
      <c r="BQ413" t="str">
        <f>""</f>
        <v/>
      </c>
      <c r="BR413" t="str">
        <f>""</f>
        <v/>
      </c>
      <c r="BS413" t="str">
        <f>""</f>
        <v/>
      </c>
    </row>
    <row r="414" spans="1:71" x14ac:dyDescent="0.25">
      <c r="AM414" t="str">
        <f>""</f>
        <v/>
      </c>
      <c r="AN414" t="str">
        <f>""</f>
        <v/>
      </c>
      <c r="AO414" t="str">
        <f>""</f>
        <v/>
      </c>
      <c r="AP414" t="str">
        <f>""</f>
        <v/>
      </c>
      <c r="AQ414" t="str">
        <f>""</f>
        <v/>
      </c>
      <c r="AR414" t="str">
        <f>""</f>
        <v/>
      </c>
      <c r="AS414" t="str">
        <f>""</f>
        <v/>
      </c>
      <c r="AT414" t="str">
        <f>""</f>
        <v/>
      </c>
      <c r="AU414" t="str">
        <f>""</f>
        <v/>
      </c>
      <c r="AV414" t="str">
        <f>""</f>
        <v/>
      </c>
      <c r="AW414" t="str">
        <f>""</f>
        <v/>
      </c>
      <c r="AX414" t="str">
        <f>""</f>
        <v/>
      </c>
      <c r="AY414" t="str">
        <f>""</f>
        <v/>
      </c>
      <c r="AZ414" t="str">
        <f>""</f>
        <v/>
      </c>
      <c r="BA414" t="str">
        <f>""</f>
        <v/>
      </c>
      <c r="BB414" t="str">
        <f>""</f>
        <v/>
      </c>
      <c r="BC414" t="str">
        <f>""</f>
        <v/>
      </c>
      <c r="BD414" t="str">
        <f>""</f>
        <v/>
      </c>
      <c r="BE414" t="str">
        <f>""</f>
        <v/>
      </c>
      <c r="BF414" t="str">
        <f>""</f>
        <v/>
      </c>
      <c r="BG414" t="str">
        <f>""</f>
        <v/>
      </c>
      <c r="BH414" t="str">
        <f>""</f>
        <v/>
      </c>
      <c r="BI414" t="str">
        <f>""</f>
        <v/>
      </c>
      <c r="BJ414" t="str">
        <f>""</f>
        <v/>
      </c>
      <c r="BK414" t="str">
        <f>""</f>
        <v/>
      </c>
      <c r="BL414" t="str">
        <f>""</f>
        <v/>
      </c>
      <c r="BM414" t="str">
        <f>""</f>
        <v/>
      </c>
      <c r="BN414" t="str">
        <f>""</f>
        <v/>
      </c>
      <c r="BO414" t="str">
        <f>""</f>
        <v/>
      </c>
      <c r="BP414" t="str">
        <f>""</f>
        <v/>
      </c>
      <c r="BQ414" t="str">
        <f>""</f>
        <v/>
      </c>
      <c r="BR414" t="str">
        <f>""</f>
        <v/>
      </c>
      <c r="BS414" t="str">
        <f>""</f>
        <v/>
      </c>
    </row>
    <row r="415" spans="1:71" x14ac:dyDescent="0.25">
      <c r="AM415" t="str">
        <f>""</f>
        <v/>
      </c>
      <c r="AN415" t="str">
        <f>""</f>
        <v/>
      </c>
      <c r="AO415" t="str">
        <f>""</f>
        <v/>
      </c>
      <c r="AP415" t="str">
        <f>""</f>
        <v/>
      </c>
      <c r="AQ415" t="str">
        <f>""</f>
        <v/>
      </c>
      <c r="AR415" t="str">
        <f>""</f>
        <v/>
      </c>
      <c r="AS415" t="str">
        <f>""</f>
        <v/>
      </c>
      <c r="AT415" t="str">
        <f>""</f>
        <v/>
      </c>
      <c r="AU415" t="str">
        <f>""</f>
        <v/>
      </c>
      <c r="AV415" t="str">
        <f>""</f>
        <v/>
      </c>
      <c r="AW415" t="str">
        <f>""</f>
        <v/>
      </c>
      <c r="AX415" t="str">
        <f>""</f>
        <v/>
      </c>
      <c r="AY415" t="str">
        <f>""</f>
        <v/>
      </c>
      <c r="AZ415" t="str">
        <f>""</f>
        <v/>
      </c>
      <c r="BA415" t="str">
        <f>""</f>
        <v/>
      </c>
      <c r="BB415" t="str">
        <f>""</f>
        <v/>
      </c>
      <c r="BC415" t="str">
        <f>""</f>
        <v/>
      </c>
      <c r="BD415" t="str">
        <f>""</f>
        <v/>
      </c>
      <c r="BE415" t="str">
        <f>""</f>
        <v/>
      </c>
      <c r="BF415" t="str">
        <f>""</f>
        <v/>
      </c>
      <c r="BG415" t="str">
        <f>""</f>
        <v/>
      </c>
      <c r="BH415" t="str">
        <f>""</f>
        <v/>
      </c>
      <c r="BI415" t="str">
        <f>""</f>
        <v/>
      </c>
      <c r="BJ415" t="str">
        <f>""</f>
        <v/>
      </c>
      <c r="BK415" t="str">
        <f>""</f>
        <v/>
      </c>
      <c r="BL415" t="str">
        <f>""</f>
        <v/>
      </c>
      <c r="BM415" t="str">
        <f>""</f>
        <v/>
      </c>
      <c r="BN415" t="str">
        <f>""</f>
        <v/>
      </c>
      <c r="BO415" t="str">
        <f>""</f>
        <v/>
      </c>
      <c r="BP415" t="str">
        <f>""</f>
        <v/>
      </c>
      <c r="BQ415" t="str">
        <f>""</f>
        <v/>
      </c>
      <c r="BR415" t="str">
        <f>""</f>
        <v/>
      </c>
      <c r="BS415" t="str">
        <f>""</f>
        <v/>
      </c>
    </row>
    <row r="416" spans="1:71" x14ac:dyDescent="0.25">
      <c r="AM416" t="str">
        <f>""</f>
        <v/>
      </c>
      <c r="AN416" t="str">
        <f>""</f>
        <v/>
      </c>
      <c r="AO416" t="str">
        <f>""</f>
        <v/>
      </c>
      <c r="AP416" t="str">
        <f>""</f>
        <v/>
      </c>
      <c r="AQ416" t="str">
        <f>""</f>
        <v/>
      </c>
      <c r="AR416" t="str">
        <f>""</f>
        <v/>
      </c>
      <c r="AS416" t="str">
        <f>""</f>
        <v/>
      </c>
      <c r="AT416" t="str">
        <f>""</f>
        <v/>
      </c>
      <c r="AU416" t="str">
        <f>""</f>
        <v/>
      </c>
      <c r="AV416" t="str">
        <f>""</f>
        <v/>
      </c>
      <c r="AW416" t="str">
        <f>""</f>
        <v/>
      </c>
      <c r="AX416" t="str">
        <f>""</f>
        <v/>
      </c>
      <c r="AY416" t="str">
        <f>""</f>
        <v/>
      </c>
      <c r="AZ416" t="str">
        <f>""</f>
        <v/>
      </c>
      <c r="BA416" t="str">
        <f>""</f>
        <v/>
      </c>
      <c r="BB416" t="str">
        <f>""</f>
        <v/>
      </c>
      <c r="BC416" t="str">
        <f>""</f>
        <v/>
      </c>
      <c r="BD416" t="str">
        <f>""</f>
        <v/>
      </c>
      <c r="BE416" t="str">
        <f>""</f>
        <v/>
      </c>
      <c r="BF416" t="str">
        <f>""</f>
        <v/>
      </c>
      <c r="BG416" t="str">
        <f>""</f>
        <v/>
      </c>
      <c r="BH416" t="str">
        <f>""</f>
        <v/>
      </c>
      <c r="BI416" t="str">
        <f>""</f>
        <v/>
      </c>
      <c r="BJ416" t="str">
        <f>""</f>
        <v/>
      </c>
      <c r="BK416" t="str">
        <f>""</f>
        <v/>
      </c>
      <c r="BL416" t="str">
        <f>""</f>
        <v/>
      </c>
      <c r="BM416" t="str">
        <f>""</f>
        <v/>
      </c>
      <c r="BN416" t="str">
        <f>""</f>
        <v/>
      </c>
      <c r="BO416" t="str">
        <f>""</f>
        <v/>
      </c>
      <c r="BP416" t="str">
        <f>""</f>
        <v/>
      </c>
      <c r="BQ416" t="str">
        <f>""</f>
        <v/>
      </c>
      <c r="BR416" t="str">
        <f>""</f>
        <v/>
      </c>
      <c r="BS416" t="str">
        <f>""</f>
        <v/>
      </c>
    </row>
    <row r="417" spans="1:71" x14ac:dyDescent="0.25">
      <c r="AM417" t="str">
        <f>""</f>
        <v/>
      </c>
      <c r="AN417" t="str">
        <f>""</f>
        <v/>
      </c>
      <c r="AO417" t="str">
        <f>""</f>
        <v/>
      </c>
      <c r="AP417" t="str">
        <f>""</f>
        <v/>
      </c>
      <c r="AQ417" t="str">
        <f>""</f>
        <v/>
      </c>
      <c r="AR417" t="str">
        <f>""</f>
        <v/>
      </c>
      <c r="AS417" t="str">
        <f>""</f>
        <v/>
      </c>
      <c r="AT417" t="str">
        <f>""</f>
        <v/>
      </c>
      <c r="AU417" t="str">
        <f>""</f>
        <v/>
      </c>
      <c r="AV417" t="str">
        <f>""</f>
        <v/>
      </c>
      <c r="AW417" t="str">
        <f>""</f>
        <v/>
      </c>
      <c r="AX417" t="str">
        <f>""</f>
        <v/>
      </c>
      <c r="AY417" t="str">
        <f>""</f>
        <v/>
      </c>
      <c r="AZ417" t="str">
        <f>""</f>
        <v/>
      </c>
      <c r="BA417" t="str">
        <f>""</f>
        <v/>
      </c>
      <c r="BB417" t="str">
        <f>""</f>
        <v/>
      </c>
      <c r="BC417" t="str">
        <f>""</f>
        <v/>
      </c>
      <c r="BD417" t="str">
        <f>""</f>
        <v/>
      </c>
      <c r="BE417" t="str">
        <f>""</f>
        <v/>
      </c>
      <c r="BF417" t="str">
        <f>""</f>
        <v/>
      </c>
      <c r="BG417" t="str">
        <f>""</f>
        <v/>
      </c>
      <c r="BH417" t="str">
        <f>""</f>
        <v/>
      </c>
      <c r="BI417" t="str">
        <f>""</f>
        <v/>
      </c>
      <c r="BJ417" t="str">
        <f>""</f>
        <v/>
      </c>
      <c r="BK417" t="str">
        <f>""</f>
        <v/>
      </c>
      <c r="BL417" t="str">
        <f>""</f>
        <v/>
      </c>
      <c r="BM417" t="str">
        <f>""</f>
        <v/>
      </c>
      <c r="BN417" t="str">
        <f>""</f>
        <v/>
      </c>
      <c r="BO417" t="str">
        <f>""</f>
        <v/>
      </c>
      <c r="BP417" t="str">
        <f>""</f>
        <v/>
      </c>
      <c r="BQ417" t="str">
        <f>""</f>
        <v/>
      </c>
      <c r="BR417" t="str">
        <f>""</f>
        <v/>
      </c>
      <c r="BS417" t="str">
        <f>""</f>
        <v/>
      </c>
    </row>
    <row r="418" spans="1:71" x14ac:dyDescent="0.25">
      <c r="AM418" t="str">
        <f>""</f>
        <v/>
      </c>
      <c r="AN418" t="str">
        <f>""</f>
        <v/>
      </c>
      <c r="AO418" t="str">
        <f>""</f>
        <v/>
      </c>
      <c r="AP418" t="str">
        <f>""</f>
        <v/>
      </c>
      <c r="AQ418" t="str">
        <f>""</f>
        <v/>
      </c>
      <c r="AR418" t="str">
        <f>""</f>
        <v/>
      </c>
      <c r="AS418" t="str">
        <f>""</f>
        <v/>
      </c>
      <c r="AT418" t="str">
        <f>""</f>
        <v/>
      </c>
      <c r="AU418" t="str">
        <f>""</f>
        <v/>
      </c>
      <c r="AV418" t="str">
        <f>""</f>
        <v/>
      </c>
      <c r="AW418" t="str">
        <f>""</f>
        <v/>
      </c>
      <c r="AX418" t="str">
        <f>""</f>
        <v/>
      </c>
      <c r="AY418" t="str">
        <f>""</f>
        <v/>
      </c>
      <c r="AZ418" t="str">
        <f>""</f>
        <v/>
      </c>
      <c r="BA418" t="str">
        <f>""</f>
        <v/>
      </c>
      <c r="BB418" t="str">
        <f>""</f>
        <v/>
      </c>
      <c r="BC418" t="str">
        <f>""</f>
        <v/>
      </c>
      <c r="BD418" t="str">
        <f>""</f>
        <v/>
      </c>
      <c r="BE418" t="str">
        <f>""</f>
        <v/>
      </c>
      <c r="BF418" t="str">
        <f>""</f>
        <v/>
      </c>
      <c r="BG418" t="str">
        <f>""</f>
        <v/>
      </c>
      <c r="BH418" t="str">
        <f>""</f>
        <v/>
      </c>
      <c r="BI418" t="str">
        <f>""</f>
        <v/>
      </c>
      <c r="BJ418" t="str">
        <f>""</f>
        <v/>
      </c>
      <c r="BK418" t="str">
        <f>""</f>
        <v/>
      </c>
      <c r="BL418" t="str">
        <f>""</f>
        <v/>
      </c>
      <c r="BM418" t="str">
        <f>""</f>
        <v/>
      </c>
      <c r="BN418" t="str">
        <f>""</f>
        <v/>
      </c>
      <c r="BO418" t="str">
        <f>""</f>
        <v/>
      </c>
      <c r="BP418" t="str">
        <f>""</f>
        <v/>
      </c>
      <c r="BQ418" t="str">
        <f>""</f>
        <v/>
      </c>
      <c r="BR418" t="str">
        <f>""</f>
        <v/>
      </c>
      <c r="BS418" t="str">
        <f>""</f>
        <v/>
      </c>
    </row>
    <row r="419" spans="1:71" x14ac:dyDescent="0.25">
      <c r="A419" t="str">
        <f t="shared" ref="A419:AL419" si="57">"~~~~~~~~~~"</f>
        <v>~~~~~~~~~~</v>
      </c>
      <c r="B419" t="str">
        <f t="shared" si="57"/>
        <v>~~~~~~~~~~</v>
      </c>
      <c r="C419" t="str">
        <f t="shared" si="57"/>
        <v>~~~~~~~~~~</v>
      </c>
      <c r="D419" t="str">
        <f t="shared" si="57"/>
        <v>~~~~~~~~~~</v>
      </c>
      <c r="E419" t="str">
        <f t="shared" si="57"/>
        <v>~~~~~~~~~~</v>
      </c>
      <c r="F419" t="str">
        <f t="shared" si="57"/>
        <v>~~~~~~~~~~</v>
      </c>
      <c r="G419" t="str">
        <f t="shared" si="57"/>
        <v>~~~~~~~~~~</v>
      </c>
      <c r="H419" t="str">
        <f t="shared" si="57"/>
        <v>~~~~~~~~~~</v>
      </c>
      <c r="I419" t="str">
        <f t="shared" si="57"/>
        <v>~~~~~~~~~~</v>
      </c>
      <c r="J419" t="str">
        <f t="shared" si="57"/>
        <v>~~~~~~~~~~</v>
      </c>
      <c r="K419" t="str">
        <f t="shared" si="57"/>
        <v>~~~~~~~~~~</v>
      </c>
      <c r="L419" t="str">
        <f t="shared" si="57"/>
        <v>~~~~~~~~~~</v>
      </c>
      <c r="M419" t="str">
        <f t="shared" si="57"/>
        <v>~~~~~~~~~~</v>
      </c>
      <c r="N419" t="str">
        <f t="shared" si="57"/>
        <v>~~~~~~~~~~</v>
      </c>
      <c r="O419" t="str">
        <f t="shared" si="57"/>
        <v>~~~~~~~~~~</v>
      </c>
      <c r="P419" t="str">
        <f t="shared" si="57"/>
        <v>~~~~~~~~~~</v>
      </c>
      <c r="Q419" t="str">
        <f t="shared" si="57"/>
        <v>~~~~~~~~~~</v>
      </c>
      <c r="R419" t="str">
        <f t="shared" si="57"/>
        <v>~~~~~~~~~~</v>
      </c>
      <c r="S419" t="str">
        <f t="shared" si="57"/>
        <v>~~~~~~~~~~</v>
      </c>
      <c r="T419" t="str">
        <f t="shared" si="57"/>
        <v>~~~~~~~~~~</v>
      </c>
      <c r="U419" t="str">
        <f t="shared" si="57"/>
        <v>~~~~~~~~~~</v>
      </c>
      <c r="V419" t="str">
        <f t="shared" si="57"/>
        <v>~~~~~~~~~~</v>
      </c>
      <c r="W419" t="str">
        <f t="shared" si="57"/>
        <v>~~~~~~~~~~</v>
      </c>
      <c r="X419" t="str">
        <f t="shared" si="57"/>
        <v>~~~~~~~~~~</v>
      </c>
      <c r="Y419" t="str">
        <f t="shared" si="57"/>
        <v>~~~~~~~~~~</v>
      </c>
      <c r="Z419" t="str">
        <f t="shared" si="57"/>
        <v>~~~~~~~~~~</v>
      </c>
      <c r="AA419" t="str">
        <f t="shared" si="57"/>
        <v>~~~~~~~~~~</v>
      </c>
      <c r="AB419" t="str">
        <f t="shared" si="57"/>
        <v>~~~~~~~~~~</v>
      </c>
      <c r="AC419" t="str">
        <f t="shared" si="57"/>
        <v>~~~~~~~~~~</v>
      </c>
      <c r="AD419" t="str">
        <f t="shared" si="57"/>
        <v>~~~~~~~~~~</v>
      </c>
      <c r="AE419" t="str">
        <f t="shared" si="57"/>
        <v>~~~~~~~~~~</v>
      </c>
      <c r="AF419" t="str">
        <f t="shared" si="57"/>
        <v>~~~~~~~~~~</v>
      </c>
      <c r="AG419" t="str">
        <f t="shared" si="57"/>
        <v>~~~~~~~~~~</v>
      </c>
      <c r="AH419" t="str">
        <f t="shared" si="57"/>
        <v>~~~~~~~~~~</v>
      </c>
      <c r="AI419" t="str">
        <f t="shared" si="57"/>
        <v>~~~~~~~~~~</v>
      </c>
      <c r="AJ419" t="str">
        <f t="shared" si="57"/>
        <v>~~~~~~~~~~</v>
      </c>
      <c r="AK419" t="str">
        <f t="shared" si="57"/>
        <v>~~~~~~~~~~</v>
      </c>
      <c r="AL419" t="str">
        <f t="shared" si="57"/>
        <v>~~~~~~~~~~</v>
      </c>
      <c r="AM419" t="str">
        <f>""</f>
        <v/>
      </c>
      <c r="AN419" t="str">
        <f>""</f>
        <v/>
      </c>
      <c r="AO419" t="str">
        <f>""</f>
        <v/>
      </c>
      <c r="AP419" t="str">
        <f>""</f>
        <v/>
      </c>
      <c r="AQ419" t="str">
        <f>""</f>
        <v/>
      </c>
      <c r="AR419" t="str">
        <f>""</f>
        <v/>
      </c>
      <c r="AS419" t="str">
        <f>""</f>
        <v/>
      </c>
      <c r="AT419" t="str">
        <f>""</f>
        <v/>
      </c>
      <c r="AU419" t="str">
        <f>""</f>
        <v/>
      </c>
      <c r="AV419" t="str">
        <f>""</f>
        <v/>
      </c>
      <c r="AW419" t="str">
        <f>""</f>
        <v/>
      </c>
      <c r="AX419" t="str">
        <f>""</f>
        <v/>
      </c>
      <c r="AY419" t="str">
        <f>""</f>
        <v/>
      </c>
      <c r="AZ419" t="str">
        <f>""</f>
        <v/>
      </c>
      <c r="BA419" t="str">
        <f>""</f>
        <v/>
      </c>
      <c r="BB419" t="str">
        <f>""</f>
        <v/>
      </c>
      <c r="BC419" t="str">
        <f>""</f>
        <v/>
      </c>
      <c r="BD419" t="str">
        <f>""</f>
        <v/>
      </c>
      <c r="BE419" t="str">
        <f>""</f>
        <v/>
      </c>
      <c r="BF419" t="str">
        <f>""</f>
        <v/>
      </c>
      <c r="BG419" t="str">
        <f>""</f>
        <v/>
      </c>
      <c r="BH419" t="str">
        <f>""</f>
        <v/>
      </c>
      <c r="BI419" t="str">
        <f>""</f>
        <v/>
      </c>
      <c r="BJ419" t="str">
        <f>""</f>
        <v/>
      </c>
      <c r="BK419" t="str">
        <f>""</f>
        <v/>
      </c>
      <c r="BL419" t="str">
        <f>""</f>
        <v/>
      </c>
      <c r="BM419" t="str">
        <f>""</f>
        <v/>
      </c>
      <c r="BN419" t="str">
        <f>""</f>
        <v/>
      </c>
      <c r="BO419" t="str">
        <f>""</f>
        <v/>
      </c>
      <c r="BP419" t="str">
        <f>""</f>
        <v/>
      </c>
      <c r="BQ419" t="str">
        <f>""</f>
        <v/>
      </c>
      <c r="BR419" t="str">
        <f>""</f>
        <v/>
      </c>
      <c r="BS419" t="str">
        <f>""</f>
        <v/>
      </c>
    </row>
    <row r="420" spans="1:71" x14ac:dyDescent="0.25">
      <c r="A420" t="str">
        <f>"All rows below have been added for reference by formula rows above."</f>
        <v>All rows below have been added for reference by formula rows above.</v>
      </c>
      <c r="AM420" t="str">
        <f>""</f>
        <v/>
      </c>
      <c r="AN420" t="str">
        <f>""</f>
        <v/>
      </c>
      <c r="AO420" t="str">
        <f>""</f>
        <v/>
      </c>
      <c r="AP420" t="str">
        <f>""</f>
        <v/>
      </c>
      <c r="AQ420" t="str">
        <f>""</f>
        <v/>
      </c>
      <c r="AR420" t="str">
        <f>""</f>
        <v/>
      </c>
      <c r="AS420" t="str">
        <f>""</f>
        <v/>
      </c>
      <c r="AT420" t="str">
        <f>""</f>
        <v/>
      </c>
      <c r="AU420" t="str">
        <f>""</f>
        <v/>
      </c>
      <c r="AV420" t="str">
        <f>""</f>
        <v/>
      </c>
      <c r="AW420" t="str">
        <f>""</f>
        <v/>
      </c>
      <c r="AX420" t="str">
        <f>""</f>
        <v/>
      </c>
      <c r="AY420" t="str">
        <f>""</f>
        <v/>
      </c>
      <c r="AZ420" t="str">
        <f>""</f>
        <v/>
      </c>
      <c r="BA420" t="str">
        <f>""</f>
        <v/>
      </c>
      <c r="BB420" t="str">
        <f>""</f>
        <v/>
      </c>
      <c r="BC420" t="str">
        <f>""</f>
        <v/>
      </c>
      <c r="BD420" t="str">
        <f>""</f>
        <v/>
      </c>
      <c r="BE420" t="str">
        <f>""</f>
        <v/>
      </c>
      <c r="BF420" t="str">
        <f>""</f>
        <v/>
      </c>
      <c r="BG420" t="str">
        <f>""</f>
        <v/>
      </c>
      <c r="BH420" t="str">
        <f>""</f>
        <v/>
      </c>
      <c r="BI420" t="str">
        <f>""</f>
        <v/>
      </c>
      <c r="BJ420" t="str">
        <f>""</f>
        <v/>
      </c>
      <c r="BK420" t="str">
        <f>""</f>
        <v/>
      </c>
      <c r="BL420" t="str">
        <f>""</f>
        <v/>
      </c>
      <c r="BM420" t="str">
        <f>""</f>
        <v/>
      </c>
      <c r="BN420" t="str">
        <f>""</f>
        <v/>
      </c>
      <c r="BO420" t="str">
        <f>""</f>
        <v/>
      </c>
      <c r="BP420" t="str">
        <f>""</f>
        <v/>
      </c>
      <c r="BQ420" t="str">
        <f>""</f>
        <v/>
      </c>
      <c r="BR420" t="str">
        <f>""</f>
        <v/>
      </c>
      <c r="BS420" t="str">
        <f>""</f>
        <v/>
      </c>
    </row>
    <row r="421" spans="1:71" x14ac:dyDescent="0.25">
      <c r="A421">
        <f>RTD("bloomberg.ccyreader", "", "#track", "DBG", "BIHITX", "1.0","RepeatHit")</f>
        <v>0</v>
      </c>
      <c r="AM421" t="str">
        <f>""</f>
        <v/>
      </c>
      <c r="AN421" t="str">
        <f>""</f>
        <v/>
      </c>
      <c r="AO421" t="str">
        <f>""</f>
        <v/>
      </c>
      <c r="AP421" t="str">
        <f>""</f>
        <v/>
      </c>
      <c r="AQ421" t="str">
        <f>""</f>
        <v/>
      </c>
      <c r="AR421" t="str">
        <f>""</f>
        <v/>
      </c>
      <c r="AS421" t="str">
        <f>""</f>
        <v/>
      </c>
      <c r="AT421" t="str">
        <f>""</f>
        <v/>
      </c>
      <c r="AU421" t="str">
        <f>""</f>
        <v/>
      </c>
      <c r="AV421" t="str">
        <f>""</f>
        <v/>
      </c>
      <c r="AW421" t="str">
        <f>""</f>
        <v/>
      </c>
      <c r="AX421" t="str">
        <f>""</f>
        <v/>
      </c>
      <c r="AY421" t="str">
        <f>""</f>
        <v/>
      </c>
      <c r="AZ421" t="str">
        <f>""</f>
        <v/>
      </c>
      <c r="BA421" t="str">
        <f>""</f>
        <v/>
      </c>
      <c r="BB421" t="str">
        <f>""</f>
        <v/>
      </c>
      <c r="BC421" t="str">
        <f>""</f>
        <v/>
      </c>
      <c r="BD421" t="str">
        <f>""</f>
        <v/>
      </c>
      <c r="BE421" t="str">
        <f>""</f>
        <v/>
      </c>
      <c r="BF421" t="str">
        <f>""</f>
        <v/>
      </c>
      <c r="BG421" t="str">
        <f>""</f>
        <v/>
      </c>
      <c r="BH421" t="str">
        <f>""</f>
        <v/>
      </c>
      <c r="BI421" t="str">
        <f>""</f>
        <v/>
      </c>
      <c r="BJ421" t="str">
        <f>""</f>
        <v/>
      </c>
      <c r="BK421" t="str">
        <f>""</f>
        <v/>
      </c>
      <c r="BL421" t="str">
        <f>""</f>
        <v/>
      </c>
      <c r="BM421" t="str">
        <f>""</f>
        <v/>
      </c>
      <c r="BN421" t="str">
        <f>""</f>
        <v/>
      </c>
      <c r="BO421" t="str">
        <f>""</f>
        <v/>
      </c>
      <c r="BP421" t="str">
        <f>""</f>
        <v/>
      </c>
      <c r="BQ421" t="str">
        <f>""</f>
        <v/>
      </c>
      <c r="BR421" t="str">
        <f>""</f>
        <v/>
      </c>
      <c r="BS421" t="str">
        <f>""</f>
        <v/>
      </c>
    </row>
    <row r="422" spans="1:71" x14ac:dyDescent="0.25">
      <c r="A422" t="str">
        <f>"Currency"</f>
        <v>Currency</v>
      </c>
      <c r="B422" t="str">
        <f>"USD"</f>
        <v>USD</v>
      </c>
      <c r="AM422" t="str">
        <f>""</f>
        <v/>
      </c>
      <c r="AN422" t="str">
        <f>""</f>
        <v/>
      </c>
      <c r="AO422" t="str">
        <f>""</f>
        <v/>
      </c>
      <c r="AP422" t="str">
        <f>""</f>
        <v/>
      </c>
      <c r="AQ422" t="str">
        <f>""</f>
        <v/>
      </c>
      <c r="AR422" t="str">
        <f>""</f>
        <v/>
      </c>
      <c r="AS422" t="str">
        <f>""</f>
        <v/>
      </c>
      <c r="AT422" t="str">
        <f>""</f>
        <v/>
      </c>
      <c r="AU422" t="str">
        <f>""</f>
        <v/>
      </c>
      <c r="AV422" t="str">
        <f>""</f>
        <v/>
      </c>
      <c r="AW422" t="str">
        <f>""</f>
        <v/>
      </c>
      <c r="AX422" t="str">
        <f>""</f>
        <v/>
      </c>
      <c r="AY422" t="str">
        <f>""</f>
        <v/>
      </c>
      <c r="AZ422" t="str">
        <f>""</f>
        <v/>
      </c>
      <c r="BA422" t="str">
        <f>""</f>
        <v/>
      </c>
      <c r="BB422" t="str">
        <f>""</f>
        <v/>
      </c>
      <c r="BC422" t="str">
        <f>""</f>
        <v/>
      </c>
      <c r="BD422" t="str">
        <f>""</f>
        <v/>
      </c>
      <c r="BE422" t="str">
        <f>""</f>
        <v/>
      </c>
      <c r="BF422" t="str">
        <f>""</f>
        <v/>
      </c>
      <c r="BG422" t="str">
        <f>""</f>
        <v/>
      </c>
      <c r="BH422" t="str">
        <f>""</f>
        <v/>
      </c>
      <c r="BI422" t="str">
        <f>""</f>
        <v/>
      </c>
      <c r="BJ422" t="str">
        <f>""</f>
        <v/>
      </c>
      <c r="BK422" t="str">
        <f>""</f>
        <v/>
      </c>
      <c r="BL422" t="str">
        <f>""</f>
        <v/>
      </c>
      <c r="BM422" t="str">
        <f>""</f>
        <v/>
      </c>
      <c r="BN422" t="str">
        <f>""</f>
        <v/>
      </c>
      <c r="BO422" t="str">
        <f>""</f>
        <v/>
      </c>
      <c r="BP422" t="str">
        <f>""</f>
        <v/>
      </c>
      <c r="BQ422" t="str">
        <f>""</f>
        <v/>
      </c>
      <c r="BR422" t="str">
        <f>""</f>
        <v/>
      </c>
      <c r="BS422" t="str">
        <f>""</f>
        <v/>
      </c>
    </row>
    <row r="423" spans="1:71" x14ac:dyDescent="0.25">
      <c r="A423" t="str">
        <f>"Periodicity"</f>
        <v>Periodicity</v>
      </c>
      <c r="B423" t="str">
        <f>"CY"</f>
        <v>CY</v>
      </c>
      <c r="C423" t="str">
        <f>"AY"</f>
        <v>AY</v>
      </c>
      <c r="AM423" t="str">
        <f>""</f>
        <v/>
      </c>
      <c r="AN423" t="str">
        <f>""</f>
        <v/>
      </c>
      <c r="AO423" t="str">
        <f>""</f>
        <v/>
      </c>
      <c r="AP423" t="str">
        <f>""</f>
        <v/>
      </c>
      <c r="AQ423" t="str">
        <f>""</f>
        <v/>
      </c>
      <c r="AR423" t="str">
        <f>""</f>
        <v/>
      </c>
      <c r="AS423" t="str">
        <f>""</f>
        <v/>
      </c>
      <c r="AT423" t="str">
        <f>""</f>
        <v/>
      </c>
      <c r="AU423" t="str">
        <f>""</f>
        <v/>
      </c>
      <c r="AV423" t="str">
        <f>""</f>
        <v/>
      </c>
      <c r="AW423" t="str">
        <f>""</f>
        <v/>
      </c>
      <c r="AX423" t="str">
        <f>""</f>
        <v/>
      </c>
      <c r="AY423" t="str">
        <f>""</f>
        <v/>
      </c>
      <c r="AZ423" t="str">
        <f>""</f>
        <v/>
      </c>
      <c r="BA423" t="str">
        <f>""</f>
        <v/>
      </c>
      <c r="BB423" t="str">
        <f>""</f>
        <v/>
      </c>
      <c r="BC423" t="str">
        <f>""</f>
        <v/>
      </c>
      <c r="BD423" t="str">
        <f>""</f>
        <v/>
      </c>
      <c r="BE423" t="str">
        <f>""</f>
        <v/>
      </c>
      <c r="BF423" t="str">
        <f>""</f>
        <v/>
      </c>
      <c r="BG423" t="str">
        <f>""</f>
        <v/>
      </c>
      <c r="BH423" t="str">
        <f>""</f>
        <v/>
      </c>
      <c r="BI423" t="str">
        <f>""</f>
        <v/>
      </c>
      <c r="BJ423" t="str">
        <f>""</f>
        <v/>
      </c>
      <c r="BK423" t="str">
        <f>""</f>
        <v/>
      </c>
      <c r="BL423" t="str">
        <f>""</f>
        <v/>
      </c>
      <c r="BM423" t="str">
        <f>""</f>
        <v/>
      </c>
      <c r="BN423" t="str">
        <f>""</f>
        <v/>
      </c>
      <c r="BO423" t="str">
        <f>""</f>
        <v/>
      </c>
      <c r="BP423" t="str">
        <f>""</f>
        <v/>
      </c>
      <c r="BQ423" t="str">
        <f>""</f>
        <v/>
      </c>
      <c r="BR423" t="str">
        <f>""</f>
        <v/>
      </c>
      <c r="BS423" t="str">
        <f>""</f>
        <v/>
      </c>
    </row>
    <row r="424" spans="1:71" x14ac:dyDescent="0.25">
      <c r="A424" t="str">
        <f>"Number of Periods"</f>
        <v>Number of Periods</v>
      </c>
      <c r="B424">
        <f>33</f>
        <v>33</v>
      </c>
      <c r="AM424" t="str">
        <f>""</f>
        <v/>
      </c>
      <c r="AN424" t="str">
        <f>""</f>
        <v/>
      </c>
      <c r="AO424" t="str">
        <f>""</f>
        <v/>
      </c>
      <c r="AP424" t="str">
        <f>""</f>
        <v/>
      </c>
      <c r="AQ424" t="str">
        <f>""</f>
        <v/>
      </c>
      <c r="AR424" t="str">
        <f>""</f>
        <v/>
      </c>
      <c r="AS424" t="str">
        <f>""</f>
        <v/>
      </c>
      <c r="AT424" t="str">
        <f>""</f>
        <v/>
      </c>
      <c r="AU424" t="str">
        <f>""</f>
        <v/>
      </c>
      <c r="AV424" t="str">
        <f>""</f>
        <v/>
      </c>
      <c r="AW424" t="str">
        <f>""</f>
        <v/>
      </c>
      <c r="AX424" t="str">
        <f>""</f>
        <v/>
      </c>
      <c r="AY424" t="str">
        <f>""</f>
        <v/>
      </c>
      <c r="AZ424" t="str">
        <f>""</f>
        <v/>
      </c>
      <c r="BA424" t="str">
        <f>""</f>
        <v/>
      </c>
      <c r="BB424" t="str">
        <f>""</f>
        <v/>
      </c>
      <c r="BC424" t="str">
        <f>""</f>
        <v/>
      </c>
      <c r="BD424" t="str">
        <f>""</f>
        <v/>
      </c>
      <c r="BE424" t="str">
        <f>""</f>
        <v/>
      </c>
      <c r="BF424" t="str">
        <f>""</f>
        <v/>
      </c>
      <c r="BG424" t="str">
        <f>""</f>
        <v/>
      </c>
      <c r="BH424" t="str">
        <f>""</f>
        <v/>
      </c>
      <c r="BI424" t="str">
        <f>""</f>
        <v/>
      </c>
      <c r="BJ424" t="str">
        <f>""</f>
        <v/>
      </c>
      <c r="BK424" t="str">
        <f>""</f>
        <v/>
      </c>
      <c r="BL424" t="str">
        <f>""</f>
        <v/>
      </c>
      <c r="BM424" t="str">
        <f>""</f>
        <v/>
      </c>
      <c r="BN424" t="str">
        <f>""</f>
        <v/>
      </c>
      <c r="BO424" t="str">
        <f>""</f>
        <v/>
      </c>
      <c r="BP424" t="str">
        <f>""</f>
        <v/>
      </c>
      <c r="BQ424" t="str">
        <f>""</f>
        <v/>
      </c>
      <c r="BR424" t="str">
        <f>""</f>
        <v/>
      </c>
      <c r="BS424" t="str">
        <f>""</f>
        <v/>
      </c>
    </row>
    <row r="425" spans="1:71" x14ac:dyDescent="0.25">
      <c r="A425" t="str">
        <f>"Start Date"</f>
        <v>Start Date</v>
      </c>
      <c r="B425" t="str">
        <f>CONCATENATE("-",$B$424,$B$423)</f>
        <v>-33CY</v>
      </c>
      <c r="C425" t="str">
        <f>CONCATENATE("-",$B$424,$C$423)</f>
        <v>-33AY</v>
      </c>
      <c r="AM425" t="str">
        <f>""</f>
        <v/>
      </c>
      <c r="AN425" t="str">
        <f>""</f>
        <v/>
      </c>
      <c r="AO425" t="str">
        <f>""</f>
        <v/>
      </c>
      <c r="AP425" t="str">
        <f>""</f>
        <v/>
      </c>
      <c r="AQ425" t="str">
        <f>""</f>
        <v/>
      </c>
      <c r="AR425" t="str">
        <f>""</f>
        <v/>
      </c>
      <c r="AS425" t="str">
        <f>""</f>
        <v/>
      </c>
      <c r="AT425" t="str">
        <f>""</f>
        <v/>
      </c>
      <c r="AU425" t="str">
        <f>""</f>
        <v/>
      </c>
      <c r="AV425" t="str">
        <f>""</f>
        <v/>
      </c>
      <c r="AW425" t="str">
        <f>""</f>
        <v/>
      </c>
      <c r="AX425" t="str">
        <f>""</f>
        <v/>
      </c>
      <c r="AY425" t="str">
        <f>""</f>
        <v/>
      </c>
      <c r="AZ425" t="str">
        <f>""</f>
        <v/>
      </c>
      <c r="BA425" t="str">
        <f>""</f>
        <v/>
      </c>
      <c r="BB425" t="str">
        <f>""</f>
        <v/>
      </c>
      <c r="BC425" t="str">
        <f>""</f>
        <v/>
      </c>
      <c r="BD425" t="str">
        <f>""</f>
        <v/>
      </c>
      <c r="BE425" t="str">
        <f>""</f>
        <v/>
      </c>
      <c r="BF425" t="str">
        <f>""</f>
        <v/>
      </c>
      <c r="BG425" t="str">
        <f>""</f>
        <v/>
      </c>
      <c r="BH425" t="str">
        <f>""</f>
        <v/>
      </c>
      <c r="BI425" t="str">
        <f>""</f>
        <v/>
      </c>
      <c r="BJ425" t="str">
        <f>""</f>
        <v/>
      </c>
      <c r="BK425" t="str">
        <f>""</f>
        <v/>
      </c>
      <c r="BL425" t="str">
        <f>""</f>
        <v/>
      </c>
      <c r="BM425" t="str">
        <f>""</f>
        <v/>
      </c>
      <c r="BN425" t="str">
        <f>""</f>
        <v/>
      </c>
      <c r="BO425" t="str">
        <f>""</f>
        <v/>
      </c>
      <c r="BP425" t="str">
        <f>""</f>
        <v/>
      </c>
      <c r="BQ425" t="str">
        <f>""</f>
        <v/>
      </c>
      <c r="BR425" t="str">
        <f>""</f>
        <v/>
      </c>
      <c r="BS425" t="str">
        <f>""</f>
        <v/>
      </c>
    </row>
    <row r="426" spans="1:71" x14ac:dyDescent="0.25">
      <c r="A426" t="str">
        <f>"End Date"</f>
        <v>End Date</v>
      </c>
      <c r="B426">
        <f ca="1">TODAY()</f>
        <v>45740</v>
      </c>
      <c r="AM426" t="str">
        <f>""</f>
        <v/>
      </c>
      <c r="AN426" t="str">
        <f>""</f>
        <v/>
      </c>
      <c r="AO426" t="str">
        <f>""</f>
        <v/>
      </c>
      <c r="AP426" t="str">
        <f>""</f>
        <v/>
      </c>
      <c r="AQ426" t="str">
        <f>""</f>
        <v/>
      </c>
      <c r="AR426" t="str">
        <f>""</f>
        <v/>
      </c>
      <c r="AS426" t="str">
        <f>""</f>
        <v/>
      </c>
      <c r="AT426" t="str">
        <f>""</f>
        <v/>
      </c>
      <c r="AU426" t="str">
        <f>""</f>
        <v/>
      </c>
      <c r="AV426" t="str">
        <f>""</f>
        <v/>
      </c>
      <c r="AW426" t="str">
        <f>""</f>
        <v/>
      </c>
      <c r="AX426" t="str">
        <f>""</f>
        <v/>
      </c>
      <c r="AY426" t="str">
        <f>""</f>
        <v/>
      </c>
      <c r="AZ426" t="str">
        <f>""</f>
        <v/>
      </c>
      <c r="BA426" t="str">
        <f>""</f>
        <v/>
      </c>
      <c r="BB426" t="str">
        <f>""</f>
        <v/>
      </c>
      <c r="BC426" t="str">
        <f>""</f>
        <v/>
      </c>
      <c r="BD426" t="str">
        <f>""</f>
        <v/>
      </c>
      <c r="BE426" t="str">
        <f>""</f>
        <v/>
      </c>
      <c r="BF426" t="str">
        <f>""</f>
        <v/>
      </c>
      <c r="BG426" t="str">
        <f>""</f>
        <v/>
      </c>
      <c r="BH426" t="str">
        <f>""</f>
        <v/>
      </c>
      <c r="BI426" t="str">
        <f>""</f>
        <v/>
      </c>
      <c r="BJ426" t="str">
        <f>""</f>
        <v/>
      </c>
      <c r="BK426" t="str">
        <f>""</f>
        <v/>
      </c>
      <c r="BL426" t="str">
        <f>""</f>
        <v/>
      </c>
      <c r="BM426" t="str">
        <f>""</f>
        <v/>
      </c>
      <c r="BN426" t="str">
        <f>""</f>
        <v/>
      </c>
      <c r="BO426" t="str">
        <f>""</f>
        <v/>
      </c>
      <c r="BP426" t="str">
        <f>""</f>
        <v/>
      </c>
      <c r="BQ426" t="str">
        <f>""</f>
        <v/>
      </c>
      <c r="BR426" t="str">
        <f>""</f>
        <v/>
      </c>
      <c r="BS426" t="str">
        <f>""</f>
        <v/>
      </c>
    </row>
    <row r="427" spans="1:71" x14ac:dyDescent="0.25">
      <c r="A427" t="str">
        <f>"HeaderStatus"</f>
        <v>HeaderStatus</v>
      </c>
      <c r="B427">
        <f ca="1">$B$828*$B$836</f>
        <v>4</v>
      </c>
      <c r="AM427" t="str">
        <f>""</f>
        <v/>
      </c>
      <c r="AN427" t="str">
        <f>""</f>
        <v/>
      </c>
      <c r="AO427" t="str">
        <f>""</f>
        <v/>
      </c>
      <c r="AP427" t="str">
        <f>""</f>
        <v/>
      </c>
      <c r="AQ427" t="str">
        <f>""</f>
        <v/>
      </c>
      <c r="AR427" t="str">
        <f>""</f>
        <v/>
      </c>
      <c r="AS427" t="str">
        <f>""</f>
        <v/>
      </c>
      <c r="AT427" t="str">
        <f>""</f>
        <v/>
      </c>
      <c r="AU427" t="str">
        <f>""</f>
        <v/>
      </c>
      <c r="AV427" t="str">
        <f>""</f>
        <v/>
      </c>
      <c r="AW427" t="str">
        <f>""</f>
        <v/>
      </c>
      <c r="AX427" t="str">
        <f>""</f>
        <v/>
      </c>
      <c r="AY427" t="str">
        <f>""</f>
        <v/>
      </c>
      <c r="AZ427" t="str">
        <f>""</f>
        <v/>
      </c>
      <c r="BA427" t="str">
        <f>""</f>
        <v/>
      </c>
      <c r="BB427" t="str">
        <f>""</f>
        <v/>
      </c>
      <c r="BC427" t="str">
        <f>""</f>
        <v/>
      </c>
      <c r="BD427" t="str">
        <f>""</f>
        <v/>
      </c>
      <c r="BE427" t="str">
        <f>""</f>
        <v/>
      </c>
      <c r="BF427" t="str">
        <f>""</f>
        <v/>
      </c>
      <c r="BG427" t="str">
        <f>""</f>
        <v/>
      </c>
      <c r="BH427" t="str">
        <f>""</f>
        <v/>
      </c>
      <c r="BI427" t="str">
        <f>""</f>
        <v/>
      </c>
      <c r="BJ427" t="str">
        <f>""</f>
        <v/>
      </c>
      <c r="BK427" t="str">
        <f>""</f>
        <v/>
      </c>
      <c r="BL427" t="str">
        <f>""</f>
        <v/>
      </c>
      <c r="BM427" t="str">
        <f>""</f>
        <v/>
      </c>
      <c r="BN427" t="str">
        <f>""</f>
        <v/>
      </c>
      <c r="BO427" t="str">
        <f>""</f>
        <v/>
      </c>
      <c r="BP427" t="str">
        <f>""</f>
        <v/>
      </c>
      <c r="BQ427" t="str">
        <f>""</f>
        <v/>
      </c>
      <c r="BR427" t="str">
        <f>""</f>
        <v/>
      </c>
      <c r="BS427" t="str">
        <f>""</f>
        <v/>
      </c>
    </row>
    <row r="428" spans="1:71" x14ac:dyDescent="0.25">
      <c r="AM428" t="str">
        <f>""</f>
        <v/>
      </c>
      <c r="AN428" t="str">
        <f>""</f>
        <v/>
      </c>
      <c r="AO428" t="str">
        <f>""</f>
        <v/>
      </c>
      <c r="AP428" t="str">
        <f>""</f>
        <v/>
      </c>
      <c r="AQ428" t="str">
        <f>""</f>
        <v/>
      </c>
      <c r="AR428" t="str">
        <f>""</f>
        <v/>
      </c>
      <c r="AS428" t="str">
        <f>""</f>
        <v/>
      </c>
      <c r="AT428" t="str">
        <f>""</f>
        <v/>
      </c>
      <c r="AU428" t="str">
        <f>""</f>
        <v/>
      </c>
      <c r="AV428" t="str">
        <f>""</f>
        <v/>
      </c>
      <c r="AW428" t="str">
        <f>""</f>
        <v/>
      </c>
      <c r="AX428" t="str">
        <f>""</f>
        <v/>
      </c>
      <c r="AY428" t="str">
        <f>""</f>
        <v/>
      </c>
      <c r="AZ428" t="str">
        <f>""</f>
        <v/>
      </c>
      <c r="BA428" t="str">
        <f>""</f>
        <v/>
      </c>
      <c r="BB428" t="str">
        <f>""</f>
        <v/>
      </c>
      <c r="BC428" t="str">
        <f>""</f>
        <v/>
      </c>
      <c r="BD428" t="str">
        <f>""</f>
        <v/>
      </c>
      <c r="BE428" t="str">
        <f>""</f>
        <v/>
      </c>
      <c r="BF428" t="str">
        <f>""</f>
        <v/>
      </c>
      <c r="BG428" t="str">
        <f>""</f>
        <v/>
      </c>
      <c r="BH428" t="str">
        <f>""</f>
        <v/>
      </c>
      <c r="BI428" t="str">
        <f>""</f>
        <v/>
      </c>
      <c r="BJ428" t="str">
        <f>""</f>
        <v/>
      </c>
      <c r="BK428" t="str">
        <f>""</f>
        <v/>
      </c>
      <c r="BL428" t="str">
        <f>""</f>
        <v/>
      </c>
      <c r="BM428" t="str">
        <f>""</f>
        <v/>
      </c>
      <c r="BN428" t="str">
        <f>""</f>
        <v/>
      </c>
      <c r="BO428" t="str">
        <f>""</f>
        <v/>
      </c>
      <c r="BP428" t="str">
        <f>""</f>
        <v/>
      </c>
      <c r="BQ428" t="str">
        <f>""</f>
        <v/>
      </c>
      <c r="BR428" t="str">
        <f>""</f>
        <v/>
      </c>
      <c r="BS428" t="str">
        <f>""</f>
        <v/>
      </c>
    </row>
    <row r="429" spans="1:71" x14ac:dyDescent="0.25">
      <c r="A429" t="str">
        <f>$A$4</f>
        <v xml:space="preserve">        Bank of America Corp</v>
      </c>
      <c r="B429" t="str">
        <f>$B$4</f>
        <v>BAC US Equity</v>
      </c>
      <c r="C429" t="str">
        <f>$C$4</f>
        <v>FY421</v>
      </c>
      <c r="D429" t="str">
        <f>$D$4</f>
        <v>FED_TOTAL_CONSOLIDATED_LOANS</v>
      </c>
      <c r="E429" t="str">
        <f>$E$4</f>
        <v>Dynamic</v>
      </c>
      <c r="F429">
        <f ca="1">_xll.BDH($B$4,$C$4,$B$425,$B$426,CONCATENATE("Per=",$B$423),"Dts=H","Dir=H",CONCATENATE("Points=",$B$424),"Sort=R","Days=A","Fill=B",CONCATENATE("FX=", $B$422),"cols=33;rows=1")</f>
        <v>1156551</v>
      </c>
      <c r="G429">
        <v>1100493</v>
      </c>
      <c r="H429">
        <v>1082024</v>
      </c>
      <c r="I429">
        <v>1039425</v>
      </c>
      <c r="J429">
        <v>973174</v>
      </c>
      <c r="K429">
        <v>1028593</v>
      </c>
      <c r="L429">
        <v>980380</v>
      </c>
      <c r="M429">
        <v>991168</v>
      </c>
      <c r="N429">
        <v>946954</v>
      </c>
      <c r="O429">
        <v>930858</v>
      </c>
      <c r="P429">
        <v>917349</v>
      </c>
      <c r="Q429">
        <v>969381</v>
      </c>
      <c r="R429">
        <v>968295.80599999998</v>
      </c>
      <c r="S429">
        <v>967120.505</v>
      </c>
      <c r="T429">
        <v>993149.15099999995</v>
      </c>
      <c r="U429">
        <v>960866.92500000005</v>
      </c>
      <c r="V429">
        <v>960802.76100000006</v>
      </c>
      <c r="W429">
        <v>908519.18400000001</v>
      </c>
      <c r="X429">
        <v>723420.56599999999</v>
      </c>
      <c r="Y429">
        <v>586308.11</v>
      </c>
      <c r="Z429">
        <v>530040.33100000001</v>
      </c>
      <c r="AA429">
        <v>380341.098</v>
      </c>
      <c r="AB429">
        <v>356586</v>
      </c>
      <c r="AC429">
        <v>337466</v>
      </c>
      <c r="AM429" t="str">
        <f>""</f>
        <v/>
      </c>
      <c r="AN429" t="str">
        <f>""</f>
        <v/>
      </c>
      <c r="AO429" t="str">
        <f>""</f>
        <v/>
      </c>
      <c r="AP429" t="str">
        <f>""</f>
        <v/>
      </c>
      <c r="AQ429" t="str">
        <f>""</f>
        <v/>
      </c>
      <c r="AR429" t="str">
        <f>""</f>
        <v/>
      </c>
      <c r="AS429" t="str">
        <f>""</f>
        <v/>
      </c>
      <c r="AT429" t="str">
        <f>""</f>
        <v/>
      </c>
      <c r="AU429" t="str">
        <f>""</f>
        <v/>
      </c>
      <c r="AV429" t="str">
        <f>""</f>
        <v/>
      </c>
      <c r="AW429" t="str">
        <f>""</f>
        <v/>
      </c>
      <c r="AX429" t="str">
        <f>""</f>
        <v/>
      </c>
      <c r="AY429" t="str">
        <f>""</f>
        <v/>
      </c>
      <c r="AZ429" t="str">
        <f>""</f>
        <v/>
      </c>
      <c r="BA429" t="str">
        <f>""</f>
        <v/>
      </c>
      <c r="BB429" t="str">
        <f>""</f>
        <v/>
      </c>
      <c r="BC429" t="str">
        <f>""</f>
        <v/>
      </c>
      <c r="BD429" t="str">
        <f>""</f>
        <v/>
      </c>
      <c r="BE429" t="str">
        <f>""</f>
        <v/>
      </c>
      <c r="BF429" t="str">
        <f>""</f>
        <v/>
      </c>
      <c r="BG429" t="str">
        <f>""</f>
        <v/>
      </c>
      <c r="BH429" t="str">
        <f>""</f>
        <v/>
      </c>
      <c r="BI429" t="str">
        <f>""</f>
        <v/>
      </c>
      <c r="BJ429" t="str">
        <f>""</f>
        <v/>
      </c>
      <c r="BK429" t="str">
        <f>""</f>
        <v/>
      </c>
      <c r="BL429" t="str">
        <f>""</f>
        <v/>
      </c>
      <c r="BM429" t="str">
        <f>""</f>
        <v/>
      </c>
      <c r="BN429" t="str">
        <f>""</f>
        <v/>
      </c>
      <c r="BO429" t="str">
        <f>""</f>
        <v/>
      </c>
      <c r="BP429" t="str">
        <f>""</f>
        <v/>
      </c>
      <c r="BQ429" t="str">
        <f>""</f>
        <v/>
      </c>
      <c r="BR429" t="str">
        <f>""</f>
        <v/>
      </c>
      <c r="BS429" t="str">
        <f>""</f>
        <v/>
      </c>
    </row>
    <row r="430" spans="1:71" x14ac:dyDescent="0.25">
      <c r="A430" t="str">
        <f>$A$5</f>
        <v xml:space="preserve">        Citigroup Inc</v>
      </c>
      <c r="B430" t="str">
        <f>$B$5</f>
        <v>C US Equity</v>
      </c>
      <c r="C430" t="str">
        <f>$C$5</f>
        <v>FY421</v>
      </c>
      <c r="D430" t="str">
        <f>$D$5</f>
        <v>FED_TOTAL_CONSOLIDATED_LOANS</v>
      </c>
      <c r="E430" t="str">
        <f>$E$5</f>
        <v>Dynamic</v>
      </c>
      <c r="F430">
        <f ca="1">_xll.BDH($B$5,$C$5,$B$425,$B$426,CONCATENATE("Per=",$B$423),"Dts=H","Dir=H",CONCATENATE("Points=",$B$424),"Sort=R","Days=A","Fill=B",CONCATENATE("FX=", $B$422),"cols=33;rows=1")</f>
        <v>711609</v>
      </c>
      <c r="G430">
        <v>701173</v>
      </c>
      <c r="H430">
        <v>681224</v>
      </c>
      <c r="I430">
        <v>705150</v>
      </c>
      <c r="J430">
        <v>694285</v>
      </c>
      <c r="K430">
        <v>718117</v>
      </c>
      <c r="L430">
        <v>700790</v>
      </c>
      <c r="M430">
        <v>688135</v>
      </c>
      <c r="N430">
        <v>641977</v>
      </c>
      <c r="O430">
        <v>639726</v>
      </c>
      <c r="P430">
        <v>660639</v>
      </c>
      <c r="Q430">
        <v>677133</v>
      </c>
      <c r="R430">
        <v>673019</v>
      </c>
      <c r="S430">
        <v>676030</v>
      </c>
      <c r="T430">
        <v>678662</v>
      </c>
      <c r="U430">
        <v>619634</v>
      </c>
      <c r="V430">
        <v>723696</v>
      </c>
      <c r="W430">
        <v>858438</v>
      </c>
      <c r="X430">
        <v>717294</v>
      </c>
      <c r="Y430">
        <v>619160</v>
      </c>
      <c r="Z430">
        <v>586057</v>
      </c>
      <c r="AA430">
        <v>504803</v>
      </c>
      <c r="AB430">
        <v>477323</v>
      </c>
      <c r="AC430">
        <v>419928</v>
      </c>
      <c r="AM430" t="str">
        <f>""</f>
        <v/>
      </c>
      <c r="AN430" t="str">
        <f>""</f>
        <v/>
      </c>
      <c r="AO430" t="str">
        <f>""</f>
        <v/>
      </c>
      <c r="AP430" t="str">
        <f>""</f>
        <v/>
      </c>
      <c r="AQ430" t="str">
        <f>""</f>
        <v/>
      </c>
      <c r="AR430" t="str">
        <f>""</f>
        <v/>
      </c>
      <c r="AS430" t="str">
        <f>""</f>
        <v/>
      </c>
      <c r="AT430" t="str">
        <f>""</f>
        <v/>
      </c>
      <c r="AU430" t="str">
        <f>""</f>
        <v/>
      </c>
      <c r="AV430" t="str">
        <f>""</f>
        <v/>
      </c>
      <c r="AW430" t="str">
        <f>""</f>
        <v/>
      </c>
      <c r="AX430" t="str">
        <f>""</f>
        <v/>
      </c>
      <c r="AY430" t="str">
        <f>""</f>
        <v/>
      </c>
      <c r="AZ430" t="str">
        <f>""</f>
        <v/>
      </c>
      <c r="BA430" t="str">
        <f>""</f>
        <v/>
      </c>
      <c r="BB430" t="str">
        <f>""</f>
        <v/>
      </c>
      <c r="BC430" t="str">
        <f>""</f>
        <v/>
      </c>
      <c r="BD430" t="str">
        <f>""</f>
        <v/>
      </c>
      <c r="BE430" t="str">
        <f>""</f>
        <v/>
      </c>
      <c r="BF430" t="str">
        <f>""</f>
        <v/>
      </c>
      <c r="BG430" t="str">
        <f>""</f>
        <v/>
      </c>
      <c r="BH430" t="str">
        <f>""</f>
        <v/>
      </c>
      <c r="BI430" t="str">
        <f>""</f>
        <v/>
      </c>
      <c r="BJ430" t="str">
        <f>""</f>
        <v/>
      </c>
      <c r="BK430" t="str">
        <f>""</f>
        <v/>
      </c>
      <c r="BL430" t="str">
        <f>""</f>
        <v/>
      </c>
      <c r="BM430" t="str">
        <f>""</f>
        <v/>
      </c>
      <c r="BN430" t="str">
        <f>""</f>
        <v/>
      </c>
      <c r="BO430" t="str">
        <f>""</f>
        <v/>
      </c>
      <c r="BP430" t="str">
        <f>""</f>
        <v/>
      </c>
      <c r="BQ430" t="str">
        <f>""</f>
        <v/>
      </c>
      <c r="BR430" t="str">
        <f>""</f>
        <v/>
      </c>
      <c r="BS430" t="str">
        <f>""</f>
        <v/>
      </c>
    </row>
    <row r="431" spans="1:71" x14ac:dyDescent="0.25">
      <c r="A431" t="str">
        <f>$A$6</f>
        <v xml:space="preserve">        Citizens Financial Group Inc</v>
      </c>
      <c r="B431" t="str">
        <f>$B$6</f>
        <v>CFG US Equity</v>
      </c>
      <c r="C431" t="str">
        <f>$C$6</f>
        <v>FY421</v>
      </c>
      <c r="D431" t="str">
        <f>$D$6</f>
        <v>FED_TOTAL_CONSOLIDATED_LOANS</v>
      </c>
      <c r="E431" t="str">
        <f>$E$6</f>
        <v>Dynamic</v>
      </c>
      <c r="F431">
        <f ca="1">_xll.BDH($B$6,$C$6,$B$425,$B$426,CONCATENATE("Per=",$B$423),"Dts=H","Dir=H",CONCATENATE("Points=",$B$424),"Sort=R","Days=A","Fill=B",CONCATENATE("FX=", $B$422),"cols=33;rows=1")</f>
        <v>140207.53599999999</v>
      </c>
      <c r="G431">
        <v>146993.72500000001</v>
      </c>
      <c r="H431">
        <v>157774.068</v>
      </c>
      <c r="I431">
        <v>131631.13099999999</v>
      </c>
      <c r="J431">
        <v>128081.219</v>
      </c>
      <c r="K431">
        <v>122272.109</v>
      </c>
      <c r="L431">
        <v>117744.967</v>
      </c>
      <c r="M431">
        <v>111180.173</v>
      </c>
      <c r="N431">
        <v>108232.204</v>
      </c>
      <c r="O431">
        <v>99384.294999999998</v>
      </c>
      <c r="P431">
        <v>93675.936000000002</v>
      </c>
      <c r="Q431">
        <v>87137.156000000003</v>
      </c>
      <c r="R431">
        <v>87916.694000000003</v>
      </c>
      <c r="S431">
        <v>87381.176000000007</v>
      </c>
      <c r="T431">
        <v>87770.357000000004</v>
      </c>
      <c r="U431">
        <v>96074.607000000004</v>
      </c>
      <c r="V431">
        <v>111195.501</v>
      </c>
      <c r="W431">
        <v>111762.69</v>
      </c>
      <c r="X431">
        <v>106062.823</v>
      </c>
      <c r="Y431">
        <v>100000.266</v>
      </c>
      <c r="Z431">
        <v>86681.343999999997</v>
      </c>
      <c r="AA431">
        <v>43764.093000000001</v>
      </c>
      <c r="AB431">
        <v>31559.427</v>
      </c>
      <c r="AC431">
        <v>26415.282999999999</v>
      </c>
      <c r="AM431" t="str">
        <f>""</f>
        <v/>
      </c>
      <c r="AN431" t="str">
        <f>""</f>
        <v/>
      </c>
      <c r="AO431" t="str">
        <f>""</f>
        <v/>
      </c>
      <c r="AP431" t="str">
        <f>""</f>
        <v/>
      </c>
      <c r="AQ431" t="str">
        <f>""</f>
        <v/>
      </c>
      <c r="AR431" t="str">
        <f>""</f>
        <v/>
      </c>
      <c r="AS431" t="str">
        <f>""</f>
        <v/>
      </c>
      <c r="AT431" t="str">
        <f>""</f>
        <v/>
      </c>
      <c r="AU431" t="str">
        <f>""</f>
        <v/>
      </c>
      <c r="AV431" t="str">
        <f>""</f>
        <v/>
      </c>
      <c r="AW431" t="str">
        <f>""</f>
        <v/>
      </c>
      <c r="AX431" t="str">
        <f>""</f>
        <v/>
      </c>
      <c r="AY431" t="str">
        <f>""</f>
        <v/>
      </c>
      <c r="AZ431" t="str">
        <f>""</f>
        <v/>
      </c>
      <c r="BA431" t="str">
        <f>""</f>
        <v/>
      </c>
      <c r="BB431" t="str">
        <f>""</f>
        <v/>
      </c>
      <c r="BC431" t="str">
        <f>""</f>
        <v/>
      </c>
      <c r="BD431" t="str">
        <f>""</f>
        <v/>
      </c>
      <c r="BE431" t="str">
        <f>""</f>
        <v/>
      </c>
      <c r="BF431" t="str">
        <f>""</f>
        <v/>
      </c>
      <c r="BG431" t="str">
        <f>""</f>
        <v/>
      </c>
      <c r="BH431" t="str">
        <f>""</f>
        <v/>
      </c>
      <c r="BI431" t="str">
        <f>""</f>
        <v/>
      </c>
      <c r="BJ431" t="str">
        <f>""</f>
        <v/>
      </c>
      <c r="BK431" t="str">
        <f>""</f>
        <v/>
      </c>
      <c r="BL431" t="str">
        <f>""</f>
        <v/>
      </c>
      <c r="BM431" t="str">
        <f>""</f>
        <v/>
      </c>
      <c r="BN431" t="str">
        <f>""</f>
        <v/>
      </c>
      <c r="BO431" t="str">
        <f>""</f>
        <v/>
      </c>
      <c r="BP431" t="str">
        <f>""</f>
        <v/>
      </c>
      <c r="BQ431" t="str">
        <f>""</f>
        <v/>
      </c>
      <c r="BR431" t="str">
        <f>""</f>
        <v/>
      </c>
      <c r="BS431" t="str">
        <f>""</f>
        <v/>
      </c>
    </row>
    <row r="432" spans="1:71" x14ac:dyDescent="0.25">
      <c r="A432" t="str">
        <f>$A$7</f>
        <v xml:space="preserve">        Capital One Financial Corp</v>
      </c>
      <c r="B432" t="str">
        <f>$B$7</f>
        <v>COF US Equity</v>
      </c>
      <c r="C432" t="str">
        <f>$C$7</f>
        <v>FY421</v>
      </c>
      <c r="D432" t="str">
        <f>$D$7</f>
        <v>FED_TOTAL_CONSOLIDATED_LOANS</v>
      </c>
      <c r="E432" t="str">
        <f>$E$7</f>
        <v>Dynamic</v>
      </c>
      <c r="F432">
        <f ca="1">_xll.BDH($B$7,$C$7,$B$425,$B$426,CONCATENATE("Per=",$B$423),"Dts=H","Dir=H",CONCATENATE("Points=",$B$424),"Sort=R","Days=A","Fill=B",CONCATENATE("FX=", $B$422),"cols=33;rows=1")</f>
        <v>327977.576</v>
      </c>
      <c r="G432">
        <v>321325.283</v>
      </c>
      <c r="H432">
        <v>312533.19199999998</v>
      </c>
      <c r="I432">
        <v>283227.397</v>
      </c>
      <c r="J432">
        <v>254333.81700000001</v>
      </c>
      <c r="K432">
        <v>266209.05200000003</v>
      </c>
      <c r="L432">
        <v>247090.74799999999</v>
      </c>
      <c r="M432">
        <v>255443.198</v>
      </c>
      <c r="N432">
        <v>246754.769</v>
      </c>
      <c r="O432">
        <v>230923.889</v>
      </c>
      <c r="P432">
        <v>209062.215</v>
      </c>
      <c r="Q432">
        <v>197869.49</v>
      </c>
      <c r="R432">
        <v>206212.78400000001</v>
      </c>
      <c r="S432">
        <v>136484.163</v>
      </c>
      <c r="T432">
        <v>126550.12300000001</v>
      </c>
      <c r="U432">
        <v>91412.434999999998</v>
      </c>
      <c r="V432">
        <v>101654.12300000001</v>
      </c>
      <c r="W432">
        <v>102908.785</v>
      </c>
      <c r="X432">
        <v>107406.982</v>
      </c>
      <c r="Y432">
        <v>60193.620999999999</v>
      </c>
      <c r="Z432">
        <v>38774.444000000003</v>
      </c>
      <c r="AM432" t="str">
        <f>""</f>
        <v/>
      </c>
      <c r="AN432" t="str">
        <f>""</f>
        <v/>
      </c>
      <c r="AO432" t="str">
        <f>""</f>
        <v/>
      </c>
      <c r="AP432" t="str">
        <f>""</f>
        <v/>
      </c>
      <c r="AQ432" t="str">
        <f>""</f>
        <v/>
      </c>
      <c r="AR432" t="str">
        <f>""</f>
        <v/>
      </c>
      <c r="AS432" t="str">
        <f>""</f>
        <v/>
      </c>
      <c r="AT432" t="str">
        <f>""</f>
        <v/>
      </c>
      <c r="AU432" t="str">
        <f>""</f>
        <v/>
      </c>
      <c r="AV432" t="str">
        <f>""</f>
        <v/>
      </c>
      <c r="AW432" t="str">
        <f>""</f>
        <v/>
      </c>
      <c r="AX432" t="str">
        <f>""</f>
        <v/>
      </c>
      <c r="AY432" t="str">
        <f>""</f>
        <v/>
      </c>
      <c r="AZ432" t="str">
        <f>""</f>
        <v/>
      </c>
      <c r="BA432" t="str">
        <f>""</f>
        <v/>
      </c>
      <c r="BB432" t="str">
        <f>""</f>
        <v/>
      </c>
      <c r="BC432" t="str">
        <f>""</f>
        <v/>
      </c>
      <c r="BD432" t="str">
        <f>""</f>
        <v/>
      </c>
      <c r="BE432" t="str">
        <f>""</f>
        <v/>
      </c>
      <c r="BF432" t="str">
        <f>""</f>
        <v/>
      </c>
      <c r="BG432" t="str">
        <f>""</f>
        <v/>
      </c>
      <c r="BH432" t="str">
        <f>""</f>
        <v/>
      </c>
      <c r="BI432" t="str">
        <f>""</f>
        <v/>
      </c>
      <c r="BJ432" t="str">
        <f>""</f>
        <v/>
      </c>
      <c r="BK432" t="str">
        <f>""</f>
        <v/>
      </c>
      <c r="BL432" t="str">
        <f>""</f>
        <v/>
      </c>
      <c r="BM432" t="str">
        <f>""</f>
        <v/>
      </c>
      <c r="BN432" t="str">
        <f>""</f>
        <v/>
      </c>
      <c r="BO432" t="str">
        <f>""</f>
        <v/>
      </c>
      <c r="BP432" t="str">
        <f>""</f>
        <v/>
      </c>
      <c r="BQ432" t="str">
        <f>""</f>
        <v/>
      </c>
      <c r="BR432" t="str">
        <f>""</f>
        <v/>
      </c>
      <c r="BS432" t="str">
        <f>""</f>
        <v/>
      </c>
    </row>
    <row r="433" spans="1:71" x14ac:dyDescent="0.25">
      <c r="A433" t="str">
        <f>$A$8</f>
        <v xml:space="preserve">        Comerica Inc</v>
      </c>
      <c r="B433" t="str">
        <f>$B$8</f>
        <v>CMA US Equity</v>
      </c>
      <c r="C433" t="str">
        <f>$C$8</f>
        <v>FY421</v>
      </c>
      <c r="D433" t="str">
        <f>$D$8</f>
        <v>FED_TOTAL_CONSOLIDATED_LOANS</v>
      </c>
      <c r="E433" t="str">
        <f>$E$8</f>
        <v>Dynamic</v>
      </c>
      <c r="F433">
        <f ca="1">_xll.BDH($B$8,$C$8,$B$425,$B$426,CONCATENATE("Per=",$B$423),"Dts=H","Dir=H",CONCATENATE("Points=",$B$424),"Sort=R","Days=A","Fill=B",CONCATENATE("FX=", $B$422),"cols=33;rows=1")</f>
        <v>50758</v>
      </c>
      <c r="G433">
        <v>52345</v>
      </c>
      <c r="H433">
        <v>53403</v>
      </c>
      <c r="I433">
        <v>49291</v>
      </c>
      <c r="J433">
        <v>52296</v>
      </c>
      <c r="K433">
        <v>50375</v>
      </c>
      <c r="L433">
        <v>50165.673000000003</v>
      </c>
      <c r="M433">
        <v>49175.788</v>
      </c>
      <c r="N433">
        <v>49091.118000000002</v>
      </c>
      <c r="O433">
        <v>49104.214999999997</v>
      </c>
      <c r="P433">
        <v>48597.552000000003</v>
      </c>
      <c r="Q433">
        <v>45473.836000000003</v>
      </c>
      <c r="R433">
        <v>46067.699000000001</v>
      </c>
      <c r="S433">
        <v>42713.012000000002</v>
      </c>
      <c r="T433">
        <v>40258.275000000001</v>
      </c>
      <c r="U433">
        <v>42189.722999999998</v>
      </c>
      <c r="V433">
        <v>50539.921000000002</v>
      </c>
      <c r="W433">
        <v>50960.853999999999</v>
      </c>
      <c r="X433">
        <v>47578.22</v>
      </c>
      <c r="Y433">
        <v>43397.720999999998</v>
      </c>
      <c r="Z433">
        <v>40948.607000000004</v>
      </c>
      <c r="AA433">
        <v>40522.218999999997</v>
      </c>
      <c r="AB433">
        <v>42530.150999999998</v>
      </c>
      <c r="AC433">
        <v>41471.159</v>
      </c>
      <c r="AM433" t="str">
        <f>""</f>
        <v/>
      </c>
      <c r="AN433" t="str">
        <f>""</f>
        <v/>
      </c>
      <c r="AO433" t="str">
        <f>""</f>
        <v/>
      </c>
      <c r="AP433" t="str">
        <f>""</f>
        <v/>
      </c>
      <c r="AQ433" t="str">
        <f>""</f>
        <v/>
      </c>
      <c r="AR433" t="str">
        <f>""</f>
        <v/>
      </c>
      <c r="AS433" t="str">
        <f>""</f>
        <v/>
      </c>
      <c r="AT433" t="str">
        <f>""</f>
        <v/>
      </c>
      <c r="AU433" t="str">
        <f>""</f>
        <v/>
      </c>
      <c r="AV433" t="str">
        <f>""</f>
        <v/>
      </c>
      <c r="AW433" t="str">
        <f>""</f>
        <v/>
      </c>
      <c r="AX433" t="str">
        <f>""</f>
        <v/>
      </c>
      <c r="AY433" t="str">
        <f>""</f>
        <v/>
      </c>
      <c r="AZ433" t="str">
        <f>""</f>
        <v/>
      </c>
      <c r="BA433" t="str">
        <f>""</f>
        <v/>
      </c>
      <c r="BB433" t="str">
        <f>""</f>
        <v/>
      </c>
      <c r="BC433" t="str">
        <f>""</f>
        <v/>
      </c>
      <c r="BD433" t="str">
        <f>""</f>
        <v/>
      </c>
      <c r="BE433" t="str">
        <f>""</f>
        <v/>
      </c>
      <c r="BF433" t="str">
        <f>""</f>
        <v/>
      </c>
      <c r="BG433" t="str">
        <f>""</f>
        <v/>
      </c>
      <c r="BH433" t="str">
        <f>""</f>
        <v/>
      </c>
      <c r="BI433" t="str">
        <f>""</f>
        <v/>
      </c>
      <c r="BJ433" t="str">
        <f>""</f>
        <v/>
      </c>
      <c r="BK433" t="str">
        <f>""</f>
        <v/>
      </c>
      <c r="BL433" t="str">
        <f>""</f>
        <v/>
      </c>
      <c r="BM433" t="str">
        <f>""</f>
        <v/>
      </c>
      <c r="BN433" t="str">
        <f>""</f>
        <v/>
      </c>
      <c r="BO433" t="str">
        <f>""</f>
        <v/>
      </c>
      <c r="BP433" t="str">
        <f>""</f>
        <v/>
      </c>
      <c r="BQ433" t="str">
        <f>""</f>
        <v/>
      </c>
      <c r="BR433" t="str">
        <f>""</f>
        <v/>
      </c>
      <c r="BS433" t="str">
        <f>""</f>
        <v/>
      </c>
    </row>
    <row r="434" spans="1:71" x14ac:dyDescent="0.25">
      <c r="A434" t="str">
        <f>$A$9</f>
        <v xml:space="preserve">        East West Bancorp Inc</v>
      </c>
      <c r="B434" t="str">
        <f>$B$9</f>
        <v>EWBC US Equity</v>
      </c>
      <c r="C434" t="str">
        <f>$C$9</f>
        <v>FY421</v>
      </c>
      <c r="D434" t="str">
        <f>$D$9</f>
        <v>FED_TOTAL_CONSOLIDATED_LOANS</v>
      </c>
      <c r="E434" t="str">
        <f>$E$9</f>
        <v>Dynamic</v>
      </c>
      <c r="F434">
        <f ca="1">_xll.BDH($B$9,$C$9,$B$425,$B$426,CONCATENATE("Per=",$B$423),"Dts=H","Dir=H",CONCATENATE("Points=",$B$424),"Sort=R","Days=A","Fill=B",CONCATENATE("FX=", $B$422),"cols=33;rows=1")</f>
        <v>53726.637000000002</v>
      </c>
      <c r="G434">
        <v>52210.898000000001</v>
      </c>
      <c r="H434">
        <v>48260.266000000003</v>
      </c>
      <c r="I434">
        <v>42712.919000000002</v>
      </c>
      <c r="J434">
        <v>38692.743000000002</v>
      </c>
      <c r="K434">
        <v>34778.972999999998</v>
      </c>
      <c r="L434">
        <v>32455.464</v>
      </c>
      <c r="M434">
        <v>29103.936000000002</v>
      </c>
      <c r="N434">
        <v>25551.215</v>
      </c>
      <c r="O434">
        <v>23675.685000000001</v>
      </c>
      <c r="P434">
        <v>21878.431</v>
      </c>
      <c r="Q434">
        <v>18142.429</v>
      </c>
      <c r="R434">
        <v>15104.361999999999</v>
      </c>
      <c r="S434">
        <v>14962.259</v>
      </c>
      <c r="T434">
        <v>13694.825999999999</v>
      </c>
      <c r="U434">
        <v>14095.644</v>
      </c>
      <c r="V434">
        <v>8248.4470000000001</v>
      </c>
      <c r="W434">
        <v>8839.8989999999994</v>
      </c>
      <c r="X434">
        <v>8261.0069999999996</v>
      </c>
      <c r="Y434">
        <v>6793.0860000000002</v>
      </c>
      <c r="Z434">
        <v>5131.3440000000001</v>
      </c>
      <c r="AA434">
        <v>3273.44</v>
      </c>
      <c r="AB434">
        <v>2348.6480000000001</v>
      </c>
      <c r="AC434">
        <v>2160.645</v>
      </c>
      <c r="AM434" t="str">
        <f>""</f>
        <v/>
      </c>
      <c r="AN434" t="str">
        <f>""</f>
        <v/>
      </c>
      <c r="AO434" t="str">
        <f>""</f>
        <v/>
      </c>
      <c r="AP434" t="str">
        <f>""</f>
        <v/>
      </c>
      <c r="AQ434" t="str">
        <f>""</f>
        <v/>
      </c>
      <c r="AR434" t="str">
        <f>""</f>
        <v/>
      </c>
      <c r="AS434" t="str">
        <f>""</f>
        <v/>
      </c>
      <c r="AT434" t="str">
        <f>""</f>
        <v/>
      </c>
      <c r="AU434" t="str">
        <f>""</f>
        <v/>
      </c>
      <c r="AV434" t="str">
        <f>""</f>
        <v/>
      </c>
      <c r="AW434" t="str">
        <f>""</f>
        <v/>
      </c>
      <c r="AX434" t="str">
        <f>""</f>
        <v/>
      </c>
      <c r="AY434" t="str">
        <f>""</f>
        <v/>
      </c>
      <c r="AZ434" t="str">
        <f>""</f>
        <v/>
      </c>
      <c r="BA434" t="str">
        <f>""</f>
        <v/>
      </c>
      <c r="BB434" t="str">
        <f>""</f>
        <v/>
      </c>
      <c r="BC434" t="str">
        <f>""</f>
        <v/>
      </c>
      <c r="BD434" t="str">
        <f>""</f>
        <v/>
      </c>
      <c r="BE434" t="str">
        <f>""</f>
        <v/>
      </c>
      <c r="BF434" t="str">
        <f>""</f>
        <v/>
      </c>
      <c r="BG434" t="str">
        <f>""</f>
        <v/>
      </c>
      <c r="BH434" t="str">
        <f>""</f>
        <v/>
      </c>
      <c r="BI434" t="str">
        <f>""</f>
        <v/>
      </c>
      <c r="BJ434" t="str">
        <f>""</f>
        <v/>
      </c>
      <c r="BK434" t="str">
        <f>""</f>
        <v/>
      </c>
      <c r="BL434" t="str">
        <f>""</f>
        <v/>
      </c>
      <c r="BM434" t="str">
        <f>""</f>
        <v/>
      </c>
      <c r="BN434" t="str">
        <f>""</f>
        <v/>
      </c>
      <c r="BO434" t="str">
        <f>""</f>
        <v/>
      </c>
      <c r="BP434" t="str">
        <f>""</f>
        <v/>
      </c>
      <c r="BQ434" t="str">
        <f>""</f>
        <v/>
      </c>
      <c r="BR434" t="str">
        <f>""</f>
        <v/>
      </c>
      <c r="BS434" t="str">
        <f>""</f>
        <v/>
      </c>
    </row>
    <row r="435" spans="1:71" x14ac:dyDescent="0.25">
      <c r="A435" t="str">
        <f>$A$10</f>
        <v xml:space="preserve">        Fifth Third Bancorp</v>
      </c>
      <c r="B435" t="str">
        <f>$B$10</f>
        <v>FITB US Equity</v>
      </c>
      <c r="C435" t="str">
        <f>$C$10</f>
        <v>FY421</v>
      </c>
      <c r="D435" t="str">
        <f>$D$10</f>
        <v>FED_TOTAL_CONSOLIDATED_LOANS</v>
      </c>
      <c r="E435" t="str">
        <f>$E$10</f>
        <v>Dynamic</v>
      </c>
      <c r="F435">
        <f ca="1">_xll.BDH($B$10,$C$10,$B$425,$B$426,CONCATENATE("Per=",$B$423),"Dts=H","Dir=H",CONCATENATE("Points=",$B$424),"Sort=R","Days=A","Fill=B",CONCATENATE("FX=", $B$422),"cols=33;rows=1")</f>
        <v>120431</v>
      </c>
      <c r="G435">
        <v>117612</v>
      </c>
      <c r="H435">
        <v>122486.198</v>
      </c>
      <c r="I435">
        <v>116464.768</v>
      </c>
      <c r="J435">
        <v>113522.71799999999</v>
      </c>
      <c r="K435">
        <v>110957.451</v>
      </c>
      <c r="L435">
        <v>95865.243000000002</v>
      </c>
      <c r="M435">
        <v>92462.217000000004</v>
      </c>
      <c r="N435">
        <v>92849.839000000007</v>
      </c>
      <c r="O435">
        <v>93484.869000000006</v>
      </c>
      <c r="P435">
        <v>91345.713000000003</v>
      </c>
      <c r="Q435">
        <v>89557.899000000005</v>
      </c>
      <c r="R435">
        <v>88720.445000000007</v>
      </c>
      <c r="S435">
        <v>83971.659</v>
      </c>
      <c r="T435">
        <v>79707.597999999998</v>
      </c>
      <c r="U435">
        <v>78845.857999999993</v>
      </c>
      <c r="V435">
        <v>85592.67</v>
      </c>
      <c r="W435">
        <v>84580.053</v>
      </c>
      <c r="X435">
        <v>75501.932000000001</v>
      </c>
      <c r="Y435">
        <v>71228.86</v>
      </c>
      <c r="Z435">
        <v>60366.961000000003</v>
      </c>
      <c r="AA435">
        <v>54188.98</v>
      </c>
      <c r="AB435">
        <v>49288.59</v>
      </c>
      <c r="AC435">
        <v>43727.955000000002</v>
      </c>
      <c r="AM435" t="str">
        <f>""</f>
        <v/>
      </c>
      <c r="AN435" t="str">
        <f>""</f>
        <v/>
      </c>
      <c r="AO435" t="str">
        <f>""</f>
        <v/>
      </c>
      <c r="AP435" t="str">
        <f>""</f>
        <v/>
      </c>
      <c r="AQ435" t="str">
        <f>""</f>
        <v/>
      </c>
      <c r="AR435" t="str">
        <f>""</f>
        <v/>
      </c>
      <c r="AS435" t="str">
        <f>""</f>
        <v/>
      </c>
      <c r="AT435" t="str">
        <f>""</f>
        <v/>
      </c>
      <c r="AU435" t="str">
        <f>""</f>
        <v/>
      </c>
      <c r="AV435" t="str">
        <f>""</f>
        <v/>
      </c>
      <c r="AW435" t="str">
        <f>""</f>
        <v/>
      </c>
      <c r="AX435" t="str">
        <f>""</f>
        <v/>
      </c>
      <c r="AY435" t="str">
        <f>""</f>
        <v/>
      </c>
      <c r="AZ435" t="str">
        <f>""</f>
        <v/>
      </c>
      <c r="BA435" t="str">
        <f>""</f>
        <v/>
      </c>
      <c r="BB435" t="str">
        <f>""</f>
        <v/>
      </c>
      <c r="BC435" t="str">
        <f>""</f>
        <v/>
      </c>
      <c r="BD435" t="str">
        <f>""</f>
        <v/>
      </c>
      <c r="BE435" t="str">
        <f>""</f>
        <v/>
      </c>
      <c r="BF435" t="str">
        <f>""</f>
        <v/>
      </c>
      <c r="BG435" t="str">
        <f>""</f>
        <v/>
      </c>
      <c r="BH435" t="str">
        <f>""</f>
        <v/>
      </c>
      <c r="BI435" t="str">
        <f>""</f>
        <v/>
      </c>
      <c r="BJ435" t="str">
        <f>""</f>
        <v/>
      </c>
      <c r="BK435" t="str">
        <f>""</f>
        <v/>
      </c>
      <c r="BL435" t="str">
        <f>""</f>
        <v/>
      </c>
      <c r="BM435" t="str">
        <f>""</f>
        <v/>
      </c>
      <c r="BN435" t="str">
        <f>""</f>
        <v/>
      </c>
      <c r="BO435" t="str">
        <f>""</f>
        <v/>
      </c>
      <c r="BP435" t="str">
        <f>""</f>
        <v/>
      </c>
      <c r="BQ435" t="str">
        <f>""</f>
        <v/>
      </c>
      <c r="BR435" t="str">
        <f>""</f>
        <v/>
      </c>
      <c r="BS435" t="str">
        <f>""</f>
        <v/>
      </c>
    </row>
    <row r="436" spans="1:71" x14ac:dyDescent="0.25">
      <c r="A436" t="str">
        <f>$A$11</f>
        <v xml:space="preserve">        First Citizens BancShares Inc/</v>
      </c>
      <c r="B436" t="str">
        <f>$B$11</f>
        <v>FCNCA US Equity</v>
      </c>
      <c r="C436" t="str">
        <f>$C$11</f>
        <v>FY421</v>
      </c>
      <c r="D436" t="str">
        <f>$D$11</f>
        <v>FED_TOTAL_CONSOLIDATED_LOANS</v>
      </c>
      <c r="E436" t="str">
        <f>$E$11</f>
        <v>Dynamic</v>
      </c>
      <c r="F436">
        <f ca="1">_xll.BDH($B$11,$C$11,$B$425,$B$426,CONCATENATE("Per=",$B$423),"Dts=H","Dir=H",CONCATENATE("Points=",$B$424),"Sort=R","Days=A","Fill=B",CONCATENATE("FX=", $B$422),"cols=33;rows=1")</f>
        <v>140303</v>
      </c>
      <c r="G436">
        <v>133374.807</v>
      </c>
      <c r="H436">
        <v>70833.100999999995</v>
      </c>
      <c r="I436">
        <v>32470.262999999999</v>
      </c>
      <c r="J436">
        <v>32916.811999999998</v>
      </c>
      <c r="K436">
        <v>28949.365000000002</v>
      </c>
      <c r="L436">
        <v>25568.780999999999</v>
      </c>
      <c r="M436">
        <v>23648.004000000001</v>
      </c>
      <c r="N436">
        <v>21812.278999999999</v>
      </c>
      <c r="O436">
        <v>20299.756000000001</v>
      </c>
      <c r="P436">
        <v>18833.161</v>
      </c>
      <c r="Q436">
        <v>13180.995999999999</v>
      </c>
      <c r="R436">
        <v>13471.683000000001</v>
      </c>
      <c r="S436">
        <v>14036.328</v>
      </c>
      <c r="T436">
        <v>13576.960999999999</v>
      </c>
      <c r="U436">
        <v>12885.4</v>
      </c>
      <c r="V436">
        <v>11719.285</v>
      </c>
      <c r="W436">
        <v>10963.904</v>
      </c>
      <c r="X436">
        <v>10239.550999999999</v>
      </c>
      <c r="Y436">
        <v>9642.9940000000006</v>
      </c>
      <c r="Z436">
        <v>9354.3870000000006</v>
      </c>
      <c r="AA436">
        <v>8326.598</v>
      </c>
      <c r="AB436">
        <v>7620.2629999999999</v>
      </c>
      <c r="AC436">
        <v>7196.1769999999997</v>
      </c>
      <c r="AM436" t="str">
        <f>""</f>
        <v/>
      </c>
      <c r="AN436" t="str">
        <f>""</f>
        <v/>
      </c>
      <c r="AO436" t="str">
        <f>""</f>
        <v/>
      </c>
      <c r="AP436" t="str">
        <f>""</f>
        <v/>
      </c>
      <c r="AQ436" t="str">
        <f>""</f>
        <v/>
      </c>
      <c r="AR436" t="str">
        <f>""</f>
        <v/>
      </c>
      <c r="AS436" t="str">
        <f>""</f>
        <v/>
      </c>
      <c r="AT436" t="str">
        <f>""</f>
        <v/>
      </c>
      <c r="AU436" t="str">
        <f>""</f>
        <v/>
      </c>
      <c r="AV436" t="str">
        <f>""</f>
        <v/>
      </c>
      <c r="AW436" t="str">
        <f>""</f>
        <v/>
      </c>
      <c r="AX436" t="str">
        <f>""</f>
        <v/>
      </c>
      <c r="AY436" t="str">
        <f>""</f>
        <v/>
      </c>
      <c r="AZ436" t="str">
        <f>""</f>
        <v/>
      </c>
      <c r="BA436" t="str">
        <f>""</f>
        <v/>
      </c>
      <c r="BB436" t="str">
        <f>""</f>
        <v/>
      </c>
      <c r="BC436" t="str">
        <f>""</f>
        <v/>
      </c>
      <c r="BD436" t="str">
        <f>""</f>
        <v/>
      </c>
      <c r="BE436" t="str">
        <f>""</f>
        <v/>
      </c>
      <c r="BF436" t="str">
        <f>""</f>
        <v/>
      </c>
      <c r="BG436" t="str">
        <f>""</f>
        <v/>
      </c>
      <c r="BH436" t="str">
        <f>""</f>
        <v/>
      </c>
      <c r="BI436" t="str">
        <f>""</f>
        <v/>
      </c>
      <c r="BJ436" t="str">
        <f>""</f>
        <v/>
      </c>
      <c r="BK436" t="str">
        <f>""</f>
        <v/>
      </c>
      <c r="BL436" t="str">
        <f>""</f>
        <v/>
      </c>
      <c r="BM436" t="str">
        <f>""</f>
        <v/>
      </c>
      <c r="BN436" t="str">
        <f>""</f>
        <v/>
      </c>
      <c r="BO436" t="str">
        <f>""</f>
        <v/>
      </c>
      <c r="BP436" t="str">
        <f>""</f>
        <v/>
      </c>
      <c r="BQ436" t="str">
        <f>""</f>
        <v/>
      </c>
      <c r="BR436" t="str">
        <f>""</f>
        <v/>
      </c>
      <c r="BS436" t="str">
        <f>""</f>
        <v/>
      </c>
    </row>
    <row r="437" spans="1:71" x14ac:dyDescent="0.25">
      <c r="A437" t="str">
        <f>$A$12</f>
        <v xml:space="preserve">        Flagstar Financial Inc</v>
      </c>
      <c r="B437" t="str">
        <f>$B$12</f>
        <v>FLG US Equity</v>
      </c>
      <c r="C437" t="str">
        <f>$C$12</f>
        <v>FY421</v>
      </c>
      <c r="D437" t="str">
        <f>$D$12</f>
        <v>FED_TOTAL_CONSOLIDATED_LOANS</v>
      </c>
      <c r="E437" t="str">
        <f>$E$12</f>
        <v>Dynamic</v>
      </c>
      <c r="F437">
        <f ca="1">_xll.BDH($B$12,$C$12,$B$425,$B$426,CONCATENATE("Per=",$B$423),"Dts=H","Dir=H",CONCATENATE("Points=",$B$424),"Sort=R","Days=A","Fill=B",CONCATENATE("FX=", $B$422),"cols=33;rows=1")</f>
        <v>69171.509000000005</v>
      </c>
      <c r="G437">
        <v>85800.926999999996</v>
      </c>
      <c r="H437">
        <v>70116.717999999993</v>
      </c>
      <c r="I437">
        <v>45738.504000000001</v>
      </c>
      <c r="J437">
        <v>43000.733999999997</v>
      </c>
      <c r="K437">
        <v>41894.154999999999</v>
      </c>
      <c r="L437">
        <v>40165.908000000003</v>
      </c>
      <c r="M437">
        <v>38423.228999999999</v>
      </c>
      <c r="N437">
        <v>39490.006999999998</v>
      </c>
      <c r="O437">
        <v>38190.512999999999</v>
      </c>
      <c r="P437">
        <v>35832.976999999999</v>
      </c>
      <c r="Q437">
        <v>32933.521999999997</v>
      </c>
      <c r="R437">
        <v>31771.972000000002</v>
      </c>
      <c r="S437">
        <v>30322.743999999999</v>
      </c>
      <c r="T437">
        <v>29213.916000000001</v>
      </c>
      <c r="U437">
        <v>28393.123</v>
      </c>
      <c r="V437">
        <v>22192.544999999998</v>
      </c>
      <c r="W437">
        <v>20365.07</v>
      </c>
      <c r="X437">
        <v>19673.543000000001</v>
      </c>
      <c r="Y437">
        <v>17028.95</v>
      </c>
      <c r="Z437">
        <v>13396.677</v>
      </c>
      <c r="AA437">
        <v>10507.083000000001</v>
      </c>
      <c r="AB437">
        <v>5491.049</v>
      </c>
      <c r="AC437">
        <v>5401.6869999999999</v>
      </c>
      <c r="AM437" t="str">
        <f>""</f>
        <v/>
      </c>
      <c r="AN437" t="str">
        <f>""</f>
        <v/>
      </c>
      <c r="AO437" t="str">
        <f>""</f>
        <v/>
      </c>
      <c r="AP437" t="str">
        <f>""</f>
        <v/>
      </c>
      <c r="AQ437" t="str">
        <f>""</f>
        <v/>
      </c>
      <c r="AR437" t="str">
        <f>""</f>
        <v/>
      </c>
      <c r="AS437" t="str">
        <f>""</f>
        <v/>
      </c>
      <c r="AT437" t="str">
        <f>""</f>
        <v/>
      </c>
      <c r="AU437" t="str">
        <f>""</f>
        <v/>
      </c>
      <c r="AV437" t="str">
        <f>""</f>
        <v/>
      </c>
      <c r="AW437" t="str">
        <f>""</f>
        <v/>
      </c>
      <c r="AX437" t="str">
        <f>""</f>
        <v/>
      </c>
      <c r="AY437" t="str">
        <f>""</f>
        <v/>
      </c>
      <c r="AZ437" t="str">
        <f>""</f>
        <v/>
      </c>
      <c r="BA437" t="str">
        <f>""</f>
        <v/>
      </c>
      <c r="BB437" t="str">
        <f>""</f>
        <v/>
      </c>
      <c r="BC437" t="str">
        <f>""</f>
        <v/>
      </c>
      <c r="BD437" t="str">
        <f>""</f>
        <v/>
      </c>
      <c r="BE437" t="str">
        <f>""</f>
        <v/>
      </c>
      <c r="BF437" t="str">
        <f>""</f>
        <v/>
      </c>
      <c r="BG437" t="str">
        <f>""</f>
        <v/>
      </c>
      <c r="BH437" t="str">
        <f>""</f>
        <v/>
      </c>
      <c r="BI437" t="str">
        <f>""</f>
        <v/>
      </c>
      <c r="BJ437" t="str">
        <f>""</f>
        <v/>
      </c>
      <c r="BK437" t="str">
        <f>""</f>
        <v/>
      </c>
      <c r="BL437" t="str">
        <f>""</f>
        <v/>
      </c>
      <c r="BM437" t="str">
        <f>""</f>
        <v/>
      </c>
      <c r="BN437" t="str">
        <f>""</f>
        <v/>
      </c>
      <c r="BO437" t="str">
        <f>""</f>
        <v/>
      </c>
      <c r="BP437" t="str">
        <f>""</f>
        <v/>
      </c>
      <c r="BQ437" t="str">
        <f>""</f>
        <v/>
      </c>
      <c r="BR437" t="str">
        <f>""</f>
        <v/>
      </c>
      <c r="BS437" t="str">
        <f>""</f>
        <v/>
      </c>
    </row>
    <row r="438" spans="1:71" x14ac:dyDescent="0.25">
      <c r="A438" t="str">
        <f>$A$13</f>
        <v xml:space="preserve">        Huntington Bancshares Inc/OH</v>
      </c>
      <c r="B438" t="str">
        <f>$B$13</f>
        <v>HBAN US Equity</v>
      </c>
      <c r="C438" t="str">
        <f>$C$13</f>
        <v>FY421</v>
      </c>
      <c r="D438" t="str">
        <f>$D$13</f>
        <v>FED_TOTAL_CONSOLIDATED_LOANS</v>
      </c>
      <c r="E438" t="str">
        <f>$E$13</f>
        <v>Dynamic</v>
      </c>
      <c r="F438">
        <f ca="1">_xll.BDH($B$13,$C$13,$B$425,$B$426,CONCATENATE("Per=",$B$423),"Dts=H","Dir=H",CONCATENATE("Points=",$B$424),"Sort=R","Days=A","Fill=B",CONCATENATE("FX=", $B$422),"cols=33;rows=1")</f>
        <v>130695.679</v>
      </c>
      <c r="G438">
        <v>122498.124</v>
      </c>
      <c r="H438">
        <v>120772.227</v>
      </c>
      <c r="I438">
        <v>113596.806</v>
      </c>
      <c r="J438">
        <v>82882.997000000003</v>
      </c>
      <c r="K438">
        <v>76281.36</v>
      </c>
      <c r="L438">
        <v>75703.650999999998</v>
      </c>
      <c r="M438">
        <v>70604.365000000005</v>
      </c>
      <c r="N438">
        <v>67460.327000000005</v>
      </c>
      <c r="O438">
        <v>50802.822999999997</v>
      </c>
      <c r="P438">
        <v>48062.474000000002</v>
      </c>
      <c r="Q438">
        <v>43438.392</v>
      </c>
      <c r="R438">
        <v>41485.394</v>
      </c>
      <c r="S438">
        <v>40527.470999999998</v>
      </c>
      <c r="T438">
        <v>38879.737000000001</v>
      </c>
      <c r="U438">
        <v>37232.498</v>
      </c>
      <c r="V438">
        <v>41460.957999999999</v>
      </c>
      <c r="W438">
        <v>40529.497000000003</v>
      </c>
      <c r="X438">
        <v>26425.190999999999</v>
      </c>
      <c r="Y438">
        <v>24764.848000000002</v>
      </c>
      <c r="Z438">
        <v>23772.844000000001</v>
      </c>
      <c r="AA438">
        <v>21289.718000000001</v>
      </c>
      <c r="AB438">
        <v>19090.973999999998</v>
      </c>
      <c r="AC438">
        <v>19068.800999999999</v>
      </c>
      <c r="AM438" t="str">
        <f>""</f>
        <v/>
      </c>
      <c r="AN438" t="str">
        <f>""</f>
        <v/>
      </c>
      <c r="AO438" t="str">
        <f>""</f>
        <v/>
      </c>
      <c r="AP438" t="str">
        <f>""</f>
        <v/>
      </c>
      <c r="AQ438" t="str">
        <f>""</f>
        <v/>
      </c>
      <c r="AR438" t="str">
        <f>""</f>
        <v/>
      </c>
      <c r="AS438" t="str">
        <f>""</f>
        <v/>
      </c>
      <c r="AT438" t="str">
        <f>""</f>
        <v/>
      </c>
      <c r="AU438" t="str">
        <f>""</f>
        <v/>
      </c>
      <c r="AV438" t="str">
        <f>""</f>
        <v/>
      </c>
      <c r="AW438" t="str">
        <f>""</f>
        <v/>
      </c>
      <c r="AX438" t="str">
        <f>""</f>
        <v/>
      </c>
      <c r="AY438" t="str">
        <f>""</f>
        <v/>
      </c>
      <c r="AZ438" t="str">
        <f>""</f>
        <v/>
      </c>
      <c r="BA438" t="str">
        <f>""</f>
        <v/>
      </c>
      <c r="BB438" t="str">
        <f>""</f>
        <v/>
      </c>
      <c r="BC438" t="str">
        <f>""</f>
        <v/>
      </c>
      <c r="BD438" t="str">
        <f>""</f>
        <v/>
      </c>
      <c r="BE438" t="str">
        <f>""</f>
        <v/>
      </c>
      <c r="BF438" t="str">
        <f>""</f>
        <v/>
      </c>
      <c r="BG438" t="str">
        <f>""</f>
        <v/>
      </c>
      <c r="BH438" t="str">
        <f>""</f>
        <v/>
      </c>
      <c r="BI438" t="str">
        <f>""</f>
        <v/>
      </c>
      <c r="BJ438" t="str">
        <f>""</f>
        <v/>
      </c>
      <c r="BK438" t="str">
        <f>""</f>
        <v/>
      </c>
      <c r="BL438" t="str">
        <f>""</f>
        <v/>
      </c>
      <c r="BM438" t="str">
        <f>""</f>
        <v/>
      </c>
      <c r="BN438" t="str">
        <f>""</f>
        <v/>
      </c>
      <c r="BO438" t="str">
        <f>""</f>
        <v/>
      </c>
      <c r="BP438" t="str">
        <f>""</f>
        <v/>
      </c>
      <c r="BQ438" t="str">
        <f>""</f>
        <v/>
      </c>
      <c r="BR438" t="str">
        <f>""</f>
        <v/>
      </c>
      <c r="BS438" t="str">
        <f>""</f>
        <v/>
      </c>
    </row>
    <row r="439" spans="1:71" x14ac:dyDescent="0.25">
      <c r="A439" t="str">
        <f>$A$14</f>
        <v xml:space="preserve">        JPMorgan Chase &amp; Co</v>
      </c>
      <c r="B439" t="str">
        <f>$B$14</f>
        <v>JPM US Equity</v>
      </c>
      <c r="C439" t="str">
        <f>$C$14</f>
        <v>FY421</v>
      </c>
      <c r="D439" t="str">
        <f>$D$14</f>
        <v>FED_TOTAL_CONSOLIDATED_LOANS</v>
      </c>
      <c r="E439" t="str">
        <f>$E$14</f>
        <v>Dynamic</v>
      </c>
      <c r="F439">
        <f ca="1">_xll.BDH($B$14,$C$14,$B$425,$B$426,CONCATENATE("Per=",$B$423),"Dts=H","Dir=H",CONCATENATE("Points=",$B$424),"Sort=R","Days=A","Fill=B",CONCATENATE("FX=", $B$422),"cols=33;rows=1")</f>
        <v>1399917</v>
      </c>
      <c r="G439">
        <v>1371587</v>
      </c>
      <c r="H439">
        <v>1184928</v>
      </c>
      <c r="I439">
        <v>1137371</v>
      </c>
      <c r="J439">
        <v>1060578</v>
      </c>
      <c r="K439">
        <v>993488</v>
      </c>
      <c r="L439">
        <v>1014765</v>
      </c>
      <c r="M439">
        <v>956829</v>
      </c>
      <c r="N439">
        <v>912208</v>
      </c>
      <c r="O439">
        <v>850732</v>
      </c>
      <c r="P439">
        <v>786287</v>
      </c>
      <c r="Q439">
        <v>765104</v>
      </c>
      <c r="R439">
        <v>758676</v>
      </c>
      <c r="S439">
        <v>742373</v>
      </c>
      <c r="T439">
        <v>726922</v>
      </c>
      <c r="U439">
        <v>650815</v>
      </c>
      <c r="V439">
        <v>761186</v>
      </c>
      <c r="W439">
        <v>555524</v>
      </c>
      <c r="X439">
        <v>483127</v>
      </c>
      <c r="Y439">
        <v>448888</v>
      </c>
      <c r="Z439">
        <v>433836</v>
      </c>
      <c r="AA439">
        <v>219518</v>
      </c>
      <c r="AB439">
        <v>216253</v>
      </c>
      <c r="AC439">
        <v>217397</v>
      </c>
      <c r="AM439" t="str">
        <f>""</f>
        <v/>
      </c>
      <c r="AN439" t="str">
        <f>""</f>
        <v/>
      </c>
      <c r="AO439" t="str">
        <f>""</f>
        <v/>
      </c>
      <c r="AP439" t="str">
        <f>""</f>
        <v/>
      </c>
      <c r="AQ439" t="str">
        <f>""</f>
        <v/>
      </c>
      <c r="AR439" t="str">
        <f>""</f>
        <v/>
      </c>
      <c r="AS439" t="str">
        <f>""</f>
        <v/>
      </c>
      <c r="AT439" t="str">
        <f>""</f>
        <v/>
      </c>
      <c r="AU439" t="str">
        <f>""</f>
        <v/>
      </c>
      <c r="AV439" t="str">
        <f>""</f>
        <v/>
      </c>
      <c r="AW439" t="str">
        <f>""</f>
        <v/>
      </c>
      <c r="AX439" t="str">
        <f>""</f>
        <v/>
      </c>
      <c r="AY439" t="str">
        <f>""</f>
        <v/>
      </c>
      <c r="AZ439" t="str">
        <f>""</f>
        <v/>
      </c>
      <c r="BA439" t="str">
        <f>""</f>
        <v/>
      </c>
      <c r="BB439" t="str">
        <f>""</f>
        <v/>
      </c>
      <c r="BC439" t="str">
        <f>""</f>
        <v/>
      </c>
      <c r="BD439" t="str">
        <f>""</f>
        <v/>
      </c>
      <c r="BE439" t="str">
        <f>""</f>
        <v/>
      </c>
      <c r="BF439" t="str">
        <f>""</f>
        <v/>
      </c>
      <c r="BG439" t="str">
        <f>""</f>
        <v/>
      </c>
      <c r="BH439" t="str">
        <f>""</f>
        <v/>
      </c>
      <c r="BI439" t="str">
        <f>""</f>
        <v/>
      </c>
      <c r="BJ439" t="str">
        <f>""</f>
        <v/>
      </c>
      <c r="BK439" t="str">
        <f>""</f>
        <v/>
      </c>
      <c r="BL439" t="str">
        <f>""</f>
        <v/>
      </c>
      <c r="BM439" t="str">
        <f>""</f>
        <v/>
      </c>
      <c r="BN439" t="str">
        <f>""</f>
        <v/>
      </c>
      <c r="BO439" t="str">
        <f>""</f>
        <v/>
      </c>
      <c r="BP439" t="str">
        <f>""</f>
        <v/>
      </c>
      <c r="BQ439" t="str">
        <f>""</f>
        <v/>
      </c>
      <c r="BR439" t="str">
        <f>""</f>
        <v/>
      </c>
      <c r="BS439" t="str">
        <f>""</f>
        <v/>
      </c>
    </row>
    <row r="440" spans="1:71" x14ac:dyDescent="0.25">
      <c r="A440" t="str">
        <f>$A$15</f>
        <v xml:space="preserve">        KeyCorp</v>
      </c>
      <c r="B440" t="str">
        <f>$B$15</f>
        <v>KEY US Equity</v>
      </c>
      <c r="C440" t="str">
        <f>$C$15</f>
        <v>FY421</v>
      </c>
      <c r="D440" t="str">
        <f>$D$15</f>
        <v>FED_TOTAL_CONSOLIDATED_LOANS</v>
      </c>
      <c r="E440" t="str">
        <f>$E$15</f>
        <v>Dynamic</v>
      </c>
      <c r="F440">
        <f ca="1">_xll.BDH($B$15,$C$15,$B$425,$B$426,CONCATENATE("Per=",$B$423),"Dts=H","Dir=H",CONCATENATE("Points=",$B$424),"Sort=R","Days=A","Fill=B",CONCATENATE("FX=", $B$422),"cols=33;rows=1")</f>
        <v>105314.223</v>
      </c>
      <c r="G440">
        <v>113427.44899999999</v>
      </c>
      <c r="H440">
        <v>120791.406</v>
      </c>
      <c r="I440">
        <v>105151.035</v>
      </c>
      <c r="J440">
        <v>103478.476</v>
      </c>
      <c r="K440">
        <v>96845.281000000003</v>
      </c>
      <c r="L440">
        <v>91852.993000000002</v>
      </c>
      <c r="M440">
        <v>88909.918000000005</v>
      </c>
      <c r="N440">
        <v>88762.259000000005</v>
      </c>
      <c r="O440">
        <v>62367.034</v>
      </c>
      <c r="P440">
        <v>60410.483</v>
      </c>
      <c r="Q440">
        <v>59565.082000000002</v>
      </c>
      <c r="R440">
        <v>58622.578999999998</v>
      </c>
      <c r="S440">
        <v>56115.175999999999</v>
      </c>
      <c r="T440">
        <v>57039.33</v>
      </c>
      <c r="U440">
        <v>63170.298999999999</v>
      </c>
      <c r="V440">
        <v>77531.497000000003</v>
      </c>
      <c r="W440">
        <v>75559.216</v>
      </c>
      <c r="X440">
        <v>69463.396999999997</v>
      </c>
      <c r="Y440">
        <v>69858.258000000002</v>
      </c>
      <c r="Z440">
        <v>68464.218999999997</v>
      </c>
      <c r="AA440">
        <v>62700.355000000003</v>
      </c>
      <c r="AB440">
        <v>62457.423999999999</v>
      </c>
      <c r="AC440">
        <v>63308.542999999998</v>
      </c>
      <c r="AM440" t="str">
        <f>""</f>
        <v/>
      </c>
      <c r="AN440" t="str">
        <f>""</f>
        <v/>
      </c>
      <c r="AO440" t="str">
        <f>""</f>
        <v/>
      </c>
      <c r="AP440" t="str">
        <f>""</f>
        <v/>
      </c>
      <c r="AQ440" t="str">
        <f>""</f>
        <v/>
      </c>
      <c r="AR440" t="str">
        <f>""</f>
        <v/>
      </c>
      <c r="AS440" t="str">
        <f>""</f>
        <v/>
      </c>
      <c r="AT440" t="str">
        <f>""</f>
        <v/>
      </c>
      <c r="AU440" t="str">
        <f>""</f>
        <v/>
      </c>
      <c r="AV440" t="str">
        <f>""</f>
        <v/>
      </c>
      <c r="AW440" t="str">
        <f>""</f>
        <v/>
      </c>
      <c r="AX440" t="str">
        <f>""</f>
        <v/>
      </c>
      <c r="AY440" t="str">
        <f>""</f>
        <v/>
      </c>
      <c r="AZ440" t="str">
        <f>""</f>
        <v/>
      </c>
      <c r="BA440" t="str">
        <f>""</f>
        <v/>
      </c>
      <c r="BB440" t="str">
        <f>""</f>
        <v/>
      </c>
      <c r="BC440" t="str">
        <f>""</f>
        <v/>
      </c>
      <c r="BD440" t="str">
        <f>""</f>
        <v/>
      </c>
      <c r="BE440" t="str">
        <f>""</f>
        <v/>
      </c>
      <c r="BF440" t="str">
        <f>""</f>
        <v/>
      </c>
      <c r="BG440" t="str">
        <f>""</f>
        <v/>
      </c>
      <c r="BH440" t="str">
        <f>""</f>
        <v/>
      </c>
      <c r="BI440" t="str">
        <f>""</f>
        <v/>
      </c>
      <c r="BJ440" t="str">
        <f>""</f>
        <v/>
      </c>
      <c r="BK440" t="str">
        <f>""</f>
        <v/>
      </c>
      <c r="BL440" t="str">
        <f>""</f>
        <v/>
      </c>
      <c r="BM440" t="str">
        <f>""</f>
        <v/>
      </c>
      <c r="BN440" t="str">
        <f>""</f>
        <v/>
      </c>
      <c r="BO440" t="str">
        <f>""</f>
        <v/>
      </c>
      <c r="BP440" t="str">
        <f>""</f>
        <v/>
      </c>
      <c r="BQ440" t="str">
        <f>""</f>
        <v/>
      </c>
      <c r="BR440" t="str">
        <f>""</f>
        <v/>
      </c>
      <c r="BS440" t="str">
        <f>""</f>
        <v/>
      </c>
    </row>
    <row r="441" spans="1:71" x14ac:dyDescent="0.25">
      <c r="A441" t="str">
        <f>$A$16</f>
        <v xml:space="preserve">        M&amp;T Bank Corp</v>
      </c>
      <c r="B441" t="str">
        <f>$B$16</f>
        <v>MTB US Equity</v>
      </c>
      <c r="C441" t="str">
        <f>$C$16</f>
        <v>FY421</v>
      </c>
      <c r="D441" t="str">
        <f>$D$16</f>
        <v>FED_TOTAL_CONSOLIDATED_LOANS</v>
      </c>
      <c r="E441" t="str">
        <f>$E$16</f>
        <v>Dynamic</v>
      </c>
      <c r="F441">
        <f ca="1">_xll.BDH($B$16,$C$16,$B$425,$B$426,CONCATENATE("Per=",$B$423),"Dts=H","Dir=H",CONCATENATE("Points=",$B$424),"Sort=R","Days=A","Fill=B",CONCATENATE("FX=", $B$422),"cols=33;rows=1")</f>
        <v>135670.929</v>
      </c>
      <c r="G441">
        <v>134180.28599999999</v>
      </c>
      <c r="H441">
        <v>131641.014</v>
      </c>
      <c r="I441">
        <v>92912.452000000005</v>
      </c>
      <c r="J441">
        <v>98535.866999999998</v>
      </c>
      <c r="K441">
        <v>90922.869000000006</v>
      </c>
      <c r="L441">
        <v>88466.476999999999</v>
      </c>
      <c r="M441">
        <v>87988.982999999993</v>
      </c>
      <c r="N441">
        <v>90853.415999999997</v>
      </c>
      <c r="O441">
        <v>87489.498999999996</v>
      </c>
      <c r="P441">
        <v>66670.645000000004</v>
      </c>
      <c r="Q441">
        <v>64073.159</v>
      </c>
      <c r="R441">
        <v>66570.956999999995</v>
      </c>
      <c r="S441">
        <v>60096.004999999997</v>
      </c>
      <c r="T441">
        <v>51990.381999999998</v>
      </c>
      <c r="U441">
        <v>51936.686000000002</v>
      </c>
      <c r="V441">
        <v>49000.463000000003</v>
      </c>
      <c r="W441">
        <v>48021.561999999998</v>
      </c>
      <c r="X441">
        <v>42947.296999999999</v>
      </c>
      <c r="Y441">
        <v>40330.644999999997</v>
      </c>
      <c r="Z441">
        <v>38398.476999999999</v>
      </c>
      <c r="AA441">
        <v>35769.99</v>
      </c>
      <c r="AB441">
        <v>25727.784</v>
      </c>
      <c r="AC441">
        <v>25187.759999999998</v>
      </c>
      <c r="AM441" t="str">
        <f>""</f>
        <v/>
      </c>
      <c r="AN441" t="str">
        <f>""</f>
        <v/>
      </c>
      <c r="AO441" t="str">
        <f>""</f>
        <v/>
      </c>
      <c r="AP441" t="str">
        <f>""</f>
        <v/>
      </c>
      <c r="AQ441" t="str">
        <f>""</f>
        <v/>
      </c>
      <c r="AR441" t="str">
        <f>""</f>
        <v/>
      </c>
      <c r="AS441" t="str">
        <f>""</f>
        <v/>
      </c>
      <c r="AT441" t="str">
        <f>""</f>
        <v/>
      </c>
      <c r="AU441" t="str">
        <f>""</f>
        <v/>
      </c>
      <c r="AV441" t="str">
        <f>""</f>
        <v/>
      </c>
      <c r="AW441" t="str">
        <f>""</f>
        <v/>
      </c>
      <c r="AX441" t="str">
        <f>""</f>
        <v/>
      </c>
      <c r="AY441" t="str">
        <f>""</f>
        <v/>
      </c>
      <c r="AZ441" t="str">
        <f>""</f>
        <v/>
      </c>
      <c r="BA441" t="str">
        <f>""</f>
        <v/>
      </c>
      <c r="BB441" t="str">
        <f>""</f>
        <v/>
      </c>
      <c r="BC441" t="str">
        <f>""</f>
        <v/>
      </c>
      <c r="BD441" t="str">
        <f>""</f>
        <v/>
      </c>
      <c r="BE441" t="str">
        <f>""</f>
        <v/>
      </c>
      <c r="BF441" t="str">
        <f>""</f>
        <v/>
      </c>
      <c r="BG441" t="str">
        <f>""</f>
        <v/>
      </c>
      <c r="BH441" t="str">
        <f>""</f>
        <v/>
      </c>
      <c r="BI441" t="str">
        <f>""</f>
        <v/>
      </c>
      <c r="BJ441" t="str">
        <f>""</f>
        <v/>
      </c>
      <c r="BK441" t="str">
        <f>""</f>
        <v/>
      </c>
      <c r="BL441" t="str">
        <f>""</f>
        <v/>
      </c>
      <c r="BM441" t="str">
        <f>""</f>
        <v/>
      </c>
      <c r="BN441" t="str">
        <f>""</f>
        <v/>
      </c>
      <c r="BO441" t="str">
        <f>""</f>
        <v/>
      </c>
      <c r="BP441" t="str">
        <f>""</f>
        <v/>
      </c>
      <c r="BQ441" t="str">
        <f>""</f>
        <v/>
      </c>
      <c r="BR441" t="str">
        <f>""</f>
        <v/>
      </c>
      <c r="BS441" t="str">
        <f>""</f>
        <v/>
      </c>
    </row>
    <row r="442" spans="1:71" x14ac:dyDescent="0.25">
      <c r="A442" t="str">
        <f>$A$17</f>
        <v xml:space="preserve">        PNC Financial Services Group I</v>
      </c>
      <c r="B442" t="str">
        <f>$B$17</f>
        <v>PNC US Equity</v>
      </c>
      <c r="C442" t="str">
        <f>$C$17</f>
        <v>FY421</v>
      </c>
      <c r="D442" t="str">
        <f>$D$17</f>
        <v>FED_TOTAL_CONSOLIDATED_LOANS</v>
      </c>
      <c r="E442" t="str">
        <f>$E$17</f>
        <v>Dynamic</v>
      </c>
      <c r="F442">
        <f ca="1">_xll.BDH($B$17,$C$17,$B$425,$B$426,CONCATENATE("Per=",$B$423),"Dts=H","Dir=H",CONCATENATE("Points=",$B$424),"Sort=R","Days=A","Fill=B",CONCATENATE("FX=", $B$422),"cols=33;rows=1")</f>
        <v>317338.38799999998</v>
      </c>
      <c r="G442">
        <v>322261.788</v>
      </c>
      <c r="H442">
        <v>327053.75099999999</v>
      </c>
      <c r="I442">
        <v>290631.40999999997</v>
      </c>
      <c r="J442">
        <v>243539.557</v>
      </c>
      <c r="K442">
        <v>240934.98499999999</v>
      </c>
      <c r="L442">
        <v>227171.36600000001</v>
      </c>
      <c r="M442">
        <v>223031.674</v>
      </c>
      <c r="N442">
        <v>213283.99900000001</v>
      </c>
      <c r="O442">
        <v>208224.43</v>
      </c>
      <c r="P442">
        <v>207210.01699999999</v>
      </c>
      <c r="Q442">
        <v>198139.875</v>
      </c>
      <c r="R442">
        <v>189707.74799999999</v>
      </c>
      <c r="S442">
        <v>162161.084</v>
      </c>
      <c r="T442">
        <v>154199.71900000001</v>
      </c>
      <c r="U442">
        <v>160139.21400000001</v>
      </c>
      <c r="V442">
        <v>179903.595</v>
      </c>
      <c r="W442">
        <v>72300.256999999998</v>
      </c>
      <c r="X442">
        <v>52512.7</v>
      </c>
      <c r="Y442">
        <v>51566.093000000001</v>
      </c>
      <c r="Z442">
        <v>45185.71</v>
      </c>
      <c r="AA442">
        <v>35507.603999999999</v>
      </c>
      <c r="AB442">
        <v>37089.307999999997</v>
      </c>
      <c r="AC442">
        <v>42152.595000000001</v>
      </c>
      <c r="AM442" t="str">
        <f>""</f>
        <v/>
      </c>
      <c r="AN442" t="str">
        <f>""</f>
        <v/>
      </c>
      <c r="AO442" t="str">
        <f>""</f>
        <v/>
      </c>
      <c r="AP442" t="str">
        <f>""</f>
        <v/>
      </c>
      <c r="AQ442" t="str">
        <f>""</f>
        <v/>
      </c>
      <c r="AR442" t="str">
        <f>""</f>
        <v/>
      </c>
      <c r="AS442" t="str">
        <f>""</f>
        <v/>
      </c>
      <c r="AT442" t="str">
        <f>""</f>
        <v/>
      </c>
      <c r="AU442" t="str">
        <f>""</f>
        <v/>
      </c>
      <c r="AV442" t="str">
        <f>""</f>
        <v/>
      </c>
      <c r="AW442" t="str">
        <f>""</f>
        <v/>
      </c>
      <c r="AX442" t="str">
        <f>""</f>
        <v/>
      </c>
      <c r="AY442" t="str">
        <f>""</f>
        <v/>
      </c>
      <c r="AZ442" t="str">
        <f>""</f>
        <v/>
      </c>
      <c r="BA442" t="str">
        <f>""</f>
        <v/>
      </c>
      <c r="BB442" t="str">
        <f>""</f>
        <v/>
      </c>
      <c r="BC442" t="str">
        <f>""</f>
        <v/>
      </c>
      <c r="BD442" t="str">
        <f>""</f>
        <v/>
      </c>
      <c r="BE442" t="str">
        <f>""</f>
        <v/>
      </c>
      <c r="BF442" t="str">
        <f>""</f>
        <v/>
      </c>
      <c r="BG442" t="str">
        <f>""</f>
        <v/>
      </c>
      <c r="BH442" t="str">
        <f>""</f>
        <v/>
      </c>
      <c r="BI442" t="str">
        <f>""</f>
        <v/>
      </c>
      <c r="BJ442" t="str">
        <f>""</f>
        <v/>
      </c>
      <c r="BK442" t="str">
        <f>""</f>
        <v/>
      </c>
      <c r="BL442" t="str">
        <f>""</f>
        <v/>
      </c>
      <c r="BM442" t="str">
        <f>""</f>
        <v/>
      </c>
      <c r="BN442" t="str">
        <f>""</f>
        <v/>
      </c>
      <c r="BO442" t="str">
        <f>""</f>
        <v/>
      </c>
      <c r="BP442" t="str">
        <f>""</f>
        <v/>
      </c>
      <c r="BQ442" t="str">
        <f>""</f>
        <v/>
      </c>
      <c r="BR442" t="str">
        <f>""</f>
        <v/>
      </c>
      <c r="BS442" t="str">
        <f>""</f>
        <v/>
      </c>
    </row>
    <row r="443" spans="1:71" x14ac:dyDescent="0.25">
      <c r="A443" t="str">
        <f>$A$18</f>
        <v xml:space="preserve">        Regions Financial Corp</v>
      </c>
      <c r="B443" t="str">
        <f>$B$18</f>
        <v>RF US Equity</v>
      </c>
      <c r="C443" t="str">
        <f>$C$18</f>
        <v>FY421</v>
      </c>
      <c r="D443" t="str">
        <f>$D$18</f>
        <v>FED_TOTAL_CONSOLIDATED_LOANS</v>
      </c>
      <c r="E443" t="str">
        <f>$E$18</f>
        <v>Dynamic</v>
      </c>
      <c r="F443">
        <f ca="1">_xll.BDH($B$18,$C$18,$B$425,$B$426,CONCATENATE("Per=",$B$423),"Dts=H","Dir=H",CONCATENATE("Points=",$B$424),"Sort=R","Days=A","Fill=B",CONCATENATE("FX=", $B$422),"cols=33;rows=1")</f>
        <v>97308</v>
      </c>
      <c r="G443">
        <v>98762</v>
      </c>
      <c r="H443">
        <v>97347</v>
      </c>
      <c r="I443">
        <v>88774</v>
      </c>
      <c r="J443">
        <v>87164</v>
      </c>
      <c r="K443">
        <v>83600</v>
      </c>
      <c r="L443">
        <v>83456.275999999998</v>
      </c>
      <c r="M443">
        <v>80295.770999999993</v>
      </c>
      <c r="N443">
        <v>80812.543000000005</v>
      </c>
      <c r="O443">
        <v>81610.187000000005</v>
      </c>
      <c r="P443">
        <v>77848.493000000002</v>
      </c>
      <c r="Q443">
        <v>75672.493000000002</v>
      </c>
      <c r="R443">
        <v>75377.826000000001</v>
      </c>
      <c r="S443">
        <v>78882.84</v>
      </c>
      <c r="T443">
        <v>84415.005999999994</v>
      </c>
      <c r="U443">
        <v>92243.486000000004</v>
      </c>
      <c r="V443">
        <v>98859.824999999997</v>
      </c>
      <c r="W443">
        <v>96236.679000000004</v>
      </c>
      <c r="X443">
        <v>99784.236999999994</v>
      </c>
      <c r="Y443">
        <v>60247.902999999998</v>
      </c>
      <c r="Z443">
        <v>59661.050999999999</v>
      </c>
      <c r="AM443" t="str">
        <f>""</f>
        <v/>
      </c>
      <c r="AN443" t="str">
        <f>""</f>
        <v/>
      </c>
      <c r="AO443" t="str">
        <f>""</f>
        <v/>
      </c>
      <c r="AP443" t="str">
        <f>""</f>
        <v/>
      </c>
      <c r="AQ443" t="str">
        <f>""</f>
        <v/>
      </c>
      <c r="AR443" t="str">
        <f>""</f>
        <v/>
      </c>
      <c r="AS443" t="str">
        <f>""</f>
        <v/>
      </c>
      <c r="AT443" t="str">
        <f>""</f>
        <v/>
      </c>
      <c r="AU443" t="str">
        <f>""</f>
        <v/>
      </c>
      <c r="AV443" t="str">
        <f>""</f>
        <v/>
      </c>
      <c r="AW443" t="str">
        <f>""</f>
        <v/>
      </c>
      <c r="AX443" t="str">
        <f>""</f>
        <v/>
      </c>
      <c r="AY443" t="str">
        <f>""</f>
        <v/>
      </c>
      <c r="AZ443" t="str">
        <f>""</f>
        <v/>
      </c>
      <c r="BA443" t="str">
        <f>""</f>
        <v/>
      </c>
      <c r="BB443" t="str">
        <f>""</f>
        <v/>
      </c>
      <c r="BC443" t="str">
        <f>""</f>
        <v/>
      </c>
      <c r="BD443" t="str">
        <f>""</f>
        <v/>
      </c>
      <c r="BE443" t="str">
        <f>""</f>
        <v/>
      </c>
      <c r="BF443" t="str">
        <f>""</f>
        <v/>
      </c>
      <c r="BG443" t="str">
        <f>""</f>
        <v/>
      </c>
      <c r="BH443" t="str">
        <f>""</f>
        <v/>
      </c>
      <c r="BI443" t="str">
        <f>""</f>
        <v/>
      </c>
      <c r="BJ443" t="str">
        <f>""</f>
        <v/>
      </c>
      <c r="BK443" t="str">
        <f>""</f>
        <v/>
      </c>
      <c r="BL443" t="str">
        <f>""</f>
        <v/>
      </c>
      <c r="BM443" t="str">
        <f>""</f>
        <v/>
      </c>
      <c r="BN443" t="str">
        <f>""</f>
        <v/>
      </c>
      <c r="BO443" t="str">
        <f>""</f>
        <v/>
      </c>
      <c r="BP443" t="str">
        <f>""</f>
        <v/>
      </c>
      <c r="BQ443" t="str">
        <f>""</f>
        <v/>
      </c>
      <c r="BR443" t="str">
        <f>""</f>
        <v/>
      </c>
      <c r="BS443" t="str">
        <f>""</f>
        <v/>
      </c>
    </row>
    <row r="444" spans="1:71" x14ac:dyDescent="0.25">
      <c r="A444" t="str">
        <f>$A$19</f>
        <v xml:space="preserve">        Truist Financial Corp</v>
      </c>
      <c r="B444" t="str">
        <f>$B$19</f>
        <v>TFC US Equity</v>
      </c>
      <c r="C444" t="str">
        <f>$C$19</f>
        <v>FY421</v>
      </c>
      <c r="D444" t="str">
        <f>$D$19</f>
        <v>FED_TOTAL_CONSOLIDATED_LOANS</v>
      </c>
      <c r="E444" t="str">
        <f>$E$19</f>
        <v>Dynamic</v>
      </c>
      <c r="F444">
        <f ca="1">_xll.BDH($B$19,$C$19,$B$425,$B$426,CONCATENATE("Per=",$B$423),"Dts=H","Dir=H",CONCATENATE("Points=",$B$424),"Sort=R","Days=A","Fill=B",CONCATENATE("FX=", $B$422),"cols=33;rows=1")</f>
        <v>307771</v>
      </c>
      <c r="G444">
        <v>313341</v>
      </c>
      <c r="H444">
        <v>327435</v>
      </c>
      <c r="I444">
        <v>294325</v>
      </c>
      <c r="J444">
        <v>305793</v>
      </c>
      <c r="K444">
        <v>308215</v>
      </c>
      <c r="L444">
        <v>150001</v>
      </c>
      <c r="M444">
        <v>144800</v>
      </c>
      <c r="N444">
        <v>145037.682</v>
      </c>
      <c r="O444">
        <v>136985.883</v>
      </c>
      <c r="P444">
        <v>121307.121</v>
      </c>
      <c r="Q444">
        <v>117139.558</v>
      </c>
      <c r="R444">
        <v>118364.41499999999</v>
      </c>
      <c r="S444">
        <v>111204.569</v>
      </c>
      <c r="T444">
        <v>107263.60400000001</v>
      </c>
      <c r="U444">
        <v>106207.386</v>
      </c>
      <c r="V444">
        <v>98668.626000000004</v>
      </c>
      <c r="W444">
        <v>91685.698999999993</v>
      </c>
      <c r="X444">
        <v>83590.937999999995</v>
      </c>
      <c r="Y444">
        <v>75023.487999999998</v>
      </c>
      <c r="Z444">
        <v>68162.600999999995</v>
      </c>
      <c r="AA444">
        <v>62305.385999999999</v>
      </c>
      <c r="AB444">
        <v>53518.012999999999</v>
      </c>
      <c r="AC444">
        <v>47443.173000000003</v>
      </c>
      <c r="AM444" t="str">
        <f>""</f>
        <v/>
      </c>
      <c r="AN444" t="str">
        <f>""</f>
        <v/>
      </c>
      <c r="AO444" t="str">
        <f>""</f>
        <v/>
      </c>
      <c r="AP444" t="str">
        <f>""</f>
        <v/>
      </c>
      <c r="AQ444" t="str">
        <f>""</f>
        <v/>
      </c>
      <c r="AR444" t="str">
        <f>""</f>
        <v/>
      </c>
      <c r="AS444" t="str">
        <f>""</f>
        <v/>
      </c>
      <c r="AT444" t="str">
        <f>""</f>
        <v/>
      </c>
      <c r="AU444" t="str">
        <f>""</f>
        <v/>
      </c>
      <c r="AV444" t="str">
        <f>""</f>
        <v/>
      </c>
      <c r="AW444" t="str">
        <f>""</f>
        <v/>
      </c>
      <c r="AX444" t="str">
        <f>""</f>
        <v/>
      </c>
      <c r="AY444" t="str">
        <f>""</f>
        <v/>
      </c>
      <c r="AZ444" t="str">
        <f>""</f>
        <v/>
      </c>
      <c r="BA444" t="str">
        <f>""</f>
        <v/>
      </c>
      <c r="BB444" t="str">
        <f>""</f>
        <v/>
      </c>
      <c r="BC444" t="str">
        <f>""</f>
        <v/>
      </c>
      <c r="BD444" t="str">
        <f>""</f>
        <v/>
      </c>
      <c r="BE444" t="str">
        <f>""</f>
        <v/>
      </c>
      <c r="BF444" t="str">
        <f>""</f>
        <v/>
      </c>
      <c r="BG444" t="str">
        <f>""</f>
        <v/>
      </c>
      <c r="BH444" t="str">
        <f>""</f>
        <v/>
      </c>
      <c r="BI444" t="str">
        <f>""</f>
        <v/>
      </c>
      <c r="BJ444" t="str">
        <f>""</f>
        <v/>
      </c>
      <c r="BK444" t="str">
        <f>""</f>
        <v/>
      </c>
      <c r="BL444" t="str">
        <f>""</f>
        <v/>
      </c>
      <c r="BM444" t="str">
        <f>""</f>
        <v/>
      </c>
      <c r="BN444" t="str">
        <f>""</f>
        <v/>
      </c>
      <c r="BO444" t="str">
        <f>""</f>
        <v/>
      </c>
      <c r="BP444" t="str">
        <f>""</f>
        <v/>
      </c>
      <c r="BQ444" t="str">
        <f>""</f>
        <v/>
      </c>
      <c r="BR444" t="str">
        <f>""</f>
        <v/>
      </c>
      <c r="BS444" t="str">
        <f>""</f>
        <v/>
      </c>
    </row>
    <row r="445" spans="1:71" x14ac:dyDescent="0.25">
      <c r="A445" t="str">
        <f>$A$20</f>
        <v xml:space="preserve">        US Bancorp</v>
      </c>
      <c r="B445" t="str">
        <f>$B$20</f>
        <v>USB US Equity</v>
      </c>
      <c r="C445" t="str">
        <f>$C$20</f>
        <v>FY421</v>
      </c>
      <c r="D445" t="str">
        <f>$D$20</f>
        <v>FED_TOTAL_CONSOLIDATED_LOANS</v>
      </c>
      <c r="E445" t="str">
        <f>$E$20</f>
        <v>Dynamic</v>
      </c>
      <c r="F445">
        <f ca="1">_xll.BDH($B$20,$C$20,$B$425,$B$426,CONCATENATE("Per=",$B$423),"Dts=H","Dir=H",CONCATENATE("Points=",$B$424),"Sort=R","Days=A","Fill=B",CONCATENATE("FX=", $B$422),"cols=33;rows=1")</f>
        <v>382405</v>
      </c>
      <c r="G445">
        <v>376036</v>
      </c>
      <c r="H445">
        <v>390413</v>
      </c>
      <c r="I445">
        <v>319803</v>
      </c>
      <c r="J445">
        <v>306468</v>
      </c>
      <c r="K445">
        <v>301680</v>
      </c>
      <c r="L445">
        <v>288774</v>
      </c>
      <c r="M445">
        <v>283428</v>
      </c>
      <c r="N445">
        <v>277229</v>
      </c>
      <c r="O445">
        <v>263001</v>
      </c>
      <c r="P445">
        <v>251468</v>
      </c>
      <c r="Q445">
        <v>236903</v>
      </c>
      <c r="R445">
        <v>230025</v>
      </c>
      <c r="S445">
        <v>214465</v>
      </c>
      <c r="T445">
        <v>202295</v>
      </c>
      <c r="U445">
        <v>199527</v>
      </c>
      <c r="V445">
        <v>188165</v>
      </c>
      <c r="W445">
        <v>158646</v>
      </c>
      <c r="X445">
        <v>146853</v>
      </c>
      <c r="Y445">
        <v>139492</v>
      </c>
      <c r="Z445">
        <v>127754</v>
      </c>
      <c r="AA445">
        <v>119668</v>
      </c>
      <c r="AB445">
        <v>120410</v>
      </c>
      <c r="AC445">
        <v>117225</v>
      </c>
      <c r="AM445" t="str">
        <f>""</f>
        <v/>
      </c>
      <c r="AN445" t="str">
        <f>""</f>
        <v/>
      </c>
      <c r="AO445" t="str">
        <f>""</f>
        <v/>
      </c>
      <c r="AP445" t="str">
        <f>""</f>
        <v/>
      </c>
      <c r="AQ445" t="str">
        <f>""</f>
        <v/>
      </c>
      <c r="AR445" t="str">
        <f>""</f>
        <v/>
      </c>
      <c r="AS445" t="str">
        <f>""</f>
        <v/>
      </c>
      <c r="AT445" t="str">
        <f>""</f>
        <v/>
      </c>
      <c r="AU445" t="str">
        <f>""</f>
        <v/>
      </c>
      <c r="AV445" t="str">
        <f>""</f>
        <v/>
      </c>
      <c r="AW445" t="str">
        <f>""</f>
        <v/>
      </c>
      <c r="AX445" t="str">
        <f>""</f>
        <v/>
      </c>
      <c r="AY445" t="str">
        <f>""</f>
        <v/>
      </c>
      <c r="AZ445" t="str">
        <f>""</f>
        <v/>
      </c>
      <c r="BA445" t="str">
        <f>""</f>
        <v/>
      </c>
      <c r="BB445" t="str">
        <f>""</f>
        <v/>
      </c>
      <c r="BC445" t="str">
        <f>""</f>
        <v/>
      </c>
      <c r="BD445" t="str">
        <f>""</f>
        <v/>
      </c>
      <c r="BE445" t="str">
        <f>""</f>
        <v/>
      </c>
      <c r="BF445" t="str">
        <f>""</f>
        <v/>
      </c>
      <c r="BG445" t="str">
        <f>""</f>
        <v/>
      </c>
      <c r="BH445" t="str">
        <f>""</f>
        <v/>
      </c>
      <c r="BI445" t="str">
        <f>""</f>
        <v/>
      </c>
      <c r="BJ445" t="str">
        <f>""</f>
        <v/>
      </c>
      <c r="BK445" t="str">
        <f>""</f>
        <v/>
      </c>
      <c r="BL445" t="str">
        <f>""</f>
        <v/>
      </c>
      <c r="BM445" t="str">
        <f>""</f>
        <v/>
      </c>
      <c r="BN445" t="str">
        <f>""</f>
        <v/>
      </c>
      <c r="BO445" t="str">
        <f>""</f>
        <v/>
      </c>
      <c r="BP445" t="str">
        <f>""</f>
        <v/>
      </c>
      <c r="BQ445" t="str">
        <f>""</f>
        <v/>
      </c>
      <c r="BR445" t="str">
        <f>""</f>
        <v/>
      </c>
      <c r="BS445" t="str">
        <f>""</f>
        <v/>
      </c>
    </row>
    <row r="446" spans="1:71" x14ac:dyDescent="0.25">
      <c r="A446" t="str">
        <f>$A$21</f>
        <v xml:space="preserve">        Wells Fargo &amp; Co</v>
      </c>
      <c r="B446" t="str">
        <f>$B$21</f>
        <v>WFC US Equity</v>
      </c>
      <c r="C446" t="str">
        <f>$C$21</f>
        <v>FY421</v>
      </c>
      <c r="D446" t="str">
        <f>$D$21</f>
        <v>FED_TOTAL_CONSOLIDATED_LOANS</v>
      </c>
      <c r="E446" t="str">
        <f>$E$21</f>
        <v>Dynamic</v>
      </c>
      <c r="F446">
        <f ca="1">_xll.BDH($B$21,$C$21,$B$425,$B$426,CONCATENATE("Per=",$B$423),"Dts=H","Dir=H",CONCATENATE("Points=",$B$424),"Sort=R","Days=A","Fill=B",CONCATENATE("FX=", $B$422),"cols=33;rows=1")</f>
        <v>915418</v>
      </c>
      <c r="G446">
        <v>939825</v>
      </c>
      <c r="H446">
        <v>961509</v>
      </c>
      <c r="I446">
        <v>915502</v>
      </c>
      <c r="J446">
        <v>925396</v>
      </c>
      <c r="K446">
        <v>982778</v>
      </c>
      <c r="L446">
        <v>964844</v>
      </c>
      <c r="M446">
        <v>972838</v>
      </c>
      <c r="N446">
        <v>988774</v>
      </c>
      <c r="O446">
        <v>931918</v>
      </c>
      <c r="P446">
        <v>877996</v>
      </c>
      <c r="Q446">
        <v>839988</v>
      </c>
      <c r="R446">
        <v>841894</v>
      </c>
      <c r="S446">
        <v>819326</v>
      </c>
      <c r="T446">
        <v>811320</v>
      </c>
      <c r="U446">
        <v>827597</v>
      </c>
      <c r="V446">
        <v>891156</v>
      </c>
      <c r="W446">
        <v>409958</v>
      </c>
      <c r="X446">
        <v>354934</v>
      </c>
      <c r="Y446">
        <v>351983</v>
      </c>
      <c r="Z446">
        <v>326048</v>
      </c>
      <c r="AA446">
        <v>289597</v>
      </c>
      <c r="AB446">
        <v>254453</v>
      </c>
      <c r="AC446">
        <v>207649</v>
      </c>
      <c r="AM446" t="str">
        <f>""</f>
        <v/>
      </c>
      <c r="AN446" t="str">
        <f>""</f>
        <v/>
      </c>
      <c r="AO446" t="str">
        <f>""</f>
        <v/>
      </c>
      <c r="AP446" t="str">
        <f>""</f>
        <v/>
      </c>
      <c r="AQ446" t="str">
        <f>""</f>
        <v/>
      </c>
      <c r="AR446" t="str">
        <f>""</f>
        <v/>
      </c>
      <c r="AS446" t="str">
        <f>""</f>
        <v/>
      </c>
      <c r="AT446" t="str">
        <f>""</f>
        <v/>
      </c>
      <c r="AU446" t="str">
        <f>""</f>
        <v/>
      </c>
      <c r="AV446" t="str">
        <f>""</f>
        <v/>
      </c>
      <c r="AW446" t="str">
        <f>""</f>
        <v/>
      </c>
      <c r="AX446" t="str">
        <f>""</f>
        <v/>
      </c>
      <c r="AY446" t="str">
        <f>""</f>
        <v/>
      </c>
      <c r="AZ446" t="str">
        <f>""</f>
        <v/>
      </c>
      <c r="BA446" t="str">
        <f>""</f>
        <v/>
      </c>
      <c r="BB446" t="str">
        <f>""</f>
        <v/>
      </c>
      <c r="BC446" t="str">
        <f>""</f>
        <v/>
      </c>
      <c r="BD446" t="str">
        <f>""</f>
        <v/>
      </c>
      <c r="BE446" t="str">
        <f>""</f>
        <v/>
      </c>
      <c r="BF446" t="str">
        <f>""</f>
        <v/>
      </c>
      <c r="BG446" t="str">
        <f>""</f>
        <v/>
      </c>
      <c r="BH446" t="str">
        <f>""</f>
        <v/>
      </c>
      <c r="BI446" t="str">
        <f>""</f>
        <v/>
      </c>
      <c r="BJ446" t="str">
        <f>""</f>
        <v/>
      </c>
      <c r="BK446" t="str">
        <f>""</f>
        <v/>
      </c>
      <c r="BL446" t="str">
        <f>""</f>
        <v/>
      </c>
      <c r="BM446" t="str">
        <f>""</f>
        <v/>
      </c>
      <c r="BN446" t="str">
        <f>""</f>
        <v/>
      </c>
      <c r="BO446" t="str">
        <f>""</f>
        <v/>
      </c>
      <c r="BP446" t="str">
        <f>""</f>
        <v/>
      </c>
      <c r="BQ446" t="str">
        <f>""</f>
        <v/>
      </c>
      <c r="BR446" t="str">
        <f>""</f>
        <v/>
      </c>
      <c r="BS446" t="str">
        <f>""</f>
        <v/>
      </c>
    </row>
    <row r="447" spans="1:71" x14ac:dyDescent="0.25">
      <c r="A447" t="str">
        <f>$A$22</f>
        <v xml:space="preserve">        Western Alliance Bancorp</v>
      </c>
      <c r="B447" t="str">
        <f>$B$22</f>
        <v>WAL US Equity</v>
      </c>
      <c r="C447" t="str">
        <f>$C$22</f>
        <v>FY421</v>
      </c>
      <c r="D447" t="str">
        <f>$D$22</f>
        <v>FED_TOTAL_CONSOLIDATED_LOANS</v>
      </c>
      <c r="E447" t="str">
        <f>$E$22</f>
        <v>Dynamic</v>
      </c>
      <c r="F447">
        <f ca="1">_xll.BDH($B$22,$C$22,$B$425,$B$426,CONCATENATE("Per=",$B$423),"Dts=H","Dir=H",CONCATENATE("Points=",$B$424),"Sort=R","Days=A","Fill=B",CONCATENATE("FX=", $B$422),"cols=33;rows=1")</f>
        <v>56278.923000000003</v>
      </c>
      <c r="G447">
        <v>51901.440999999999</v>
      </c>
      <c r="H447">
        <v>53570.339</v>
      </c>
      <c r="I447">
        <v>44716.853999999999</v>
      </c>
      <c r="J447">
        <v>27053.018</v>
      </c>
      <c r="K447">
        <v>21123.295999999998</v>
      </c>
      <c r="L447">
        <v>17710.629000000001</v>
      </c>
      <c r="M447">
        <v>15093.934999999999</v>
      </c>
      <c r="N447">
        <v>13208.436</v>
      </c>
      <c r="O447">
        <v>11136.663</v>
      </c>
      <c r="P447">
        <v>8398.2649999999994</v>
      </c>
      <c r="Q447">
        <v>6801.415</v>
      </c>
      <c r="R447">
        <v>5709.3180000000002</v>
      </c>
      <c r="S447">
        <v>4780.0690000000004</v>
      </c>
      <c r="T447">
        <v>4240.5420000000004</v>
      </c>
      <c r="U447">
        <v>4079.6379999999999</v>
      </c>
      <c r="V447">
        <v>4095.915</v>
      </c>
      <c r="W447">
        <v>3633.009</v>
      </c>
      <c r="X447">
        <v>3003.2220000000002</v>
      </c>
      <c r="Y447">
        <v>1793.337</v>
      </c>
      <c r="Z447">
        <v>1188.5350000000001</v>
      </c>
      <c r="AA447">
        <v>733.077</v>
      </c>
      <c r="AB447">
        <v>464.35500000000002</v>
      </c>
      <c r="AC447">
        <v>407.19200000000001</v>
      </c>
      <c r="AM447" t="str">
        <f>""</f>
        <v/>
      </c>
      <c r="AN447" t="str">
        <f>""</f>
        <v/>
      </c>
      <c r="AO447" t="str">
        <f>""</f>
        <v/>
      </c>
      <c r="AP447" t="str">
        <f>""</f>
        <v/>
      </c>
      <c r="AQ447" t="str">
        <f>""</f>
        <v/>
      </c>
      <c r="AR447" t="str">
        <f>""</f>
        <v/>
      </c>
      <c r="AS447" t="str">
        <f>""</f>
        <v/>
      </c>
      <c r="AT447" t="str">
        <f>""</f>
        <v/>
      </c>
      <c r="AU447" t="str">
        <f>""</f>
        <v/>
      </c>
      <c r="AV447" t="str">
        <f>""</f>
        <v/>
      </c>
      <c r="AW447" t="str">
        <f>""</f>
        <v/>
      </c>
      <c r="AX447" t="str">
        <f>""</f>
        <v/>
      </c>
      <c r="AY447" t="str">
        <f>""</f>
        <v/>
      </c>
      <c r="AZ447" t="str">
        <f>""</f>
        <v/>
      </c>
      <c r="BA447" t="str">
        <f>""</f>
        <v/>
      </c>
      <c r="BB447" t="str">
        <f>""</f>
        <v/>
      </c>
      <c r="BC447" t="str">
        <f>""</f>
        <v/>
      </c>
      <c r="BD447" t="str">
        <f>""</f>
        <v/>
      </c>
      <c r="BE447" t="str">
        <f>""</f>
        <v/>
      </c>
      <c r="BF447" t="str">
        <f>""</f>
        <v/>
      </c>
      <c r="BG447" t="str">
        <f>""</f>
        <v/>
      </c>
      <c r="BH447" t="str">
        <f>""</f>
        <v/>
      </c>
      <c r="BI447" t="str">
        <f>""</f>
        <v/>
      </c>
      <c r="BJ447" t="str">
        <f>""</f>
        <v/>
      </c>
      <c r="BK447" t="str">
        <f>""</f>
        <v/>
      </c>
      <c r="BL447" t="str">
        <f>""</f>
        <v/>
      </c>
      <c r="BM447" t="str">
        <f>""</f>
        <v/>
      </c>
      <c r="BN447" t="str">
        <f>""</f>
        <v/>
      </c>
      <c r="BO447" t="str">
        <f>""</f>
        <v/>
      </c>
      <c r="BP447" t="str">
        <f>""</f>
        <v/>
      </c>
      <c r="BQ447" t="str">
        <f>""</f>
        <v/>
      </c>
      <c r="BR447" t="str">
        <f>""</f>
        <v/>
      </c>
      <c r="BS447" t="str">
        <f>""</f>
        <v/>
      </c>
    </row>
    <row r="448" spans="1:71" x14ac:dyDescent="0.25">
      <c r="A448" t="str">
        <f>$A$23</f>
        <v xml:space="preserve">        Zions Bancorp NA</v>
      </c>
      <c r="B448" t="str">
        <f>$B$23</f>
        <v>ZION US Equity</v>
      </c>
      <c r="C448" t="str">
        <f>$C$23</f>
        <v>FY421</v>
      </c>
      <c r="D448" t="str">
        <f>$D$23</f>
        <v>FED_TOTAL_CONSOLIDATED_LOANS</v>
      </c>
      <c r="E448" t="str">
        <f>$E$23</f>
        <v>Dynamic</v>
      </c>
      <c r="F448" t="str">
        <f ca="1">_xll.BDH($B$23,$C$23,$B$425,$B$426,CONCATENATE("Per=",$B$423),"Dts=H","Dir=H",CONCATENATE("Points=",$B$424),"Sort=R","Days=A","Fill=B",CONCATENATE("FX=", $B$422) )</f>
        <v/>
      </c>
      <c r="AM448" t="str">
        <f>""</f>
        <v/>
      </c>
      <c r="AN448" t="str">
        <f>""</f>
        <v/>
      </c>
      <c r="AO448" t="str">
        <f>""</f>
        <v/>
      </c>
      <c r="AP448" t="str">
        <f>""</f>
        <v/>
      </c>
      <c r="AQ448" t="str">
        <f>""</f>
        <v/>
      </c>
      <c r="AR448" t="str">
        <f>""</f>
        <v/>
      </c>
      <c r="AS448" t="str">
        <f>""</f>
        <v/>
      </c>
      <c r="AT448" t="str">
        <f>""</f>
        <v/>
      </c>
      <c r="AU448" t="str">
        <f>""</f>
        <v/>
      </c>
      <c r="AV448" t="str">
        <f>""</f>
        <v/>
      </c>
      <c r="AW448" t="str">
        <f>""</f>
        <v/>
      </c>
      <c r="AX448" t="str">
        <f>""</f>
        <v/>
      </c>
      <c r="AY448" t="str">
        <f>""</f>
        <v/>
      </c>
      <c r="AZ448" t="str">
        <f>""</f>
        <v/>
      </c>
      <c r="BA448" t="str">
        <f>""</f>
        <v/>
      </c>
      <c r="BB448" t="str">
        <f>""</f>
        <v/>
      </c>
      <c r="BC448" t="str">
        <f>""</f>
        <v/>
      </c>
      <c r="BD448" t="str">
        <f>""</f>
        <v/>
      </c>
      <c r="BE448" t="str">
        <f>""</f>
        <v/>
      </c>
      <c r="BF448" t="str">
        <f>""</f>
        <v/>
      </c>
      <c r="BG448" t="str">
        <f>""</f>
        <v/>
      </c>
      <c r="BH448" t="str">
        <f>""</f>
        <v/>
      </c>
      <c r="BI448" t="str">
        <f>""</f>
        <v/>
      </c>
      <c r="BJ448" t="str">
        <f>""</f>
        <v/>
      </c>
      <c r="BK448" t="str">
        <f>""</f>
        <v/>
      </c>
      <c r="BL448" t="str">
        <f>""</f>
        <v/>
      </c>
      <c r="BM448" t="str">
        <f>""</f>
        <v/>
      </c>
      <c r="BN448" t="str">
        <f>""</f>
        <v/>
      </c>
      <c r="BO448" t="str">
        <f>""</f>
        <v/>
      </c>
      <c r="BP448" t="str">
        <f>""</f>
        <v/>
      </c>
      <c r="BQ448" t="str">
        <f>""</f>
        <v/>
      </c>
      <c r="BR448" t="str">
        <f>""</f>
        <v/>
      </c>
      <c r="BS448" t="str">
        <f>""</f>
        <v/>
      </c>
    </row>
    <row r="449" spans="1:71" x14ac:dyDescent="0.25">
      <c r="A449" t="str">
        <f>$A$27</f>
        <v xml:space="preserve">            Bank of America Corp</v>
      </c>
      <c r="B449" t="str">
        <f>$B$27</f>
        <v>BAC US Equity</v>
      </c>
      <c r="C449" t="str">
        <f>$C$27</f>
        <v>FC004</v>
      </c>
      <c r="D449" t="str">
        <f>$D$27</f>
        <v>FDIC_FAM_RESIDENT_LOANS</v>
      </c>
      <c r="E449" t="str">
        <f>$E$27</f>
        <v>Dynamic</v>
      </c>
      <c r="F449">
        <f ca="1">_xll.BDH($B$27,$C$27,$B$425,$B$426,CONCATENATE("Per=",$B$423),"Dts=H","Dir=H",CONCATENATE("Points=",$B$424),"Sort=R","Days=A","Fill=B",CONCATENATE("FX=", $B$422),"cols=33;rows=1")</f>
        <v>254697</v>
      </c>
      <c r="G449">
        <v>255302</v>
      </c>
      <c r="H449">
        <v>256813</v>
      </c>
      <c r="I449">
        <v>252380</v>
      </c>
      <c r="J449">
        <v>258879</v>
      </c>
      <c r="K449">
        <v>278413</v>
      </c>
      <c r="L449">
        <v>258145</v>
      </c>
      <c r="M449">
        <v>262960</v>
      </c>
      <c r="N449">
        <v>261525</v>
      </c>
      <c r="O449">
        <v>267581</v>
      </c>
      <c r="P449">
        <v>306330</v>
      </c>
      <c r="Q449">
        <v>349108</v>
      </c>
      <c r="R449">
        <v>380565.255</v>
      </c>
      <c r="S449">
        <v>415799.516</v>
      </c>
      <c r="T449">
        <v>433240.53200000001</v>
      </c>
      <c r="U449">
        <v>443224.63099999999</v>
      </c>
      <c r="V449">
        <v>428782.25900000002</v>
      </c>
      <c r="W449">
        <v>394835.24699999997</v>
      </c>
      <c r="X449">
        <v>316728.42499999999</v>
      </c>
      <c r="Y449">
        <v>250411.147</v>
      </c>
      <c r="Z449">
        <v>235816.04800000001</v>
      </c>
      <c r="AA449">
        <v>170819.649</v>
      </c>
      <c r="AB449">
        <v>144039</v>
      </c>
      <c r="AC449">
        <v>101953</v>
      </c>
      <c r="AM449" t="str">
        <f>""</f>
        <v/>
      </c>
      <c r="AN449" t="str">
        <f>""</f>
        <v/>
      </c>
      <c r="AO449" t="str">
        <f>""</f>
        <v/>
      </c>
      <c r="AP449" t="str">
        <f>""</f>
        <v/>
      </c>
      <c r="AQ449" t="str">
        <f>""</f>
        <v/>
      </c>
      <c r="AR449" t="str">
        <f>""</f>
        <v/>
      </c>
      <c r="AS449" t="str">
        <f>""</f>
        <v/>
      </c>
      <c r="AT449" t="str">
        <f>""</f>
        <v/>
      </c>
      <c r="AU449" t="str">
        <f>""</f>
        <v/>
      </c>
      <c r="AV449" t="str">
        <f>""</f>
        <v/>
      </c>
      <c r="AW449" t="str">
        <f>""</f>
        <v/>
      </c>
      <c r="AX449" t="str">
        <f>""</f>
        <v/>
      </c>
      <c r="AY449" t="str">
        <f>""</f>
        <v/>
      </c>
      <c r="AZ449" t="str">
        <f>""</f>
        <v/>
      </c>
      <c r="BA449" t="str">
        <f>""</f>
        <v/>
      </c>
      <c r="BB449" t="str">
        <f>""</f>
        <v/>
      </c>
      <c r="BC449" t="str">
        <f>""</f>
        <v/>
      </c>
      <c r="BD449" t="str">
        <f>""</f>
        <v/>
      </c>
      <c r="BE449" t="str">
        <f>""</f>
        <v/>
      </c>
      <c r="BF449" t="str">
        <f>""</f>
        <v/>
      </c>
      <c r="BG449" t="str">
        <f>""</f>
        <v/>
      </c>
      <c r="BH449" t="str">
        <f>""</f>
        <v/>
      </c>
      <c r="BI449" t="str">
        <f>""</f>
        <v/>
      </c>
      <c r="BJ449" t="str">
        <f>""</f>
        <v/>
      </c>
      <c r="BK449" t="str">
        <f>""</f>
        <v/>
      </c>
      <c r="BL449" t="str">
        <f>""</f>
        <v/>
      </c>
      <c r="BM449" t="str">
        <f>""</f>
        <v/>
      </c>
      <c r="BN449" t="str">
        <f>""</f>
        <v/>
      </c>
      <c r="BO449" t="str">
        <f>""</f>
        <v/>
      </c>
      <c r="BP449" t="str">
        <f>""</f>
        <v/>
      </c>
      <c r="BQ449" t="str">
        <f>""</f>
        <v/>
      </c>
      <c r="BR449" t="str">
        <f>""</f>
        <v/>
      </c>
      <c r="BS449" t="str">
        <f>""</f>
        <v/>
      </c>
    </row>
    <row r="450" spans="1:71" x14ac:dyDescent="0.25">
      <c r="A450" t="str">
        <f>$A$28</f>
        <v xml:space="preserve">            Citigroup Inc</v>
      </c>
      <c r="B450" t="str">
        <f>$B$28</f>
        <v>C US Equity</v>
      </c>
      <c r="C450" t="str">
        <f>$C$28</f>
        <v>FC004</v>
      </c>
      <c r="D450" t="str">
        <f>$D$28</f>
        <v>FDIC_FAM_RESIDENT_LOANS</v>
      </c>
      <c r="E450" t="str">
        <f>$E$28</f>
        <v>Dynamic</v>
      </c>
      <c r="F450">
        <f ca="1">_xll.BDH($B$28,$C$28,$B$425,$B$426,CONCATENATE("Per=",$B$423),"Dts=H","Dir=H",CONCATENATE("Points=",$B$424),"Sort=R","Days=A","Fill=B",CONCATENATE("FX=", $B$422),"cols=33;rows=1")</f>
        <v>118468</v>
      </c>
      <c r="G450">
        <v>112986</v>
      </c>
      <c r="H450">
        <v>101591</v>
      </c>
      <c r="I450">
        <v>92493</v>
      </c>
      <c r="J450">
        <v>93950</v>
      </c>
      <c r="K450">
        <v>90884</v>
      </c>
      <c r="L450">
        <v>88632</v>
      </c>
      <c r="M450">
        <v>92045</v>
      </c>
      <c r="N450">
        <v>99813</v>
      </c>
      <c r="O450">
        <v>108860</v>
      </c>
      <c r="P450">
        <v>118221</v>
      </c>
      <c r="Q450">
        <v>127575</v>
      </c>
      <c r="R450">
        <v>148171</v>
      </c>
      <c r="S450">
        <v>158689</v>
      </c>
      <c r="T450">
        <v>168282</v>
      </c>
      <c r="U450">
        <v>190434</v>
      </c>
      <c r="V450">
        <v>219875</v>
      </c>
      <c r="W450">
        <v>242468</v>
      </c>
      <c r="X450">
        <v>217882</v>
      </c>
      <c r="Y450">
        <v>182699</v>
      </c>
      <c r="Z450">
        <v>155805</v>
      </c>
      <c r="AA450">
        <v>124745</v>
      </c>
      <c r="AB450">
        <v>117363</v>
      </c>
      <c r="AC450">
        <v>81032</v>
      </c>
      <c r="AD450">
        <v>38289.023999999998</v>
      </c>
      <c r="AE450">
        <v>28717.59</v>
      </c>
      <c r="AF450">
        <v>23425.052</v>
      </c>
      <c r="AM450" t="str">
        <f>""</f>
        <v/>
      </c>
      <c r="AN450" t="str">
        <f>""</f>
        <v/>
      </c>
      <c r="AO450" t="str">
        <f>""</f>
        <v/>
      </c>
      <c r="AP450" t="str">
        <f>""</f>
        <v/>
      </c>
      <c r="AQ450" t="str">
        <f>""</f>
        <v/>
      </c>
      <c r="AR450" t="str">
        <f>""</f>
        <v/>
      </c>
      <c r="AS450" t="str">
        <f>""</f>
        <v/>
      </c>
      <c r="AT450" t="str">
        <f>""</f>
        <v/>
      </c>
      <c r="AU450" t="str">
        <f>""</f>
        <v/>
      </c>
      <c r="AV450" t="str">
        <f>""</f>
        <v/>
      </c>
      <c r="AW450" t="str">
        <f>""</f>
        <v/>
      </c>
      <c r="AX450" t="str">
        <f>""</f>
        <v/>
      </c>
      <c r="AY450" t="str">
        <f>""</f>
        <v/>
      </c>
      <c r="AZ450" t="str">
        <f>""</f>
        <v/>
      </c>
      <c r="BA450" t="str">
        <f>""</f>
        <v/>
      </c>
      <c r="BB450" t="str">
        <f>""</f>
        <v/>
      </c>
      <c r="BC450" t="str">
        <f>""</f>
        <v/>
      </c>
      <c r="BD450" t="str">
        <f>""</f>
        <v/>
      </c>
      <c r="BE450" t="str">
        <f>""</f>
        <v/>
      </c>
      <c r="BF450" t="str">
        <f>""</f>
        <v/>
      </c>
      <c r="BG450" t="str">
        <f>""</f>
        <v/>
      </c>
      <c r="BH450" t="str">
        <f>""</f>
        <v/>
      </c>
      <c r="BI450" t="str">
        <f>""</f>
        <v/>
      </c>
      <c r="BJ450" t="str">
        <f>""</f>
        <v/>
      </c>
      <c r="BK450" t="str">
        <f>""</f>
        <v/>
      </c>
      <c r="BL450" t="str">
        <f>""</f>
        <v/>
      </c>
      <c r="BM450" t="str">
        <f>""</f>
        <v/>
      </c>
      <c r="BN450" t="str">
        <f>""</f>
        <v/>
      </c>
      <c r="BO450" t="str">
        <f>""</f>
        <v/>
      </c>
      <c r="BP450" t="str">
        <f>""</f>
        <v/>
      </c>
      <c r="BQ450" t="str">
        <f>""</f>
        <v/>
      </c>
      <c r="BR450" t="str">
        <f>""</f>
        <v/>
      </c>
      <c r="BS450" t="str">
        <f>""</f>
        <v/>
      </c>
    </row>
    <row r="451" spans="1:71" x14ac:dyDescent="0.25">
      <c r="A451" t="str">
        <f>$A$29</f>
        <v xml:space="preserve">            Citizens Financial Group Inc</v>
      </c>
      <c r="B451" t="str">
        <f>$B$29</f>
        <v>CFG US Equity</v>
      </c>
      <c r="C451" t="str">
        <f>$C$29</f>
        <v>FC004</v>
      </c>
      <c r="D451" t="str">
        <f>$D$29</f>
        <v>FDIC_FAM_RESIDENT_LOANS</v>
      </c>
      <c r="E451" t="str">
        <f>$E$29</f>
        <v>Dynamic</v>
      </c>
      <c r="F451">
        <f ca="1">_xll.BDH($B$29,$C$29,$B$425,$B$426,CONCATENATE("Per=",$B$423),"Dts=H","Dir=H",CONCATENATE("Points=",$B$424),"Sort=R","Days=A","Fill=B",CONCATENATE("FX=", $B$422),"cols=33;rows=1")</f>
        <v>49818.45</v>
      </c>
      <c r="G451">
        <v>46633.01</v>
      </c>
      <c r="H451">
        <v>43935.243999999999</v>
      </c>
      <c r="I451">
        <v>36850.557000000001</v>
      </c>
      <c r="J451">
        <v>35775.152999999998</v>
      </c>
      <c r="K451">
        <v>34745.133999999998</v>
      </c>
      <c r="L451">
        <v>33790.315000000002</v>
      </c>
      <c r="M451">
        <v>32394.419000000002</v>
      </c>
      <c r="N451">
        <v>31966.937999999998</v>
      </c>
      <c r="O451">
        <v>31762.332999999999</v>
      </c>
      <c r="P451">
        <v>32509.040000000001</v>
      </c>
      <c r="Q451">
        <v>32414.482</v>
      </c>
      <c r="R451">
        <v>34671.885000000002</v>
      </c>
      <c r="S451">
        <v>37386.466999999997</v>
      </c>
      <c r="T451">
        <v>38961.057999999997</v>
      </c>
      <c r="U451">
        <v>43076.387999999999</v>
      </c>
      <c r="V451">
        <v>50365.379000000001</v>
      </c>
      <c r="W451">
        <v>54319.930999999997</v>
      </c>
      <c r="X451">
        <v>53172.578999999998</v>
      </c>
      <c r="Y451">
        <v>50143.733999999997</v>
      </c>
      <c r="Z451">
        <v>40752.696000000004</v>
      </c>
      <c r="AA451">
        <v>17393.501</v>
      </c>
      <c r="AB451">
        <v>9193.4629999999997</v>
      </c>
      <c r="AC451">
        <v>5800.777</v>
      </c>
      <c r="AM451" t="str">
        <f>""</f>
        <v/>
      </c>
      <c r="AN451" t="str">
        <f>""</f>
        <v/>
      </c>
      <c r="AO451" t="str">
        <f>""</f>
        <v/>
      </c>
      <c r="AP451" t="str">
        <f>""</f>
        <v/>
      </c>
      <c r="AQ451" t="str">
        <f>""</f>
        <v/>
      </c>
      <c r="AR451" t="str">
        <f>""</f>
        <v/>
      </c>
      <c r="AS451" t="str">
        <f>""</f>
        <v/>
      </c>
      <c r="AT451" t="str">
        <f>""</f>
        <v/>
      </c>
      <c r="AU451" t="str">
        <f>""</f>
        <v/>
      </c>
      <c r="AV451" t="str">
        <f>""</f>
        <v/>
      </c>
      <c r="AW451" t="str">
        <f>""</f>
        <v/>
      </c>
      <c r="AX451" t="str">
        <f>""</f>
        <v/>
      </c>
      <c r="AY451" t="str">
        <f>""</f>
        <v/>
      </c>
      <c r="AZ451" t="str">
        <f>""</f>
        <v/>
      </c>
      <c r="BA451" t="str">
        <f>""</f>
        <v/>
      </c>
      <c r="BB451" t="str">
        <f>""</f>
        <v/>
      </c>
      <c r="BC451" t="str">
        <f>""</f>
        <v/>
      </c>
      <c r="BD451" t="str">
        <f>""</f>
        <v/>
      </c>
      <c r="BE451" t="str">
        <f>""</f>
        <v/>
      </c>
      <c r="BF451" t="str">
        <f>""</f>
        <v/>
      </c>
      <c r="BG451" t="str">
        <f>""</f>
        <v/>
      </c>
      <c r="BH451" t="str">
        <f>""</f>
        <v/>
      </c>
      <c r="BI451" t="str">
        <f>""</f>
        <v/>
      </c>
      <c r="BJ451" t="str">
        <f>""</f>
        <v/>
      </c>
      <c r="BK451" t="str">
        <f>""</f>
        <v/>
      </c>
      <c r="BL451" t="str">
        <f>""</f>
        <v/>
      </c>
      <c r="BM451" t="str">
        <f>""</f>
        <v/>
      </c>
      <c r="BN451" t="str">
        <f>""</f>
        <v/>
      </c>
      <c r="BO451" t="str">
        <f>""</f>
        <v/>
      </c>
      <c r="BP451" t="str">
        <f>""</f>
        <v/>
      </c>
      <c r="BQ451" t="str">
        <f>""</f>
        <v/>
      </c>
      <c r="BR451" t="str">
        <f>""</f>
        <v/>
      </c>
      <c r="BS451" t="str">
        <f>""</f>
        <v/>
      </c>
    </row>
    <row r="452" spans="1:71" x14ac:dyDescent="0.25">
      <c r="A452" t="str">
        <f>$A$30</f>
        <v xml:space="preserve">            Capital One Financial Corp</v>
      </c>
      <c r="B452" t="str">
        <f>$B$30</f>
        <v>COF US Equity</v>
      </c>
      <c r="C452" t="str">
        <f>$C$30</f>
        <v>FC004</v>
      </c>
      <c r="D452" t="str">
        <f>$D$30</f>
        <v>FDIC_FAM_RESIDENT_LOANS</v>
      </c>
      <c r="E452" t="str">
        <f>$E$30</f>
        <v>Dynamic</v>
      </c>
      <c r="F452">
        <f ca="1">_xll.BDH($B$30,$C$30,$B$425,$B$426,CONCATENATE("Per=",$B$423),"Dts=H","Dir=H",CONCATENATE("Points=",$B$424),"Sort=R","Days=A","Fill=B",CONCATENATE("FX=", $B$422),"cols=33;rows=1")</f>
        <v>296.32</v>
      </c>
      <c r="G452">
        <v>129.55500000000001</v>
      </c>
      <c r="H452">
        <v>125.142</v>
      </c>
      <c r="I452">
        <v>155.18899999999999</v>
      </c>
      <c r="J452">
        <v>183.75</v>
      </c>
      <c r="K452">
        <v>233.946</v>
      </c>
      <c r="L452">
        <v>243.91800000000001</v>
      </c>
      <c r="M452">
        <v>18628.940999999999</v>
      </c>
      <c r="N452">
        <v>22535.603999999999</v>
      </c>
      <c r="O452">
        <v>26131.725999999999</v>
      </c>
      <c r="P452">
        <v>30858.545999999998</v>
      </c>
      <c r="Q452">
        <v>36746.642</v>
      </c>
      <c r="R452">
        <v>45660.364999999998</v>
      </c>
      <c r="S452">
        <v>12073.655000000001</v>
      </c>
      <c r="T452">
        <v>13758.463</v>
      </c>
      <c r="U452">
        <v>16398.483</v>
      </c>
      <c r="V452">
        <v>12009.944</v>
      </c>
      <c r="W452">
        <v>13727.955</v>
      </c>
      <c r="X452">
        <v>23588.012999999999</v>
      </c>
      <c r="Y452">
        <v>5951.78</v>
      </c>
      <c r="Z452">
        <v>40.158000000000001</v>
      </c>
      <c r="AM452" t="str">
        <f>""</f>
        <v/>
      </c>
      <c r="AN452" t="str">
        <f>""</f>
        <v/>
      </c>
      <c r="AO452" t="str">
        <f>""</f>
        <v/>
      </c>
      <c r="AP452" t="str">
        <f>""</f>
        <v/>
      </c>
      <c r="AQ452" t="str">
        <f>""</f>
        <v/>
      </c>
      <c r="AR452" t="str">
        <f>""</f>
        <v/>
      </c>
      <c r="AS452" t="str">
        <f>""</f>
        <v/>
      </c>
      <c r="AT452" t="str">
        <f>""</f>
        <v/>
      </c>
      <c r="AU452" t="str">
        <f>""</f>
        <v/>
      </c>
      <c r="AV452" t="str">
        <f>""</f>
        <v/>
      </c>
      <c r="AW452" t="str">
        <f>""</f>
        <v/>
      </c>
      <c r="AX452" t="str">
        <f>""</f>
        <v/>
      </c>
      <c r="AY452" t="str">
        <f>""</f>
        <v/>
      </c>
      <c r="AZ452" t="str">
        <f>""</f>
        <v/>
      </c>
      <c r="BA452" t="str">
        <f>""</f>
        <v/>
      </c>
      <c r="BB452" t="str">
        <f>""</f>
        <v/>
      </c>
      <c r="BC452" t="str">
        <f>""</f>
        <v/>
      </c>
      <c r="BD452" t="str">
        <f>""</f>
        <v/>
      </c>
      <c r="BE452" t="str">
        <f>""</f>
        <v/>
      </c>
      <c r="BF452" t="str">
        <f>""</f>
        <v/>
      </c>
      <c r="BG452" t="str">
        <f>""</f>
        <v/>
      </c>
      <c r="BH452" t="str">
        <f>""</f>
        <v/>
      </c>
      <c r="BI452" t="str">
        <f>""</f>
        <v/>
      </c>
      <c r="BJ452" t="str">
        <f>""</f>
        <v/>
      </c>
      <c r="BK452" t="str">
        <f>""</f>
        <v/>
      </c>
      <c r="BL452" t="str">
        <f>""</f>
        <v/>
      </c>
      <c r="BM452" t="str">
        <f>""</f>
        <v/>
      </c>
      <c r="BN452" t="str">
        <f>""</f>
        <v/>
      </c>
      <c r="BO452" t="str">
        <f>""</f>
        <v/>
      </c>
      <c r="BP452" t="str">
        <f>""</f>
        <v/>
      </c>
      <c r="BQ452" t="str">
        <f>""</f>
        <v/>
      </c>
      <c r="BR452" t="str">
        <f>""</f>
        <v/>
      </c>
      <c r="BS452" t="str">
        <f>""</f>
        <v/>
      </c>
    </row>
    <row r="453" spans="1:71" x14ac:dyDescent="0.25">
      <c r="A453" t="str">
        <f>$A$31</f>
        <v xml:space="preserve">            Comerica Inc</v>
      </c>
      <c r="B453" t="str">
        <f>$B$31</f>
        <v>CMA US Equity</v>
      </c>
      <c r="C453" t="str">
        <f>$C$31</f>
        <v>FC004</v>
      </c>
      <c r="D453" t="str">
        <f>$D$31</f>
        <v>FDIC_FAM_RESIDENT_LOANS</v>
      </c>
      <c r="E453" t="str">
        <f>$E$31</f>
        <v>Dynamic</v>
      </c>
      <c r="F453">
        <f ca="1">_xll.BDH($B$31,$C$31,$B$425,$B$426,CONCATENATE("Per=",$B$423),"Dts=H","Dir=H",CONCATENATE("Points=",$B$424),"Sort=R","Days=A","Fill=B",CONCATENATE("FX=", $B$422),"cols=33;rows=1")</f>
        <v>3908</v>
      </c>
      <c r="G453">
        <v>3850</v>
      </c>
      <c r="H453">
        <v>3784</v>
      </c>
      <c r="I453">
        <v>3528</v>
      </c>
      <c r="J453">
        <v>3675</v>
      </c>
      <c r="K453">
        <v>3781</v>
      </c>
      <c r="L453">
        <v>3988.0859999999998</v>
      </c>
      <c r="M453">
        <v>4033.2170000000001</v>
      </c>
      <c r="N453">
        <v>3916.7449999999999</v>
      </c>
      <c r="O453">
        <v>3740.2939999999999</v>
      </c>
      <c r="P453">
        <v>3633.5720000000001</v>
      </c>
      <c r="Q453">
        <v>3392.0070000000001</v>
      </c>
      <c r="R453">
        <v>3360.348</v>
      </c>
      <c r="S453">
        <v>3590.7460000000001</v>
      </c>
      <c r="T453">
        <v>3667.951</v>
      </c>
      <c r="U453">
        <v>3850.9259999999999</v>
      </c>
      <c r="V453">
        <v>4116.0290000000005</v>
      </c>
      <c r="W453">
        <v>4026.9059999999999</v>
      </c>
      <c r="X453">
        <v>3448.9029999999998</v>
      </c>
      <c r="Y453">
        <v>3433.902</v>
      </c>
      <c r="Z453">
        <v>3192.933</v>
      </c>
      <c r="AA453">
        <v>2962.4070000000002</v>
      </c>
      <c r="AB453">
        <v>2778.549</v>
      </c>
      <c r="AC453">
        <v>2501.1280000000002</v>
      </c>
      <c r="AD453">
        <v>2412.1309999999999</v>
      </c>
      <c r="AE453">
        <v>2350.0079999999998</v>
      </c>
      <c r="AF453">
        <v>2424.86</v>
      </c>
      <c r="AG453">
        <v>2806.855</v>
      </c>
      <c r="AH453">
        <v>2953.3960000000002</v>
      </c>
      <c r="AI453">
        <v>3542.5880000000002</v>
      </c>
      <c r="AJ453">
        <v>3506.221</v>
      </c>
      <c r="AK453">
        <v>3117.973</v>
      </c>
      <c r="AL453">
        <v>3150.471</v>
      </c>
      <c r="AM453" t="str">
        <f>""</f>
        <v/>
      </c>
      <c r="AN453" t="str">
        <f>""</f>
        <v/>
      </c>
      <c r="AO453" t="str">
        <f>""</f>
        <v/>
      </c>
      <c r="AP453" t="str">
        <f>""</f>
        <v/>
      </c>
      <c r="AQ453" t="str">
        <f>""</f>
        <v/>
      </c>
      <c r="AR453" t="str">
        <f>""</f>
        <v/>
      </c>
      <c r="AS453" t="str">
        <f>""</f>
        <v/>
      </c>
      <c r="AT453" t="str">
        <f>""</f>
        <v/>
      </c>
      <c r="AU453" t="str">
        <f>""</f>
        <v/>
      </c>
      <c r="AV453" t="str">
        <f>""</f>
        <v/>
      </c>
      <c r="AW453" t="str">
        <f>""</f>
        <v/>
      </c>
      <c r="AX453" t="str">
        <f>""</f>
        <v/>
      </c>
      <c r="AY453" t="str">
        <f>""</f>
        <v/>
      </c>
      <c r="AZ453" t="str">
        <f>""</f>
        <v/>
      </c>
      <c r="BA453" t="str">
        <f>""</f>
        <v/>
      </c>
      <c r="BB453" t="str">
        <f>""</f>
        <v/>
      </c>
      <c r="BC453" t="str">
        <f>""</f>
        <v/>
      </c>
      <c r="BD453" t="str">
        <f>""</f>
        <v/>
      </c>
      <c r="BE453" t="str">
        <f>""</f>
        <v/>
      </c>
      <c r="BF453" t="str">
        <f>""</f>
        <v/>
      </c>
      <c r="BG453" t="str">
        <f>""</f>
        <v/>
      </c>
      <c r="BH453" t="str">
        <f>""</f>
        <v/>
      </c>
      <c r="BI453" t="str">
        <f>""</f>
        <v/>
      </c>
      <c r="BJ453" t="str">
        <f>""</f>
        <v/>
      </c>
      <c r="BK453" t="str">
        <f>""</f>
        <v/>
      </c>
      <c r="BL453" t="str">
        <f>""</f>
        <v/>
      </c>
      <c r="BM453" t="str">
        <f>""</f>
        <v/>
      </c>
      <c r="BN453" t="str">
        <f>""</f>
        <v/>
      </c>
      <c r="BO453" t="str">
        <f>""</f>
        <v/>
      </c>
      <c r="BP453" t="str">
        <f>""</f>
        <v/>
      </c>
      <c r="BQ453" t="str">
        <f>""</f>
        <v/>
      </c>
      <c r="BR453" t="str">
        <f>""</f>
        <v/>
      </c>
      <c r="BS453" t="str">
        <f>""</f>
        <v/>
      </c>
    </row>
    <row r="454" spans="1:71" x14ac:dyDescent="0.25">
      <c r="A454" t="str">
        <f>$A$32</f>
        <v xml:space="preserve">            East West Bancorp Inc</v>
      </c>
      <c r="B454" t="str">
        <f>$B$32</f>
        <v>EWBC US Equity</v>
      </c>
      <c r="C454" t="str">
        <f>$C$32</f>
        <v>FC004</v>
      </c>
      <c r="D454" t="str">
        <f>$D$32</f>
        <v>FDIC_FAM_RESIDENT_LOANS</v>
      </c>
      <c r="E454" t="str">
        <f>$E$32</f>
        <v>Dynamic</v>
      </c>
      <c r="F454">
        <f ca="1">_xll.BDH($B$32,$C$32,$B$425,$B$426,CONCATENATE("Per=",$B$423),"Dts=H","Dir=H",CONCATENATE("Points=",$B$424),"Sort=R","Days=A","Fill=B",CONCATENATE("FX=", $B$422),"cols=33;rows=1")</f>
        <v>16628.504000000001</v>
      </c>
      <c r="G454">
        <v>15765.011</v>
      </c>
      <c r="H454">
        <v>14001.596</v>
      </c>
      <c r="I454">
        <v>11816.014999999999</v>
      </c>
      <c r="J454">
        <v>10278.281000000001</v>
      </c>
      <c r="K454">
        <v>8982.9150000000009</v>
      </c>
      <c r="L454">
        <v>8119.1329999999998</v>
      </c>
      <c r="M454">
        <v>6841.8789999999999</v>
      </c>
      <c r="N454">
        <v>5571.4560000000001</v>
      </c>
      <c r="O454">
        <v>4943.2579999999998</v>
      </c>
      <c r="P454">
        <v>5243.8760000000002</v>
      </c>
      <c r="Q454">
        <v>4217.38</v>
      </c>
      <c r="R454">
        <v>2858.3980000000001</v>
      </c>
      <c r="S454">
        <v>2536.3020000000001</v>
      </c>
      <c r="T454">
        <v>1929.3320000000001</v>
      </c>
      <c r="U454">
        <v>1786.6780000000001</v>
      </c>
      <c r="V454">
        <v>653.99699999999996</v>
      </c>
      <c r="W454">
        <v>554.09199999999998</v>
      </c>
      <c r="X454">
        <v>507.55200000000002</v>
      </c>
      <c r="Y454">
        <v>691.54</v>
      </c>
      <c r="Z454">
        <v>491.98899999999998</v>
      </c>
      <c r="AA454">
        <v>268.85599999999999</v>
      </c>
      <c r="AB454">
        <v>194.971</v>
      </c>
      <c r="AC454">
        <v>367.13400000000001</v>
      </c>
      <c r="AD454">
        <v>367.77800000000002</v>
      </c>
      <c r="AE454">
        <v>297.79399999999998</v>
      </c>
      <c r="AF454">
        <v>282.15499999999997</v>
      </c>
      <c r="AM454" t="str">
        <f>""</f>
        <v/>
      </c>
      <c r="AN454" t="str">
        <f>""</f>
        <v/>
      </c>
      <c r="AO454" t="str">
        <f>""</f>
        <v/>
      </c>
      <c r="AP454" t="str">
        <f>""</f>
        <v/>
      </c>
      <c r="AQ454" t="str">
        <f>""</f>
        <v/>
      </c>
      <c r="AR454" t="str">
        <f>""</f>
        <v/>
      </c>
      <c r="AS454" t="str">
        <f>""</f>
        <v/>
      </c>
      <c r="AT454" t="str">
        <f>""</f>
        <v/>
      </c>
      <c r="AU454" t="str">
        <f>""</f>
        <v/>
      </c>
      <c r="AV454" t="str">
        <f>""</f>
        <v/>
      </c>
      <c r="AW454" t="str">
        <f>""</f>
        <v/>
      </c>
      <c r="AX454" t="str">
        <f>""</f>
        <v/>
      </c>
      <c r="AY454" t="str">
        <f>""</f>
        <v/>
      </c>
      <c r="AZ454" t="str">
        <f>""</f>
        <v/>
      </c>
      <c r="BA454" t="str">
        <f>""</f>
        <v/>
      </c>
      <c r="BB454" t="str">
        <f>""</f>
        <v/>
      </c>
      <c r="BC454" t="str">
        <f>""</f>
        <v/>
      </c>
      <c r="BD454" t="str">
        <f>""</f>
        <v/>
      </c>
      <c r="BE454" t="str">
        <f>""</f>
        <v/>
      </c>
      <c r="BF454" t="str">
        <f>""</f>
        <v/>
      </c>
      <c r="BG454" t="str">
        <f>""</f>
        <v/>
      </c>
      <c r="BH454" t="str">
        <f>""</f>
        <v/>
      </c>
      <c r="BI454" t="str">
        <f>""</f>
        <v/>
      </c>
      <c r="BJ454" t="str">
        <f>""</f>
        <v/>
      </c>
      <c r="BK454" t="str">
        <f>""</f>
        <v/>
      </c>
      <c r="BL454" t="str">
        <f>""</f>
        <v/>
      </c>
      <c r="BM454" t="str">
        <f>""</f>
        <v/>
      </c>
      <c r="BN454" t="str">
        <f>""</f>
        <v/>
      </c>
      <c r="BO454" t="str">
        <f>""</f>
        <v/>
      </c>
      <c r="BP454" t="str">
        <f>""</f>
        <v/>
      </c>
      <c r="BQ454" t="str">
        <f>""</f>
        <v/>
      </c>
      <c r="BR454" t="str">
        <f>""</f>
        <v/>
      </c>
      <c r="BS454" t="str">
        <f>""</f>
        <v/>
      </c>
    </row>
    <row r="455" spans="1:71" x14ac:dyDescent="0.25">
      <c r="A455" t="str">
        <f>$A$33</f>
        <v xml:space="preserve">            Fifth Third Bancorp</v>
      </c>
      <c r="B455" t="str">
        <f>$B$33</f>
        <v>FITB US Equity</v>
      </c>
      <c r="C455" t="str">
        <f>$C$33</f>
        <v>FC004</v>
      </c>
      <c r="D455" t="str">
        <f>$D$33</f>
        <v>FDIC_FAM_RESIDENT_LOANS</v>
      </c>
      <c r="E455" t="str">
        <f>$E$33</f>
        <v>Dynamic</v>
      </c>
      <c r="F455">
        <f ca="1">_xll.BDH($B$33,$C$33,$B$425,$B$426,CONCATENATE("Per=",$B$423),"Dts=H","Dir=H",CONCATENATE("Points=",$B$424),"Sort=R","Days=A","Fill=B",CONCATENATE("FX=", $B$422),"cols=33;rows=1")</f>
        <v>21882</v>
      </c>
      <c r="G455">
        <v>20846</v>
      </c>
      <c r="H455">
        <v>22204.278999999999</v>
      </c>
      <c r="I455">
        <v>24533.073</v>
      </c>
      <c r="J455">
        <v>25186.95</v>
      </c>
      <c r="K455">
        <v>23568.696</v>
      </c>
      <c r="L455">
        <v>21869.364000000001</v>
      </c>
      <c r="M455">
        <v>22465</v>
      </c>
      <c r="N455">
        <v>22696.782999999999</v>
      </c>
      <c r="O455">
        <v>22027.731</v>
      </c>
      <c r="P455">
        <v>21815.423999999999</v>
      </c>
      <c r="Q455">
        <v>22271.501</v>
      </c>
      <c r="R455">
        <v>24457.736000000001</v>
      </c>
      <c r="S455">
        <v>23864.955000000002</v>
      </c>
      <c r="T455">
        <v>22085.291000000001</v>
      </c>
      <c r="U455">
        <v>21821.242999999999</v>
      </c>
      <c r="V455">
        <v>22477.023000000001</v>
      </c>
      <c r="W455">
        <v>22456.776999999998</v>
      </c>
      <c r="X455">
        <v>21382.897000000001</v>
      </c>
      <c r="Y455">
        <v>20205.214</v>
      </c>
      <c r="Z455">
        <v>18173.718000000001</v>
      </c>
      <c r="AA455">
        <v>14598.907999999999</v>
      </c>
      <c r="AB455">
        <v>15319.308999999999</v>
      </c>
      <c r="AC455">
        <v>14313.187</v>
      </c>
      <c r="AD455">
        <v>7871.94</v>
      </c>
      <c r="AE455">
        <v>7472.0559999999996</v>
      </c>
      <c r="AF455">
        <v>6177.6509999999998</v>
      </c>
      <c r="AG455">
        <v>3254.53</v>
      </c>
      <c r="AH455">
        <v>2947.4760000000001</v>
      </c>
      <c r="AI455">
        <v>2575.9110000000001</v>
      </c>
      <c r="AJ455">
        <v>2761.7170000000001</v>
      </c>
      <c r="AK455">
        <v>2387.5830000000001</v>
      </c>
      <c r="AL455">
        <v>2169.096</v>
      </c>
      <c r="AM455" t="str">
        <f>""</f>
        <v/>
      </c>
      <c r="AN455" t="str">
        <f>""</f>
        <v/>
      </c>
      <c r="AO455" t="str">
        <f>""</f>
        <v/>
      </c>
      <c r="AP455" t="str">
        <f>""</f>
        <v/>
      </c>
      <c r="AQ455" t="str">
        <f>""</f>
        <v/>
      </c>
      <c r="AR455" t="str">
        <f>""</f>
        <v/>
      </c>
      <c r="AS455" t="str">
        <f>""</f>
        <v/>
      </c>
      <c r="AT455" t="str">
        <f>""</f>
        <v/>
      </c>
      <c r="AU455" t="str">
        <f>""</f>
        <v/>
      </c>
      <c r="AV455" t="str">
        <f>""</f>
        <v/>
      </c>
      <c r="AW455" t="str">
        <f>""</f>
        <v/>
      </c>
      <c r="AX455" t="str">
        <f>""</f>
        <v/>
      </c>
      <c r="AY455" t="str">
        <f>""</f>
        <v/>
      </c>
      <c r="AZ455" t="str">
        <f>""</f>
        <v/>
      </c>
      <c r="BA455" t="str">
        <f>""</f>
        <v/>
      </c>
      <c r="BB455" t="str">
        <f>""</f>
        <v/>
      </c>
      <c r="BC455" t="str">
        <f>""</f>
        <v/>
      </c>
      <c r="BD455" t="str">
        <f>""</f>
        <v/>
      </c>
      <c r="BE455" t="str">
        <f>""</f>
        <v/>
      </c>
      <c r="BF455" t="str">
        <f>""</f>
        <v/>
      </c>
      <c r="BG455" t="str">
        <f>""</f>
        <v/>
      </c>
      <c r="BH455" t="str">
        <f>""</f>
        <v/>
      </c>
      <c r="BI455" t="str">
        <f>""</f>
        <v/>
      </c>
      <c r="BJ455" t="str">
        <f>""</f>
        <v/>
      </c>
      <c r="BK455" t="str">
        <f>""</f>
        <v/>
      </c>
      <c r="BL455" t="str">
        <f>""</f>
        <v/>
      </c>
      <c r="BM455" t="str">
        <f>""</f>
        <v/>
      </c>
      <c r="BN455" t="str">
        <f>""</f>
        <v/>
      </c>
      <c r="BO455" t="str">
        <f>""</f>
        <v/>
      </c>
      <c r="BP455" t="str">
        <f>""</f>
        <v/>
      </c>
      <c r="BQ455" t="str">
        <f>""</f>
        <v/>
      </c>
      <c r="BR455" t="str">
        <f>""</f>
        <v/>
      </c>
      <c r="BS455" t="str">
        <f>""</f>
        <v/>
      </c>
    </row>
    <row r="456" spans="1:71" x14ac:dyDescent="0.25">
      <c r="A456" t="str">
        <f>$A$34</f>
        <v xml:space="preserve">            First Citizens BancShares Inc/</v>
      </c>
      <c r="B456" t="str">
        <f>$B$34</f>
        <v>FCNCA US Equity</v>
      </c>
      <c r="C456" t="str">
        <f>$C$34</f>
        <v>FC004</v>
      </c>
      <c r="D456" t="str">
        <f>$D$34</f>
        <v>FDIC_FAM_RESIDENT_LOANS</v>
      </c>
      <c r="E456" t="str">
        <f>$E$34</f>
        <v>Dynamic</v>
      </c>
      <c r="F456">
        <f ca="1">_xll.BDH($B$34,$C$34,$B$425,$B$426,CONCATENATE("Per=",$B$423),"Dts=H","Dir=H",CONCATENATE("Points=",$B$424),"Sort=R","Days=A","Fill=B",CONCATENATE("FX=", $B$422),"cols=33;rows=1")</f>
        <v>25390</v>
      </c>
      <c r="G456">
        <v>24530.958999999999</v>
      </c>
      <c r="H456">
        <v>14855.508</v>
      </c>
      <c r="I456">
        <v>7725.3940000000002</v>
      </c>
      <c r="J456">
        <v>7955.8329999999996</v>
      </c>
      <c r="K456">
        <v>7970.076</v>
      </c>
      <c r="L456">
        <v>7160.2579999999998</v>
      </c>
      <c r="M456">
        <v>6639.7160000000003</v>
      </c>
      <c r="N456">
        <v>5872.2960000000003</v>
      </c>
      <c r="O456">
        <v>5633.4859999999999</v>
      </c>
      <c r="P456">
        <v>5602.4840000000004</v>
      </c>
      <c r="Q456">
        <v>3387.6619999999998</v>
      </c>
      <c r="R456">
        <v>3461.9850000000001</v>
      </c>
      <c r="S456">
        <v>3552.0819999999999</v>
      </c>
      <c r="T456">
        <v>3293.9380000000001</v>
      </c>
      <c r="U456">
        <v>3231.62</v>
      </c>
      <c r="V456">
        <v>2876.0189999999998</v>
      </c>
      <c r="W456">
        <v>2523.4609999999998</v>
      </c>
      <c r="X456">
        <v>2351.6379999999999</v>
      </c>
      <c r="Y456">
        <v>2385.4270000000001</v>
      </c>
      <c r="Z456">
        <v>2693.7</v>
      </c>
      <c r="AA456">
        <v>2568.1039999999998</v>
      </c>
      <c r="AB456">
        <v>2474.9070000000002</v>
      </c>
      <c r="AC456">
        <v>2346.9899999999998</v>
      </c>
      <c r="AD456">
        <v>2377.596</v>
      </c>
      <c r="AE456">
        <v>2084.4140000000002</v>
      </c>
      <c r="AF456">
        <v>1915.25</v>
      </c>
      <c r="AG456">
        <v>2004.259</v>
      </c>
      <c r="AH456">
        <v>1950.972</v>
      </c>
      <c r="AI456">
        <v>1835.7809999999999</v>
      </c>
      <c r="AJ456">
        <v>1643.25</v>
      </c>
      <c r="AK456">
        <v>1431.453</v>
      </c>
      <c r="AL456">
        <v>1316.634</v>
      </c>
      <c r="AM456" t="str">
        <f>""</f>
        <v/>
      </c>
      <c r="AN456" t="str">
        <f>""</f>
        <v/>
      </c>
      <c r="AO456" t="str">
        <f>""</f>
        <v/>
      </c>
      <c r="AP456" t="str">
        <f>""</f>
        <v/>
      </c>
      <c r="AQ456" t="str">
        <f>""</f>
        <v/>
      </c>
      <c r="AR456" t="str">
        <f>""</f>
        <v/>
      </c>
      <c r="AS456" t="str">
        <f>""</f>
        <v/>
      </c>
      <c r="AT456" t="str">
        <f>""</f>
        <v/>
      </c>
      <c r="AU456" t="str">
        <f>""</f>
        <v/>
      </c>
      <c r="AV456" t="str">
        <f>""</f>
        <v/>
      </c>
      <c r="AW456" t="str">
        <f>""</f>
        <v/>
      </c>
      <c r="AX456" t="str">
        <f>""</f>
        <v/>
      </c>
      <c r="AY456" t="str">
        <f>""</f>
        <v/>
      </c>
      <c r="AZ456" t="str">
        <f>""</f>
        <v/>
      </c>
      <c r="BA456" t="str">
        <f>""</f>
        <v/>
      </c>
      <c r="BB456" t="str">
        <f>""</f>
        <v/>
      </c>
      <c r="BC456" t="str">
        <f>""</f>
        <v/>
      </c>
      <c r="BD456" t="str">
        <f>""</f>
        <v/>
      </c>
      <c r="BE456" t="str">
        <f>""</f>
        <v/>
      </c>
      <c r="BF456" t="str">
        <f>""</f>
        <v/>
      </c>
      <c r="BG456" t="str">
        <f>""</f>
        <v/>
      </c>
      <c r="BH456" t="str">
        <f>""</f>
        <v/>
      </c>
      <c r="BI456" t="str">
        <f>""</f>
        <v/>
      </c>
      <c r="BJ456" t="str">
        <f>""</f>
        <v/>
      </c>
      <c r="BK456" t="str">
        <f>""</f>
        <v/>
      </c>
      <c r="BL456" t="str">
        <f>""</f>
        <v/>
      </c>
      <c r="BM456" t="str">
        <f>""</f>
        <v/>
      </c>
      <c r="BN456" t="str">
        <f>""</f>
        <v/>
      </c>
      <c r="BO456" t="str">
        <f>""</f>
        <v/>
      </c>
      <c r="BP456" t="str">
        <f>""</f>
        <v/>
      </c>
      <c r="BQ456" t="str">
        <f>""</f>
        <v/>
      </c>
      <c r="BR456" t="str">
        <f>""</f>
        <v/>
      </c>
      <c r="BS456" t="str">
        <f>""</f>
        <v/>
      </c>
    </row>
    <row r="457" spans="1:71" x14ac:dyDescent="0.25">
      <c r="A457" t="str">
        <f>$A$35</f>
        <v xml:space="preserve">            Flagstar Financial Inc</v>
      </c>
      <c r="B457" t="str">
        <f>$B$35</f>
        <v>FLG US Equity</v>
      </c>
      <c r="C457" t="str">
        <f>$C$35</f>
        <v>FC004</v>
      </c>
      <c r="D457" t="str">
        <f>$D$35</f>
        <v>FDIC_FAM_RESIDENT_LOANS</v>
      </c>
      <c r="E457" t="str">
        <f>$E$35</f>
        <v>Dynamic</v>
      </c>
      <c r="F457">
        <f ca="1">_xll.BDH($B$35,$C$35,$B$425,$B$426,CONCATENATE("Per=",$B$423),"Dts=H","Dir=H",CONCATENATE("Points=",$B$424),"Sort=R","Days=A","Fill=B",CONCATENATE("FX=", $B$422),"cols=33;rows=1")</f>
        <v>7179.1840000000002</v>
      </c>
      <c r="G457">
        <v>8215.5930000000008</v>
      </c>
      <c r="H457">
        <v>7711.7250000000004</v>
      </c>
      <c r="I457">
        <v>160.44900000000001</v>
      </c>
      <c r="J457">
        <v>236.267</v>
      </c>
      <c r="K457">
        <v>380.68400000000003</v>
      </c>
      <c r="L457">
        <v>446.41300000000001</v>
      </c>
      <c r="M457">
        <v>512.48599999999999</v>
      </c>
      <c r="N457">
        <v>2494.94</v>
      </c>
      <c r="O457">
        <v>2554.1329999999998</v>
      </c>
      <c r="P457">
        <v>2782.5520000000001</v>
      </c>
      <c r="Q457">
        <v>3639.3319999999999</v>
      </c>
      <c r="R457">
        <v>4666.4319999999998</v>
      </c>
      <c r="S457">
        <v>4863.1000000000004</v>
      </c>
      <c r="T457">
        <v>5599.58</v>
      </c>
      <c r="U457">
        <v>5327.0619999999999</v>
      </c>
      <c r="V457">
        <v>397.07400000000001</v>
      </c>
      <c r="W457">
        <v>551.13499999999999</v>
      </c>
      <c r="X457">
        <v>246.702</v>
      </c>
      <c r="Y457">
        <v>270.779</v>
      </c>
      <c r="Z457">
        <v>513.96699999999998</v>
      </c>
      <c r="AA457">
        <v>873.303</v>
      </c>
      <c r="AB457">
        <v>268.93700000000001</v>
      </c>
      <c r="AC457">
        <v>1413.107</v>
      </c>
      <c r="AD457">
        <v>1805.297</v>
      </c>
      <c r="AE457">
        <v>161.49600000000001</v>
      </c>
      <c r="AF457">
        <v>188.95599999999999</v>
      </c>
      <c r="AG457">
        <v>235.80799999999999</v>
      </c>
      <c r="AH457">
        <v>269.78100000000001</v>
      </c>
      <c r="AI457">
        <v>302.70499999999998</v>
      </c>
      <c r="AJ457">
        <v>319.73500000000001</v>
      </c>
      <c r="AK457">
        <v>288.89699999999999</v>
      </c>
      <c r="AM457" t="str">
        <f>""</f>
        <v/>
      </c>
      <c r="AN457" t="str">
        <f>""</f>
        <v/>
      </c>
      <c r="AO457" t="str">
        <f>""</f>
        <v/>
      </c>
      <c r="AP457" t="str">
        <f>""</f>
        <v/>
      </c>
      <c r="AQ457" t="str">
        <f>""</f>
        <v/>
      </c>
      <c r="AR457" t="str">
        <f>""</f>
        <v/>
      </c>
      <c r="AS457" t="str">
        <f>""</f>
        <v/>
      </c>
      <c r="AT457" t="str">
        <f>""</f>
        <v/>
      </c>
      <c r="AU457" t="str">
        <f>""</f>
        <v/>
      </c>
      <c r="AV457" t="str">
        <f>""</f>
        <v/>
      </c>
      <c r="AW457" t="str">
        <f>""</f>
        <v/>
      </c>
      <c r="AX457" t="str">
        <f>""</f>
        <v/>
      </c>
      <c r="AY457" t="str">
        <f>""</f>
        <v/>
      </c>
      <c r="AZ457" t="str">
        <f>""</f>
        <v/>
      </c>
      <c r="BA457" t="str">
        <f>""</f>
        <v/>
      </c>
      <c r="BB457" t="str">
        <f>""</f>
        <v/>
      </c>
      <c r="BC457" t="str">
        <f>""</f>
        <v/>
      </c>
      <c r="BD457" t="str">
        <f>""</f>
        <v/>
      </c>
      <c r="BE457" t="str">
        <f>""</f>
        <v/>
      </c>
      <c r="BF457" t="str">
        <f>""</f>
        <v/>
      </c>
      <c r="BG457" t="str">
        <f>""</f>
        <v/>
      </c>
      <c r="BH457" t="str">
        <f>""</f>
        <v/>
      </c>
      <c r="BI457" t="str">
        <f>""</f>
        <v/>
      </c>
      <c r="BJ457" t="str">
        <f>""</f>
        <v/>
      </c>
      <c r="BK457" t="str">
        <f>""</f>
        <v/>
      </c>
      <c r="BL457" t="str">
        <f>""</f>
        <v/>
      </c>
      <c r="BM457" t="str">
        <f>""</f>
        <v/>
      </c>
      <c r="BN457" t="str">
        <f>""</f>
        <v/>
      </c>
      <c r="BO457" t="str">
        <f>""</f>
        <v/>
      </c>
      <c r="BP457" t="str">
        <f>""</f>
        <v/>
      </c>
      <c r="BQ457" t="str">
        <f>""</f>
        <v/>
      </c>
      <c r="BR457" t="str">
        <f>""</f>
        <v/>
      </c>
      <c r="BS457" t="str">
        <f>""</f>
        <v/>
      </c>
    </row>
    <row r="458" spans="1:71" x14ac:dyDescent="0.25">
      <c r="A458" t="str">
        <f>$A$36</f>
        <v xml:space="preserve">            Huntington Bancshares Inc/OH</v>
      </c>
      <c r="B458" t="str">
        <f>$B$36</f>
        <v>HBAN US Equity</v>
      </c>
      <c r="C458" t="str">
        <f>$C$36</f>
        <v>FC004</v>
      </c>
      <c r="D458" t="str">
        <f>$D$36</f>
        <v>FDIC_FAM_RESIDENT_LOANS</v>
      </c>
      <c r="E458" t="str">
        <f>$E$36</f>
        <v>Dynamic</v>
      </c>
      <c r="F458">
        <f ca="1">_xll.BDH($B$36,$C$36,$B$425,$B$426,CONCATENATE("Per=",$B$423),"Dts=H","Dir=H",CONCATENATE("Points=",$B$424),"Sort=R","Days=A","Fill=B",CONCATENATE("FX=", $B$422),"cols=33;rows=1")</f>
        <v>34716.815000000002</v>
      </c>
      <c r="G458">
        <v>34020.006999999998</v>
      </c>
      <c r="H458">
        <v>32808.451000000001</v>
      </c>
      <c r="I458">
        <v>30861.969000000001</v>
      </c>
      <c r="J458">
        <v>22003.716</v>
      </c>
      <c r="K458">
        <v>21055.613000000001</v>
      </c>
      <c r="L458">
        <v>20906.517</v>
      </c>
      <c r="M458">
        <v>19169.643</v>
      </c>
      <c r="N458">
        <v>18134.503000000001</v>
      </c>
      <c r="O458">
        <v>14841.903</v>
      </c>
      <c r="P458">
        <v>14595.217000000001</v>
      </c>
      <c r="Q458">
        <v>13991.876</v>
      </c>
      <c r="R458">
        <v>13825.241</v>
      </c>
      <c r="S458">
        <v>13886.472</v>
      </c>
      <c r="T458">
        <v>13287.779</v>
      </c>
      <c r="U458">
        <v>13018.645</v>
      </c>
      <c r="V458">
        <v>12938.627</v>
      </c>
      <c r="W458">
        <v>13918.166999999999</v>
      </c>
      <c r="X458">
        <v>9916.8539999999994</v>
      </c>
      <c r="Y458">
        <v>9374.19</v>
      </c>
      <c r="Z458">
        <v>8949.2039999999997</v>
      </c>
      <c r="AA458">
        <v>6383.1120000000001</v>
      </c>
      <c r="AB458">
        <v>5510.91</v>
      </c>
      <c r="AC458">
        <v>5307.0020000000004</v>
      </c>
      <c r="AD458">
        <v>4424.2060000000001</v>
      </c>
      <c r="AE458">
        <v>4252.5510000000004</v>
      </c>
      <c r="AF458">
        <v>4258.6490000000003</v>
      </c>
      <c r="AG458">
        <v>3646.5259999999998</v>
      </c>
      <c r="AH458">
        <v>2743.5430000000001</v>
      </c>
      <c r="AI458">
        <v>2718.6950000000002</v>
      </c>
      <c r="AJ458">
        <v>2978.7829999999999</v>
      </c>
      <c r="AK458">
        <v>3473.6320000000001</v>
      </c>
      <c r="AL458">
        <v>2021.3610000000001</v>
      </c>
      <c r="AM458" t="str">
        <f>""</f>
        <v/>
      </c>
      <c r="AN458" t="str">
        <f>""</f>
        <v/>
      </c>
      <c r="AO458" t="str">
        <f>""</f>
        <v/>
      </c>
      <c r="AP458" t="str">
        <f>""</f>
        <v/>
      </c>
      <c r="AQ458" t="str">
        <f>""</f>
        <v/>
      </c>
      <c r="AR458" t="str">
        <f>""</f>
        <v/>
      </c>
      <c r="AS458" t="str">
        <f>""</f>
        <v/>
      </c>
      <c r="AT458" t="str">
        <f>""</f>
        <v/>
      </c>
      <c r="AU458" t="str">
        <f>""</f>
        <v/>
      </c>
      <c r="AV458" t="str">
        <f>""</f>
        <v/>
      </c>
      <c r="AW458" t="str">
        <f>""</f>
        <v/>
      </c>
      <c r="AX458" t="str">
        <f>""</f>
        <v/>
      </c>
      <c r="AY458" t="str">
        <f>""</f>
        <v/>
      </c>
      <c r="AZ458" t="str">
        <f>""</f>
        <v/>
      </c>
      <c r="BA458" t="str">
        <f>""</f>
        <v/>
      </c>
      <c r="BB458" t="str">
        <f>""</f>
        <v/>
      </c>
      <c r="BC458" t="str">
        <f>""</f>
        <v/>
      </c>
      <c r="BD458" t="str">
        <f>""</f>
        <v/>
      </c>
      <c r="BE458" t="str">
        <f>""</f>
        <v/>
      </c>
      <c r="BF458" t="str">
        <f>""</f>
        <v/>
      </c>
      <c r="BG458" t="str">
        <f>""</f>
        <v/>
      </c>
      <c r="BH458" t="str">
        <f>""</f>
        <v/>
      </c>
      <c r="BI458" t="str">
        <f>""</f>
        <v/>
      </c>
      <c r="BJ458" t="str">
        <f>""</f>
        <v/>
      </c>
      <c r="BK458" t="str">
        <f>""</f>
        <v/>
      </c>
      <c r="BL458" t="str">
        <f>""</f>
        <v/>
      </c>
      <c r="BM458" t="str">
        <f>""</f>
        <v/>
      </c>
      <c r="BN458" t="str">
        <f>""</f>
        <v/>
      </c>
      <c r="BO458" t="str">
        <f>""</f>
        <v/>
      </c>
      <c r="BP458" t="str">
        <f>""</f>
        <v/>
      </c>
      <c r="BQ458" t="str">
        <f>""</f>
        <v/>
      </c>
      <c r="BR458" t="str">
        <f>""</f>
        <v/>
      </c>
      <c r="BS458" t="str">
        <f>""</f>
        <v/>
      </c>
    </row>
    <row r="459" spans="1:71" x14ac:dyDescent="0.25">
      <c r="A459" t="str">
        <f>$A$37</f>
        <v xml:space="preserve">            JPMorgan Chase &amp; Co</v>
      </c>
      <c r="B459" t="str">
        <f>$B$37</f>
        <v>JPM US Equity</v>
      </c>
      <c r="C459" t="str">
        <f>$C$37</f>
        <v>FC004</v>
      </c>
      <c r="D459" t="str">
        <f>$D$37</f>
        <v>FDIC_FAM_RESIDENT_LOANS</v>
      </c>
      <c r="E459" t="str">
        <f>$E$37</f>
        <v>Dynamic</v>
      </c>
      <c r="F459">
        <f ca="1">_xll.BDH($B$37,$C$37,$B$425,$B$426,CONCATENATE("Per=",$B$423),"Dts=H","Dir=H",CONCATENATE("Points=",$B$424),"Sort=R","Days=A","Fill=B",CONCATENATE("FX=", $B$422),"cols=33;rows=1")</f>
        <v>322739</v>
      </c>
      <c r="G459">
        <v>335448</v>
      </c>
      <c r="H459">
        <v>247551</v>
      </c>
      <c r="I459">
        <v>252018</v>
      </c>
      <c r="J459">
        <v>241603</v>
      </c>
      <c r="K459">
        <v>246239</v>
      </c>
      <c r="L459">
        <v>283388</v>
      </c>
      <c r="M459">
        <v>280479</v>
      </c>
      <c r="N459">
        <v>267183</v>
      </c>
      <c r="O459">
        <v>253724</v>
      </c>
      <c r="P459">
        <v>210247</v>
      </c>
      <c r="Q459">
        <v>208135</v>
      </c>
      <c r="R459">
        <v>214294</v>
      </c>
      <c r="S459">
        <v>231880</v>
      </c>
      <c r="T459">
        <v>249758</v>
      </c>
      <c r="U459">
        <v>270197</v>
      </c>
      <c r="V459">
        <v>299508</v>
      </c>
      <c r="W459">
        <v>172405</v>
      </c>
      <c r="X459">
        <v>160020</v>
      </c>
      <c r="Y459">
        <v>147159</v>
      </c>
      <c r="Z459">
        <v>133191</v>
      </c>
      <c r="AA459">
        <v>73145</v>
      </c>
      <c r="AB459">
        <v>63411</v>
      </c>
      <c r="AC459">
        <v>58942</v>
      </c>
      <c r="AD459">
        <v>49893.603000000003</v>
      </c>
      <c r="AE459">
        <v>44212.142999999996</v>
      </c>
      <c r="AF459">
        <v>41782.705999999998</v>
      </c>
      <c r="AG459">
        <v>38633.203000000001</v>
      </c>
      <c r="AH459">
        <v>36558.754000000001</v>
      </c>
      <c r="AI459">
        <v>18163.781999999999</v>
      </c>
      <c r="AJ459">
        <v>13463.46</v>
      </c>
      <c r="AK459">
        <v>12055.898999999999</v>
      </c>
      <c r="AL459">
        <v>10944.135</v>
      </c>
      <c r="AM459" t="str">
        <f>""</f>
        <v/>
      </c>
      <c r="AN459" t="str">
        <f>""</f>
        <v/>
      </c>
      <c r="AO459" t="str">
        <f>""</f>
        <v/>
      </c>
      <c r="AP459" t="str">
        <f>""</f>
        <v/>
      </c>
      <c r="AQ459" t="str">
        <f>""</f>
        <v/>
      </c>
      <c r="AR459" t="str">
        <f>""</f>
        <v/>
      </c>
      <c r="AS459" t="str">
        <f>""</f>
        <v/>
      </c>
      <c r="AT459" t="str">
        <f>""</f>
        <v/>
      </c>
      <c r="AU459" t="str">
        <f>""</f>
        <v/>
      </c>
      <c r="AV459" t="str">
        <f>""</f>
        <v/>
      </c>
      <c r="AW459" t="str">
        <f>""</f>
        <v/>
      </c>
      <c r="AX459" t="str">
        <f>""</f>
        <v/>
      </c>
      <c r="AY459" t="str">
        <f>""</f>
        <v/>
      </c>
      <c r="AZ459" t="str">
        <f>""</f>
        <v/>
      </c>
      <c r="BA459" t="str">
        <f>""</f>
        <v/>
      </c>
      <c r="BB459" t="str">
        <f>""</f>
        <v/>
      </c>
      <c r="BC459" t="str">
        <f>""</f>
        <v/>
      </c>
      <c r="BD459" t="str">
        <f>""</f>
        <v/>
      </c>
      <c r="BE459" t="str">
        <f>""</f>
        <v/>
      </c>
      <c r="BF459" t="str">
        <f>""</f>
        <v/>
      </c>
      <c r="BG459" t="str">
        <f>""</f>
        <v/>
      </c>
      <c r="BH459" t="str">
        <f>""</f>
        <v/>
      </c>
      <c r="BI459" t="str">
        <f>""</f>
        <v/>
      </c>
      <c r="BJ459" t="str">
        <f>""</f>
        <v/>
      </c>
      <c r="BK459" t="str">
        <f>""</f>
        <v/>
      </c>
      <c r="BL459" t="str">
        <f>""</f>
        <v/>
      </c>
      <c r="BM459" t="str">
        <f>""</f>
        <v/>
      </c>
      <c r="BN459" t="str">
        <f>""</f>
        <v/>
      </c>
      <c r="BO459" t="str">
        <f>""</f>
        <v/>
      </c>
      <c r="BP459" t="str">
        <f>""</f>
        <v/>
      </c>
      <c r="BQ459" t="str">
        <f>""</f>
        <v/>
      </c>
      <c r="BR459" t="str">
        <f>""</f>
        <v/>
      </c>
      <c r="BS459" t="str">
        <f>""</f>
        <v/>
      </c>
    </row>
    <row r="460" spans="1:71" x14ac:dyDescent="0.25">
      <c r="A460" t="str">
        <f>$A$38</f>
        <v xml:space="preserve">            KeyCorp</v>
      </c>
      <c r="B460" t="str">
        <f>$B$38</f>
        <v>KEY US Equity</v>
      </c>
      <c r="C460" t="str">
        <f>$C$38</f>
        <v>FC004</v>
      </c>
      <c r="D460" t="str">
        <f>$D$38</f>
        <v>FDIC_FAM_RESIDENT_LOANS</v>
      </c>
      <c r="E460" t="str">
        <f>$E$38</f>
        <v>Dynamic</v>
      </c>
      <c r="F460">
        <f ca="1">_xll.BDH($B$38,$C$38,$B$425,$B$426,CONCATENATE("Per=",$B$423),"Dts=H","Dir=H",CONCATENATE("Points=",$B$424),"Sort=R","Days=A","Fill=B",CONCATENATE("FX=", $B$422),"cols=33;rows=1")</f>
        <v>26336.841</v>
      </c>
      <c r="G460">
        <v>28148.434000000001</v>
      </c>
      <c r="H460">
        <v>29375.451000000001</v>
      </c>
      <c r="I460">
        <v>24504.156999999999</v>
      </c>
      <c r="J460">
        <v>18921.59</v>
      </c>
      <c r="K460">
        <v>17436.456999999999</v>
      </c>
      <c r="L460">
        <v>16719.893</v>
      </c>
      <c r="M460">
        <v>17582.322</v>
      </c>
      <c r="N460">
        <v>18282.831999999999</v>
      </c>
      <c r="O460">
        <v>12594.343000000001</v>
      </c>
      <c r="P460">
        <v>12875.697</v>
      </c>
      <c r="Q460">
        <v>12878.777</v>
      </c>
      <c r="R460">
        <v>12497.082</v>
      </c>
      <c r="S460">
        <v>11804.796</v>
      </c>
      <c r="T460">
        <v>12134.297</v>
      </c>
      <c r="U460">
        <v>12820.784</v>
      </c>
      <c r="V460">
        <v>13160.433000000001</v>
      </c>
      <c r="W460">
        <v>12558.2</v>
      </c>
      <c r="X460">
        <v>12468.772000000001</v>
      </c>
      <c r="Y460">
        <v>14957.022999999999</v>
      </c>
      <c r="Z460">
        <v>15590.465</v>
      </c>
      <c r="AA460">
        <v>16667.065999999999</v>
      </c>
      <c r="AB460">
        <v>15870.323</v>
      </c>
      <c r="AC460">
        <v>13616.451999999999</v>
      </c>
      <c r="AD460">
        <v>14155.037</v>
      </c>
      <c r="AE460">
        <v>12352.356</v>
      </c>
      <c r="AF460">
        <v>12489.018</v>
      </c>
      <c r="AG460">
        <v>11975.717000000001</v>
      </c>
      <c r="AH460">
        <v>11071.308999999999</v>
      </c>
      <c r="AI460">
        <v>12824.376</v>
      </c>
      <c r="AJ460">
        <v>13923.14</v>
      </c>
      <c r="AK460">
        <v>4895.5829999999996</v>
      </c>
      <c r="AL460">
        <v>3372.306</v>
      </c>
      <c r="AM460" t="str">
        <f>""</f>
        <v/>
      </c>
      <c r="AN460" t="str">
        <f>""</f>
        <v/>
      </c>
      <c r="AO460" t="str">
        <f>""</f>
        <v/>
      </c>
      <c r="AP460" t="str">
        <f>""</f>
        <v/>
      </c>
      <c r="AQ460" t="str">
        <f>""</f>
        <v/>
      </c>
      <c r="AR460" t="str">
        <f>""</f>
        <v/>
      </c>
      <c r="AS460" t="str">
        <f>""</f>
        <v/>
      </c>
      <c r="AT460" t="str">
        <f>""</f>
        <v/>
      </c>
      <c r="AU460" t="str">
        <f>""</f>
        <v/>
      </c>
      <c r="AV460" t="str">
        <f>""</f>
        <v/>
      </c>
      <c r="AW460" t="str">
        <f>""</f>
        <v/>
      </c>
      <c r="AX460" t="str">
        <f>""</f>
        <v/>
      </c>
      <c r="AY460" t="str">
        <f>""</f>
        <v/>
      </c>
      <c r="AZ460" t="str">
        <f>""</f>
        <v/>
      </c>
      <c r="BA460" t="str">
        <f>""</f>
        <v/>
      </c>
      <c r="BB460" t="str">
        <f>""</f>
        <v/>
      </c>
      <c r="BC460" t="str">
        <f>""</f>
        <v/>
      </c>
      <c r="BD460" t="str">
        <f>""</f>
        <v/>
      </c>
      <c r="BE460" t="str">
        <f>""</f>
        <v/>
      </c>
      <c r="BF460" t="str">
        <f>""</f>
        <v/>
      </c>
      <c r="BG460" t="str">
        <f>""</f>
        <v/>
      </c>
      <c r="BH460" t="str">
        <f>""</f>
        <v/>
      </c>
      <c r="BI460" t="str">
        <f>""</f>
        <v/>
      </c>
      <c r="BJ460" t="str">
        <f>""</f>
        <v/>
      </c>
      <c r="BK460" t="str">
        <f>""</f>
        <v/>
      </c>
      <c r="BL460" t="str">
        <f>""</f>
        <v/>
      </c>
      <c r="BM460" t="str">
        <f>""</f>
        <v/>
      </c>
      <c r="BN460" t="str">
        <f>""</f>
        <v/>
      </c>
      <c r="BO460" t="str">
        <f>""</f>
        <v/>
      </c>
      <c r="BP460" t="str">
        <f>""</f>
        <v/>
      </c>
      <c r="BQ460" t="str">
        <f>""</f>
        <v/>
      </c>
      <c r="BR460" t="str">
        <f>""</f>
        <v/>
      </c>
      <c r="BS460" t="str">
        <f>""</f>
        <v/>
      </c>
    </row>
    <row r="461" spans="1:71" x14ac:dyDescent="0.25">
      <c r="A461" t="str">
        <f>$A$39</f>
        <v xml:space="preserve">            M&amp;T Bank Corp</v>
      </c>
      <c r="B461" t="str">
        <f>$B$39</f>
        <v>MTB US Equity</v>
      </c>
      <c r="C461" t="str">
        <f>$C$39</f>
        <v>FC004</v>
      </c>
      <c r="D461" t="str">
        <f>$D$39</f>
        <v>FDIC_FAM_RESIDENT_LOANS</v>
      </c>
      <c r="E461" t="str">
        <f>$E$39</f>
        <v>Dynamic</v>
      </c>
      <c r="F461">
        <f ca="1">_xll.BDH($B$39,$C$39,$B$425,$B$426,CONCATENATE("Per=",$B$423),"Dts=H","Dir=H",CONCATENATE("Points=",$B$424),"Sort=R","Days=A","Fill=B",CONCATENATE("FX=", $B$422),"cols=33;rows=1")</f>
        <v>27794.978999999999</v>
      </c>
      <c r="G461">
        <v>27996.985000000001</v>
      </c>
      <c r="H461">
        <v>28797.671999999999</v>
      </c>
      <c r="I461">
        <v>19589.857</v>
      </c>
      <c r="J461">
        <v>20673.366999999998</v>
      </c>
      <c r="K461">
        <v>20561.465</v>
      </c>
      <c r="L461">
        <v>21993.848999999998</v>
      </c>
      <c r="M461">
        <v>24907.758999999998</v>
      </c>
      <c r="N461">
        <v>28232.277999999998</v>
      </c>
      <c r="O461">
        <v>32229.888999999999</v>
      </c>
      <c r="P461">
        <v>14682.343000000001</v>
      </c>
      <c r="Q461">
        <v>15035.241</v>
      </c>
      <c r="R461">
        <v>17540.982</v>
      </c>
      <c r="S461">
        <v>14563.947</v>
      </c>
      <c r="T461">
        <v>12421.047</v>
      </c>
      <c r="U461">
        <v>12365.058999999999</v>
      </c>
      <c r="V461">
        <v>10542.545</v>
      </c>
      <c r="W461">
        <v>11184.808999999999</v>
      </c>
      <c r="X461">
        <v>10840.137000000001</v>
      </c>
      <c r="Y461">
        <v>9318.7199999999993</v>
      </c>
      <c r="Z461">
        <v>8291.7729999999992</v>
      </c>
      <c r="AA461">
        <v>7731.46</v>
      </c>
      <c r="AB461">
        <v>5444.0209999999997</v>
      </c>
      <c r="AC461">
        <v>6394.5150000000003</v>
      </c>
      <c r="AD461">
        <v>5546.5259999999998</v>
      </c>
      <c r="AE461">
        <v>4892.5479999999998</v>
      </c>
      <c r="AF461">
        <v>4884.7150000000001</v>
      </c>
      <c r="AG461">
        <v>3028.1419999999998</v>
      </c>
      <c r="AH461">
        <v>2785.0720000000001</v>
      </c>
      <c r="AI461">
        <v>2583.482</v>
      </c>
      <c r="AJ461">
        <v>2251.904</v>
      </c>
      <c r="AK461">
        <v>2105.636</v>
      </c>
      <c r="AL461">
        <v>2199.4609999999998</v>
      </c>
      <c r="AM461" t="str">
        <f>""</f>
        <v/>
      </c>
      <c r="AN461" t="str">
        <f>""</f>
        <v/>
      </c>
      <c r="AO461" t="str">
        <f>""</f>
        <v/>
      </c>
      <c r="AP461" t="str">
        <f>""</f>
        <v/>
      </c>
      <c r="AQ461" t="str">
        <f>""</f>
        <v/>
      </c>
      <c r="AR461" t="str">
        <f>""</f>
        <v/>
      </c>
      <c r="AS461" t="str">
        <f>""</f>
        <v/>
      </c>
      <c r="AT461" t="str">
        <f>""</f>
        <v/>
      </c>
      <c r="AU461" t="str">
        <f>""</f>
        <v/>
      </c>
      <c r="AV461" t="str">
        <f>""</f>
        <v/>
      </c>
      <c r="AW461" t="str">
        <f>""</f>
        <v/>
      </c>
      <c r="AX461" t="str">
        <f>""</f>
        <v/>
      </c>
      <c r="AY461" t="str">
        <f>""</f>
        <v/>
      </c>
      <c r="AZ461" t="str">
        <f>""</f>
        <v/>
      </c>
      <c r="BA461" t="str">
        <f>""</f>
        <v/>
      </c>
      <c r="BB461" t="str">
        <f>""</f>
        <v/>
      </c>
      <c r="BC461" t="str">
        <f>""</f>
        <v/>
      </c>
      <c r="BD461" t="str">
        <f>""</f>
        <v/>
      </c>
      <c r="BE461" t="str">
        <f>""</f>
        <v/>
      </c>
      <c r="BF461" t="str">
        <f>""</f>
        <v/>
      </c>
      <c r="BG461" t="str">
        <f>""</f>
        <v/>
      </c>
      <c r="BH461" t="str">
        <f>""</f>
        <v/>
      </c>
      <c r="BI461" t="str">
        <f>""</f>
        <v/>
      </c>
      <c r="BJ461" t="str">
        <f>""</f>
        <v/>
      </c>
      <c r="BK461" t="str">
        <f>""</f>
        <v/>
      </c>
      <c r="BL461" t="str">
        <f>""</f>
        <v/>
      </c>
      <c r="BM461" t="str">
        <f>""</f>
        <v/>
      </c>
      <c r="BN461" t="str">
        <f>""</f>
        <v/>
      </c>
      <c r="BO461" t="str">
        <f>""</f>
        <v/>
      </c>
      <c r="BP461" t="str">
        <f>""</f>
        <v/>
      </c>
      <c r="BQ461" t="str">
        <f>""</f>
        <v/>
      </c>
      <c r="BR461" t="str">
        <f>""</f>
        <v/>
      </c>
      <c r="BS461" t="str">
        <f>""</f>
        <v/>
      </c>
    </row>
    <row r="462" spans="1:71" x14ac:dyDescent="0.25">
      <c r="A462" t="str">
        <f>$A$40</f>
        <v xml:space="preserve">            PNC Financial Services Group I</v>
      </c>
      <c r="B462" t="str">
        <f>$B$40</f>
        <v>PNC US Equity</v>
      </c>
      <c r="C462" t="str">
        <f>$C$40</f>
        <v>FC004</v>
      </c>
      <c r="D462" t="str">
        <f>$D$40</f>
        <v>FDIC_FAM_RESIDENT_LOANS</v>
      </c>
      <c r="E462" t="str">
        <f>$E$40</f>
        <v>Dynamic</v>
      </c>
      <c r="F462">
        <f ca="1">_xll.BDH($B$40,$C$40,$B$425,$B$426,CONCATENATE("Per=",$B$423),"Dts=H","Dir=H",CONCATENATE("Points=",$B$424),"Sort=R","Days=A","Fill=B",CONCATENATE("FX=", $B$422),"cols=33;rows=1")</f>
        <v>73022.407000000007</v>
      </c>
      <c r="G462">
        <v>74079.695000000007</v>
      </c>
      <c r="H462">
        <v>72128.629000000001</v>
      </c>
      <c r="I462">
        <v>64421.201999999997</v>
      </c>
      <c r="J462">
        <v>47529.904000000002</v>
      </c>
      <c r="K462">
        <v>47720.214</v>
      </c>
      <c r="L462">
        <v>45279.508999999998</v>
      </c>
      <c r="M462">
        <v>46434.45</v>
      </c>
      <c r="N462">
        <v>46604.186999999998</v>
      </c>
      <c r="O462">
        <v>47459.144999999997</v>
      </c>
      <c r="P462">
        <v>50303.680999999997</v>
      </c>
      <c r="Q462">
        <v>52902.695</v>
      </c>
      <c r="R462">
        <v>53462.813000000002</v>
      </c>
      <c r="S462">
        <v>49316.612999999998</v>
      </c>
      <c r="T462">
        <v>52319.349000000002</v>
      </c>
      <c r="U462">
        <v>56446.368000000002</v>
      </c>
      <c r="V462">
        <v>61208.19</v>
      </c>
      <c r="W462">
        <v>24514.975999999999</v>
      </c>
      <c r="X462">
        <v>20416.901000000002</v>
      </c>
      <c r="Y462">
        <v>21349.635999999999</v>
      </c>
      <c r="Z462">
        <v>17696.653999999999</v>
      </c>
      <c r="AA462">
        <v>12819.819</v>
      </c>
      <c r="AB462">
        <v>12173.571</v>
      </c>
      <c r="AC462">
        <v>13579.878000000001</v>
      </c>
      <c r="AD462">
        <v>19991.16</v>
      </c>
      <c r="AE462">
        <v>21486.828000000001</v>
      </c>
      <c r="AF462">
        <v>21039.008000000002</v>
      </c>
      <c r="AG462">
        <v>20279.073</v>
      </c>
      <c r="AH462">
        <v>18583.409</v>
      </c>
      <c r="AI462">
        <v>17429.635999999999</v>
      </c>
      <c r="AJ462">
        <v>12856.200999999999</v>
      </c>
      <c r="AK462">
        <v>12392.589</v>
      </c>
      <c r="AL462">
        <v>5791.7659999999996</v>
      </c>
      <c r="AM462" t="str">
        <f>""</f>
        <v/>
      </c>
      <c r="AN462" t="str">
        <f>""</f>
        <v/>
      </c>
      <c r="AO462" t="str">
        <f>""</f>
        <v/>
      </c>
      <c r="AP462" t="str">
        <f>""</f>
        <v/>
      </c>
      <c r="AQ462" t="str">
        <f>""</f>
        <v/>
      </c>
      <c r="AR462" t="str">
        <f>""</f>
        <v/>
      </c>
      <c r="AS462" t="str">
        <f>""</f>
        <v/>
      </c>
      <c r="AT462" t="str">
        <f>""</f>
        <v/>
      </c>
      <c r="AU462" t="str">
        <f>""</f>
        <v/>
      </c>
      <c r="AV462" t="str">
        <f>""</f>
        <v/>
      </c>
      <c r="AW462" t="str">
        <f>""</f>
        <v/>
      </c>
      <c r="AX462" t="str">
        <f>""</f>
        <v/>
      </c>
      <c r="AY462" t="str">
        <f>""</f>
        <v/>
      </c>
      <c r="AZ462" t="str">
        <f>""</f>
        <v/>
      </c>
      <c r="BA462" t="str">
        <f>""</f>
        <v/>
      </c>
      <c r="BB462" t="str">
        <f>""</f>
        <v/>
      </c>
      <c r="BC462" t="str">
        <f>""</f>
        <v/>
      </c>
      <c r="BD462" t="str">
        <f>""</f>
        <v/>
      </c>
      <c r="BE462" t="str">
        <f>""</f>
        <v/>
      </c>
      <c r="BF462" t="str">
        <f>""</f>
        <v/>
      </c>
      <c r="BG462" t="str">
        <f>""</f>
        <v/>
      </c>
      <c r="BH462" t="str">
        <f>""</f>
        <v/>
      </c>
      <c r="BI462" t="str">
        <f>""</f>
        <v/>
      </c>
      <c r="BJ462" t="str">
        <f>""</f>
        <v/>
      </c>
      <c r="BK462" t="str">
        <f>""</f>
        <v/>
      </c>
      <c r="BL462" t="str">
        <f>""</f>
        <v/>
      </c>
      <c r="BM462" t="str">
        <f>""</f>
        <v/>
      </c>
      <c r="BN462" t="str">
        <f>""</f>
        <v/>
      </c>
      <c r="BO462" t="str">
        <f>""</f>
        <v/>
      </c>
      <c r="BP462" t="str">
        <f>""</f>
        <v/>
      </c>
      <c r="BQ462" t="str">
        <f>""</f>
        <v/>
      </c>
      <c r="BR462" t="str">
        <f>""</f>
        <v/>
      </c>
      <c r="BS462" t="str">
        <f>""</f>
        <v/>
      </c>
    </row>
    <row r="463" spans="1:71" x14ac:dyDescent="0.25">
      <c r="A463" t="str">
        <f>$A$41</f>
        <v xml:space="preserve">            Regions Financial Corp</v>
      </c>
      <c r="B463" t="str">
        <f>$B$41</f>
        <v>RF US Equity</v>
      </c>
      <c r="C463" t="str">
        <f>$C$41</f>
        <v>FC004</v>
      </c>
      <c r="D463" t="str">
        <f>$D$41</f>
        <v>FDIC_FAM_RESIDENT_LOANS</v>
      </c>
      <c r="E463" t="str">
        <f>$E$41</f>
        <v>Dynamic</v>
      </c>
      <c r="F463">
        <f ca="1">_xll.BDH($B$41,$C$41,$B$425,$B$426,CONCATENATE("Per=",$B$423),"Dts=H","Dir=H",CONCATENATE("Points=",$B$424),"Sort=R","Days=A","Fill=B",CONCATENATE("FX=", $B$422),"cols=33;rows=1")</f>
        <v>25477</v>
      </c>
      <c r="G463">
        <v>25335</v>
      </c>
      <c r="H463">
        <v>23992</v>
      </c>
      <c r="I463">
        <v>23605</v>
      </c>
      <c r="J463">
        <v>24798</v>
      </c>
      <c r="K463">
        <v>22995</v>
      </c>
      <c r="L463">
        <v>23452.879000000001</v>
      </c>
      <c r="M463">
        <v>24319.57</v>
      </c>
      <c r="N463">
        <v>24453.627</v>
      </c>
      <c r="O463">
        <v>23990.043000000001</v>
      </c>
      <c r="P463">
        <v>23554.953000000001</v>
      </c>
      <c r="Q463">
        <v>24384.402999999998</v>
      </c>
      <c r="R463">
        <v>26120.224999999999</v>
      </c>
      <c r="S463">
        <v>27881.257000000001</v>
      </c>
      <c r="T463">
        <v>30568.21</v>
      </c>
      <c r="U463">
        <v>27723.528999999999</v>
      </c>
      <c r="V463">
        <v>29478.955999999998</v>
      </c>
      <c r="W463">
        <v>30906.43</v>
      </c>
      <c r="X463">
        <v>34262.449000000001</v>
      </c>
      <c r="Y463">
        <v>19360.105</v>
      </c>
      <c r="Z463">
        <v>18874.745999999999</v>
      </c>
      <c r="AM463" t="str">
        <f>""</f>
        <v/>
      </c>
      <c r="AN463" t="str">
        <f>""</f>
        <v/>
      </c>
      <c r="AO463" t="str">
        <f>""</f>
        <v/>
      </c>
      <c r="AP463" t="str">
        <f>""</f>
        <v/>
      </c>
      <c r="AQ463" t="str">
        <f>""</f>
        <v/>
      </c>
      <c r="AR463" t="str">
        <f>""</f>
        <v/>
      </c>
      <c r="AS463" t="str">
        <f>""</f>
        <v/>
      </c>
      <c r="AT463" t="str">
        <f>""</f>
        <v/>
      </c>
      <c r="AU463" t="str">
        <f>""</f>
        <v/>
      </c>
      <c r="AV463" t="str">
        <f>""</f>
        <v/>
      </c>
      <c r="AW463" t="str">
        <f>""</f>
        <v/>
      </c>
      <c r="AX463" t="str">
        <f>""</f>
        <v/>
      </c>
      <c r="AY463" t="str">
        <f>""</f>
        <v/>
      </c>
      <c r="AZ463" t="str">
        <f>""</f>
        <v/>
      </c>
      <c r="BA463" t="str">
        <f>""</f>
        <v/>
      </c>
      <c r="BB463" t="str">
        <f>""</f>
        <v/>
      </c>
      <c r="BC463" t="str">
        <f>""</f>
        <v/>
      </c>
      <c r="BD463" t="str">
        <f>""</f>
        <v/>
      </c>
      <c r="BE463" t="str">
        <f>""</f>
        <v/>
      </c>
      <c r="BF463" t="str">
        <f>""</f>
        <v/>
      </c>
      <c r="BG463" t="str">
        <f>""</f>
        <v/>
      </c>
      <c r="BH463" t="str">
        <f>""</f>
        <v/>
      </c>
      <c r="BI463" t="str">
        <f>""</f>
        <v/>
      </c>
      <c r="BJ463" t="str">
        <f>""</f>
        <v/>
      </c>
      <c r="BK463" t="str">
        <f>""</f>
        <v/>
      </c>
      <c r="BL463" t="str">
        <f>""</f>
        <v/>
      </c>
      <c r="BM463" t="str">
        <f>""</f>
        <v/>
      </c>
      <c r="BN463" t="str">
        <f>""</f>
        <v/>
      </c>
      <c r="BO463" t="str">
        <f>""</f>
        <v/>
      </c>
      <c r="BP463" t="str">
        <f>""</f>
        <v/>
      </c>
      <c r="BQ463" t="str">
        <f>""</f>
        <v/>
      </c>
      <c r="BR463" t="str">
        <f>""</f>
        <v/>
      </c>
      <c r="BS463" t="str">
        <f>""</f>
        <v/>
      </c>
    </row>
    <row r="464" spans="1:71" x14ac:dyDescent="0.25">
      <c r="A464" t="str">
        <f>$A$42</f>
        <v xml:space="preserve">            Truist Financial Corp</v>
      </c>
      <c r="B464" t="str">
        <f>$B$42</f>
        <v>TFC US Equity</v>
      </c>
      <c r="C464" t="str">
        <f>$C$42</f>
        <v>FC004</v>
      </c>
      <c r="D464" t="str">
        <f>$D$42</f>
        <v>FDIC_FAM_RESIDENT_LOANS</v>
      </c>
      <c r="E464" t="str">
        <f>$E$42</f>
        <v>Dynamic</v>
      </c>
      <c r="F464">
        <f ca="1">_xll.BDH($B$42,$C$42,$B$425,$B$426,CONCATENATE("Per=",$B$423),"Dts=H","Dir=H",CONCATENATE("Points=",$B$424),"Sort=R","Days=A","Fill=B",CONCATENATE("FX=", $B$422),"cols=33;rows=1")</f>
        <v>66579</v>
      </c>
      <c r="G464">
        <v>66656</v>
      </c>
      <c r="H464">
        <v>68650</v>
      </c>
      <c r="I464">
        <v>62497</v>
      </c>
      <c r="J464">
        <v>64932</v>
      </c>
      <c r="K464">
        <v>76291</v>
      </c>
      <c r="L464">
        <v>41340</v>
      </c>
      <c r="M464">
        <v>39569</v>
      </c>
      <c r="N464">
        <v>42047.432999999997</v>
      </c>
      <c r="O464">
        <v>41289.938999999998</v>
      </c>
      <c r="P464">
        <v>39683.368999999999</v>
      </c>
      <c r="Q464">
        <v>41369.171000000002</v>
      </c>
      <c r="R464">
        <v>44066.510999999999</v>
      </c>
      <c r="S464">
        <v>39434.519</v>
      </c>
      <c r="T464">
        <v>35627.915999999997</v>
      </c>
      <c r="U464">
        <v>33429.417000000001</v>
      </c>
      <c r="V464">
        <v>32021.447</v>
      </c>
      <c r="W464">
        <v>31147.863000000001</v>
      </c>
      <c r="X464">
        <v>29162.474999999999</v>
      </c>
      <c r="Y464">
        <v>27258.822</v>
      </c>
      <c r="Z464">
        <v>24779.028999999999</v>
      </c>
      <c r="AA464">
        <v>22576.539000000001</v>
      </c>
      <c r="AB464">
        <v>19044.467000000001</v>
      </c>
      <c r="AC464">
        <v>16298.012000000001</v>
      </c>
      <c r="AD464">
        <v>14212.623</v>
      </c>
      <c r="AE464">
        <v>10364.093999999999</v>
      </c>
      <c r="AF464">
        <v>9748.4110000000001</v>
      </c>
      <c r="AG464">
        <v>8049.2250000000004</v>
      </c>
      <c r="AH464">
        <v>5746.0959999999995</v>
      </c>
      <c r="AI464">
        <v>5992.442</v>
      </c>
      <c r="AJ464">
        <v>2404.875</v>
      </c>
      <c r="AK464">
        <v>1279.818</v>
      </c>
      <c r="AL464">
        <v>917.04</v>
      </c>
      <c r="AM464" t="str">
        <f>""</f>
        <v/>
      </c>
      <c r="AN464" t="str">
        <f>""</f>
        <v/>
      </c>
      <c r="AO464" t="str">
        <f>""</f>
        <v/>
      </c>
      <c r="AP464" t="str">
        <f>""</f>
        <v/>
      </c>
      <c r="AQ464" t="str">
        <f>""</f>
        <v/>
      </c>
      <c r="AR464" t="str">
        <f>""</f>
        <v/>
      </c>
      <c r="AS464" t="str">
        <f>""</f>
        <v/>
      </c>
      <c r="AT464" t="str">
        <f>""</f>
        <v/>
      </c>
      <c r="AU464" t="str">
        <f>""</f>
        <v/>
      </c>
      <c r="AV464" t="str">
        <f>""</f>
        <v/>
      </c>
      <c r="AW464" t="str">
        <f>""</f>
        <v/>
      </c>
      <c r="AX464" t="str">
        <f>""</f>
        <v/>
      </c>
      <c r="AY464" t="str">
        <f>""</f>
        <v/>
      </c>
      <c r="AZ464" t="str">
        <f>""</f>
        <v/>
      </c>
      <c r="BA464" t="str">
        <f>""</f>
        <v/>
      </c>
      <c r="BB464" t="str">
        <f>""</f>
        <v/>
      </c>
      <c r="BC464" t="str">
        <f>""</f>
        <v/>
      </c>
      <c r="BD464" t="str">
        <f>""</f>
        <v/>
      </c>
      <c r="BE464" t="str">
        <f>""</f>
        <v/>
      </c>
      <c r="BF464" t="str">
        <f>""</f>
        <v/>
      </c>
      <c r="BG464" t="str">
        <f>""</f>
        <v/>
      </c>
      <c r="BH464" t="str">
        <f>""</f>
        <v/>
      </c>
      <c r="BI464" t="str">
        <f>""</f>
        <v/>
      </c>
      <c r="BJ464" t="str">
        <f>""</f>
        <v/>
      </c>
      <c r="BK464" t="str">
        <f>""</f>
        <v/>
      </c>
      <c r="BL464" t="str">
        <f>""</f>
        <v/>
      </c>
      <c r="BM464" t="str">
        <f>""</f>
        <v/>
      </c>
      <c r="BN464" t="str">
        <f>""</f>
        <v/>
      </c>
      <c r="BO464" t="str">
        <f>""</f>
        <v/>
      </c>
      <c r="BP464" t="str">
        <f>""</f>
        <v/>
      </c>
      <c r="BQ464" t="str">
        <f>""</f>
        <v/>
      </c>
      <c r="BR464" t="str">
        <f>""</f>
        <v/>
      </c>
      <c r="BS464" t="str">
        <f>""</f>
        <v/>
      </c>
    </row>
    <row r="465" spans="1:71" x14ac:dyDescent="0.25">
      <c r="A465" t="str">
        <f>$A$43</f>
        <v xml:space="preserve">            US Bancorp</v>
      </c>
      <c r="B465" t="str">
        <f>$B$43</f>
        <v>USB US Equity</v>
      </c>
      <c r="C465" t="str">
        <f>$C$43</f>
        <v>FC004</v>
      </c>
      <c r="D465" t="str">
        <f>$D$43</f>
        <v>FDIC_FAM_RESIDENT_LOANS</v>
      </c>
      <c r="E465" t="str">
        <f>$E$43</f>
        <v>Dynamic</v>
      </c>
      <c r="F465">
        <f ca="1">_xll.BDH($B$43,$C$43,$B$425,$B$426,CONCATENATE("Per=",$B$423),"Dts=H","Dir=H",CONCATENATE("Points=",$B$424),"Sort=R","Days=A","Fill=B",CONCATENATE("FX=", $B$422),"cols=33;rows=1")</f>
        <v>134629</v>
      </c>
      <c r="G465">
        <v>130597</v>
      </c>
      <c r="H465">
        <v>130580</v>
      </c>
      <c r="I465">
        <v>93562</v>
      </c>
      <c r="J465">
        <v>97151</v>
      </c>
      <c r="K465">
        <v>91183</v>
      </c>
      <c r="L465">
        <v>83191</v>
      </c>
      <c r="M465">
        <v>82207</v>
      </c>
      <c r="N465">
        <v>81497</v>
      </c>
      <c r="O465">
        <v>76554</v>
      </c>
      <c r="P465">
        <v>76415</v>
      </c>
      <c r="Q465">
        <v>74454</v>
      </c>
      <c r="R465">
        <v>74563</v>
      </c>
      <c r="S465">
        <v>68198</v>
      </c>
      <c r="T465">
        <v>64138</v>
      </c>
      <c r="U465">
        <v>57463</v>
      </c>
      <c r="V465">
        <v>53283</v>
      </c>
      <c r="W465">
        <v>42504</v>
      </c>
      <c r="X465">
        <v>38579</v>
      </c>
      <c r="Y465">
        <v>37395</v>
      </c>
      <c r="Z465">
        <v>31657</v>
      </c>
      <c r="AA465">
        <v>28100</v>
      </c>
      <c r="AB465">
        <v>27477</v>
      </c>
      <c r="AC465">
        <v>22877</v>
      </c>
      <c r="AD465">
        <v>11952.511</v>
      </c>
      <c r="AE465">
        <v>11381.629000000001</v>
      </c>
      <c r="AF465">
        <v>10670.707</v>
      </c>
      <c r="AG465">
        <v>10132.031000000001</v>
      </c>
      <c r="AH465">
        <v>6392.826</v>
      </c>
      <c r="AI465">
        <v>7735.835</v>
      </c>
      <c r="AJ465">
        <v>4640.1220000000003</v>
      </c>
      <c r="AK465">
        <v>5256.4709999999995</v>
      </c>
      <c r="AL465">
        <v>4144.28</v>
      </c>
      <c r="AM465" t="str">
        <f>""</f>
        <v/>
      </c>
      <c r="AN465" t="str">
        <f>""</f>
        <v/>
      </c>
      <c r="AO465" t="str">
        <f>""</f>
        <v/>
      </c>
      <c r="AP465" t="str">
        <f>""</f>
        <v/>
      </c>
      <c r="AQ465" t="str">
        <f>""</f>
        <v/>
      </c>
      <c r="AR465" t="str">
        <f>""</f>
        <v/>
      </c>
      <c r="AS465" t="str">
        <f>""</f>
        <v/>
      </c>
      <c r="AT465" t="str">
        <f>""</f>
        <v/>
      </c>
      <c r="AU465" t="str">
        <f>""</f>
        <v/>
      </c>
      <c r="AV465" t="str">
        <f>""</f>
        <v/>
      </c>
      <c r="AW465" t="str">
        <f>""</f>
        <v/>
      </c>
      <c r="AX465" t="str">
        <f>""</f>
        <v/>
      </c>
      <c r="AY465" t="str">
        <f>""</f>
        <v/>
      </c>
      <c r="AZ465" t="str">
        <f>""</f>
        <v/>
      </c>
      <c r="BA465" t="str">
        <f>""</f>
        <v/>
      </c>
      <c r="BB465" t="str">
        <f>""</f>
        <v/>
      </c>
      <c r="BC465" t="str">
        <f>""</f>
        <v/>
      </c>
      <c r="BD465" t="str">
        <f>""</f>
        <v/>
      </c>
      <c r="BE465" t="str">
        <f>""</f>
        <v/>
      </c>
      <c r="BF465" t="str">
        <f>""</f>
        <v/>
      </c>
      <c r="BG465" t="str">
        <f>""</f>
        <v/>
      </c>
      <c r="BH465" t="str">
        <f>""</f>
        <v/>
      </c>
      <c r="BI465" t="str">
        <f>""</f>
        <v/>
      </c>
      <c r="BJ465" t="str">
        <f>""</f>
        <v/>
      </c>
      <c r="BK465" t="str">
        <f>""</f>
        <v/>
      </c>
      <c r="BL465" t="str">
        <f>""</f>
        <v/>
      </c>
      <c r="BM465" t="str">
        <f>""</f>
        <v/>
      </c>
      <c r="BN465" t="str">
        <f>""</f>
        <v/>
      </c>
      <c r="BO465" t="str">
        <f>""</f>
        <v/>
      </c>
      <c r="BP465" t="str">
        <f>""</f>
        <v/>
      </c>
      <c r="BQ465" t="str">
        <f>""</f>
        <v/>
      </c>
      <c r="BR465" t="str">
        <f>""</f>
        <v/>
      </c>
      <c r="BS465" t="str">
        <f>""</f>
        <v/>
      </c>
    </row>
    <row r="466" spans="1:71" x14ac:dyDescent="0.25">
      <c r="A466" t="str">
        <f>$A$44</f>
        <v xml:space="preserve">            Wells Fargo &amp; Co</v>
      </c>
      <c r="B466" t="str">
        <f>$B$44</f>
        <v>WFC US Equity</v>
      </c>
      <c r="C466" t="str">
        <f>$C$44</f>
        <v>FC004</v>
      </c>
      <c r="D466" t="str">
        <f>$D$44</f>
        <v>FDIC_FAM_RESIDENT_LOANS</v>
      </c>
      <c r="E466" t="str">
        <f>$E$44</f>
        <v>Dynamic</v>
      </c>
      <c r="F466">
        <f ca="1">_xll.BDH($B$44,$C$44,$B$425,$B$426,CONCATENATE("Per=",$B$423),"Dts=H","Dir=H",CONCATENATE("Points=",$B$424),"Sort=R","Days=A","Fill=B",CONCATENATE("FX=", $B$422),"cols=33;rows=1")</f>
        <v>252219</v>
      </c>
      <c r="G466">
        <v>262339</v>
      </c>
      <c r="H466">
        <v>273305</v>
      </c>
      <c r="I466">
        <v>276320</v>
      </c>
      <c r="J466">
        <v>323461</v>
      </c>
      <c r="K466">
        <v>344353</v>
      </c>
      <c r="L466">
        <v>336206</v>
      </c>
      <c r="M466">
        <v>345462</v>
      </c>
      <c r="N466">
        <v>350772</v>
      </c>
      <c r="O466">
        <v>345726</v>
      </c>
      <c r="P466">
        <v>345713</v>
      </c>
      <c r="Q466">
        <v>341771</v>
      </c>
      <c r="R466">
        <v>369429</v>
      </c>
      <c r="S466">
        <v>361071</v>
      </c>
      <c r="T466">
        <v>374671</v>
      </c>
      <c r="U466">
        <v>370769</v>
      </c>
      <c r="V466">
        <v>378459</v>
      </c>
      <c r="W466">
        <v>173392</v>
      </c>
      <c r="X466">
        <v>154759</v>
      </c>
      <c r="Y466">
        <v>177209</v>
      </c>
      <c r="Z466">
        <v>169205</v>
      </c>
      <c r="AA466">
        <v>148772</v>
      </c>
      <c r="AB466">
        <v>123361</v>
      </c>
      <c r="AC466">
        <v>81525</v>
      </c>
      <c r="AD466">
        <v>46173.819000000003</v>
      </c>
      <c r="AE466">
        <v>33341.214</v>
      </c>
      <c r="AF466">
        <v>36147.646999999997</v>
      </c>
      <c r="AG466">
        <v>15047.531000000001</v>
      </c>
      <c r="AH466">
        <v>12164.351000000001</v>
      </c>
      <c r="AI466">
        <v>10443.56</v>
      </c>
      <c r="AJ466">
        <v>8512.8439999999991</v>
      </c>
      <c r="AK466">
        <v>10622.251</v>
      </c>
      <c r="AL466">
        <v>8799.4979999999996</v>
      </c>
      <c r="AM466" t="str">
        <f>""</f>
        <v/>
      </c>
      <c r="AN466" t="str">
        <f>""</f>
        <v/>
      </c>
      <c r="AO466" t="str">
        <f>""</f>
        <v/>
      </c>
      <c r="AP466" t="str">
        <f>""</f>
        <v/>
      </c>
      <c r="AQ466" t="str">
        <f>""</f>
        <v/>
      </c>
      <c r="AR466" t="str">
        <f>""</f>
        <v/>
      </c>
      <c r="AS466" t="str">
        <f>""</f>
        <v/>
      </c>
      <c r="AT466" t="str">
        <f>""</f>
        <v/>
      </c>
      <c r="AU466" t="str">
        <f>""</f>
        <v/>
      </c>
      <c r="AV466" t="str">
        <f>""</f>
        <v/>
      </c>
      <c r="AW466" t="str">
        <f>""</f>
        <v/>
      </c>
      <c r="AX466" t="str">
        <f>""</f>
        <v/>
      </c>
      <c r="AY466" t="str">
        <f>""</f>
        <v/>
      </c>
      <c r="AZ466" t="str">
        <f>""</f>
        <v/>
      </c>
      <c r="BA466" t="str">
        <f>""</f>
        <v/>
      </c>
      <c r="BB466" t="str">
        <f>""</f>
        <v/>
      </c>
      <c r="BC466" t="str">
        <f>""</f>
        <v/>
      </c>
      <c r="BD466" t="str">
        <f>""</f>
        <v/>
      </c>
      <c r="BE466" t="str">
        <f>""</f>
        <v/>
      </c>
      <c r="BF466" t="str">
        <f>""</f>
        <v/>
      </c>
      <c r="BG466" t="str">
        <f>""</f>
        <v/>
      </c>
      <c r="BH466" t="str">
        <f>""</f>
        <v/>
      </c>
      <c r="BI466" t="str">
        <f>""</f>
        <v/>
      </c>
      <c r="BJ466" t="str">
        <f>""</f>
        <v/>
      </c>
      <c r="BK466" t="str">
        <f>""</f>
        <v/>
      </c>
      <c r="BL466" t="str">
        <f>""</f>
        <v/>
      </c>
      <c r="BM466" t="str">
        <f>""</f>
        <v/>
      </c>
      <c r="BN466" t="str">
        <f>""</f>
        <v/>
      </c>
      <c r="BO466" t="str">
        <f>""</f>
        <v/>
      </c>
      <c r="BP466" t="str">
        <f>""</f>
        <v/>
      </c>
      <c r="BQ466" t="str">
        <f>""</f>
        <v/>
      </c>
      <c r="BR466" t="str">
        <f>""</f>
        <v/>
      </c>
      <c r="BS466" t="str">
        <f>""</f>
        <v/>
      </c>
    </row>
    <row r="467" spans="1:71" x14ac:dyDescent="0.25">
      <c r="A467" t="str">
        <f>$A$45</f>
        <v xml:space="preserve">            Western Alliance Bancorp</v>
      </c>
      <c r="B467" t="str">
        <f>$B$45</f>
        <v>WAL US Equity</v>
      </c>
      <c r="C467" t="str">
        <f>$C$45</f>
        <v>FC004</v>
      </c>
      <c r="D467" t="str">
        <f>$D$45</f>
        <v>FDIC_FAM_RESIDENT_LOANS</v>
      </c>
      <c r="E467" t="str">
        <f>$E$45</f>
        <v>Dynamic</v>
      </c>
      <c r="F467">
        <f ca="1">_xll.BDH($B$45,$C$45,$B$425,$B$426,CONCATENATE("Per=",$B$423),"Dts=H","Dir=H",CONCATENATE("Points=",$B$424),"Sort=R","Days=A","Fill=B",CONCATENATE("FX=", $B$422),"cols=33;rows=1")</f>
        <v>17007.189999999999</v>
      </c>
      <c r="G467">
        <v>16363.609</v>
      </c>
      <c r="H467">
        <v>17636.233</v>
      </c>
      <c r="I467">
        <v>14923.035</v>
      </c>
      <c r="J467">
        <v>2434.596</v>
      </c>
      <c r="K467">
        <v>2147.6640000000002</v>
      </c>
      <c r="L467">
        <v>1204.355</v>
      </c>
      <c r="M467">
        <v>425.94</v>
      </c>
      <c r="N467">
        <v>259.43099999999998</v>
      </c>
      <c r="O467">
        <v>322.93799999999999</v>
      </c>
      <c r="P467">
        <v>299.40199999999999</v>
      </c>
      <c r="Q467">
        <v>350.31299999999999</v>
      </c>
      <c r="R467">
        <v>407.935</v>
      </c>
      <c r="S467">
        <v>443.01900000000001</v>
      </c>
      <c r="T467">
        <v>527.06700000000001</v>
      </c>
      <c r="U467">
        <v>568.322</v>
      </c>
      <c r="V467">
        <v>580.69600000000003</v>
      </c>
      <c r="W467">
        <v>494.31400000000002</v>
      </c>
      <c r="X467">
        <v>384.11</v>
      </c>
      <c r="Y467">
        <v>272.86099999999999</v>
      </c>
      <c r="Z467">
        <v>116.36</v>
      </c>
      <c r="AA467">
        <v>42.771999999999998</v>
      </c>
      <c r="AB467">
        <v>21.893000000000001</v>
      </c>
      <c r="AC467">
        <v>15.724</v>
      </c>
      <c r="AM467" t="str">
        <f>""</f>
        <v/>
      </c>
      <c r="AN467" t="str">
        <f>""</f>
        <v/>
      </c>
      <c r="AO467" t="str">
        <f>""</f>
        <v/>
      </c>
      <c r="AP467" t="str">
        <f>""</f>
        <v/>
      </c>
      <c r="AQ467" t="str">
        <f>""</f>
        <v/>
      </c>
      <c r="AR467" t="str">
        <f>""</f>
        <v/>
      </c>
      <c r="AS467" t="str">
        <f>""</f>
        <v/>
      </c>
      <c r="AT467" t="str">
        <f>""</f>
        <v/>
      </c>
      <c r="AU467" t="str">
        <f>""</f>
        <v/>
      </c>
      <c r="AV467" t="str">
        <f>""</f>
        <v/>
      </c>
      <c r="AW467" t="str">
        <f>""</f>
        <v/>
      </c>
      <c r="AX467" t="str">
        <f>""</f>
        <v/>
      </c>
      <c r="AY467" t="str">
        <f>""</f>
        <v/>
      </c>
      <c r="AZ467" t="str">
        <f>""</f>
        <v/>
      </c>
      <c r="BA467" t="str">
        <f>""</f>
        <v/>
      </c>
      <c r="BB467" t="str">
        <f>""</f>
        <v/>
      </c>
      <c r="BC467" t="str">
        <f>""</f>
        <v/>
      </c>
      <c r="BD467" t="str">
        <f>""</f>
        <v/>
      </c>
      <c r="BE467" t="str">
        <f>""</f>
        <v/>
      </c>
      <c r="BF467" t="str">
        <f>""</f>
        <v/>
      </c>
      <c r="BG467" t="str">
        <f>""</f>
        <v/>
      </c>
      <c r="BH467" t="str">
        <f>""</f>
        <v/>
      </c>
      <c r="BI467" t="str">
        <f>""</f>
        <v/>
      </c>
      <c r="BJ467" t="str">
        <f>""</f>
        <v/>
      </c>
      <c r="BK467" t="str">
        <f>""</f>
        <v/>
      </c>
      <c r="BL467" t="str">
        <f>""</f>
        <v/>
      </c>
      <c r="BM467" t="str">
        <f>""</f>
        <v/>
      </c>
      <c r="BN467" t="str">
        <f>""</f>
        <v/>
      </c>
      <c r="BO467" t="str">
        <f>""</f>
        <v/>
      </c>
      <c r="BP467" t="str">
        <f>""</f>
        <v/>
      </c>
      <c r="BQ467" t="str">
        <f>""</f>
        <v/>
      </c>
      <c r="BR467" t="str">
        <f>""</f>
        <v/>
      </c>
      <c r="BS467" t="str">
        <f>""</f>
        <v/>
      </c>
    </row>
    <row r="468" spans="1:71" x14ac:dyDescent="0.25">
      <c r="A468" t="str">
        <f>$A$46</f>
        <v xml:space="preserve">            Zions Bancorp NA</v>
      </c>
      <c r="B468" t="str">
        <f>$B$46</f>
        <v>ZION US Equity</v>
      </c>
      <c r="C468" t="str">
        <f>$C$46</f>
        <v>FC004</v>
      </c>
      <c r="D468" t="str">
        <f>$D$46</f>
        <v>FDIC_FAM_RESIDENT_LOANS</v>
      </c>
      <c r="E468" t="str">
        <f>$E$46</f>
        <v>Dynamic</v>
      </c>
      <c r="F468">
        <f ca="1">_xll.BDH($B$46,$C$46,$B$425,$B$426,CONCATENATE("Per=",$B$423),"Dts=H","Dir=H",CONCATENATE("Points=",$B$424),"Sort=R","Days=A","Fill=B",CONCATENATE("FX=", $B$422),"cols=33;rows=1")</f>
        <v>14077.194</v>
      </c>
      <c r="G468">
        <v>12195.65</v>
      </c>
      <c r="H468">
        <v>11092.897000000001</v>
      </c>
      <c r="I468">
        <v>9487.3700000000008</v>
      </c>
      <c r="AM468" t="str">
        <f>""</f>
        <v/>
      </c>
      <c r="AN468" t="str">
        <f>""</f>
        <v/>
      </c>
      <c r="AO468" t="str">
        <f>""</f>
        <v/>
      </c>
      <c r="AP468" t="str">
        <f>""</f>
        <v/>
      </c>
      <c r="AQ468" t="str">
        <f>""</f>
        <v/>
      </c>
      <c r="AR468" t="str">
        <f>""</f>
        <v/>
      </c>
      <c r="AS468" t="str">
        <f>""</f>
        <v/>
      </c>
      <c r="AT468" t="str">
        <f>""</f>
        <v/>
      </c>
      <c r="AU468" t="str">
        <f>""</f>
        <v/>
      </c>
      <c r="AV468" t="str">
        <f>""</f>
        <v/>
      </c>
      <c r="AW468" t="str">
        <f>""</f>
        <v/>
      </c>
      <c r="AX468" t="str">
        <f>""</f>
        <v/>
      </c>
      <c r="AY468" t="str">
        <f>""</f>
        <v/>
      </c>
      <c r="AZ468" t="str">
        <f>""</f>
        <v/>
      </c>
      <c r="BA468" t="str">
        <f>""</f>
        <v/>
      </c>
      <c r="BB468" t="str">
        <f>""</f>
        <v/>
      </c>
      <c r="BC468" t="str">
        <f>""</f>
        <v/>
      </c>
      <c r="BD468" t="str">
        <f>""</f>
        <v/>
      </c>
      <c r="BE468" t="str">
        <f>""</f>
        <v/>
      </c>
      <c r="BF468" t="str">
        <f>""</f>
        <v/>
      </c>
      <c r="BG468" t="str">
        <f>""</f>
        <v/>
      </c>
      <c r="BH468" t="str">
        <f>""</f>
        <v/>
      </c>
      <c r="BI468" t="str">
        <f>""</f>
        <v/>
      </c>
      <c r="BJ468" t="str">
        <f>""</f>
        <v/>
      </c>
      <c r="BK468" t="str">
        <f>""</f>
        <v/>
      </c>
      <c r="BL468" t="str">
        <f>""</f>
        <v/>
      </c>
      <c r="BM468" t="str">
        <f>""</f>
        <v/>
      </c>
      <c r="BN468" t="str">
        <f>""</f>
        <v/>
      </c>
      <c r="BO468" t="str">
        <f>""</f>
        <v/>
      </c>
      <c r="BP468" t="str">
        <f>""</f>
        <v/>
      </c>
      <c r="BQ468" t="str">
        <f>""</f>
        <v/>
      </c>
      <c r="BR468" t="str">
        <f>""</f>
        <v/>
      </c>
      <c r="BS468" t="str">
        <f>""</f>
        <v/>
      </c>
    </row>
    <row r="469" spans="1:71" x14ac:dyDescent="0.25">
      <c r="A469" t="str">
        <f>$A$49</f>
        <v xml:space="preserve">            Bank of America Corp</v>
      </c>
      <c r="B469" t="str">
        <f>$B$49</f>
        <v>BAC US Equity</v>
      </c>
      <c r="C469" t="str">
        <f>$C$49</f>
        <v>F0375</v>
      </c>
      <c r="D469" t="str">
        <f>$D$49</f>
        <v>FED_CRE_LNS_INCL_APTS_&amp;_FRMLND</v>
      </c>
      <c r="E469" t="str">
        <f>$E$49</f>
        <v>Dynamic</v>
      </c>
      <c r="F469">
        <f ca="1">_xll.BDH($B$49,$C$49,$B$425,$B$426,CONCATENATE("Per=",$B$423),"Dts=H","Dir=H",CONCATENATE("Points=",$B$424),"Sort=R","Days=A","Fill=B",CONCATENATE("FX=", $B$422),"cols=33;rows=1")</f>
        <v>77108</v>
      </c>
      <c r="G469">
        <v>80455</v>
      </c>
      <c r="H469">
        <v>79083</v>
      </c>
      <c r="I469">
        <v>77538</v>
      </c>
      <c r="J469">
        <v>75585</v>
      </c>
      <c r="K469">
        <v>78054</v>
      </c>
      <c r="L469">
        <v>73778</v>
      </c>
      <c r="M469">
        <v>74053</v>
      </c>
      <c r="N469">
        <v>74200</v>
      </c>
      <c r="O469">
        <v>75246</v>
      </c>
      <c r="P469">
        <v>62267</v>
      </c>
      <c r="Q469">
        <v>66391</v>
      </c>
      <c r="R469">
        <v>61868.642999999996</v>
      </c>
      <c r="S469">
        <v>63397.002999999997</v>
      </c>
      <c r="T469">
        <v>78586.464999999997</v>
      </c>
      <c r="U469">
        <v>98790.173999999999</v>
      </c>
      <c r="V469">
        <v>105167.917</v>
      </c>
      <c r="W469">
        <v>103562.928</v>
      </c>
      <c r="X469">
        <v>7949.3919999999998</v>
      </c>
      <c r="Y469">
        <v>6619.9139999999998</v>
      </c>
      <c r="Z469">
        <v>4236.3770000000004</v>
      </c>
      <c r="AA469">
        <v>3530.3150000000001</v>
      </c>
      <c r="AB469">
        <v>3794</v>
      </c>
      <c r="AC469">
        <v>3813</v>
      </c>
      <c r="AM469" t="str">
        <f>""</f>
        <v/>
      </c>
      <c r="AN469" t="str">
        <f>""</f>
        <v/>
      </c>
      <c r="AO469" t="str">
        <f>""</f>
        <v/>
      </c>
      <c r="AP469" t="str">
        <f>""</f>
        <v/>
      </c>
      <c r="AQ469" t="str">
        <f>""</f>
        <v/>
      </c>
      <c r="AR469" t="str">
        <f>""</f>
        <v/>
      </c>
      <c r="AS469" t="str">
        <f>""</f>
        <v/>
      </c>
      <c r="AT469" t="str">
        <f>""</f>
        <v/>
      </c>
      <c r="AU469" t="str">
        <f>""</f>
        <v/>
      </c>
      <c r="AV469" t="str">
        <f>""</f>
        <v/>
      </c>
      <c r="AW469" t="str">
        <f>""</f>
        <v/>
      </c>
      <c r="AX469" t="str">
        <f>""</f>
        <v/>
      </c>
      <c r="AY469" t="str">
        <f>""</f>
        <v/>
      </c>
      <c r="AZ469" t="str">
        <f>""</f>
        <v/>
      </c>
      <c r="BA469" t="str">
        <f>""</f>
        <v/>
      </c>
      <c r="BB469" t="str">
        <f>""</f>
        <v/>
      </c>
      <c r="BC469" t="str">
        <f>""</f>
        <v/>
      </c>
      <c r="BD469" t="str">
        <f>""</f>
        <v/>
      </c>
      <c r="BE469" t="str">
        <f>""</f>
        <v/>
      </c>
      <c r="BF469" t="str">
        <f>""</f>
        <v/>
      </c>
      <c r="BG469" t="str">
        <f>""</f>
        <v/>
      </c>
      <c r="BH469" t="str">
        <f>""</f>
        <v/>
      </c>
      <c r="BI469" t="str">
        <f>""</f>
        <v/>
      </c>
      <c r="BJ469" t="str">
        <f>""</f>
        <v/>
      </c>
      <c r="BK469" t="str">
        <f>""</f>
        <v/>
      </c>
      <c r="BL469" t="str">
        <f>""</f>
        <v/>
      </c>
      <c r="BM469" t="str">
        <f>""</f>
        <v/>
      </c>
      <c r="BN469" t="str">
        <f>""</f>
        <v/>
      </c>
      <c r="BO469" t="str">
        <f>""</f>
        <v/>
      </c>
      <c r="BP469" t="str">
        <f>""</f>
        <v/>
      </c>
      <c r="BQ469" t="str">
        <f>""</f>
        <v/>
      </c>
      <c r="BR469" t="str">
        <f>""</f>
        <v/>
      </c>
      <c r="BS469" t="str">
        <f>""</f>
        <v/>
      </c>
    </row>
    <row r="470" spans="1:71" x14ac:dyDescent="0.25">
      <c r="A470" t="str">
        <f>$A$50</f>
        <v xml:space="preserve">            Citigroup Inc</v>
      </c>
      <c r="B470" t="str">
        <f>$B$50</f>
        <v>C US Equity</v>
      </c>
      <c r="C470" t="str">
        <f>$C$50</f>
        <v>F0375</v>
      </c>
      <c r="D470" t="str">
        <f>$D$50</f>
        <v>FED_CRE_LNS_INCL_APTS_&amp;_FRMLND</v>
      </c>
      <c r="E470" t="str">
        <f>$E$50</f>
        <v>Dynamic</v>
      </c>
      <c r="F470">
        <f ca="1">_xll.BDH($B$50,$C$50,$B$425,$B$426,CONCATENATE("Per=",$B$423),"Dts=H","Dir=H",CONCATENATE("Points=",$B$424),"Sort=R","Days=A","Fill=B",CONCATENATE("FX=", $B$422),"cols=33;rows=1")</f>
        <v>26022</v>
      </c>
      <c r="G470">
        <v>26641</v>
      </c>
      <c r="H470">
        <v>27148</v>
      </c>
      <c r="I470">
        <v>27498</v>
      </c>
      <c r="J470">
        <v>25899</v>
      </c>
      <c r="K470">
        <v>25137</v>
      </c>
      <c r="L470">
        <v>25049</v>
      </c>
      <c r="M470">
        <v>19712</v>
      </c>
      <c r="N470">
        <v>15561</v>
      </c>
      <c r="O470">
        <v>12173</v>
      </c>
      <c r="P470">
        <v>10681</v>
      </c>
      <c r="Q470">
        <v>10018</v>
      </c>
      <c r="R470">
        <v>8940</v>
      </c>
      <c r="S470">
        <v>8607</v>
      </c>
      <c r="T470">
        <v>11518</v>
      </c>
      <c r="U470">
        <v>22535</v>
      </c>
      <c r="V470">
        <v>23516</v>
      </c>
      <c r="W470">
        <v>21906</v>
      </c>
      <c r="X470">
        <v>10099</v>
      </c>
      <c r="Y470">
        <v>9367</v>
      </c>
      <c r="Z470">
        <v>9674</v>
      </c>
      <c r="AA470">
        <v>8907</v>
      </c>
      <c r="AB470">
        <v>8598</v>
      </c>
      <c r="AC470">
        <v>3507</v>
      </c>
      <c r="AD470">
        <v>1789.53</v>
      </c>
      <c r="AE470">
        <v>1720.414</v>
      </c>
      <c r="AF470">
        <v>1757.6210000000001</v>
      </c>
      <c r="AM470" t="str">
        <f>""</f>
        <v/>
      </c>
      <c r="AN470" t="str">
        <f>""</f>
        <v/>
      </c>
      <c r="AO470" t="str">
        <f>""</f>
        <v/>
      </c>
      <c r="AP470" t="str">
        <f>""</f>
        <v/>
      </c>
      <c r="AQ470" t="str">
        <f>""</f>
        <v/>
      </c>
      <c r="AR470" t="str">
        <f>""</f>
        <v/>
      </c>
      <c r="AS470" t="str">
        <f>""</f>
        <v/>
      </c>
      <c r="AT470" t="str">
        <f>""</f>
        <v/>
      </c>
      <c r="AU470" t="str">
        <f>""</f>
        <v/>
      </c>
      <c r="AV470" t="str">
        <f>""</f>
        <v/>
      </c>
      <c r="AW470" t="str">
        <f>""</f>
        <v/>
      </c>
      <c r="AX470" t="str">
        <f>""</f>
        <v/>
      </c>
      <c r="AY470" t="str">
        <f>""</f>
        <v/>
      </c>
      <c r="AZ470" t="str">
        <f>""</f>
        <v/>
      </c>
      <c r="BA470" t="str">
        <f>""</f>
        <v/>
      </c>
      <c r="BB470" t="str">
        <f>""</f>
        <v/>
      </c>
      <c r="BC470" t="str">
        <f>""</f>
        <v/>
      </c>
      <c r="BD470" t="str">
        <f>""</f>
        <v/>
      </c>
      <c r="BE470" t="str">
        <f>""</f>
        <v/>
      </c>
      <c r="BF470" t="str">
        <f>""</f>
        <v/>
      </c>
      <c r="BG470" t="str">
        <f>""</f>
        <v/>
      </c>
      <c r="BH470" t="str">
        <f>""</f>
        <v/>
      </c>
      <c r="BI470" t="str">
        <f>""</f>
        <v/>
      </c>
      <c r="BJ470" t="str">
        <f>""</f>
        <v/>
      </c>
      <c r="BK470" t="str">
        <f>""</f>
        <v/>
      </c>
      <c r="BL470" t="str">
        <f>""</f>
        <v/>
      </c>
      <c r="BM470" t="str">
        <f>""</f>
        <v/>
      </c>
      <c r="BN470" t="str">
        <f>""</f>
        <v/>
      </c>
      <c r="BO470" t="str">
        <f>""</f>
        <v/>
      </c>
      <c r="BP470" t="str">
        <f>""</f>
        <v/>
      </c>
      <c r="BQ470" t="str">
        <f>""</f>
        <v/>
      </c>
      <c r="BR470" t="str">
        <f>""</f>
        <v/>
      </c>
      <c r="BS470" t="str">
        <f>""</f>
        <v/>
      </c>
    </row>
    <row r="471" spans="1:71" x14ac:dyDescent="0.25">
      <c r="A471" t="str">
        <f>$A$51</f>
        <v xml:space="preserve">            Citizens Financial Group Inc</v>
      </c>
      <c r="B471" t="str">
        <f>$B$51</f>
        <v>CFG US Equity</v>
      </c>
      <c r="C471" t="str">
        <f>$C$51</f>
        <v>F0375</v>
      </c>
      <c r="D471" t="str">
        <f>$D$51</f>
        <v>FED_CRE_LNS_INCL_APTS_&amp;_FRMLND</v>
      </c>
      <c r="E471" t="str">
        <f>$E$51</f>
        <v>Dynamic</v>
      </c>
      <c r="F471">
        <f ca="1">_xll.BDH($B$51,$C$51,$B$425,$B$426,CONCATENATE("Per=",$B$423),"Dts=H","Dir=H",CONCATENATE("Points=",$B$424),"Sort=R","Days=A","Fill=B",CONCATENATE("FX=", $B$422),"cols=33;rows=1")</f>
        <v>30216.67</v>
      </c>
      <c r="G471">
        <v>32470.03</v>
      </c>
      <c r="H471">
        <v>32776.512999999999</v>
      </c>
      <c r="I471">
        <v>17114.733</v>
      </c>
      <c r="J471">
        <v>17881.262999999999</v>
      </c>
      <c r="K471">
        <v>17129.416000000001</v>
      </c>
      <c r="L471">
        <v>16632.873</v>
      </c>
      <c r="M471">
        <v>15312.878000000001</v>
      </c>
      <c r="N471">
        <v>13638.348</v>
      </c>
      <c r="O471">
        <v>11997.605</v>
      </c>
      <c r="P471">
        <v>10353.701999999999</v>
      </c>
      <c r="Q471">
        <v>10565.642</v>
      </c>
      <c r="R471">
        <v>11488.772999999999</v>
      </c>
      <c r="S471">
        <v>12890.806</v>
      </c>
      <c r="T471">
        <v>13868.047</v>
      </c>
      <c r="U471">
        <v>15030.448</v>
      </c>
      <c r="V471">
        <v>15253.687</v>
      </c>
      <c r="W471">
        <v>11676.735000000001</v>
      </c>
      <c r="X471">
        <v>1041.67</v>
      </c>
      <c r="Y471">
        <v>1236.299</v>
      </c>
      <c r="Z471">
        <v>1268.3710000000001</v>
      </c>
      <c r="AA471">
        <v>280.846</v>
      </c>
      <c r="AB471">
        <v>210.35499999999999</v>
      </c>
      <c r="AC471">
        <v>241.959</v>
      </c>
      <c r="AM471" t="str">
        <f>""</f>
        <v/>
      </c>
      <c r="AN471" t="str">
        <f>""</f>
        <v/>
      </c>
      <c r="AO471" t="str">
        <f>""</f>
        <v/>
      </c>
      <c r="AP471" t="str">
        <f>""</f>
        <v/>
      </c>
      <c r="AQ471" t="str">
        <f>""</f>
        <v/>
      </c>
      <c r="AR471" t="str">
        <f>""</f>
        <v/>
      </c>
      <c r="AS471" t="str">
        <f>""</f>
        <v/>
      </c>
      <c r="AT471" t="str">
        <f>""</f>
        <v/>
      </c>
      <c r="AU471" t="str">
        <f>""</f>
        <v/>
      </c>
      <c r="AV471" t="str">
        <f>""</f>
        <v/>
      </c>
      <c r="AW471" t="str">
        <f>""</f>
        <v/>
      </c>
      <c r="AX471" t="str">
        <f>""</f>
        <v/>
      </c>
      <c r="AY471" t="str">
        <f>""</f>
        <v/>
      </c>
      <c r="AZ471" t="str">
        <f>""</f>
        <v/>
      </c>
      <c r="BA471" t="str">
        <f>""</f>
        <v/>
      </c>
      <c r="BB471" t="str">
        <f>""</f>
        <v/>
      </c>
      <c r="BC471" t="str">
        <f>""</f>
        <v/>
      </c>
      <c r="BD471" t="str">
        <f>""</f>
        <v/>
      </c>
      <c r="BE471" t="str">
        <f>""</f>
        <v/>
      </c>
      <c r="BF471" t="str">
        <f>""</f>
        <v/>
      </c>
      <c r="BG471" t="str">
        <f>""</f>
        <v/>
      </c>
      <c r="BH471" t="str">
        <f>""</f>
        <v/>
      </c>
      <c r="BI471" t="str">
        <f>""</f>
        <v/>
      </c>
      <c r="BJ471" t="str">
        <f>""</f>
        <v/>
      </c>
      <c r="BK471" t="str">
        <f>""</f>
        <v/>
      </c>
      <c r="BL471" t="str">
        <f>""</f>
        <v/>
      </c>
      <c r="BM471" t="str">
        <f>""</f>
        <v/>
      </c>
      <c r="BN471" t="str">
        <f>""</f>
        <v/>
      </c>
      <c r="BO471" t="str">
        <f>""</f>
        <v/>
      </c>
      <c r="BP471" t="str">
        <f>""</f>
        <v/>
      </c>
      <c r="BQ471" t="str">
        <f>""</f>
        <v/>
      </c>
      <c r="BR471" t="str">
        <f>""</f>
        <v/>
      </c>
      <c r="BS471" t="str">
        <f>""</f>
        <v/>
      </c>
    </row>
    <row r="472" spans="1:71" x14ac:dyDescent="0.25">
      <c r="A472" t="str">
        <f>$A$52</f>
        <v xml:space="preserve">            Capital One Financial Corp</v>
      </c>
      <c r="B472" t="str">
        <f>$B$52</f>
        <v>COF US Equity</v>
      </c>
      <c r="C472" t="str">
        <f>$C$52</f>
        <v>F0375</v>
      </c>
      <c r="D472" t="str">
        <f>$D$52</f>
        <v>FED_CRE_LNS_INCL_APTS_&amp;_FRMLND</v>
      </c>
      <c r="E472" t="str">
        <f>$E$52</f>
        <v>Dynamic</v>
      </c>
      <c r="F472">
        <f ca="1">_xll.BDH($B$52,$C$52,$B$425,$B$426,CONCATENATE("Per=",$B$423),"Dts=H","Dir=H",CONCATENATE("Points=",$B$424),"Sort=R","Days=A","Fill=B",CONCATENATE("FX=", $B$422),"cols=33;rows=1")</f>
        <v>26205.478999999999</v>
      </c>
      <c r="G472">
        <v>28950.134999999998</v>
      </c>
      <c r="H472">
        <v>30340.308000000001</v>
      </c>
      <c r="I472">
        <v>32035.034</v>
      </c>
      <c r="J472">
        <v>32071.86</v>
      </c>
      <c r="K472">
        <v>31071.784</v>
      </c>
      <c r="L472">
        <v>30797.63</v>
      </c>
      <c r="M472">
        <v>29416.893</v>
      </c>
      <c r="N472">
        <v>30214.210999999999</v>
      </c>
      <c r="O472">
        <v>28262.728999999999</v>
      </c>
      <c r="P472">
        <v>23354.244999999999</v>
      </c>
      <c r="Q472">
        <v>21703.063999999998</v>
      </c>
      <c r="R472">
        <v>19551.599999999999</v>
      </c>
      <c r="S472">
        <v>18913.895</v>
      </c>
      <c r="T472">
        <v>17764.815999999999</v>
      </c>
      <c r="U472">
        <v>19107.246999999999</v>
      </c>
      <c r="V472">
        <v>18901.184000000001</v>
      </c>
      <c r="W472">
        <v>18322.043000000001</v>
      </c>
      <c r="X472">
        <v>5335.9880000000003</v>
      </c>
      <c r="Y472">
        <v>189.494</v>
      </c>
      <c r="Z472">
        <v>0</v>
      </c>
      <c r="AM472" t="str">
        <f>""</f>
        <v/>
      </c>
      <c r="AN472" t="str">
        <f>""</f>
        <v/>
      </c>
      <c r="AO472" t="str">
        <f>""</f>
        <v/>
      </c>
      <c r="AP472" t="str">
        <f>""</f>
        <v/>
      </c>
      <c r="AQ472" t="str">
        <f>""</f>
        <v/>
      </c>
      <c r="AR472" t="str">
        <f>""</f>
        <v/>
      </c>
      <c r="AS472" t="str">
        <f>""</f>
        <v/>
      </c>
      <c r="AT472" t="str">
        <f>""</f>
        <v/>
      </c>
      <c r="AU472" t="str">
        <f>""</f>
        <v/>
      </c>
      <c r="AV472" t="str">
        <f>""</f>
        <v/>
      </c>
      <c r="AW472" t="str">
        <f>""</f>
        <v/>
      </c>
      <c r="AX472" t="str">
        <f>""</f>
        <v/>
      </c>
      <c r="AY472" t="str">
        <f>""</f>
        <v/>
      </c>
      <c r="AZ472" t="str">
        <f>""</f>
        <v/>
      </c>
      <c r="BA472" t="str">
        <f>""</f>
        <v/>
      </c>
      <c r="BB472" t="str">
        <f>""</f>
        <v/>
      </c>
      <c r="BC472" t="str">
        <f>""</f>
        <v/>
      </c>
      <c r="BD472" t="str">
        <f>""</f>
        <v/>
      </c>
      <c r="BE472" t="str">
        <f>""</f>
        <v/>
      </c>
      <c r="BF472" t="str">
        <f>""</f>
        <v/>
      </c>
      <c r="BG472" t="str">
        <f>""</f>
        <v/>
      </c>
      <c r="BH472" t="str">
        <f>""</f>
        <v/>
      </c>
      <c r="BI472" t="str">
        <f>""</f>
        <v/>
      </c>
      <c r="BJ472" t="str">
        <f>""</f>
        <v/>
      </c>
      <c r="BK472" t="str">
        <f>""</f>
        <v/>
      </c>
      <c r="BL472" t="str">
        <f>""</f>
        <v/>
      </c>
      <c r="BM472" t="str">
        <f>""</f>
        <v/>
      </c>
      <c r="BN472" t="str">
        <f>""</f>
        <v/>
      </c>
      <c r="BO472" t="str">
        <f>""</f>
        <v/>
      </c>
      <c r="BP472" t="str">
        <f>""</f>
        <v/>
      </c>
      <c r="BQ472" t="str">
        <f>""</f>
        <v/>
      </c>
      <c r="BR472" t="str">
        <f>""</f>
        <v/>
      </c>
      <c r="BS472" t="str">
        <f>""</f>
        <v/>
      </c>
    </row>
    <row r="473" spans="1:71" x14ac:dyDescent="0.25">
      <c r="A473" t="str">
        <f>$A$53</f>
        <v xml:space="preserve">            Comerica Inc</v>
      </c>
      <c r="B473" t="str">
        <f>$B$53</f>
        <v>CMA US Equity</v>
      </c>
      <c r="C473" t="str">
        <f>$C$53</f>
        <v>F0375</v>
      </c>
      <c r="D473" t="str">
        <f>$D$53</f>
        <v>FED_CRE_LNS_INCL_APTS_&amp;_FRMLND</v>
      </c>
      <c r="E473" t="str">
        <f>$E$53</f>
        <v>Dynamic</v>
      </c>
      <c r="F473">
        <f ca="1">_xll.BDH($B$53,$C$53,$B$425,$B$426,CONCATENATE("Per=",$B$423),"Dts=H","Dir=H",CONCATENATE("Points=",$B$424),"Sort=R","Days=A","Fill=B",CONCATENATE("FX=", $B$422),"cols=33;rows=1")</f>
        <v>17926</v>
      </c>
      <c r="G473">
        <v>18373</v>
      </c>
      <c r="H473">
        <v>15892</v>
      </c>
      <c r="I473">
        <v>13669</v>
      </c>
      <c r="J473">
        <v>13459</v>
      </c>
      <c r="K473">
        <v>12532</v>
      </c>
      <c r="L473">
        <v>11734.048000000001</v>
      </c>
      <c r="M473">
        <v>11757.696</v>
      </c>
      <c r="N473">
        <v>11603.868</v>
      </c>
      <c r="O473">
        <v>10852.83</v>
      </c>
      <c r="P473">
        <v>10376.252</v>
      </c>
      <c r="Q473">
        <v>10273.226000000001</v>
      </c>
      <c r="R473">
        <v>10359.722</v>
      </c>
      <c r="S473">
        <v>11193.147000000001</v>
      </c>
      <c r="T473">
        <v>11712.348</v>
      </c>
      <c r="U473">
        <v>14142.164000000001</v>
      </c>
      <c r="V473">
        <v>17646.64</v>
      </c>
      <c r="W473">
        <v>18038.677</v>
      </c>
      <c r="X473">
        <v>18.38</v>
      </c>
      <c r="Y473">
        <v>12.122999999999999</v>
      </c>
      <c r="Z473">
        <v>12.46</v>
      </c>
      <c r="AA473">
        <v>24.815999999999999</v>
      </c>
      <c r="AB473">
        <v>44.429000000000002</v>
      </c>
      <c r="AC473">
        <v>69.724999999999994</v>
      </c>
      <c r="AD473">
        <v>62.838000000000001</v>
      </c>
      <c r="AE473">
        <v>69.790000000000006</v>
      </c>
      <c r="AF473">
        <v>88.873999999999995</v>
      </c>
      <c r="AG473">
        <v>79.638999999999996</v>
      </c>
      <c r="AH473">
        <v>95.144999999999996</v>
      </c>
      <c r="AI473">
        <v>64.888999999999996</v>
      </c>
      <c r="AJ473">
        <v>124.377</v>
      </c>
      <c r="AK473">
        <v>95.661000000000001</v>
      </c>
      <c r="AL473">
        <v>132.63399999999999</v>
      </c>
      <c r="AM473" t="str">
        <f>""</f>
        <v/>
      </c>
      <c r="AN473" t="str">
        <f>""</f>
        <v/>
      </c>
      <c r="AO473" t="str">
        <f>""</f>
        <v/>
      </c>
      <c r="AP473" t="str">
        <f>""</f>
        <v/>
      </c>
      <c r="AQ473" t="str">
        <f>""</f>
        <v/>
      </c>
      <c r="AR473" t="str">
        <f>""</f>
        <v/>
      </c>
      <c r="AS473" t="str">
        <f>""</f>
        <v/>
      </c>
      <c r="AT473" t="str">
        <f>""</f>
        <v/>
      </c>
      <c r="AU473" t="str">
        <f>""</f>
        <v/>
      </c>
      <c r="AV473" t="str">
        <f>""</f>
        <v/>
      </c>
      <c r="AW473" t="str">
        <f>""</f>
        <v/>
      </c>
      <c r="AX473" t="str">
        <f>""</f>
        <v/>
      </c>
      <c r="AY473" t="str">
        <f>""</f>
        <v/>
      </c>
      <c r="AZ473" t="str">
        <f>""</f>
        <v/>
      </c>
      <c r="BA473" t="str">
        <f>""</f>
        <v/>
      </c>
      <c r="BB473" t="str">
        <f>""</f>
        <v/>
      </c>
      <c r="BC473" t="str">
        <f>""</f>
        <v/>
      </c>
      <c r="BD473" t="str">
        <f>""</f>
        <v/>
      </c>
      <c r="BE473" t="str">
        <f>""</f>
        <v/>
      </c>
      <c r="BF473" t="str">
        <f>""</f>
        <v/>
      </c>
      <c r="BG473" t="str">
        <f>""</f>
        <v/>
      </c>
      <c r="BH473" t="str">
        <f>""</f>
        <v/>
      </c>
      <c r="BI473" t="str">
        <f>""</f>
        <v/>
      </c>
      <c r="BJ473" t="str">
        <f>""</f>
        <v/>
      </c>
      <c r="BK473" t="str">
        <f>""</f>
        <v/>
      </c>
      <c r="BL473" t="str">
        <f>""</f>
        <v/>
      </c>
      <c r="BM473" t="str">
        <f>""</f>
        <v/>
      </c>
      <c r="BN473" t="str">
        <f>""</f>
        <v/>
      </c>
      <c r="BO473" t="str">
        <f>""</f>
        <v/>
      </c>
      <c r="BP473" t="str">
        <f>""</f>
        <v/>
      </c>
      <c r="BQ473" t="str">
        <f>""</f>
        <v/>
      </c>
      <c r="BR473" t="str">
        <f>""</f>
        <v/>
      </c>
      <c r="BS473" t="str">
        <f>""</f>
        <v/>
      </c>
    </row>
    <row r="474" spans="1:71" x14ac:dyDescent="0.25">
      <c r="A474" t="str">
        <f>$A$54</f>
        <v xml:space="preserve">            East West Bancorp Inc</v>
      </c>
      <c r="B474" t="str">
        <f>$B$54</f>
        <v>EWBC US Equity</v>
      </c>
      <c r="C474" t="str">
        <f>$C$54</f>
        <v>F0375</v>
      </c>
      <c r="D474" t="str">
        <f>$D$54</f>
        <v>FED_CRE_LNS_INCL_APTS_&amp;_FRMLND</v>
      </c>
      <c r="E474" t="str">
        <f>$E$54</f>
        <v>Dynamic</v>
      </c>
      <c r="F474">
        <f ca="1">_xll.BDH($B$54,$C$54,$B$425,$B$426,CONCATENATE("Per=",$B$423),"Dts=H","Dir=H",CONCATENATE("Points=",$B$424),"Sort=R","Days=A","Fill=B",CONCATENATE("FX=", $B$422),"cols=33;rows=1")</f>
        <v>20241.077000000001</v>
      </c>
      <c r="G474">
        <v>20451.072</v>
      </c>
      <c r="H474">
        <v>19045.53</v>
      </c>
      <c r="I474">
        <v>16288.388999999999</v>
      </c>
      <c r="J474">
        <v>14902.964</v>
      </c>
      <c r="K474">
        <v>13998.132</v>
      </c>
      <c r="L474">
        <v>12537.011</v>
      </c>
      <c r="M474">
        <v>11816.342000000001</v>
      </c>
      <c r="N474">
        <v>10518.798000000001</v>
      </c>
      <c r="O474">
        <v>9974.4120000000003</v>
      </c>
      <c r="P474">
        <v>8362.6659999999993</v>
      </c>
      <c r="Q474">
        <v>6989.1710000000003</v>
      </c>
      <c r="R474">
        <v>6749.741</v>
      </c>
      <c r="S474">
        <v>7436.4309999999996</v>
      </c>
      <c r="T474">
        <v>8116.0219999999999</v>
      </c>
      <c r="U474">
        <v>9150.1509999999998</v>
      </c>
      <c r="V474">
        <v>5981.5060000000003</v>
      </c>
      <c r="W474">
        <v>6417.848</v>
      </c>
      <c r="X474">
        <v>1583.5730000000001</v>
      </c>
      <c r="Y474">
        <v>1241.0440000000001</v>
      </c>
      <c r="Z474">
        <v>1123.0609999999999</v>
      </c>
      <c r="AA474">
        <v>812.22500000000002</v>
      </c>
      <c r="AB474">
        <v>631.70299999999997</v>
      </c>
      <c r="AC474">
        <v>379.827</v>
      </c>
      <c r="AD474">
        <v>325.173</v>
      </c>
      <c r="AE474">
        <v>312.70400000000001</v>
      </c>
      <c r="AF474">
        <v>167.322</v>
      </c>
      <c r="AM474" t="str">
        <f>""</f>
        <v/>
      </c>
      <c r="AN474" t="str">
        <f>""</f>
        <v/>
      </c>
      <c r="AO474" t="str">
        <f>""</f>
        <v/>
      </c>
      <c r="AP474" t="str">
        <f>""</f>
        <v/>
      </c>
      <c r="AQ474" t="str">
        <f>""</f>
        <v/>
      </c>
      <c r="AR474" t="str">
        <f>""</f>
        <v/>
      </c>
      <c r="AS474" t="str">
        <f>""</f>
        <v/>
      </c>
      <c r="AT474" t="str">
        <f>""</f>
        <v/>
      </c>
      <c r="AU474" t="str">
        <f>""</f>
        <v/>
      </c>
      <c r="AV474" t="str">
        <f>""</f>
        <v/>
      </c>
      <c r="AW474" t="str">
        <f>""</f>
        <v/>
      </c>
      <c r="AX474" t="str">
        <f>""</f>
        <v/>
      </c>
      <c r="AY474" t="str">
        <f>""</f>
        <v/>
      </c>
      <c r="AZ474" t="str">
        <f>""</f>
        <v/>
      </c>
      <c r="BA474" t="str">
        <f>""</f>
        <v/>
      </c>
      <c r="BB474" t="str">
        <f>""</f>
        <v/>
      </c>
      <c r="BC474" t="str">
        <f>""</f>
        <v/>
      </c>
      <c r="BD474" t="str">
        <f>""</f>
        <v/>
      </c>
      <c r="BE474" t="str">
        <f>""</f>
        <v/>
      </c>
      <c r="BF474" t="str">
        <f>""</f>
        <v/>
      </c>
      <c r="BG474" t="str">
        <f>""</f>
        <v/>
      </c>
      <c r="BH474" t="str">
        <f>""</f>
        <v/>
      </c>
      <c r="BI474" t="str">
        <f>""</f>
        <v/>
      </c>
      <c r="BJ474" t="str">
        <f>""</f>
        <v/>
      </c>
      <c r="BK474" t="str">
        <f>""</f>
        <v/>
      </c>
      <c r="BL474" t="str">
        <f>""</f>
        <v/>
      </c>
      <c r="BM474" t="str">
        <f>""</f>
        <v/>
      </c>
      <c r="BN474" t="str">
        <f>""</f>
        <v/>
      </c>
      <c r="BO474" t="str">
        <f>""</f>
        <v/>
      </c>
      <c r="BP474" t="str">
        <f>""</f>
        <v/>
      </c>
      <c r="BQ474" t="str">
        <f>""</f>
        <v/>
      </c>
      <c r="BR474" t="str">
        <f>""</f>
        <v/>
      </c>
      <c r="BS474" t="str">
        <f>""</f>
        <v/>
      </c>
    </row>
    <row r="475" spans="1:71" x14ac:dyDescent="0.25">
      <c r="A475" t="str">
        <f>$A$55</f>
        <v xml:space="preserve">            Fifth Third Bancorp</v>
      </c>
      <c r="B475" t="str">
        <f>$B$55</f>
        <v>FITB US Equity</v>
      </c>
      <c r="C475" t="str">
        <f>$C$55</f>
        <v>F0375</v>
      </c>
      <c r="D475" t="str">
        <f>$D$55</f>
        <v>FED_CRE_LNS_INCL_APTS_&amp;_FRMLND</v>
      </c>
      <c r="E475" t="str">
        <f>$E$55</f>
        <v>Dynamic</v>
      </c>
      <c r="F475">
        <f ca="1">_xll.BDH($B$55,$C$55,$B$425,$B$426,CONCATENATE("Per=",$B$423),"Dts=H","Dir=H",CONCATENATE("Points=",$B$424),"Sort=R","Days=A","Fill=B",CONCATENATE("FX=", $B$422),"cols=33;rows=1")</f>
        <v>16771</v>
      </c>
      <c r="G475">
        <v>16109</v>
      </c>
      <c r="H475">
        <v>15331.22</v>
      </c>
      <c r="I475">
        <v>14407.945</v>
      </c>
      <c r="J475">
        <v>15539.885</v>
      </c>
      <c r="K475">
        <v>15388.257</v>
      </c>
      <c r="L475">
        <v>11221.126</v>
      </c>
      <c r="M475">
        <v>10863.759</v>
      </c>
      <c r="N475">
        <v>11207.855</v>
      </c>
      <c r="O475">
        <v>10456.695</v>
      </c>
      <c r="P475">
        <v>9803.9359999999997</v>
      </c>
      <c r="Q475">
        <v>9658.5149999999994</v>
      </c>
      <c r="R475">
        <v>10660.053</v>
      </c>
      <c r="S475">
        <v>12760.798000000001</v>
      </c>
      <c r="T475">
        <v>15094.589</v>
      </c>
      <c r="U475">
        <v>18061.043000000001</v>
      </c>
      <c r="V475">
        <v>21061.866000000002</v>
      </c>
      <c r="W475">
        <v>21244.798999999999</v>
      </c>
      <c r="X475">
        <v>1154.8309999999999</v>
      </c>
      <c r="Y475">
        <v>880.09199999999998</v>
      </c>
      <c r="Z475">
        <v>822.19200000000001</v>
      </c>
      <c r="AA475">
        <v>781.49599999999998</v>
      </c>
      <c r="AB475">
        <v>741.47299999999996</v>
      </c>
      <c r="AC475">
        <v>721.07799999999997</v>
      </c>
      <c r="AD475">
        <v>385.35</v>
      </c>
      <c r="AE475">
        <v>346.75400000000002</v>
      </c>
      <c r="AF475">
        <v>144.17699999999999</v>
      </c>
      <c r="AG475">
        <v>112.465</v>
      </c>
      <c r="AH475">
        <v>85.257999999999996</v>
      </c>
      <c r="AI475">
        <v>94.424000000000007</v>
      </c>
      <c r="AJ475">
        <v>116.324</v>
      </c>
      <c r="AK475">
        <v>83.843999999999994</v>
      </c>
      <c r="AL475">
        <v>63.302999999999997</v>
      </c>
      <c r="AM475" t="str">
        <f>""</f>
        <v/>
      </c>
      <c r="AN475" t="str">
        <f>""</f>
        <v/>
      </c>
      <c r="AO475" t="str">
        <f>""</f>
        <v/>
      </c>
      <c r="AP475" t="str">
        <f>""</f>
        <v/>
      </c>
      <c r="AQ475" t="str">
        <f>""</f>
        <v/>
      </c>
      <c r="AR475" t="str">
        <f>""</f>
        <v/>
      </c>
      <c r="AS475" t="str">
        <f>""</f>
        <v/>
      </c>
      <c r="AT475" t="str">
        <f>""</f>
        <v/>
      </c>
      <c r="AU475" t="str">
        <f>""</f>
        <v/>
      </c>
      <c r="AV475" t="str">
        <f>""</f>
        <v/>
      </c>
      <c r="AW475" t="str">
        <f>""</f>
        <v/>
      </c>
      <c r="AX475" t="str">
        <f>""</f>
        <v/>
      </c>
      <c r="AY475" t="str">
        <f>""</f>
        <v/>
      </c>
      <c r="AZ475" t="str">
        <f>""</f>
        <v/>
      </c>
      <c r="BA475" t="str">
        <f>""</f>
        <v/>
      </c>
      <c r="BB475" t="str">
        <f>""</f>
        <v/>
      </c>
      <c r="BC475" t="str">
        <f>""</f>
        <v/>
      </c>
      <c r="BD475" t="str">
        <f>""</f>
        <v/>
      </c>
      <c r="BE475" t="str">
        <f>""</f>
        <v/>
      </c>
      <c r="BF475" t="str">
        <f>""</f>
        <v/>
      </c>
      <c r="BG475" t="str">
        <f>""</f>
        <v/>
      </c>
      <c r="BH475" t="str">
        <f>""</f>
        <v/>
      </c>
      <c r="BI475" t="str">
        <f>""</f>
        <v/>
      </c>
      <c r="BJ475" t="str">
        <f>""</f>
        <v/>
      </c>
      <c r="BK475" t="str">
        <f>""</f>
        <v/>
      </c>
      <c r="BL475" t="str">
        <f>""</f>
        <v/>
      </c>
      <c r="BM475" t="str">
        <f>""</f>
        <v/>
      </c>
      <c r="BN475" t="str">
        <f>""</f>
        <v/>
      </c>
      <c r="BO475" t="str">
        <f>""</f>
        <v/>
      </c>
      <c r="BP475" t="str">
        <f>""</f>
        <v/>
      </c>
      <c r="BQ475" t="str">
        <f>""</f>
        <v/>
      </c>
      <c r="BR475" t="str">
        <f>""</f>
        <v/>
      </c>
      <c r="BS475" t="str">
        <f>""</f>
        <v/>
      </c>
    </row>
    <row r="476" spans="1:71" x14ac:dyDescent="0.25">
      <c r="A476" t="str">
        <f>$A$56</f>
        <v xml:space="preserve">            First Citizens BancShares Inc/</v>
      </c>
      <c r="B476" t="str">
        <f>$B$56</f>
        <v>FCNCA US Equity</v>
      </c>
      <c r="C476" t="str">
        <f>$C$56</f>
        <v>F0375</v>
      </c>
      <c r="D476" t="str">
        <f>$D$56</f>
        <v>FED_CRE_LNS_INCL_APTS_&amp;_FRMLND</v>
      </c>
      <c r="E476" t="str">
        <f>$E$56</f>
        <v>Dynamic</v>
      </c>
      <c r="F476">
        <f ca="1">_xll.BDH($B$56,$C$56,$B$425,$B$426,CONCATENATE("Per=",$B$423),"Dts=H","Dir=H",CONCATENATE("Points=",$B$424),"Sort=R","Days=A","Fill=B",CONCATENATE("FX=", $B$422),"cols=33;rows=1")</f>
        <v>38533</v>
      </c>
      <c r="G476">
        <v>34830.968000000001</v>
      </c>
      <c r="H476">
        <v>27568.206999999999</v>
      </c>
      <c r="I476">
        <v>16658.418000000001</v>
      </c>
      <c r="J476">
        <v>15727.582</v>
      </c>
      <c r="K476">
        <v>14475.444</v>
      </c>
      <c r="L476">
        <v>12453.044</v>
      </c>
      <c r="M476">
        <v>11510.823</v>
      </c>
      <c r="N476">
        <v>10744.682000000001</v>
      </c>
      <c r="O476">
        <v>10013.619000000001</v>
      </c>
      <c r="P476">
        <v>9166.2459999999992</v>
      </c>
      <c r="Q476">
        <v>7751.3119999999999</v>
      </c>
      <c r="R476">
        <v>7326.9589999999998</v>
      </c>
      <c r="S476">
        <v>7633.4359999999997</v>
      </c>
      <c r="T476">
        <v>7194.36</v>
      </c>
      <c r="U476">
        <v>6270.3379999999997</v>
      </c>
      <c r="V476">
        <v>5274.1750000000002</v>
      </c>
      <c r="W476">
        <v>4941.0069999999996</v>
      </c>
      <c r="X476">
        <v>167.02500000000001</v>
      </c>
      <c r="Y476">
        <v>175.607</v>
      </c>
      <c r="Z476">
        <v>175.02099999999999</v>
      </c>
      <c r="AA476">
        <v>164.596</v>
      </c>
      <c r="AB476">
        <v>153.678</v>
      </c>
      <c r="AC476">
        <v>153.131</v>
      </c>
      <c r="AD476">
        <v>186.77699999999999</v>
      </c>
      <c r="AE476">
        <v>161.35599999999999</v>
      </c>
      <c r="AF476">
        <v>160.82599999999999</v>
      </c>
      <c r="AG476">
        <v>148.77099999999999</v>
      </c>
      <c r="AH476">
        <v>134.012</v>
      </c>
      <c r="AI476">
        <v>130.328</v>
      </c>
      <c r="AJ476">
        <v>109.955</v>
      </c>
      <c r="AK476">
        <v>56.14</v>
      </c>
      <c r="AL476">
        <v>47.883000000000003</v>
      </c>
      <c r="AM476" t="str">
        <f>""</f>
        <v/>
      </c>
      <c r="AN476" t="str">
        <f>""</f>
        <v/>
      </c>
      <c r="AO476" t="str">
        <f>""</f>
        <v/>
      </c>
      <c r="AP476" t="str">
        <f>""</f>
        <v/>
      </c>
      <c r="AQ476" t="str">
        <f>""</f>
        <v/>
      </c>
      <c r="AR476" t="str">
        <f>""</f>
        <v/>
      </c>
      <c r="AS476" t="str">
        <f>""</f>
        <v/>
      </c>
      <c r="AT476" t="str">
        <f>""</f>
        <v/>
      </c>
      <c r="AU476" t="str">
        <f>""</f>
        <v/>
      </c>
      <c r="AV476" t="str">
        <f>""</f>
        <v/>
      </c>
      <c r="AW476" t="str">
        <f>""</f>
        <v/>
      </c>
      <c r="AX476" t="str">
        <f>""</f>
        <v/>
      </c>
      <c r="AY476" t="str">
        <f>""</f>
        <v/>
      </c>
      <c r="AZ476" t="str">
        <f>""</f>
        <v/>
      </c>
      <c r="BA476" t="str">
        <f>""</f>
        <v/>
      </c>
      <c r="BB476" t="str">
        <f>""</f>
        <v/>
      </c>
      <c r="BC476" t="str">
        <f>""</f>
        <v/>
      </c>
      <c r="BD476" t="str">
        <f>""</f>
        <v/>
      </c>
      <c r="BE476" t="str">
        <f>""</f>
        <v/>
      </c>
      <c r="BF476" t="str">
        <f>""</f>
        <v/>
      </c>
      <c r="BG476" t="str">
        <f>""</f>
        <v/>
      </c>
      <c r="BH476" t="str">
        <f>""</f>
        <v/>
      </c>
      <c r="BI476" t="str">
        <f>""</f>
        <v/>
      </c>
      <c r="BJ476" t="str">
        <f>""</f>
        <v/>
      </c>
      <c r="BK476" t="str">
        <f>""</f>
        <v/>
      </c>
      <c r="BL476" t="str">
        <f>""</f>
        <v/>
      </c>
      <c r="BM476" t="str">
        <f>""</f>
        <v/>
      </c>
      <c r="BN476" t="str">
        <f>""</f>
        <v/>
      </c>
      <c r="BO476" t="str">
        <f>""</f>
        <v/>
      </c>
      <c r="BP476" t="str">
        <f>""</f>
        <v/>
      </c>
      <c r="BQ476" t="str">
        <f>""</f>
        <v/>
      </c>
      <c r="BR476" t="str">
        <f>""</f>
        <v/>
      </c>
      <c r="BS476" t="str">
        <f>""</f>
        <v/>
      </c>
    </row>
    <row r="477" spans="1:71" x14ac:dyDescent="0.25">
      <c r="A477" t="str">
        <f>$A$57</f>
        <v xml:space="preserve">            Flagstar Financial Inc</v>
      </c>
      <c r="B477" t="str">
        <f>$B$57</f>
        <v>FLG US Equity</v>
      </c>
      <c r="C477" t="str">
        <f>$C$57</f>
        <v>F0375</v>
      </c>
      <c r="D477" t="str">
        <f>$D$57</f>
        <v>FED_CRE_LNS_INCL_APTS_&amp;_FRMLND</v>
      </c>
      <c r="E477" t="str">
        <f>$E$57</f>
        <v>Dynamic</v>
      </c>
      <c r="F477">
        <f ca="1">_xll.BDH($B$57,$C$57,$B$425,$B$426,CONCATENATE("Per=",$B$423),"Dts=H","Dir=H",CONCATENATE("Points=",$B$424),"Sort=R","Days=A","Fill=B",CONCATENATE("FX=", $B$422),"cols=33;rows=1")</f>
        <v>46353.345999999998</v>
      </c>
      <c r="G477">
        <v>50887.241999999998</v>
      </c>
      <c r="H477">
        <v>48767.777000000002</v>
      </c>
      <c r="I477">
        <v>41537.502999999997</v>
      </c>
      <c r="J477">
        <v>39189.919000000002</v>
      </c>
      <c r="K477">
        <v>38467.042000000001</v>
      </c>
      <c r="L477">
        <v>37312.927000000003</v>
      </c>
      <c r="M477">
        <v>35852.652999999998</v>
      </c>
      <c r="N477">
        <v>35073.783000000003</v>
      </c>
      <c r="O477">
        <v>34167.83</v>
      </c>
      <c r="P477">
        <v>31763.453000000001</v>
      </c>
      <c r="Q477">
        <v>28451.682000000001</v>
      </c>
      <c r="R477">
        <v>26472.289000000001</v>
      </c>
      <c r="S477">
        <v>24783.41</v>
      </c>
      <c r="T477">
        <v>22872.547999999999</v>
      </c>
      <c r="U477">
        <v>22382.437000000002</v>
      </c>
      <c r="V477">
        <v>21051.75</v>
      </c>
      <c r="W477">
        <v>19024.379000000001</v>
      </c>
      <c r="X477">
        <v>14530.638999999999</v>
      </c>
      <c r="Y477">
        <v>12858.008</v>
      </c>
      <c r="Z477">
        <v>9840.6550000000007</v>
      </c>
      <c r="AA477">
        <v>7369.1790000000001</v>
      </c>
      <c r="AB477">
        <v>4494.3320000000003</v>
      </c>
      <c r="AC477">
        <v>3255.1669999999999</v>
      </c>
      <c r="AD477">
        <v>1449.587</v>
      </c>
      <c r="AE477">
        <v>1348.3520000000001</v>
      </c>
      <c r="AF477">
        <v>1239.0940000000001</v>
      </c>
      <c r="AG477">
        <v>1107.374</v>
      </c>
      <c r="AH477">
        <v>822.36400000000003</v>
      </c>
      <c r="AI477">
        <v>641.56399999999996</v>
      </c>
      <c r="AJ477">
        <v>561.59</v>
      </c>
      <c r="AK477">
        <v>428.846</v>
      </c>
      <c r="AM477" t="str">
        <f>""</f>
        <v/>
      </c>
      <c r="AN477" t="str">
        <f>""</f>
        <v/>
      </c>
      <c r="AO477" t="str">
        <f>""</f>
        <v/>
      </c>
      <c r="AP477" t="str">
        <f>""</f>
        <v/>
      </c>
      <c r="AQ477" t="str">
        <f>""</f>
        <v/>
      </c>
      <c r="AR477" t="str">
        <f>""</f>
        <v/>
      </c>
      <c r="AS477" t="str">
        <f>""</f>
        <v/>
      </c>
      <c r="AT477" t="str">
        <f>""</f>
        <v/>
      </c>
      <c r="AU477" t="str">
        <f>""</f>
        <v/>
      </c>
      <c r="AV477" t="str">
        <f>""</f>
        <v/>
      </c>
      <c r="AW477" t="str">
        <f>""</f>
        <v/>
      </c>
      <c r="AX477" t="str">
        <f>""</f>
        <v/>
      </c>
      <c r="AY477" t="str">
        <f>""</f>
        <v/>
      </c>
      <c r="AZ477" t="str">
        <f>""</f>
        <v/>
      </c>
      <c r="BA477" t="str">
        <f>""</f>
        <v/>
      </c>
      <c r="BB477" t="str">
        <f>""</f>
        <v/>
      </c>
      <c r="BC477" t="str">
        <f>""</f>
        <v/>
      </c>
      <c r="BD477" t="str">
        <f>""</f>
        <v/>
      </c>
      <c r="BE477" t="str">
        <f>""</f>
        <v/>
      </c>
      <c r="BF477" t="str">
        <f>""</f>
        <v/>
      </c>
      <c r="BG477" t="str">
        <f>""</f>
        <v/>
      </c>
      <c r="BH477" t="str">
        <f>""</f>
        <v/>
      </c>
      <c r="BI477" t="str">
        <f>""</f>
        <v/>
      </c>
      <c r="BJ477" t="str">
        <f>""</f>
        <v/>
      </c>
      <c r="BK477" t="str">
        <f>""</f>
        <v/>
      </c>
      <c r="BL477" t="str">
        <f>""</f>
        <v/>
      </c>
      <c r="BM477" t="str">
        <f>""</f>
        <v/>
      </c>
      <c r="BN477" t="str">
        <f>""</f>
        <v/>
      </c>
      <c r="BO477" t="str">
        <f>""</f>
        <v/>
      </c>
      <c r="BP477" t="str">
        <f>""</f>
        <v/>
      </c>
      <c r="BQ477" t="str">
        <f>""</f>
        <v/>
      </c>
      <c r="BR477" t="str">
        <f>""</f>
        <v/>
      </c>
      <c r="BS477" t="str">
        <f>""</f>
        <v/>
      </c>
    </row>
    <row r="478" spans="1:71" x14ac:dyDescent="0.25">
      <c r="A478" t="str">
        <f>$A$58</f>
        <v xml:space="preserve">            Huntington Bancshares Inc/OH</v>
      </c>
      <c r="B478" t="str">
        <f>$B$58</f>
        <v>HBAN US Equity</v>
      </c>
      <c r="C478" t="str">
        <f>$C$58</f>
        <v>F0375</v>
      </c>
      <c r="D478" t="str">
        <f>$D$58</f>
        <v>FED_CRE_LNS_INCL_APTS_&amp;_FRMLND</v>
      </c>
      <c r="E478" t="str">
        <f>$E$58</f>
        <v>Dynamic</v>
      </c>
      <c r="F478">
        <f ca="1">_xll.BDH($B$58,$C$58,$B$425,$B$426,CONCATENATE("Per=",$B$423),"Dts=H","Dir=H",CONCATENATE("Points=",$B$424),"Sort=R","Days=A","Fill=B",CONCATENATE("FX=", $B$422),"cols=33;rows=1")</f>
        <v>18774.509999999998</v>
      </c>
      <c r="G478">
        <v>19385.839</v>
      </c>
      <c r="H478">
        <v>20364.303</v>
      </c>
      <c r="I478">
        <v>19960.984</v>
      </c>
      <c r="J478">
        <v>10444.623</v>
      </c>
      <c r="K478">
        <v>9877.7430000000004</v>
      </c>
      <c r="L478">
        <v>10177.215</v>
      </c>
      <c r="M478">
        <v>10866.85</v>
      </c>
      <c r="N478">
        <v>11651.493</v>
      </c>
      <c r="O478">
        <v>7767.1059999999998</v>
      </c>
      <c r="P478">
        <v>8335.2430000000004</v>
      </c>
      <c r="Q478">
        <v>7978.7849999999999</v>
      </c>
      <c r="R478">
        <v>8226.6319999999996</v>
      </c>
      <c r="S478">
        <v>8776.3050000000003</v>
      </c>
      <c r="T478">
        <v>9521.3080000000009</v>
      </c>
      <c r="U478">
        <v>11030.936</v>
      </c>
      <c r="V478">
        <v>13017.208000000001</v>
      </c>
      <c r="W478">
        <v>11901.017</v>
      </c>
      <c r="X478">
        <v>290.54899999999998</v>
      </c>
      <c r="Y478">
        <v>259.32600000000002</v>
      </c>
      <c r="Z478">
        <v>275.221</v>
      </c>
      <c r="AA478">
        <v>246.71</v>
      </c>
      <c r="AB478">
        <v>247.32599999999999</v>
      </c>
      <c r="AC478">
        <v>303.40899999999999</v>
      </c>
      <c r="AD478">
        <v>270.82600000000002</v>
      </c>
      <c r="AE478">
        <v>235.29400000000001</v>
      </c>
      <c r="AF478">
        <v>243.18</v>
      </c>
      <c r="AG478">
        <v>176.678</v>
      </c>
      <c r="AH478">
        <v>152.488</v>
      </c>
      <c r="AI478">
        <v>173.459</v>
      </c>
      <c r="AJ478">
        <v>164.351</v>
      </c>
      <c r="AK478">
        <v>215.626</v>
      </c>
      <c r="AL478">
        <v>71.093999999999994</v>
      </c>
      <c r="AM478" t="str">
        <f>""</f>
        <v/>
      </c>
      <c r="AN478" t="str">
        <f>""</f>
        <v/>
      </c>
      <c r="AO478" t="str">
        <f>""</f>
        <v/>
      </c>
      <c r="AP478" t="str">
        <f>""</f>
        <v/>
      </c>
      <c r="AQ478" t="str">
        <f>""</f>
        <v/>
      </c>
      <c r="AR478" t="str">
        <f>""</f>
        <v/>
      </c>
      <c r="AS478" t="str">
        <f>""</f>
        <v/>
      </c>
      <c r="AT478" t="str">
        <f>""</f>
        <v/>
      </c>
      <c r="AU478" t="str">
        <f>""</f>
        <v/>
      </c>
      <c r="AV478" t="str">
        <f>""</f>
        <v/>
      </c>
      <c r="AW478" t="str">
        <f>""</f>
        <v/>
      </c>
      <c r="AX478" t="str">
        <f>""</f>
        <v/>
      </c>
      <c r="AY478" t="str">
        <f>""</f>
        <v/>
      </c>
      <c r="AZ478" t="str">
        <f>""</f>
        <v/>
      </c>
      <c r="BA478" t="str">
        <f>""</f>
        <v/>
      </c>
      <c r="BB478" t="str">
        <f>""</f>
        <v/>
      </c>
      <c r="BC478" t="str">
        <f>""</f>
        <v/>
      </c>
      <c r="BD478" t="str">
        <f>""</f>
        <v/>
      </c>
      <c r="BE478" t="str">
        <f>""</f>
        <v/>
      </c>
      <c r="BF478" t="str">
        <f>""</f>
        <v/>
      </c>
      <c r="BG478" t="str">
        <f>""</f>
        <v/>
      </c>
      <c r="BH478" t="str">
        <f>""</f>
        <v/>
      </c>
      <c r="BI478" t="str">
        <f>""</f>
        <v/>
      </c>
      <c r="BJ478" t="str">
        <f>""</f>
        <v/>
      </c>
      <c r="BK478" t="str">
        <f>""</f>
        <v/>
      </c>
      <c r="BL478" t="str">
        <f>""</f>
        <v/>
      </c>
      <c r="BM478" t="str">
        <f>""</f>
        <v/>
      </c>
      <c r="BN478" t="str">
        <f>""</f>
        <v/>
      </c>
      <c r="BO478" t="str">
        <f>""</f>
        <v/>
      </c>
      <c r="BP478" t="str">
        <f>""</f>
        <v/>
      </c>
      <c r="BQ478" t="str">
        <f>""</f>
        <v/>
      </c>
      <c r="BR478" t="str">
        <f>""</f>
        <v/>
      </c>
      <c r="BS478" t="str">
        <f>""</f>
        <v/>
      </c>
    </row>
    <row r="479" spans="1:71" x14ac:dyDescent="0.25">
      <c r="A479" t="str">
        <f>$A$59</f>
        <v xml:space="preserve">            JPMorgan Chase &amp; Co</v>
      </c>
      <c r="B479" t="str">
        <f>$B$59</f>
        <v>JPM US Equity</v>
      </c>
      <c r="C479" t="str">
        <f>$C$59</f>
        <v>F0375</v>
      </c>
      <c r="D479" t="str">
        <f>$D$59</f>
        <v>FED_CRE_LNS_INCL_APTS_&amp;_FRMLND</v>
      </c>
      <c r="E479" t="str">
        <f>$E$59</f>
        <v>Dynamic</v>
      </c>
      <c r="F479">
        <f ca="1">_xll.BDH($B$59,$C$59,$B$425,$B$426,CONCATENATE("Per=",$B$423),"Dts=H","Dir=H",CONCATENATE("Points=",$B$424),"Sort=R","Days=A","Fill=B",CONCATENATE("FX=", $B$422),"cols=33;rows=1")</f>
        <v>168719</v>
      </c>
      <c r="G479">
        <v>168856</v>
      </c>
      <c r="H479">
        <v>132146</v>
      </c>
      <c r="I479">
        <v>125401</v>
      </c>
      <c r="J479">
        <v>125406</v>
      </c>
      <c r="K479">
        <v>123660</v>
      </c>
      <c r="L479">
        <v>119257</v>
      </c>
      <c r="M479">
        <v>116556</v>
      </c>
      <c r="N479">
        <v>109802</v>
      </c>
      <c r="O479">
        <v>94599</v>
      </c>
      <c r="P479">
        <v>82706</v>
      </c>
      <c r="Q479">
        <v>76243</v>
      </c>
      <c r="R479">
        <v>70044</v>
      </c>
      <c r="S479">
        <v>62788</v>
      </c>
      <c r="T479">
        <v>60099</v>
      </c>
      <c r="U479">
        <v>63593</v>
      </c>
      <c r="V479">
        <v>66974</v>
      </c>
      <c r="W479">
        <v>25519</v>
      </c>
      <c r="X479">
        <v>850</v>
      </c>
      <c r="Y479">
        <v>841</v>
      </c>
      <c r="Z479">
        <v>1122</v>
      </c>
      <c r="AA479">
        <v>95</v>
      </c>
      <c r="AB479">
        <v>135</v>
      </c>
      <c r="AC479">
        <v>431</v>
      </c>
      <c r="AD479">
        <v>465</v>
      </c>
      <c r="AE479">
        <v>439.02600000000001</v>
      </c>
      <c r="AF479">
        <v>193.67500000000001</v>
      </c>
      <c r="AG479">
        <v>305.31099999999998</v>
      </c>
      <c r="AM479" t="str">
        <f>""</f>
        <v/>
      </c>
      <c r="AN479" t="str">
        <f>""</f>
        <v/>
      </c>
      <c r="AO479" t="str">
        <f>""</f>
        <v/>
      </c>
      <c r="AP479" t="str">
        <f>""</f>
        <v/>
      </c>
      <c r="AQ479" t="str">
        <f>""</f>
        <v/>
      </c>
      <c r="AR479" t="str">
        <f>""</f>
        <v/>
      </c>
      <c r="AS479" t="str">
        <f>""</f>
        <v/>
      </c>
      <c r="AT479" t="str">
        <f>""</f>
        <v/>
      </c>
      <c r="AU479" t="str">
        <f>""</f>
        <v/>
      </c>
      <c r="AV479" t="str">
        <f>""</f>
        <v/>
      </c>
      <c r="AW479" t="str">
        <f>""</f>
        <v/>
      </c>
      <c r="AX479" t="str">
        <f>""</f>
        <v/>
      </c>
      <c r="AY479" t="str">
        <f>""</f>
        <v/>
      </c>
      <c r="AZ479" t="str">
        <f>""</f>
        <v/>
      </c>
      <c r="BA479" t="str">
        <f>""</f>
        <v/>
      </c>
      <c r="BB479" t="str">
        <f>""</f>
        <v/>
      </c>
      <c r="BC479" t="str">
        <f>""</f>
        <v/>
      </c>
      <c r="BD479" t="str">
        <f>""</f>
        <v/>
      </c>
      <c r="BE479" t="str">
        <f>""</f>
        <v/>
      </c>
      <c r="BF479" t="str">
        <f>""</f>
        <v/>
      </c>
      <c r="BG479" t="str">
        <f>""</f>
        <v/>
      </c>
      <c r="BH479" t="str">
        <f>""</f>
        <v/>
      </c>
      <c r="BI479" t="str">
        <f>""</f>
        <v/>
      </c>
      <c r="BJ479" t="str">
        <f>""</f>
        <v/>
      </c>
      <c r="BK479" t="str">
        <f>""</f>
        <v/>
      </c>
      <c r="BL479" t="str">
        <f>""</f>
        <v/>
      </c>
      <c r="BM479" t="str">
        <f>""</f>
        <v/>
      </c>
      <c r="BN479" t="str">
        <f>""</f>
        <v/>
      </c>
      <c r="BO479" t="str">
        <f>""</f>
        <v/>
      </c>
      <c r="BP479" t="str">
        <f>""</f>
        <v/>
      </c>
      <c r="BQ479" t="str">
        <f>""</f>
        <v/>
      </c>
      <c r="BR479" t="str">
        <f>""</f>
        <v/>
      </c>
      <c r="BS479" t="str">
        <f>""</f>
        <v/>
      </c>
    </row>
    <row r="480" spans="1:71" x14ac:dyDescent="0.25">
      <c r="A480" t="str">
        <f>$A$60</f>
        <v xml:space="preserve">            KeyCorp</v>
      </c>
      <c r="B480" t="str">
        <f>$B$60</f>
        <v>KEY US Equity</v>
      </c>
      <c r="C480" t="str">
        <f>$C$60</f>
        <v>F0375</v>
      </c>
      <c r="D480" t="str">
        <f>$D$60</f>
        <v>FED_CRE_LNS_INCL_APTS_&amp;_FRMLND</v>
      </c>
      <c r="E480" t="str">
        <f>$E$60</f>
        <v>Dynamic</v>
      </c>
      <c r="F480">
        <f ca="1">_xll.BDH($B$60,$C$60,$B$425,$B$426,CONCATENATE("Per=",$B$423),"Dts=H","Dir=H",CONCATENATE("Points=",$B$424),"Sort=R","Days=A","Fill=B",CONCATENATE("FX=", $B$422),"cols=33;rows=1")</f>
        <v>16868.038</v>
      </c>
      <c r="G480">
        <v>18635.827000000001</v>
      </c>
      <c r="H480">
        <v>19308.707999999999</v>
      </c>
      <c r="I480">
        <v>17250.733</v>
      </c>
      <c r="J480">
        <v>15687.643</v>
      </c>
      <c r="K480">
        <v>15822.851000000001</v>
      </c>
      <c r="L480">
        <v>16844.61</v>
      </c>
      <c r="M480">
        <v>16945.518</v>
      </c>
      <c r="N480">
        <v>18480.881000000001</v>
      </c>
      <c r="O480">
        <v>9544.5650000000005</v>
      </c>
      <c r="P480">
        <v>9786.3349999999991</v>
      </c>
      <c r="Q480">
        <v>9120.2260000000006</v>
      </c>
      <c r="R480">
        <v>9201.9189999999999</v>
      </c>
      <c r="S480">
        <v>9957.3709999999992</v>
      </c>
      <c r="T480">
        <v>11766.29</v>
      </c>
      <c r="U480">
        <v>15468.002</v>
      </c>
      <c r="V480">
        <v>18977.990000000002</v>
      </c>
      <c r="W480">
        <v>18987.848999999998</v>
      </c>
      <c r="X480">
        <v>852.41700000000003</v>
      </c>
      <c r="Y480">
        <v>776.26800000000003</v>
      </c>
      <c r="Z480">
        <v>687.15700000000004</v>
      </c>
      <c r="AA480">
        <v>549.01900000000001</v>
      </c>
      <c r="AB480">
        <v>652.255</v>
      </c>
      <c r="AC480">
        <v>502.726</v>
      </c>
      <c r="AD480">
        <v>396.858</v>
      </c>
      <c r="AE480">
        <v>535.87300000000005</v>
      </c>
      <c r="AF480">
        <v>456.815</v>
      </c>
      <c r="AG480">
        <v>748.81200000000001</v>
      </c>
      <c r="AH480">
        <v>662.74099999999999</v>
      </c>
      <c r="AI480">
        <v>597.52300000000002</v>
      </c>
      <c r="AJ480">
        <v>487.91399999999999</v>
      </c>
      <c r="AK480">
        <v>212.40700000000001</v>
      </c>
      <c r="AL480">
        <v>291.93299999999999</v>
      </c>
      <c r="AM480" t="str">
        <f>""</f>
        <v/>
      </c>
      <c r="AN480" t="str">
        <f>""</f>
        <v/>
      </c>
      <c r="AO480" t="str">
        <f>""</f>
        <v/>
      </c>
      <c r="AP480" t="str">
        <f>""</f>
        <v/>
      </c>
      <c r="AQ480" t="str">
        <f>""</f>
        <v/>
      </c>
      <c r="AR480" t="str">
        <f>""</f>
        <v/>
      </c>
      <c r="AS480" t="str">
        <f>""</f>
        <v/>
      </c>
      <c r="AT480" t="str">
        <f>""</f>
        <v/>
      </c>
      <c r="AU480" t="str">
        <f>""</f>
        <v/>
      </c>
      <c r="AV480" t="str">
        <f>""</f>
        <v/>
      </c>
      <c r="AW480" t="str">
        <f>""</f>
        <v/>
      </c>
      <c r="AX480" t="str">
        <f>""</f>
        <v/>
      </c>
      <c r="AY480" t="str">
        <f>""</f>
        <v/>
      </c>
      <c r="AZ480" t="str">
        <f>""</f>
        <v/>
      </c>
      <c r="BA480" t="str">
        <f>""</f>
        <v/>
      </c>
      <c r="BB480" t="str">
        <f>""</f>
        <v/>
      </c>
      <c r="BC480" t="str">
        <f>""</f>
        <v/>
      </c>
      <c r="BD480" t="str">
        <f>""</f>
        <v/>
      </c>
      <c r="BE480" t="str">
        <f>""</f>
        <v/>
      </c>
      <c r="BF480" t="str">
        <f>""</f>
        <v/>
      </c>
      <c r="BG480" t="str">
        <f>""</f>
        <v/>
      </c>
      <c r="BH480" t="str">
        <f>""</f>
        <v/>
      </c>
      <c r="BI480" t="str">
        <f>""</f>
        <v/>
      </c>
      <c r="BJ480" t="str">
        <f>""</f>
        <v/>
      </c>
      <c r="BK480" t="str">
        <f>""</f>
        <v/>
      </c>
      <c r="BL480" t="str">
        <f>""</f>
        <v/>
      </c>
      <c r="BM480" t="str">
        <f>""</f>
        <v/>
      </c>
      <c r="BN480" t="str">
        <f>""</f>
        <v/>
      </c>
      <c r="BO480" t="str">
        <f>""</f>
        <v/>
      </c>
      <c r="BP480" t="str">
        <f>""</f>
        <v/>
      </c>
      <c r="BQ480" t="str">
        <f>""</f>
        <v/>
      </c>
      <c r="BR480" t="str">
        <f>""</f>
        <v/>
      </c>
      <c r="BS480" t="str">
        <f>""</f>
        <v/>
      </c>
    </row>
    <row r="481" spans="1:71" x14ac:dyDescent="0.25">
      <c r="A481" t="str">
        <f>$A$61</f>
        <v xml:space="preserve">            M&amp;T Bank Corp</v>
      </c>
      <c r="B481" t="str">
        <f>$B$61</f>
        <v>MTB US Equity</v>
      </c>
      <c r="C481" t="str">
        <f>$C$61</f>
        <v>F0375</v>
      </c>
      <c r="D481" t="str">
        <f>$D$61</f>
        <v>FED_CRE_LNS_INCL_APTS_&amp;_FRMLND</v>
      </c>
      <c r="E481" t="str">
        <f>$E$61</f>
        <v>Dynamic</v>
      </c>
      <c r="F481">
        <f ca="1">_xll.BDH($B$61,$C$61,$B$425,$B$426,CONCATENATE("Per=",$B$423),"Dts=H","Dir=H",CONCATENATE("Points=",$B$424),"Sort=R","Days=A","Fill=B",CONCATENATE("FX=", $B$422),"cols=33;rows=1")</f>
        <v>36455.898000000001</v>
      </c>
      <c r="G481">
        <v>41547.082999999999</v>
      </c>
      <c r="H481">
        <v>44453.165999999997</v>
      </c>
      <c r="I481">
        <v>34929.207999999999</v>
      </c>
      <c r="J481">
        <v>37630.673999999999</v>
      </c>
      <c r="K481">
        <v>35584.686999999998</v>
      </c>
      <c r="L481">
        <v>34372.127</v>
      </c>
      <c r="M481">
        <v>33327.798000000003</v>
      </c>
      <c r="N481">
        <v>33437.82</v>
      </c>
      <c r="O481">
        <v>29151.564999999999</v>
      </c>
      <c r="P481">
        <v>27431.887999999999</v>
      </c>
      <c r="Q481">
        <v>26149.42</v>
      </c>
      <c r="R481">
        <v>25968.675999999999</v>
      </c>
      <c r="S481">
        <v>24398.914000000001</v>
      </c>
      <c r="T481">
        <v>21166.437000000002</v>
      </c>
      <c r="U481">
        <v>20791.111000000001</v>
      </c>
      <c r="V481">
        <v>18793.843000000001</v>
      </c>
      <c r="W481">
        <v>17822.552</v>
      </c>
      <c r="X481">
        <v>1939.204</v>
      </c>
      <c r="Y481">
        <v>2068.9319999999998</v>
      </c>
      <c r="Z481">
        <v>2272.3820000000001</v>
      </c>
      <c r="AA481">
        <v>2122.0439999999999</v>
      </c>
      <c r="AB481">
        <v>2169.2240000000002</v>
      </c>
      <c r="AC481">
        <v>2271.1239999999998</v>
      </c>
      <c r="AD481">
        <v>2385.0509999999999</v>
      </c>
      <c r="AE481">
        <v>2079.1770000000001</v>
      </c>
      <c r="AF481">
        <v>1711.1790000000001</v>
      </c>
      <c r="AG481">
        <v>1714.0170000000001</v>
      </c>
      <c r="AH481">
        <v>1626.4380000000001</v>
      </c>
      <c r="AI481">
        <v>1520.971</v>
      </c>
      <c r="AJ481">
        <v>1422.1890000000001</v>
      </c>
      <c r="AK481">
        <v>1267.4459999999999</v>
      </c>
      <c r="AL481">
        <v>1066.1210000000001</v>
      </c>
      <c r="AM481" t="str">
        <f>""</f>
        <v/>
      </c>
      <c r="AN481" t="str">
        <f>""</f>
        <v/>
      </c>
      <c r="AO481" t="str">
        <f>""</f>
        <v/>
      </c>
      <c r="AP481" t="str">
        <f>""</f>
        <v/>
      </c>
      <c r="AQ481" t="str">
        <f>""</f>
        <v/>
      </c>
      <c r="AR481" t="str">
        <f>""</f>
        <v/>
      </c>
      <c r="AS481" t="str">
        <f>""</f>
        <v/>
      </c>
      <c r="AT481" t="str">
        <f>""</f>
        <v/>
      </c>
      <c r="AU481" t="str">
        <f>""</f>
        <v/>
      </c>
      <c r="AV481" t="str">
        <f>""</f>
        <v/>
      </c>
      <c r="AW481" t="str">
        <f>""</f>
        <v/>
      </c>
      <c r="AX481" t="str">
        <f>""</f>
        <v/>
      </c>
      <c r="AY481" t="str">
        <f>""</f>
        <v/>
      </c>
      <c r="AZ481" t="str">
        <f>""</f>
        <v/>
      </c>
      <c r="BA481" t="str">
        <f>""</f>
        <v/>
      </c>
      <c r="BB481" t="str">
        <f>""</f>
        <v/>
      </c>
      <c r="BC481" t="str">
        <f>""</f>
        <v/>
      </c>
      <c r="BD481" t="str">
        <f>""</f>
        <v/>
      </c>
      <c r="BE481" t="str">
        <f>""</f>
        <v/>
      </c>
      <c r="BF481" t="str">
        <f>""</f>
        <v/>
      </c>
      <c r="BG481" t="str">
        <f>""</f>
        <v/>
      </c>
      <c r="BH481" t="str">
        <f>""</f>
        <v/>
      </c>
      <c r="BI481" t="str">
        <f>""</f>
        <v/>
      </c>
      <c r="BJ481" t="str">
        <f>""</f>
        <v/>
      </c>
      <c r="BK481" t="str">
        <f>""</f>
        <v/>
      </c>
      <c r="BL481" t="str">
        <f>""</f>
        <v/>
      </c>
      <c r="BM481" t="str">
        <f>""</f>
        <v/>
      </c>
      <c r="BN481" t="str">
        <f>""</f>
        <v/>
      </c>
      <c r="BO481" t="str">
        <f>""</f>
        <v/>
      </c>
      <c r="BP481" t="str">
        <f>""</f>
        <v/>
      </c>
      <c r="BQ481" t="str">
        <f>""</f>
        <v/>
      </c>
      <c r="BR481" t="str">
        <f>""</f>
        <v/>
      </c>
      <c r="BS481" t="str">
        <f>""</f>
        <v/>
      </c>
    </row>
    <row r="482" spans="1:71" x14ac:dyDescent="0.25">
      <c r="A482" t="str">
        <f>$A$62</f>
        <v xml:space="preserve">            PNC Financial Services Group I</v>
      </c>
      <c r="B482" t="str">
        <f>$B$62</f>
        <v>PNC US Equity</v>
      </c>
      <c r="C482" t="str">
        <f>$C$62</f>
        <v>F0375</v>
      </c>
      <c r="D482" t="str">
        <f>$D$62</f>
        <v>FED_CRE_LNS_INCL_APTS_&amp;_FRMLND</v>
      </c>
      <c r="E482" t="str">
        <f>$E$62</f>
        <v>Dynamic</v>
      </c>
      <c r="F482">
        <f ca="1">_xll.BDH($B$62,$C$62,$B$425,$B$426,CONCATENATE("Per=",$B$423),"Dts=H","Dir=H",CONCATENATE("Points=",$B$424),"Sort=R","Days=A","Fill=B",CONCATENATE("FX=", $B$422),"cols=33;rows=1")</f>
        <v>42918.430999999997</v>
      </c>
      <c r="G482">
        <v>45186.357000000004</v>
      </c>
      <c r="H482">
        <v>47064.612000000001</v>
      </c>
      <c r="I482">
        <v>46377.953999999998</v>
      </c>
      <c r="J482">
        <v>36285.338000000003</v>
      </c>
      <c r="K482">
        <v>35486.482000000004</v>
      </c>
      <c r="L482">
        <v>34826.436999999998</v>
      </c>
      <c r="M482">
        <v>36602.247000000003</v>
      </c>
      <c r="N482">
        <v>37113.677000000003</v>
      </c>
      <c r="O482">
        <v>35628.311999999998</v>
      </c>
      <c r="P482">
        <v>33698.699999999997</v>
      </c>
      <c r="Q482">
        <v>32668.51</v>
      </c>
      <c r="R482">
        <v>31317.608</v>
      </c>
      <c r="S482">
        <v>26980.107</v>
      </c>
      <c r="T482">
        <v>28246.83</v>
      </c>
      <c r="U482">
        <v>33979.686000000002</v>
      </c>
      <c r="V482">
        <v>38478.286999999997</v>
      </c>
      <c r="W482">
        <v>15389.293</v>
      </c>
      <c r="X482">
        <v>461.63</v>
      </c>
      <c r="Y482">
        <v>544.10699999999997</v>
      </c>
      <c r="Z482">
        <v>396.81599999999997</v>
      </c>
      <c r="AA482">
        <v>302.714</v>
      </c>
      <c r="AB482">
        <v>321.322</v>
      </c>
      <c r="AC482">
        <v>495.80200000000002</v>
      </c>
      <c r="AD482">
        <v>426.26299999999998</v>
      </c>
      <c r="AE482">
        <v>646.75800000000004</v>
      </c>
      <c r="AF482">
        <v>735.51800000000003</v>
      </c>
      <c r="AG482">
        <v>408.15899999999999</v>
      </c>
      <c r="AH482">
        <v>328.12700000000001</v>
      </c>
      <c r="AI482">
        <v>296.73899999999998</v>
      </c>
      <c r="AJ482">
        <v>360.68099999999998</v>
      </c>
      <c r="AK482">
        <v>248.39699999999999</v>
      </c>
      <c r="AL482">
        <v>130.32599999999999</v>
      </c>
      <c r="AM482" t="str">
        <f>""</f>
        <v/>
      </c>
      <c r="AN482" t="str">
        <f>""</f>
        <v/>
      </c>
      <c r="AO482" t="str">
        <f>""</f>
        <v/>
      </c>
      <c r="AP482" t="str">
        <f>""</f>
        <v/>
      </c>
      <c r="AQ482" t="str">
        <f>""</f>
        <v/>
      </c>
      <c r="AR482" t="str">
        <f>""</f>
        <v/>
      </c>
      <c r="AS482" t="str">
        <f>""</f>
        <v/>
      </c>
      <c r="AT482" t="str">
        <f>""</f>
        <v/>
      </c>
      <c r="AU482" t="str">
        <f>""</f>
        <v/>
      </c>
      <c r="AV482" t="str">
        <f>""</f>
        <v/>
      </c>
      <c r="AW482" t="str">
        <f>""</f>
        <v/>
      </c>
      <c r="AX482" t="str">
        <f>""</f>
        <v/>
      </c>
      <c r="AY482" t="str">
        <f>""</f>
        <v/>
      </c>
      <c r="AZ482" t="str">
        <f>""</f>
        <v/>
      </c>
      <c r="BA482" t="str">
        <f>""</f>
        <v/>
      </c>
      <c r="BB482" t="str">
        <f>""</f>
        <v/>
      </c>
      <c r="BC482" t="str">
        <f>""</f>
        <v/>
      </c>
      <c r="BD482" t="str">
        <f>""</f>
        <v/>
      </c>
      <c r="BE482" t="str">
        <f>""</f>
        <v/>
      </c>
      <c r="BF482" t="str">
        <f>""</f>
        <v/>
      </c>
      <c r="BG482" t="str">
        <f>""</f>
        <v/>
      </c>
      <c r="BH482" t="str">
        <f>""</f>
        <v/>
      </c>
      <c r="BI482" t="str">
        <f>""</f>
        <v/>
      </c>
      <c r="BJ482" t="str">
        <f>""</f>
        <v/>
      </c>
      <c r="BK482" t="str">
        <f>""</f>
        <v/>
      </c>
      <c r="BL482" t="str">
        <f>""</f>
        <v/>
      </c>
      <c r="BM482" t="str">
        <f>""</f>
        <v/>
      </c>
      <c r="BN482" t="str">
        <f>""</f>
        <v/>
      </c>
      <c r="BO482" t="str">
        <f>""</f>
        <v/>
      </c>
      <c r="BP482" t="str">
        <f>""</f>
        <v/>
      </c>
      <c r="BQ482" t="str">
        <f>""</f>
        <v/>
      </c>
      <c r="BR482" t="str">
        <f>""</f>
        <v/>
      </c>
      <c r="BS482" t="str">
        <f>""</f>
        <v/>
      </c>
    </row>
    <row r="483" spans="1:71" x14ac:dyDescent="0.25">
      <c r="A483" t="str">
        <f>$A$63</f>
        <v xml:space="preserve">            Regions Financial Corp</v>
      </c>
      <c r="B483" t="str">
        <f>$B$63</f>
        <v>RF US Equity</v>
      </c>
      <c r="C483" t="str">
        <f>$C$63</f>
        <v>F0375</v>
      </c>
      <c r="D483" t="str">
        <f>$D$63</f>
        <v>FED_CRE_LNS_INCL_APTS_&amp;_FRMLND</v>
      </c>
      <c r="E483" t="str">
        <f>$E$63</f>
        <v>Dynamic</v>
      </c>
      <c r="F483">
        <f ca="1">_xll.BDH($B$63,$C$63,$B$425,$B$426,CONCATENATE("Per=",$B$423),"Dts=H","Dir=H",CONCATENATE("Points=",$B$424),"Sort=R","Days=A","Fill=B",CONCATENATE("FX=", $B$422),"cols=33;rows=1")</f>
        <v>15049</v>
      </c>
      <c r="G483">
        <v>15337</v>
      </c>
      <c r="H483">
        <v>15277</v>
      </c>
      <c r="I483">
        <v>14103</v>
      </c>
      <c r="J483">
        <v>14345</v>
      </c>
      <c r="K483">
        <v>13759</v>
      </c>
      <c r="L483">
        <v>13438.606</v>
      </c>
      <c r="M483">
        <v>13188.591</v>
      </c>
      <c r="N483">
        <v>14668.526</v>
      </c>
      <c r="O483">
        <v>15643.03</v>
      </c>
      <c r="P483">
        <v>15868.339</v>
      </c>
      <c r="Q483">
        <v>16845.057000000001</v>
      </c>
      <c r="R483">
        <v>18531.451000000001</v>
      </c>
      <c r="S483">
        <v>22927.569</v>
      </c>
      <c r="T483">
        <v>28953.944</v>
      </c>
      <c r="U483">
        <v>34043.442999999999</v>
      </c>
      <c r="V483">
        <v>35179.639000000003</v>
      </c>
      <c r="W483">
        <v>33246.807999999997</v>
      </c>
      <c r="X483">
        <v>2171.6170000000002</v>
      </c>
      <c r="Y483">
        <v>1640.4760000000001</v>
      </c>
      <c r="Z483">
        <v>2028.5170000000001</v>
      </c>
      <c r="AM483" t="str">
        <f>""</f>
        <v/>
      </c>
      <c r="AN483" t="str">
        <f>""</f>
        <v/>
      </c>
      <c r="AO483" t="str">
        <f>""</f>
        <v/>
      </c>
      <c r="AP483" t="str">
        <f>""</f>
        <v/>
      </c>
      <c r="AQ483" t="str">
        <f>""</f>
        <v/>
      </c>
      <c r="AR483" t="str">
        <f>""</f>
        <v/>
      </c>
      <c r="AS483" t="str">
        <f>""</f>
        <v/>
      </c>
      <c r="AT483" t="str">
        <f>""</f>
        <v/>
      </c>
      <c r="AU483" t="str">
        <f>""</f>
        <v/>
      </c>
      <c r="AV483" t="str">
        <f>""</f>
        <v/>
      </c>
      <c r="AW483" t="str">
        <f>""</f>
        <v/>
      </c>
      <c r="AX483" t="str">
        <f>""</f>
        <v/>
      </c>
      <c r="AY483" t="str">
        <f>""</f>
        <v/>
      </c>
      <c r="AZ483" t="str">
        <f>""</f>
        <v/>
      </c>
      <c r="BA483" t="str">
        <f>""</f>
        <v/>
      </c>
      <c r="BB483" t="str">
        <f>""</f>
        <v/>
      </c>
      <c r="BC483" t="str">
        <f>""</f>
        <v/>
      </c>
      <c r="BD483" t="str">
        <f>""</f>
        <v/>
      </c>
      <c r="BE483" t="str">
        <f>""</f>
        <v/>
      </c>
      <c r="BF483" t="str">
        <f>""</f>
        <v/>
      </c>
      <c r="BG483" t="str">
        <f>""</f>
        <v/>
      </c>
      <c r="BH483" t="str">
        <f>""</f>
        <v/>
      </c>
      <c r="BI483" t="str">
        <f>""</f>
        <v/>
      </c>
      <c r="BJ483" t="str">
        <f>""</f>
        <v/>
      </c>
      <c r="BK483" t="str">
        <f>""</f>
        <v/>
      </c>
      <c r="BL483" t="str">
        <f>""</f>
        <v/>
      </c>
      <c r="BM483" t="str">
        <f>""</f>
        <v/>
      </c>
      <c r="BN483" t="str">
        <f>""</f>
        <v/>
      </c>
      <c r="BO483" t="str">
        <f>""</f>
        <v/>
      </c>
      <c r="BP483" t="str">
        <f>""</f>
        <v/>
      </c>
      <c r="BQ483" t="str">
        <f>""</f>
        <v/>
      </c>
      <c r="BR483" t="str">
        <f>""</f>
        <v/>
      </c>
      <c r="BS483" t="str">
        <f>""</f>
        <v/>
      </c>
    </row>
    <row r="484" spans="1:71" x14ac:dyDescent="0.25">
      <c r="A484" t="str">
        <f>$A$64</f>
        <v xml:space="preserve">            Truist Financial Corp</v>
      </c>
      <c r="B484" t="str">
        <f>$B$64</f>
        <v>TFC US Equity</v>
      </c>
      <c r="C484" t="str">
        <f>$C$64</f>
        <v>F0375</v>
      </c>
      <c r="D484" t="str">
        <f>$D$64</f>
        <v>FED_CRE_LNS_INCL_APTS_&amp;_FRMLND</v>
      </c>
      <c r="E484" t="str">
        <f>$E$64</f>
        <v>Dynamic</v>
      </c>
      <c r="F484">
        <f ca="1">_xll.BDH($B$64,$C$64,$B$425,$B$426,CONCATENATE("Per=",$B$423),"Dts=H","Dir=H",CONCATENATE("Points=",$B$424),"Sort=R","Days=A","Fill=B",CONCATENATE("FX=", $B$422),"cols=33;rows=1")</f>
        <v>50149</v>
      </c>
      <c r="G484">
        <v>52497</v>
      </c>
      <c r="H484">
        <v>54008</v>
      </c>
      <c r="I484">
        <v>54620</v>
      </c>
      <c r="J484">
        <v>58507</v>
      </c>
      <c r="K484">
        <v>58056</v>
      </c>
      <c r="L484">
        <v>36497</v>
      </c>
      <c r="M484">
        <v>37388</v>
      </c>
      <c r="N484">
        <v>37373.552000000003</v>
      </c>
      <c r="O484">
        <v>35706.161</v>
      </c>
      <c r="P484">
        <v>29947.671999999999</v>
      </c>
      <c r="Q484">
        <v>29978.486000000001</v>
      </c>
      <c r="R484">
        <v>31367.681</v>
      </c>
      <c r="S484">
        <v>32861.379000000001</v>
      </c>
      <c r="T484">
        <v>36464.082999999999</v>
      </c>
      <c r="U484">
        <v>40174.629999999997</v>
      </c>
      <c r="V484">
        <v>36140.508000000002</v>
      </c>
      <c r="W484">
        <v>33797.294999999998</v>
      </c>
      <c r="X484">
        <v>1159.5709999999999</v>
      </c>
      <c r="Y484">
        <v>1294.623</v>
      </c>
      <c r="Z484">
        <v>1279.278</v>
      </c>
      <c r="AA484">
        <v>1231.0309999999999</v>
      </c>
      <c r="AB484">
        <v>1198.2929999999999</v>
      </c>
      <c r="AC484">
        <v>1032.18</v>
      </c>
      <c r="AD484">
        <v>877.62699999999995</v>
      </c>
      <c r="AE484">
        <v>560.41999999999996</v>
      </c>
      <c r="AF484">
        <v>532.226</v>
      </c>
      <c r="AG484">
        <v>527.93899999999996</v>
      </c>
      <c r="AH484">
        <v>376.5</v>
      </c>
      <c r="AI484">
        <v>348.34199999999998</v>
      </c>
      <c r="AJ484">
        <v>158.655</v>
      </c>
      <c r="AK484">
        <v>129.97900000000001</v>
      </c>
      <c r="AL484">
        <v>75.323999999999998</v>
      </c>
      <c r="AM484" t="str">
        <f>""</f>
        <v/>
      </c>
      <c r="AN484" t="str">
        <f>""</f>
        <v/>
      </c>
      <c r="AO484" t="str">
        <f>""</f>
        <v/>
      </c>
      <c r="AP484" t="str">
        <f>""</f>
        <v/>
      </c>
      <c r="AQ484" t="str">
        <f>""</f>
        <v/>
      </c>
      <c r="AR484" t="str">
        <f>""</f>
        <v/>
      </c>
      <c r="AS484" t="str">
        <f>""</f>
        <v/>
      </c>
      <c r="AT484" t="str">
        <f>""</f>
        <v/>
      </c>
      <c r="AU484" t="str">
        <f>""</f>
        <v/>
      </c>
      <c r="AV484" t="str">
        <f>""</f>
        <v/>
      </c>
      <c r="AW484" t="str">
        <f>""</f>
        <v/>
      </c>
      <c r="AX484" t="str">
        <f>""</f>
        <v/>
      </c>
      <c r="AY484" t="str">
        <f>""</f>
        <v/>
      </c>
      <c r="AZ484" t="str">
        <f>""</f>
        <v/>
      </c>
      <c r="BA484" t="str">
        <f>""</f>
        <v/>
      </c>
      <c r="BB484" t="str">
        <f>""</f>
        <v/>
      </c>
      <c r="BC484" t="str">
        <f>""</f>
        <v/>
      </c>
      <c r="BD484" t="str">
        <f>""</f>
        <v/>
      </c>
      <c r="BE484" t="str">
        <f>""</f>
        <v/>
      </c>
      <c r="BF484" t="str">
        <f>""</f>
        <v/>
      </c>
      <c r="BG484" t="str">
        <f>""</f>
        <v/>
      </c>
      <c r="BH484" t="str">
        <f>""</f>
        <v/>
      </c>
      <c r="BI484" t="str">
        <f>""</f>
        <v/>
      </c>
      <c r="BJ484" t="str">
        <f>""</f>
        <v/>
      </c>
      <c r="BK484" t="str">
        <f>""</f>
        <v/>
      </c>
      <c r="BL484" t="str">
        <f>""</f>
        <v/>
      </c>
      <c r="BM484" t="str">
        <f>""</f>
        <v/>
      </c>
      <c r="BN484" t="str">
        <f>""</f>
        <v/>
      </c>
      <c r="BO484" t="str">
        <f>""</f>
        <v/>
      </c>
      <c r="BP484" t="str">
        <f>""</f>
        <v/>
      </c>
      <c r="BQ484" t="str">
        <f>""</f>
        <v/>
      </c>
      <c r="BR484" t="str">
        <f>""</f>
        <v/>
      </c>
      <c r="BS484" t="str">
        <f>""</f>
        <v/>
      </c>
    </row>
    <row r="485" spans="1:71" x14ac:dyDescent="0.25">
      <c r="A485" t="str">
        <f>$A$65</f>
        <v xml:space="preserve">            US Bancorp</v>
      </c>
      <c r="B485" t="str">
        <f>$B$65</f>
        <v>USB US Equity</v>
      </c>
      <c r="C485" t="str">
        <f>$C$65</f>
        <v>F0375</v>
      </c>
      <c r="D485" t="str">
        <f>$D$65</f>
        <v>FED_CRE_LNS_INCL_APTS_&amp;_FRMLND</v>
      </c>
      <c r="E485" t="str">
        <f>$E$65</f>
        <v>Dynamic</v>
      </c>
      <c r="F485">
        <f ca="1">_xll.BDH($B$65,$C$65,$B$425,$B$426,CONCATENATE("Per=",$B$423),"Dts=H","Dir=H",CONCATENATE("Points=",$B$424),"Sort=R","Days=A","Fill=B",CONCATENATE("FX=", $B$422),"cols=33;rows=1")</f>
        <v>47297</v>
      </c>
      <c r="G485">
        <v>51640</v>
      </c>
      <c r="H485">
        <v>54011</v>
      </c>
      <c r="I485">
        <v>37468</v>
      </c>
      <c r="J485">
        <v>37767</v>
      </c>
      <c r="K485">
        <v>37909</v>
      </c>
      <c r="L485">
        <v>37413</v>
      </c>
      <c r="M485">
        <v>38267</v>
      </c>
      <c r="N485">
        <v>40646</v>
      </c>
      <c r="O485">
        <v>39566</v>
      </c>
      <c r="P485">
        <v>40073</v>
      </c>
      <c r="Q485">
        <v>39272</v>
      </c>
      <c r="R485">
        <v>38194</v>
      </c>
      <c r="S485">
        <v>39292</v>
      </c>
      <c r="T485">
        <v>40480</v>
      </c>
      <c r="U485">
        <v>41940</v>
      </c>
      <c r="V485">
        <v>32394</v>
      </c>
      <c r="W485">
        <v>27626</v>
      </c>
      <c r="X485">
        <v>2583</v>
      </c>
      <c r="Y485">
        <v>2881</v>
      </c>
      <c r="Z485">
        <v>2911</v>
      </c>
      <c r="AA485">
        <v>3119</v>
      </c>
      <c r="AB485">
        <v>3214</v>
      </c>
      <c r="AC485">
        <v>2768</v>
      </c>
      <c r="AD485">
        <v>1256.761</v>
      </c>
      <c r="AE485">
        <v>1024.2729999999999</v>
      </c>
      <c r="AF485">
        <v>935.66</v>
      </c>
      <c r="AG485">
        <v>1025.741</v>
      </c>
      <c r="AH485">
        <v>438.09800000000001</v>
      </c>
      <c r="AI485">
        <v>394.31099999999998</v>
      </c>
      <c r="AM485" t="str">
        <f>""</f>
        <v/>
      </c>
      <c r="AN485" t="str">
        <f>""</f>
        <v/>
      </c>
      <c r="AO485" t="str">
        <f>""</f>
        <v/>
      </c>
      <c r="AP485" t="str">
        <f>""</f>
        <v/>
      </c>
      <c r="AQ485" t="str">
        <f>""</f>
        <v/>
      </c>
      <c r="AR485" t="str">
        <f>""</f>
        <v/>
      </c>
      <c r="AS485" t="str">
        <f>""</f>
        <v/>
      </c>
      <c r="AT485" t="str">
        <f>""</f>
        <v/>
      </c>
      <c r="AU485" t="str">
        <f>""</f>
        <v/>
      </c>
      <c r="AV485" t="str">
        <f>""</f>
        <v/>
      </c>
      <c r="AW485" t="str">
        <f>""</f>
        <v/>
      </c>
      <c r="AX485" t="str">
        <f>""</f>
        <v/>
      </c>
      <c r="AY485" t="str">
        <f>""</f>
        <v/>
      </c>
      <c r="AZ485" t="str">
        <f>""</f>
        <v/>
      </c>
      <c r="BA485" t="str">
        <f>""</f>
        <v/>
      </c>
      <c r="BB485" t="str">
        <f>""</f>
        <v/>
      </c>
      <c r="BC485" t="str">
        <f>""</f>
        <v/>
      </c>
      <c r="BD485" t="str">
        <f>""</f>
        <v/>
      </c>
      <c r="BE485" t="str">
        <f>""</f>
        <v/>
      </c>
      <c r="BF485" t="str">
        <f>""</f>
        <v/>
      </c>
      <c r="BG485" t="str">
        <f>""</f>
        <v/>
      </c>
      <c r="BH485" t="str">
        <f>""</f>
        <v/>
      </c>
      <c r="BI485" t="str">
        <f>""</f>
        <v/>
      </c>
      <c r="BJ485" t="str">
        <f>""</f>
        <v/>
      </c>
      <c r="BK485" t="str">
        <f>""</f>
        <v/>
      </c>
      <c r="BL485" t="str">
        <f>""</f>
        <v/>
      </c>
      <c r="BM485" t="str">
        <f>""</f>
        <v/>
      </c>
      <c r="BN485" t="str">
        <f>""</f>
        <v/>
      </c>
      <c r="BO485" t="str">
        <f>""</f>
        <v/>
      </c>
      <c r="BP485" t="str">
        <f>""</f>
        <v/>
      </c>
      <c r="BQ485" t="str">
        <f>""</f>
        <v/>
      </c>
      <c r="BR485" t="str">
        <f>""</f>
        <v/>
      </c>
      <c r="BS485" t="str">
        <f>""</f>
        <v/>
      </c>
    </row>
    <row r="486" spans="1:71" x14ac:dyDescent="0.25">
      <c r="A486" t="str">
        <f>$A$66</f>
        <v xml:space="preserve">            Wells Fargo &amp; Co</v>
      </c>
      <c r="B486" t="str">
        <f>$B$66</f>
        <v>WFC US Equity</v>
      </c>
      <c r="C486" t="str">
        <f>$C$66</f>
        <v>F0375</v>
      </c>
      <c r="D486" t="str">
        <f>$D$66</f>
        <v>FED_CRE_LNS_INCL_APTS_&amp;_FRMLND</v>
      </c>
      <c r="E486" t="str">
        <f>$E$66</f>
        <v>Dynamic</v>
      </c>
      <c r="F486">
        <f ca="1">_xll.BDH($B$66,$C$66,$B$425,$B$426,CONCATENATE("Per=",$B$423),"Dts=H","Dir=H",CONCATENATE("Points=",$B$424),"Sort=R","Days=A","Fill=B",CONCATENATE("FX=", $B$422),"cols=33;rows=1")</f>
        <v>125115</v>
      </c>
      <c r="G486">
        <v>137221</v>
      </c>
      <c r="H486">
        <v>141380</v>
      </c>
      <c r="I486">
        <v>134530</v>
      </c>
      <c r="J486">
        <v>128169</v>
      </c>
      <c r="K486">
        <v>128655</v>
      </c>
      <c r="L486">
        <v>131335</v>
      </c>
      <c r="M486">
        <v>140290</v>
      </c>
      <c r="N486">
        <v>146077</v>
      </c>
      <c r="O486">
        <v>137172</v>
      </c>
      <c r="P486">
        <v>125182</v>
      </c>
      <c r="Q486">
        <v>124020</v>
      </c>
      <c r="R486">
        <v>125394</v>
      </c>
      <c r="S486">
        <v>126907</v>
      </c>
      <c r="T486">
        <v>127874</v>
      </c>
      <c r="U486">
        <v>135529</v>
      </c>
      <c r="V486">
        <v>138152</v>
      </c>
      <c r="W486">
        <v>55757</v>
      </c>
      <c r="X486">
        <v>4640</v>
      </c>
      <c r="Y486">
        <v>4318</v>
      </c>
      <c r="Z486">
        <v>4291</v>
      </c>
      <c r="AA486">
        <v>3627</v>
      </c>
      <c r="AB486">
        <v>3177</v>
      </c>
      <c r="AC486">
        <v>3156</v>
      </c>
      <c r="AD486">
        <v>3286.47</v>
      </c>
      <c r="AE486">
        <v>2860.7510000000002</v>
      </c>
      <c r="AF486">
        <v>2803.127</v>
      </c>
      <c r="AG486">
        <v>1137.0920000000001</v>
      </c>
      <c r="AH486">
        <v>1092.96</v>
      </c>
      <c r="AI486">
        <v>858.49400000000003</v>
      </c>
      <c r="AM486" t="str">
        <f>""</f>
        <v/>
      </c>
      <c r="AN486" t="str">
        <f>""</f>
        <v/>
      </c>
      <c r="AO486" t="str">
        <f>""</f>
        <v/>
      </c>
      <c r="AP486" t="str">
        <f>""</f>
        <v/>
      </c>
      <c r="AQ486" t="str">
        <f>""</f>
        <v/>
      </c>
      <c r="AR486" t="str">
        <f>""</f>
        <v/>
      </c>
      <c r="AS486" t="str">
        <f>""</f>
        <v/>
      </c>
      <c r="AT486" t="str">
        <f>""</f>
        <v/>
      </c>
      <c r="AU486" t="str">
        <f>""</f>
        <v/>
      </c>
      <c r="AV486" t="str">
        <f>""</f>
        <v/>
      </c>
      <c r="AW486" t="str">
        <f>""</f>
        <v/>
      </c>
      <c r="AX486" t="str">
        <f>""</f>
        <v/>
      </c>
      <c r="AY486" t="str">
        <f>""</f>
        <v/>
      </c>
      <c r="AZ486" t="str">
        <f>""</f>
        <v/>
      </c>
      <c r="BA486" t="str">
        <f>""</f>
        <v/>
      </c>
      <c r="BB486" t="str">
        <f>""</f>
        <v/>
      </c>
      <c r="BC486" t="str">
        <f>""</f>
        <v/>
      </c>
      <c r="BD486" t="str">
        <f>""</f>
        <v/>
      </c>
      <c r="BE486" t="str">
        <f>""</f>
        <v/>
      </c>
      <c r="BF486" t="str">
        <f>""</f>
        <v/>
      </c>
      <c r="BG486" t="str">
        <f>""</f>
        <v/>
      </c>
      <c r="BH486" t="str">
        <f>""</f>
        <v/>
      </c>
      <c r="BI486" t="str">
        <f>""</f>
        <v/>
      </c>
      <c r="BJ486" t="str">
        <f>""</f>
        <v/>
      </c>
      <c r="BK486" t="str">
        <f>""</f>
        <v/>
      </c>
      <c r="BL486" t="str">
        <f>""</f>
        <v/>
      </c>
      <c r="BM486" t="str">
        <f>""</f>
        <v/>
      </c>
      <c r="BN486" t="str">
        <f>""</f>
        <v/>
      </c>
      <c r="BO486" t="str">
        <f>""</f>
        <v/>
      </c>
      <c r="BP486" t="str">
        <f>""</f>
        <v/>
      </c>
      <c r="BQ486" t="str">
        <f>""</f>
        <v/>
      </c>
      <c r="BR486" t="str">
        <f>""</f>
        <v/>
      </c>
      <c r="BS486" t="str">
        <f>""</f>
        <v/>
      </c>
    </row>
    <row r="487" spans="1:71" x14ac:dyDescent="0.25">
      <c r="A487" t="str">
        <f>$A$67</f>
        <v xml:space="preserve">            Western Alliance Bancorp</v>
      </c>
      <c r="B487" t="str">
        <f>$B$67</f>
        <v>WAL US Equity</v>
      </c>
      <c r="C487" t="str">
        <f>$C$67</f>
        <v>F0375</v>
      </c>
      <c r="D487" t="str">
        <f>$D$67</f>
        <v>FED_CRE_LNS_INCL_APTS_&amp;_FRMLND</v>
      </c>
      <c r="E487" t="str">
        <f>$E$67</f>
        <v>Dynamic</v>
      </c>
      <c r="F487">
        <f ca="1">_xll.BDH($B$67,$C$67,$B$425,$B$426,CONCATENATE("Per=",$B$423),"Dts=H","Dir=H",CONCATENATE("Points=",$B$424),"Sort=R","Days=A","Fill=B",CONCATENATE("FX=", $B$422),"cols=33;rows=1")</f>
        <v>15932.081</v>
      </c>
      <c r="G487">
        <v>16094.609</v>
      </c>
      <c r="H487">
        <v>14902.397999999999</v>
      </c>
      <c r="I487">
        <v>11195.786</v>
      </c>
      <c r="J487">
        <v>9930.9110000000001</v>
      </c>
      <c r="K487">
        <v>9187.7610000000004</v>
      </c>
      <c r="L487">
        <v>8356.07</v>
      </c>
      <c r="M487">
        <v>7449.0950000000003</v>
      </c>
      <c r="N487">
        <v>6785.4369999999999</v>
      </c>
      <c r="O487">
        <v>5268.82</v>
      </c>
      <c r="P487">
        <v>4503.5959999999995</v>
      </c>
      <c r="Q487">
        <v>3926.3589999999999</v>
      </c>
      <c r="R487">
        <v>3296.7179999999998</v>
      </c>
      <c r="S487">
        <v>2935.03</v>
      </c>
      <c r="T487">
        <v>2713.3420000000001</v>
      </c>
      <c r="U487">
        <v>2647.9659999999999</v>
      </c>
      <c r="V487">
        <v>2593.9569999999999</v>
      </c>
      <c r="W487">
        <v>2319.7739999999999</v>
      </c>
      <c r="X487">
        <v>33.357999999999997</v>
      </c>
      <c r="Y487">
        <v>25.370999999999999</v>
      </c>
      <c r="Z487">
        <v>17.314</v>
      </c>
      <c r="AA487">
        <v>13.949</v>
      </c>
      <c r="AB487">
        <v>4.234</v>
      </c>
      <c r="AC487">
        <v>2.3420000000000001</v>
      </c>
      <c r="AM487" t="str">
        <f>""</f>
        <v/>
      </c>
      <c r="AN487" t="str">
        <f>""</f>
        <v/>
      </c>
      <c r="AO487" t="str">
        <f>""</f>
        <v/>
      </c>
      <c r="AP487" t="str">
        <f>""</f>
        <v/>
      </c>
      <c r="AQ487" t="str">
        <f>""</f>
        <v/>
      </c>
      <c r="AR487" t="str">
        <f>""</f>
        <v/>
      </c>
      <c r="AS487" t="str">
        <f>""</f>
        <v/>
      </c>
      <c r="AT487" t="str">
        <f>""</f>
        <v/>
      </c>
      <c r="AU487" t="str">
        <f>""</f>
        <v/>
      </c>
      <c r="AV487" t="str">
        <f>""</f>
        <v/>
      </c>
      <c r="AW487" t="str">
        <f>""</f>
        <v/>
      </c>
      <c r="AX487" t="str">
        <f>""</f>
        <v/>
      </c>
      <c r="AY487" t="str">
        <f>""</f>
        <v/>
      </c>
      <c r="AZ487" t="str">
        <f>""</f>
        <v/>
      </c>
      <c r="BA487" t="str">
        <f>""</f>
        <v/>
      </c>
      <c r="BB487" t="str">
        <f>""</f>
        <v/>
      </c>
      <c r="BC487" t="str">
        <f>""</f>
        <v/>
      </c>
      <c r="BD487" t="str">
        <f>""</f>
        <v/>
      </c>
      <c r="BE487" t="str">
        <f>""</f>
        <v/>
      </c>
      <c r="BF487" t="str">
        <f>""</f>
        <v/>
      </c>
      <c r="BG487" t="str">
        <f>""</f>
        <v/>
      </c>
      <c r="BH487" t="str">
        <f>""</f>
        <v/>
      </c>
      <c r="BI487" t="str">
        <f>""</f>
        <v/>
      </c>
      <c r="BJ487" t="str">
        <f>""</f>
        <v/>
      </c>
      <c r="BK487" t="str">
        <f>""</f>
        <v/>
      </c>
      <c r="BL487" t="str">
        <f>""</f>
        <v/>
      </c>
      <c r="BM487" t="str">
        <f>""</f>
        <v/>
      </c>
      <c r="BN487" t="str">
        <f>""</f>
        <v/>
      </c>
      <c r="BO487" t="str">
        <f>""</f>
        <v/>
      </c>
      <c r="BP487" t="str">
        <f>""</f>
        <v/>
      </c>
      <c r="BQ487" t="str">
        <f>""</f>
        <v/>
      </c>
      <c r="BR487" t="str">
        <f>""</f>
        <v/>
      </c>
      <c r="BS487" t="str">
        <f>""</f>
        <v/>
      </c>
    </row>
    <row r="488" spans="1:71" x14ac:dyDescent="0.25">
      <c r="A488" t="str">
        <f>$A$68</f>
        <v xml:space="preserve">            Zions Bancorp NA</v>
      </c>
      <c r="B488" t="str">
        <f>$B$68</f>
        <v>ZION US Equity</v>
      </c>
      <c r="C488" t="str">
        <f>$C$68</f>
        <v>F0375</v>
      </c>
      <c r="D488" t="str">
        <f>$D$68</f>
        <v>FED_CRE_LNS_INCL_APTS_&amp;_FRMLND</v>
      </c>
      <c r="E488" t="str">
        <f>$E$68</f>
        <v>Dynamic</v>
      </c>
      <c r="F488">
        <f ca="1">_xll.BDH($B$68,$C$68,$B$425,$B$426,CONCATENATE("Per=",$B$423),"Dts=H","Dir=H",CONCATENATE("Points=",$B$424),"Sort=R","Days=A","Fill=B",CONCATENATE("FX=", $B$422),"cols=33;rows=1")</f>
        <v>3131.9250000000002</v>
      </c>
      <c r="G488">
        <v>2990.797</v>
      </c>
      <c r="H488">
        <v>2583.4470000000001</v>
      </c>
      <c r="I488">
        <v>2220.0419999999999</v>
      </c>
      <c r="AM488" t="str">
        <f>""</f>
        <v/>
      </c>
      <c r="AN488" t="str">
        <f>""</f>
        <v/>
      </c>
      <c r="AO488" t="str">
        <f>""</f>
        <v/>
      </c>
      <c r="AP488" t="str">
        <f>""</f>
        <v/>
      </c>
      <c r="AQ488" t="str">
        <f>""</f>
        <v/>
      </c>
      <c r="AR488" t="str">
        <f>""</f>
        <v/>
      </c>
      <c r="AS488" t="str">
        <f>""</f>
        <v/>
      </c>
      <c r="AT488" t="str">
        <f>""</f>
        <v/>
      </c>
      <c r="AU488" t="str">
        <f>""</f>
        <v/>
      </c>
      <c r="AV488" t="str">
        <f>""</f>
        <v/>
      </c>
      <c r="AW488" t="str">
        <f>""</f>
        <v/>
      </c>
      <c r="AX488" t="str">
        <f>""</f>
        <v/>
      </c>
      <c r="AY488" t="str">
        <f>""</f>
        <v/>
      </c>
      <c r="AZ488" t="str">
        <f>""</f>
        <v/>
      </c>
      <c r="BA488" t="str">
        <f>""</f>
        <v/>
      </c>
      <c r="BB488" t="str">
        <f>""</f>
        <v/>
      </c>
      <c r="BC488" t="str">
        <f>""</f>
        <v/>
      </c>
      <c r="BD488" t="str">
        <f>""</f>
        <v/>
      </c>
      <c r="BE488" t="str">
        <f>""</f>
        <v/>
      </c>
      <c r="BF488" t="str">
        <f>""</f>
        <v/>
      </c>
      <c r="BG488" t="str">
        <f>""</f>
        <v/>
      </c>
      <c r="BH488" t="str">
        <f>""</f>
        <v/>
      </c>
      <c r="BI488" t="str">
        <f>""</f>
        <v/>
      </c>
      <c r="BJ488" t="str">
        <f>""</f>
        <v/>
      </c>
      <c r="BK488" t="str">
        <f>""</f>
        <v/>
      </c>
      <c r="BL488" t="str">
        <f>""</f>
        <v/>
      </c>
      <c r="BM488" t="str">
        <f>""</f>
        <v/>
      </c>
      <c r="BN488" t="str">
        <f>""</f>
        <v/>
      </c>
      <c r="BO488" t="str">
        <f>""</f>
        <v/>
      </c>
      <c r="BP488" t="str">
        <f>""</f>
        <v/>
      </c>
      <c r="BQ488" t="str">
        <f>""</f>
        <v/>
      </c>
      <c r="BR488" t="str">
        <f>""</f>
        <v/>
      </c>
      <c r="BS488" t="str">
        <f>""</f>
        <v/>
      </c>
    </row>
    <row r="489" spans="1:71" x14ac:dyDescent="0.25">
      <c r="A489" t="str">
        <f>$A$70</f>
        <v xml:space="preserve">        Bank of America Corp</v>
      </c>
      <c r="B489" t="str">
        <f>$B$70</f>
        <v>BAC US Equity</v>
      </c>
      <c r="C489" t="str">
        <f>$C$70</f>
        <v>F0093</v>
      </c>
      <c r="D489" t="str">
        <f>$D$70</f>
        <v>FED_REAL_ESTATE_LOANS_DOMESTIC</v>
      </c>
      <c r="E489" t="str">
        <f>$E$70</f>
        <v>Dynamic</v>
      </c>
      <c r="F489">
        <f ca="1">_xll.BDH($B$70,$C$70,$B$425,$B$426,CONCATENATE("Per=",$B$423),"Dts=H","Dir=H",CONCATENATE("Points=",$B$424),"Sort=R","Days=A","Fill=B",CONCATENATE("FX=", $B$422),"cols=33;rows=1")</f>
        <v>331785</v>
      </c>
      <c r="G489">
        <v>335755</v>
      </c>
      <c r="H489">
        <v>335891</v>
      </c>
      <c r="I489">
        <v>329906</v>
      </c>
      <c r="J489">
        <v>334418</v>
      </c>
      <c r="K489">
        <v>356416</v>
      </c>
      <c r="L489">
        <v>331862</v>
      </c>
      <c r="M489">
        <v>336900</v>
      </c>
      <c r="N489">
        <v>335591</v>
      </c>
      <c r="O489">
        <v>342799</v>
      </c>
      <c r="P489">
        <v>368541</v>
      </c>
      <c r="Q489">
        <v>415462</v>
      </c>
      <c r="R489">
        <v>442394.2</v>
      </c>
      <c r="S489">
        <v>479145.1</v>
      </c>
      <c r="T489">
        <v>511755.1</v>
      </c>
      <c r="U489">
        <v>541958.1</v>
      </c>
      <c r="V489">
        <v>533929.1</v>
      </c>
      <c r="W489">
        <v>498377.3</v>
      </c>
      <c r="X489">
        <v>324670.7</v>
      </c>
      <c r="Y489">
        <v>257019.9</v>
      </c>
      <c r="Z489">
        <v>240031.9</v>
      </c>
      <c r="AA489">
        <v>174320.3</v>
      </c>
      <c r="AB489">
        <v>147805</v>
      </c>
      <c r="AC489">
        <v>105731</v>
      </c>
      <c r="AM489" t="str">
        <f>""</f>
        <v/>
      </c>
      <c r="AN489" t="str">
        <f>""</f>
        <v/>
      </c>
      <c r="AO489" t="str">
        <f>""</f>
        <v/>
      </c>
      <c r="AP489" t="str">
        <f>""</f>
        <v/>
      </c>
      <c r="AQ489" t="str">
        <f>""</f>
        <v/>
      </c>
      <c r="AR489" t="str">
        <f>""</f>
        <v/>
      </c>
      <c r="AS489" t="str">
        <f>""</f>
        <v/>
      </c>
      <c r="AT489" t="str">
        <f>""</f>
        <v/>
      </c>
      <c r="AU489" t="str">
        <f>""</f>
        <v/>
      </c>
      <c r="AV489" t="str">
        <f>""</f>
        <v/>
      </c>
      <c r="AW489" t="str">
        <f>""</f>
        <v/>
      </c>
      <c r="AX489" t="str">
        <f>""</f>
        <v/>
      </c>
      <c r="AY489" t="str">
        <f>""</f>
        <v/>
      </c>
      <c r="AZ489" t="str">
        <f>""</f>
        <v/>
      </c>
      <c r="BA489" t="str">
        <f>""</f>
        <v/>
      </c>
      <c r="BB489" t="str">
        <f>""</f>
        <v/>
      </c>
      <c r="BC489" t="str">
        <f>""</f>
        <v/>
      </c>
      <c r="BD489" t="str">
        <f>""</f>
        <v/>
      </c>
      <c r="BE489" t="str">
        <f>""</f>
        <v/>
      </c>
      <c r="BF489" t="str">
        <f>""</f>
        <v/>
      </c>
      <c r="BG489" t="str">
        <f>""</f>
        <v/>
      </c>
      <c r="BH489" t="str">
        <f>""</f>
        <v/>
      </c>
      <c r="BI489" t="str">
        <f>""</f>
        <v/>
      </c>
      <c r="BJ489" t="str">
        <f>""</f>
        <v/>
      </c>
      <c r="BK489" t="str">
        <f>""</f>
        <v/>
      </c>
      <c r="BL489" t="str">
        <f>""</f>
        <v/>
      </c>
      <c r="BM489" t="str">
        <f>""</f>
        <v/>
      </c>
      <c r="BN489" t="str">
        <f>""</f>
        <v/>
      </c>
      <c r="BO489" t="str">
        <f>""</f>
        <v/>
      </c>
      <c r="BP489" t="str">
        <f>""</f>
        <v/>
      </c>
      <c r="BQ489" t="str">
        <f>""</f>
        <v/>
      </c>
      <c r="BR489" t="str">
        <f>""</f>
        <v/>
      </c>
      <c r="BS489" t="str">
        <f>""</f>
        <v/>
      </c>
    </row>
    <row r="490" spans="1:71" x14ac:dyDescent="0.25">
      <c r="A490" t="str">
        <f>$A$71</f>
        <v xml:space="preserve">        Citigroup Inc</v>
      </c>
      <c r="B490" t="str">
        <f>$B$71</f>
        <v>C US Equity</v>
      </c>
      <c r="C490" t="str">
        <f>$C$71</f>
        <v>F0093</v>
      </c>
      <c r="D490" t="str">
        <f>$D$71</f>
        <v>FED_REAL_ESTATE_LOANS_DOMESTIC</v>
      </c>
      <c r="E490" t="str">
        <f>$E$71</f>
        <v>Dynamic</v>
      </c>
      <c r="F490">
        <f ca="1">_xll.BDH($B$71,$C$71,$B$425,$B$426,CONCATENATE("Per=",$B$423),"Dts=H","Dir=H",CONCATENATE("Points=",$B$424),"Sort=R","Days=A","Fill=B",CONCATENATE("FX=", $B$422),"cols=33;rows=1")</f>
        <v>144490</v>
      </c>
      <c r="G490">
        <v>139627</v>
      </c>
      <c r="H490">
        <v>128739</v>
      </c>
      <c r="I490">
        <v>119991</v>
      </c>
      <c r="J490">
        <v>119849</v>
      </c>
      <c r="K490">
        <v>116021</v>
      </c>
      <c r="L490">
        <v>113681</v>
      </c>
      <c r="M490">
        <v>111757</v>
      </c>
      <c r="N490">
        <v>115374</v>
      </c>
      <c r="O490">
        <v>121033</v>
      </c>
      <c r="P490">
        <v>128902</v>
      </c>
      <c r="Q490">
        <v>137593</v>
      </c>
      <c r="R490">
        <v>157111</v>
      </c>
      <c r="S490">
        <v>167296</v>
      </c>
      <c r="T490">
        <v>179800</v>
      </c>
      <c r="U490">
        <v>212969</v>
      </c>
      <c r="V490">
        <v>243391</v>
      </c>
      <c r="W490">
        <v>264374</v>
      </c>
      <c r="X490">
        <v>227981</v>
      </c>
      <c r="Y490">
        <v>192064</v>
      </c>
      <c r="Z490">
        <v>165437</v>
      </c>
      <c r="AA490">
        <v>133606</v>
      </c>
      <c r="AB490">
        <v>125904</v>
      </c>
      <c r="AC490">
        <v>84500</v>
      </c>
      <c r="AD490">
        <v>15103.74</v>
      </c>
      <c r="AE490">
        <v>12964.43</v>
      </c>
      <c r="AF490">
        <v>12484.91</v>
      </c>
      <c r="AM490" t="str">
        <f>""</f>
        <v/>
      </c>
      <c r="AN490" t="str">
        <f>""</f>
        <v/>
      </c>
      <c r="AO490" t="str">
        <f>""</f>
        <v/>
      </c>
      <c r="AP490" t="str">
        <f>""</f>
        <v/>
      </c>
      <c r="AQ490" t="str">
        <f>""</f>
        <v/>
      </c>
      <c r="AR490" t="str">
        <f>""</f>
        <v/>
      </c>
      <c r="AS490" t="str">
        <f>""</f>
        <v/>
      </c>
      <c r="AT490" t="str">
        <f>""</f>
        <v/>
      </c>
      <c r="AU490" t="str">
        <f>""</f>
        <v/>
      </c>
      <c r="AV490" t="str">
        <f>""</f>
        <v/>
      </c>
      <c r="AW490" t="str">
        <f>""</f>
        <v/>
      </c>
      <c r="AX490" t="str">
        <f>""</f>
        <v/>
      </c>
      <c r="AY490" t="str">
        <f>""</f>
        <v/>
      </c>
      <c r="AZ490" t="str">
        <f>""</f>
        <v/>
      </c>
      <c r="BA490" t="str">
        <f>""</f>
        <v/>
      </c>
      <c r="BB490" t="str">
        <f>""</f>
        <v/>
      </c>
      <c r="BC490" t="str">
        <f>""</f>
        <v/>
      </c>
      <c r="BD490" t="str">
        <f>""</f>
        <v/>
      </c>
      <c r="BE490" t="str">
        <f>""</f>
        <v/>
      </c>
      <c r="BF490" t="str">
        <f>""</f>
        <v/>
      </c>
      <c r="BG490" t="str">
        <f>""</f>
        <v/>
      </c>
      <c r="BH490" t="str">
        <f>""</f>
        <v/>
      </c>
      <c r="BI490" t="str">
        <f>""</f>
        <v/>
      </c>
      <c r="BJ490" t="str">
        <f>""</f>
        <v/>
      </c>
      <c r="BK490" t="str">
        <f>""</f>
        <v/>
      </c>
      <c r="BL490" t="str">
        <f>""</f>
        <v/>
      </c>
      <c r="BM490" t="str">
        <f>""</f>
        <v/>
      </c>
      <c r="BN490" t="str">
        <f>""</f>
        <v/>
      </c>
      <c r="BO490" t="str">
        <f>""</f>
        <v/>
      </c>
      <c r="BP490" t="str">
        <f>""</f>
        <v/>
      </c>
      <c r="BQ490" t="str">
        <f>""</f>
        <v/>
      </c>
      <c r="BR490" t="str">
        <f>""</f>
        <v/>
      </c>
      <c r="BS490" t="str">
        <f>""</f>
        <v/>
      </c>
    </row>
    <row r="491" spans="1:71" x14ac:dyDescent="0.25">
      <c r="A491" t="str">
        <f>$A$72</f>
        <v xml:space="preserve">        Citizens Financial Group Inc</v>
      </c>
      <c r="B491" t="str">
        <f>$B$72</f>
        <v>CFG US Equity</v>
      </c>
      <c r="C491" t="str">
        <f>$C$72</f>
        <v>F0093</v>
      </c>
      <c r="D491" t="str">
        <f>$D$72</f>
        <v>FED_REAL_ESTATE_LOANS_DOMESTIC</v>
      </c>
      <c r="E491" t="str">
        <f>$E$72</f>
        <v>Dynamic</v>
      </c>
      <c r="F491">
        <f ca="1">_xll.BDH($B$72,$C$72,$B$425,$B$426,CONCATENATE("Per=",$B$423),"Dts=H","Dir=H",CONCATENATE("Points=",$B$424),"Sort=R","Days=A","Fill=B",CONCATENATE("FX=", $B$422),"cols=33;rows=1")</f>
        <v>80035.12</v>
      </c>
      <c r="G491">
        <v>79103.039999999994</v>
      </c>
      <c r="H491">
        <v>76711.759999999995</v>
      </c>
      <c r="I491">
        <v>53965.29</v>
      </c>
      <c r="J491">
        <v>53656.42</v>
      </c>
      <c r="K491">
        <v>51874.55</v>
      </c>
      <c r="L491">
        <v>50423.19</v>
      </c>
      <c r="M491">
        <v>47707.3</v>
      </c>
      <c r="N491">
        <v>45605.29</v>
      </c>
      <c r="O491">
        <v>43759.94</v>
      </c>
      <c r="P491">
        <v>42862.74</v>
      </c>
      <c r="Q491">
        <v>42980.12</v>
      </c>
      <c r="R491">
        <v>46160.66</v>
      </c>
      <c r="S491">
        <v>50277.27</v>
      </c>
      <c r="T491">
        <v>52829.07</v>
      </c>
      <c r="U491">
        <v>58106.78</v>
      </c>
      <c r="V491">
        <v>65618.990000000005</v>
      </c>
      <c r="W491">
        <v>65996.47</v>
      </c>
      <c r="X491">
        <v>54214.25</v>
      </c>
      <c r="Y491">
        <v>51379.51</v>
      </c>
      <c r="Z491">
        <v>42020.78</v>
      </c>
      <c r="AA491">
        <v>17673.86</v>
      </c>
      <c r="AB491">
        <v>9403.4860000000008</v>
      </c>
      <c r="AC491">
        <v>6042.107</v>
      </c>
      <c r="AM491" t="str">
        <f>""</f>
        <v/>
      </c>
      <c r="AN491" t="str">
        <f>""</f>
        <v/>
      </c>
      <c r="AO491" t="str">
        <f>""</f>
        <v/>
      </c>
      <c r="AP491" t="str">
        <f>""</f>
        <v/>
      </c>
      <c r="AQ491" t="str">
        <f>""</f>
        <v/>
      </c>
      <c r="AR491" t="str">
        <f>""</f>
        <v/>
      </c>
      <c r="AS491" t="str">
        <f>""</f>
        <v/>
      </c>
      <c r="AT491" t="str">
        <f>""</f>
        <v/>
      </c>
      <c r="AU491" t="str">
        <f>""</f>
        <v/>
      </c>
      <c r="AV491" t="str">
        <f>""</f>
        <v/>
      </c>
      <c r="AW491" t="str">
        <f>""</f>
        <v/>
      </c>
      <c r="AX491" t="str">
        <f>""</f>
        <v/>
      </c>
      <c r="AY491" t="str">
        <f>""</f>
        <v/>
      </c>
      <c r="AZ491" t="str">
        <f>""</f>
        <v/>
      </c>
      <c r="BA491" t="str">
        <f>""</f>
        <v/>
      </c>
      <c r="BB491" t="str">
        <f>""</f>
        <v/>
      </c>
      <c r="BC491" t="str">
        <f>""</f>
        <v/>
      </c>
      <c r="BD491" t="str">
        <f>""</f>
        <v/>
      </c>
      <c r="BE491" t="str">
        <f>""</f>
        <v/>
      </c>
      <c r="BF491" t="str">
        <f>""</f>
        <v/>
      </c>
      <c r="BG491" t="str">
        <f>""</f>
        <v/>
      </c>
      <c r="BH491" t="str">
        <f>""</f>
        <v/>
      </c>
      <c r="BI491" t="str">
        <f>""</f>
        <v/>
      </c>
      <c r="BJ491" t="str">
        <f>""</f>
        <v/>
      </c>
      <c r="BK491" t="str">
        <f>""</f>
        <v/>
      </c>
      <c r="BL491" t="str">
        <f>""</f>
        <v/>
      </c>
      <c r="BM491" t="str">
        <f>""</f>
        <v/>
      </c>
      <c r="BN491" t="str">
        <f>""</f>
        <v/>
      </c>
      <c r="BO491" t="str">
        <f>""</f>
        <v/>
      </c>
      <c r="BP491" t="str">
        <f>""</f>
        <v/>
      </c>
      <c r="BQ491" t="str">
        <f>""</f>
        <v/>
      </c>
      <c r="BR491" t="str">
        <f>""</f>
        <v/>
      </c>
      <c r="BS491" t="str">
        <f>""</f>
        <v/>
      </c>
    </row>
    <row r="492" spans="1:71" x14ac:dyDescent="0.25">
      <c r="A492" t="str">
        <f>$A$73</f>
        <v xml:space="preserve">        Capital One Financial Corp</v>
      </c>
      <c r="B492" t="str">
        <f>$B$73</f>
        <v>COF US Equity</v>
      </c>
      <c r="C492" t="str">
        <f>$C$73</f>
        <v>F0093</v>
      </c>
      <c r="D492" t="str">
        <f>$D$73</f>
        <v>FED_REAL_ESTATE_LOANS_DOMESTIC</v>
      </c>
      <c r="E492" t="str">
        <f>$E$73</f>
        <v>Dynamic</v>
      </c>
      <c r="F492">
        <f ca="1">_xll.BDH($B$73,$C$73,$B$425,$B$426,CONCATENATE("Per=",$B$423),"Dts=H","Dir=H",CONCATENATE("Points=",$B$424),"Sort=R","Days=A","Fill=B",CONCATENATE("FX=", $B$422),"cols=33;rows=1")</f>
        <v>26501.8</v>
      </c>
      <c r="G492">
        <v>29079.4</v>
      </c>
      <c r="H492">
        <v>30464.7</v>
      </c>
      <c r="I492">
        <v>32189.45</v>
      </c>
      <c r="J492">
        <v>32254.84</v>
      </c>
      <c r="K492">
        <v>31305.69</v>
      </c>
      <c r="L492">
        <v>31041.55</v>
      </c>
      <c r="M492">
        <v>48045.83</v>
      </c>
      <c r="N492">
        <v>52749.81</v>
      </c>
      <c r="O492">
        <v>54394.46</v>
      </c>
      <c r="P492">
        <v>54212.78</v>
      </c>
      <c r="Q492">
        <v>58449.71</v>
      </c>
      <c r="R492">
        <v>65210.26</v>
      </c>
      <c r="S492">
        <v>30985.47</v>
      </c>
      <c r="T492">
        <v>31522.41</v>
      </c>
      <c r="U492">
        <v>35503.17</v>
      </c>
      <c r="V492">
        <v>30910.25</v>
      </c>
      <c r="W492">
        <v>32049.11</v>
      </c>
      <c r="X492">
        <v>28923.06</v>
      </c>
      <c r="Y492">
        <v>6140.5320000000002</v>
      </c>
      <c r="Z492">
        <v>40.158000000000001</v>
      </c>
      <c r="AM492" t="str">
        <f>""</f>
        <v/>
      </c>
      <c r="AN492" t="str">
        <f>""</f>
        <v/>
      </c>
      <c r="AO492" t="str">
        <f>""</f>
        <v/>
      </c>
      <c r="AP492" t="str">
        <f>""</f>
        <v/>
      </c>
      <c r="AQ492" t="str">
        <f>""</f>
        <v/>
      </c>
      <c r="AR492" t="str">
        <f>""</f>
        <v/>
      </c>
      <c r="AS492" t="str">
        <f>""</f>
        <v/>
      </c>
      <c r="AT492" t="str">
        <f>""</f>
        <v/>
      </c>
      <c r="AU492" t="str">
        <f>""</f>
        <v/>
      </c>
      <c r="AV492" t="str">
        <f>""</f>
        <v/>
      </c>
      <c r="AW492" t="str">
        <f>""</f>
        <v/>
      </c>
      <c r="AX492" t="str">
        <f>""</f>
        <v/>
      </c>
      <c r="AY492" t="str">
        <f>""</f>
        <v/>
      </c>
      <c r="AZ492" t="str">
        <f>""</f>
        <v/>
      </c>
      <c r="BA492" t="str">
        <f>""</f>
        <v/>
      </c>
      <c r="BB492" t="str">
        <f>""</f>
        <v/>
      </c>
      <c r="BC492" t="str">
        <f>""</f>
        <v/>
      </c>
      <c r="BD492" t="str">
        <f>""</f>
        <v/>
      </c>
      <c r="BE492" t="str">
        <f>""</f>
        <v/>
      </c>
      <c r="BF492" t="str">
        <f>""</f>
        <v/>
      </c>
      <c r="BG492" t="str">
        <f>""</f>
        <v/>
      </c>
      <c r="BH492" t="str">
        <f>""</f>
        <v/>
      </c>
      <c r="BI492" t="str">
        <f>""</f>
        <v/>
      </c>
      <c r="BJ492" t="str">
        <f>""</f>
        <v/>
      </c>
      <c r="BK492" t="str">
        <f>""</f>
        <v/>
      </c>
      <c r="BL492" t="str">
        <f>""</f>
        <v/>
      </c>
      <c r="BM492" t="str">
        <f>""</f>
        <v/>
      </c>
      <c r="BN492" t="str">
        <f>""</f>
        <v/>
      </c>
      <c r="BO492" t="str">
        <f>""</f>
        <v/>
      </c>
      <c r="BP492" t="str">
        <f>""</f>
        <v/>
      </c>
      <c r="BQ492" t="str">
        <f>""</f>
        <v/>
      </c>
      <c r="BR492" t="str">
        <f>""</f>
        <v/>
      </c>
      <c r="BS492" t="str">
        <f>""</f>
        <v/>
      </c>
    </row>
    <row r="493" spans="1:71" x14ac:dyDescent="0.25">
      <c r="A493" t="str">
        <f>$A$74</f>
        <v xml:space="preserve">        Comerica Inc</v>
      </c>
      <c r="B493" t="str">
        <f>$B$74</f>
        <v>CMA US Equity</v>
      </c>
      <c r="C493" t="str">
        <f>$C$74</f>
        <v>F0093</v>
      </c>
      <c r="D493" t="str">
        <f>$D$74</f>
        <v>FED_REAL_ESTATE_LOANS_DOMESTIC</v>
      </c>
      <c r="E493" t="str">
        <f>$E$74</f>
        <v>Dynamic</v>
      </c>
      <c r="F493">
        <f ca="1">_xll.BDH($B$74,$C$74,$B$425,$B$426,CONCATENATE("Per=",$B$423),"Dts=H","Dir=H",CONCATENATE("Points=",$B$424),"Sort=R","Days=A","Fill=B",CONCATENATE("FX=", $B$422),"cols=33;rows=1")</f>
        <v>21834</v>
      </c>
      <c r="G493">
        <v>22223</v>
      </c>
      <c r="H493">
        <v>19676</v>
      </c>
      <c r="I493">
        <v>17197</v>
      </c>
      <c r="J493">
        <v>17134</v>
      </c>
      <c r="K493">
        <v>16313</v>
      </c>
      <c r="L493">
        <v>15722.13</v>
      </c>
      <c r="M493">
        <v>15790.81</v>
      </c>
      <c r="N493">
        <v>15520.5</v>
      </c>
      <c r="O493">
        <v>14593</v>
      </c>
      <c r="P493">
        <v>14007.2</v>
      </c>
      <c r="Q493">
        <v>13657.53</v>
      </c>
      <c r="R493">
        <v>13714.93</v>
      </c>
      <c r="S493">
        <v>14778.31</v>
      </c>
      <c r="T493">
        <v>15373.89</v>
      </c>
      <c r="U493">
        <v>17985.07</v>
      </c>
      <c r="V493">
        <v>21756.94</v>
      </c>
      <c r="W493">
        <v>22065.5</v>
      </c>
      <c r="X493">
        <v>3467.2809999999999</v>
      </c>
      <c r="Y493">
        <v>3446.01</v>
      </c>
      <c r="Z493">
        <v>3205.393</v>
      </c>
      <c r="AA493">
        <v>2987.223</v>
      </c>
      <c r="AB493">
        <v>2822.9780000000001</v>
      </c>
      <c r="AC493">
        <v>2570.8530000000001</v>
      </c>
      <c r="AD493">
        <v>2474.9690000000001</v>
      </c>
      <c r="AE493">
        <v>2419.7979999999998</v>
      </c>
      <c r="AF493">
        <v>2513.7339999999999</v>
      </c>
      <c r="AG493">
        <v>2828.2190000000001</v>
      </c>
      <c r="AH493">
        <v>2979.5680000000002</v>
      </c>
      <c r="AI493">
        <v>3526.404</v>
      </c>
      <c r="AJ493">
        <v>3542.7020000000002</v>
      </c>
      <c r="AK493">
        <v>3149.5230000000001</v>
      </c>
      <c r="AL493">
        <v>3246.9560000000001</v>
      </c>
      <c r="AM493" t="str">
        <f>""</f>
        <v/>
      </c>
      <c r="AN493" t="str">
        <f>""</f>
        <v/>
      </c>
      <c r="AO493" t="str">
        <f>""</f>
        <v/>
      </c>
      <c r="AP493" t="str">
        <f>""</f>
        <v/>
      </c>
      <c r="AQ493" t="str">
        <f>""</f>
        <v/>
      </c>
      <c r="AR493" t="str">
        <f>""</f>
        <v/>
      </c>
      <c r="AS493" t="str">
        <f>""</f>
        <v/>
      </c>
      <c r="AT493" t="str">
        <f>""</f>
        <v/>
      </c>
      <c r="AU493" t="str">
        <f>""</f>
        <v/>
      </c>
      <c r="AV493" t="str">
        <f>""</f>
        <v/>
      </c>
      <c r="AW493" t="str">
        <f>""</f>
        <v/>
      </c>
      <c r="AX493" t="str">
        <f>""</f>
        <v/>
      </c>
      <c r="AY493" t="str">
        <f>""</f>
        <v/>
      </c>
      <c r="AZ493" t="str">
        <f>""</f>
        <v/>
      </c>
      <c r="BA493" t="str">
        <f>""</f>
        <v/>
      </c>
      <c r="BB493" t="str">
        <f>""</f>
        <v/>
      </c>
      <c r="BC493" t="str">
        <f>""</f>
        <v/>
      </c>
      <c r="BD493" t="str">
        <f>""</f>
        <v/>
      </c>
      <c r="BE493" t="str">
        <f>""</f>
        <v/>
      </c>
      <c r="BF493" t="str">
        <f>""</f>
        <v/>
      </c>
      <c r="BG493" t="str">
        <f>""</f>
        <v/>
      </c>
      <c r="BH493" t="str">
        <f>""</f>
        <v/>
      </c>
      <c r="BI493" t="str">
        <f>""</f>
        <v/>
      </c>
      <c r="BJ493" t="str">
        <f>""</f>
        <v/>
      </c>
      <c r="BK493" t="str">
        <f>""</f>
        <v/>
      </c>
      <c r="BL493" t="str">
        <f>""</f>
        <v/>
      </c>
      <c r="BM493" t="str">
        <f>""</f>
        <v/>
      </c>
      <c r="BN493" t="str">
        <f>""</f>
        <v/>
      </c>
      <c r="BO493" t="str">
        <f>""</f>
        <v/>
      </c>
      <c r="BP493" t="str">
        <f>""</f>
        <v/>
      </c>
      <c r="BQ493" t="str">
        <f>""</f>
        <v/>
      </c>
      <c r="BR493" t="str">
        <f>""</f>
        <v/>
      </c>
      <c r="BS493" t="str">
        <f>""</f>
        <v/>
      </c>
    </row>
    <row r="494" spans="1:71" x14ac:dyDescent="0.25">
      <c r="A494" t="str">
        <f>$A$75</f>
        <v xml:space="preserve">        East West Bancorp Inc</v>
      </c>
      <c r="B494" t="str">
        <f>$B$75</f>
        <v>EWBC US Equity</v>
      </c>
      <c r="C494" t="str">
        <f>$C$75</f>
        <v>F0093</v>
      </c>
      <c r="D494" t="str">
        <f>$D$75</f>
        <v>FED_REAL_ESTATE_LOANS_DOMESTIC</v>
      </c>
      <c r="E494" t="str">
        <f>$E$75</f>
        <v>Dynamic</v>
      </c>
      <c r="F494">
        <f ca="1">_xll.BDH($B$75,$C$75,$B$425,$B$426,CONCATENATE("Per=",$B$423),"Dts=H","Dir=H",CONCATENATE("Points=",$B$424),"Sort=R","Days=A","Fill=B",CONCATENATE("FX=", $B$422),"cols=33;rows=1")</f>
        <v>36869.58</v>
      </c>
      <c r="G494">
        <v>36216.080000000002</v>
      </c>
      <c r="H494">
        <v>33047.129999999997</v>
      </c>
      <c r="I494">
        <v>28104.400000000001</v>
      </c>
      <c r="J494">
        <v>25181.25</v>
      </c>
      <c r="K494">
        <v>22981.05</v>
      </c>
      <c r="L494">
        <v>20656.14</v>
      </c>
      <c r="M494">
        <v>18658.22</v>
      </c>
      <c r="N494">
        <v>16090.25</v>
      </c>
      <c r="O494">
        <v>14917.67</v>
      </c>
      <c r="P494">
        <v>13606.54</v>
      </c>
      <c r="Q494">
        <v>11206.55</v>
      </c>
      <c r="R494">
        <v>9608.1389999999992</v>
      </c>
      <c r="S494">
        <v>9972.7330000000002</v>
      </c>
      <c r="T494">
        <v>10045.35</v>
      </c>
      <c r="U494">
        <v>10936.83</v>
      </c>
      <c r="V494">
        <v>6635.5029999999997</v>
      </c>
      <c r="W494">
        <v>6971.94</v>
      </c>
      <c r="X494">
        <v>2091.125</v>
      </c>
      <c r="Y494">
        <v>1932.5840000000001</v>
      </c>
      <c r="Z494">
        <v>1615.05</v>
      </c>
      <c r="AA494">
        <v>1081.0809999999999</v>
      </c>
      <c r="AB494">
        <v>826.67399999999998</v>
      </c>
      <c r="AC494">
        <v>746.96100000000001</v>
      </c>
      <c r="AD494">
        <v>692.95100000000002</v>
      </c>
      <c r="AE494">
        <v>610.49800000000005</v>
      </c>
      <c r="AF494">
        <v>449.47699999999998</v>
      </c>
      <c r="AM494" t="str">
        <f>""</f>
        <v/>
      </c>
      <c r="AN494" t="str">
        <f>""</f>
        <v/>
      </c>
      <c r="AO494" t="str">
        <f>""</f>
        <v/>
      </c>
      <c r="AP494" t="str">
        <f>""</f>
        <v/>
      </c>
      <c r="AQ494" t="str">
        <f>""</f>
        <v/>
      </c>
      <c r="AR494" t="str">
        <f>""</f>
        <v/>
      </c>
      <c r="AS494" t="str">
        <f>""</f>
        <v/>
      </c>
      <c r="AT494" t="str">
        <f>""</f>
        <v/>
      </c>
      <c r="AU494" t="str">
        <f>""</f>
        <v/>
      </c>
      <c r="AV494" t="str">
        <f>""</f>
        <v/>
      </c>
      <c r="AW494" t="str">
        <f>""</f>
        <v/>
      </c>
      <c r="AX494" t="str">
        <f>""</f>
        <v/>
      </c>
      <c r="AY494" t="str">
        <f>""</f>
        <v/>
      </c>
      <c r="AZ494" t="str">
        <f>""</f>
        <v/>
      </c>
      <c r="BA494" t="str">
        <f>""</f>
        <v/>
      </c>
      <c r="BB494" t="str">
        <f>""</f>
        <v/>
      </c>
      <c r="BC494" t="str">
        <f>""</f>
        <v/>
      </c>
      <c r="BD494" t="str">
        <f>""</f>
        <v/>
      </c>
      <c r="BE494" t="str">
        <f>""</f>
        <v/>
      </c>
      <c r="BF494" t="str">
        <f>""</f>
        <v/>
      </c>
      <c r="BG494" t="str">
        <f>""</f>
        <v/>
      </c>
      <c r="BH494" t="str">
        <f>""</f>
        <v/>
      </c>
      <c r="BI494" t="str">
        <f>""</f>
        <v/>
      </c>
      <c r="BJ494" t="str">
        <f>""</f>
        <v/>
      </c>
      <c r="BK494" t="str">
        <f>""</f>
        <v/>
      </c>
      <c r="BL494" t="str">
        <f>""</f>
        <v/>
      </c>
      <c r="BM494" t="str">
        <f>""</f>
        <v/>
      </c>
      <c r="BN494" t="str">
        <f>""</f>
        <v/>
      </c>
      <c r="BO494" t="str">
        <f>""</f>
        <v/>
      </c>
      <c r="BP494" t="str">
        <f>""</f>
        <v/>
      </c>
      <c r="BQ494" t="str">
        <f>""</f>
        <v/>
      </c>
      <c r="BR494" t="str">
        <f>""</f>
        <v/>
      </c>
      <c r="BS494" t="str">
        <f>""</f>
        <v/>
      </c>
    </row>
    <row r="495" spans="1:71" x14ac:dyDescent="0.25">
      <c r="A495" t="str">
        <f>$A$76</f>
        <v xml:space="preserve">        Fifth Third Bancorp</v>
      </c>
      <c r="B495" t="str">
        <f>$B$76</f>
        <v>FITB US Equity</v>
      </c>
      <c r="C495" t="str">
        <f>$C$76</f>
        <v>F0093</v>
      </c>
      <c r="D495" t="str">
        <f>$D$76</f>
        <v>FED_REAL_ESTATE_LOANS_DOMESTIC</v>
      </c>
      <c r="E495" t="str">
        <f>$E$76</f>
        <v>Dynamic</v>
      </c>
      <c r="F495">
        <f ca="1">_xll.BDH($B$76,$C$76,$B$425,$B$426,CONCATENATE("Per=",$B$423),"Dts=H","Dir=H",CONCATENATE("Points=",$B$424),"Sort=R","Days=A","Fill=B",CONCATENATE("FX=", $B$422),"cols=33;rows=1")</f>
        <v>38653</v>
      </c>
      <c r="G495">
        <v>36955</v>
      </c>
      <c r="H495">
        <v>37535.14</v>
      </c>
      <c r="I495">
        <v>38940.81</v>
      </c>
      <c r="J495">
        <v>40718.89</v>
      </c>
      <c r="K495">
        <v>38949.11</v>
      </c>
      <c r="L495">
        <v>33090.370000000003</v>
      </c>
      <c r="M495">
        <v>33328.32</v>
      </c>
      <c r="N495">
        <v>33903.97</v>
      </c>
      <c r="O495">
        <v>32483.63</v>
      </c>
      <c r="P495">
        <v>31617.64</v>
      </c>
      <c r="Q495">
        <v>31928.35</v>
      </c>
      <c r="R495">
        <v>35115.26</v>
      </c>
      <c r="S495">
        <v>36614.870000000003</v>
      </c>
      <c r="T495">
        <v>37165.279999999999</v>
      </c>
      <c r="U495">
        <v>39870.339999999997</v>
      </c>
      <c r="V495">
        <v>43531.87</v>
      </c>
      <c r="W495">
        <v>43696.57</v>
      </c>
      <c r="X495">
        <v>22533.79</v>
      </c>
      <c r="Y495">
        <v>21083.33</v>
      </c>
      <c r="Z495">
        <v>18989.09</v>
      </c>
      <c r="AA495">
        <v>15378.71</v>
      </c>
      <c r="AB495">
        <v>16058.7</v>
      </c>
      <c r="AC495">
        <v>15030.69</v>
      </c>
      <c r="AD495">
        <v>8242.5630000000001</v>
      </c>
      <c r="AE495">
        <v>7405.6930000000002</v>
      </c>
      <c r="AF495">
        <v>5997.2539999999999</v>
      </c>
      <c r="AG495">
        <v>3366.9690000000001</v>
      </c>
      <c r="AH495">
        <v>3032.6759999999999</v>
      </c>
      <c r="AI495">
        <v>2670.3110000000001</v>
      </c>
      <c r="AJ495">
        <v>2845.4209999999998</v>
      </c>
      <c r="AK495">
        <v>2451.8649999999998</v>
      </c>
      <c r="AL495">
        <v>2223.2220000000002</v>
      </c>
      <c r="AM495" t="str">
        <f>""</f>
        <v/>
      </c>
      <c r="AN495" t="str">
        <f>""</f>
        <v/>
      </c>
      <c r="AO495" t="str">
        <f>""</f>
        <v/>
      </c>
      <c r="AP495" t="str">
        <f>""</f>
        <v/>
      </c>
      <c r="AQ495" t="str">
        <f>""</f>
        <v/>
      </c>
      <c r="AR495" t="str">
        <f>""</f>
        <v/>
      </c>
      <c r="AS495" t="str">
        <f>""</f>
        <v/>
      </c>
      <c r="AT495" t="str">
        <f>""</f>
        <v/>
      </c>
      <c r="AU495" t="str">
        <f>""</f>
        <v/>
      </c>
      <c r="AV495" t="str">
        <f>""</f>
        <v/>
      </c>
      <c r="AW495" t="str">
        <f>""</f>
        <v/>
      </c>
      <c r="AX495" t="str">
        <f>""</f>
        <v/>
      </c>
      <c r="AY495" t="str">
        <f>""</f>
        <v/>
      </c>
      <c r="AZ495" t="str">
        <f>""</f>
        <v/>
      </c>
      <c r="BA495" t="str">
        <f>""</f>
        <v/>
      </c>
      <c r="BB495" t="str">
        <f>""</f>
        <v/>
      </c>
      <c r="BC495" t="str">
        <f>""</f>
        <v/>
      </c>
      <c r="BD495" t="str">
        <f>""</f>
        <v/>
      </c>
      <c r="BE495" t="str">
        <f>""</f>
        <v/>
      </c>
      <c r="BF495" t="str">
        <f>""</f>
        <v/>
      </c>
      <c r="BG495" t="str">
        <f>""</f>
        <v/>
      </c>
      <c r="BH495" t="str">
        <f>""</f>
        <v/>
      </c>
      <c r="BI495" t="str">
        <f>""</f>
        <v/>
      </c>
      <c r="BJ495" t="str">
        <f>""</f>
        <v/>
      </c>
      <c r="BK495" t="str">
        <f>""</f>
        <v/>
      </c>
      <c r="BL495" t="str">
        <f>""</f>
        <v/>
      </c>
      <c r="BM495" t="str">
        <f>""</f>
        <v/>
      </c>
      <c r="BN495" t="str">
        <f>""</f>
        <v/>
      </c>
      <c r="BO495" t="str">
        <f>""</f>
        <v/>
      </c>
      <c r="BP495" t="str">
        <f>""</f>
        <v/>
      </c>
      <c r="BQ495" t="str">
        <f>""</f>
        <v/>
      </c>
      <c r="BR495" t="str">
        <f>""</f>
        <v/>
      </c>
      <c r="BS495" t="str">
        <f>""</f>
        <v/>
      </c>
    </row>
    <row r="496" spans="1:71" x14ac:dyDescent="0.25">
      <c r="A496" t="str">
        <f>$A$77</f>
        <v xml:space="preserve">        First Citizens BancShares Inc/</v>
      </c>
      <c r="B496" t="str">
        <f>$B$77</f>
        <v>FCNCA US Equity</v>
      </c>
      <c r="C496" t="str">
        <f>$C$77</f>
        <v>F0093</v>
      </c>
      <c r="D496" t="str">
        <f>$D$77</f>
        <v>FED_REAL_ESTATE_LOANS_DOMESTIC</v>
      </c>
      <c r="E496" t="str">
        <f>$E$77</f>
        <v>Dynamic</v>
      </c>
      <c r="F496">
        <f ca="1">_xll.BDH($B$77,$C$77,$B$425,$B$426,CONCATENATE("Per=",$B$423),"Dts=H","Dir=H",CONCATENATE("Points=",$B$424),"Sort=R","Days=A","Fill=B",CONCATENATE("FX=", $B$422),"cols=33;rows=1")</f>
        <v>63920</v>
      </c>
      <c r="G496">
        <v>59361.59</v>
      </c>
      <c r="H496">
        <v>42423.53</v>
      </c>
      <c r="I496">
        <v>24383.14</v>
      </c>
      <c r="J496">
        <v>23683.02</v>
      </c>
      <c r="K496">
        <v>22445.26</v>
      </c>
      <c r="L496">
        <v>19612.580000000002</v>
      </c>
      <c r="M496">
        <v>18149.2</v>
      </c>
      <c r="N496">
        <v>16616.79</v>
      </c>
      <c r="O496">
        <v>15645.9</v>
      </c>
      <c r="P496">
        <v>14767.68</v>
      </c>
      <c r="Q496">
        <v>11137.32</v>
      </c>
      <c r="R496">
        <v>10787.59</v>
      </c>
      <c r="S496">
        <v>11183.95</v>
      </c>
      <c r="T496">
        <v>10487.35</v>
      </c>
      <c r="U496">
        <v>9498.5490000000009</v>
      </c>
      <c r="V496">
        <v>8147.8190000000004</v>
      </c>
      <c r="W496">
        <v>7462.3270000000002</v>
      </c>
      <c r="X496">
        <v>2516.8609999999999</v>
      </c>
      <c r="Y496">
        <v>2558.1390000000001</v>
      </c>
      <c r="Z496">
        <v>2865.4009999999998</v>
      </c>
      <c r="AA496">
        <v>2728.2779999999998</v>
      </c>
      <c r="AB496">
        <v>2625.3690000000001</v>
      </c>
      <c r="AC496">
        <v>2498.9</v>
      </c>
      <c r="AD496">
        <v>2281.3939999999998</v>
      </c>
      <c r="AE496">
        <v>1958.395</v>
      </c>
      <c r="AF496">
        <v>1851.5419999999999</v>
      </c>
      <c r="AG496">
        <v>2065.7249999999999</v>
      </c>
      <c r="AH496">
        <v>2084.3159999999998</v>
      </c>
      <c r="AI496">
        <v>1965.578</v>
      </c>
      <c r="AJ496">
        <v>1753.1669999999999</v>
      </c>
      <c r="AK496">
        <v>1487.4829999999999</v>
      </c>
      <c r="AL496">
        <v>1364.4929999999999</v>
      </c>
      <c r="AM496" t="str">
        <f>""</f>
        <v/>
      </c>
      <c r="AN496" t="str">
        <f>""</f>
        <v/>
      </c>
      <c r="AO496" t="str">
        <f>""</f>
        <v/>
      </c>
      <c r="AP496" t="str">
        <f>""</f>
        <v/>
      </c>
      <c r="AQ496" t="str">
        <f>""</f>
        <v/>
      </c>
      <c r="AR496" t="str">
        <f>""</f>
        <v/>
      </c>
      <c r="AS496" t="str">
        <f>""</f>
        <v/>
      </c>
      <c r="AT496" t="str">
        <f>""</f>
        <v/>
      </c>
      <c r="AU496" t="str">
        <f>""</f>
        <v/>
      </c>
      <c r="AV496" t="str">
        <f>""</f>
        <v/>
      </c>
      <c r="AW496" t="str">
        <f>""</f>
        <v/>
      </c>
      <c r="AX496" t="str">
        <f>""</f>
        <v/>
      </c>
      <c r="AY496" t="str">
        <f>""</f>
        <v/>
      </c>
      <c r="AZ496" t="str">
        <f>""</f>
        <v/>
      </c>
      <c r="BA496" t="str">
        <f>""</f>
        <v/>
      </c>
      <c r="BB496" t="str">
        <f>""</f>
        <v/>
      </c>
      <c r="BC496" t="str">
        <f>""</f>
        <v/>
      </c>
      <c r="BD496" t="str">
        <f>""</f>
        <v/>
      </c>
      <c r="BE496" t="str">
        <f>""</f>
        <v/>
      </c>
      <c r="BF496" t="str">
        <f>""</f>
        <v/>
      </c>
      <c r="BG496" t="str">
        <f>""</f>
        <v/>
      </c>
      <c r="BH496" t="str">
        <f>""</f>
        <v/>
      </c>
      <c r="BI496" t="str">
        <f>""</f>
        <v/>
      </c>
      <c r="BJ496" t="str">
        <f>""</f>
        <v/>
      </c>
      <c r="BK496" t="str">
        <f>""</f>
        <v/>
      </c>
      <c r="BL496" t="str">
        <f>""</f>
        <v/>
      </c>
      <c r="BM496" t="str">
        <f>""</f>
        <v/>
      </c>
      <c r="BN496" t="str">
        <f>""</f>
        <v/>
      </c>
      <c r="BO496" t="str">
        <f>""</f>
        <v/>
      </c>
      <c r="BP496" t="str">
        <f>""</f>
        <v/>
      </c>
      <c r="BQ496" t="str">
        <f>""</f>
        <v/>
      </c>
      <c r="BR496" t="str">
        <f>""</f>
        <v/>
      </c>
      <c r="BS496" t="str">
        <f>""</f>
        <v/>
      </c>
    </row>
    <row r="497" spans="1:71" x14ac:dyDescent="0.25">
      <c r="A497" t="str">
        <f>$A$78</f>
        <v xml:space="preserve">        Flagstar Financial Inc</v>
      </c>
      <c r="B497" t="str">
        <f>$B$78</f>
        <v>FLG US Equity</v>
      </c>
      <c r="C497" t="str">
        <f>$C$78</f>
        <v>F0093</v>
      </c>
      <c r="D497" t="str">
        <f>$D$78</f>
        <v>FED_REAL_ESTATE_LOANS_DOMESTIC</v>
      </c>
      <c r="E497" t="str">
        <f>$E$78</f>
        <v>Dynamic</v>
      </c>
      <c r="F497">
        <f ca="1">_xll.BDH($B$78,$C$78,$B$425,$B$426,CONCATENATE("Per=",$B$423),"Dts=H","Dir=H",CONCATENATE("Points=",$B$424),"Sort=R","Days=A","Fill=B",CONCATENATE("FX=", $B$422),"cols=33;rows=1")</f>
        <v>53532.53</v>
      </c>
      <c r="G497">
        <v>59102.84</v>
      </c>
      <c r="H497">
        <v>56479.5</v>
      </c>
      <c r="I497">
        <v>41697.949999999997</v>
      </c>
      <c r="J497">
        <v>39426.19</v>
      </c>
      <c r="K497">
        <v>38847.730000000003</v>
      </c>
      <c r="L497">
        <v>37759.339999999997</v>
      </c>
      <c r="M497">
        <v>36365.14</v>
      </c>
      <c r="N497">
        <v>37568.720000000001</v>
      </c>
      <c r="O497">
        <v>36721.96</v>
      </c>
      <c r="P497">
        <v>34546.01</v>
      </c>
      <c r="Q497">
        <v>32091.01</v>
      </c>
      <c r="R497">
        <v>31138.720000000001</v>
      </c>
      <c r="S497">
        <v>29646.51</v>
      </c>
      <c r="T497">
        <v>28472.13</v>
      </c>
      <c r="U497">
        <v>27709.5</v>
      </c>
      <c r="V497">
        <v>21448.82</v>
      </c>
      <c r="W497">
        <v>19575.509999999998</v>
      </c>
      <c r="X497">
        <v>14777.34</v>
      </c>
      <c r="Y497">
        <v>13128.79</v>
      </c>
      <c r="Z497">
        <v>10354.620000000001</v>
      </c>
      <c r="AA497">
        <v>8242.482</v>
      </c>
      <c r="AB497">
        <v>4763.2690000000002</v>
      </c>
      <c r="AC497">
        <v>4668.2740000000003</v>
      </c>
      <c r="AD497">
        <v>1601.162</v>
      </c>
      <c r="AE497">
        <v>1509.848</v>
      </c>
      <c r="AF497">
        <v>1428.05</v>
      </c>
      <c r="AG497">
        <v>1343.182</v>
      </c>
      <c r="AH497">
        <v>1092.145</v>
      </c>
      <c r="AI497">
        <v>944.26900000000001</v>
      </c>
      <c r="AJ497">
        <v>881.32500000000005</v>
      </c>
      <c r="AK497">
        <v>717.74300000000005</v>
      </c>
      <c r="AM497" t="str">
        <f>""</f>
        <v/>
      </c>
      <c r="AN497" t="str">
        <f>""</f>
        <v/>
      </c>
      <c r="AO497" t="str">
        <f>""</f>
        <v/>
      </c>
      <c r="AP497" t="str">
        <f>""</f>
        <v/>
      </c>
      <c r="AQ497" t="str">
        <f>""</f>
        <v/>
      </c>
      <c r="AR497" t="str">
        <f>""</f>
        <v/>
      </c>
      <c r="AS497" t="str">
        <f>""</f>
        <v/>
      </c>
      <c r="AT497" t="str">
        <f>""</f>
        <v/>
      </c>
      <c r="AU497" t="str">
        <f>""</f>
        <v/>
      </c>
      <c r="AV497" t="str">
        <f>""</f>
        <v/>
      </c>
      <c r="AW497" t="str">
        <f>""</f>
        <v/>
      </c>
      <c r="AX497" t="str">
        <f>""</f>
        <v/>
      </c>
      <c r="AY497" t="str">
        <f>""</f>
        <v/>
      </c>
      <c r="AZ497" t="str">
        <f>""</f>
        <v/>
      </c>
      <c r="BA497" t="str">
        <f>""</f>
        <v/>
      </c>
      <c r="BB497" t="str">
        <f>""</f>
        <v/>
      </c>
      <c r="BC497" t="str">
        <f>""</f>
        <v/>
      </c>
      <c r="BD497" t="str">
        <f>""</f>
        <v/>
      </c>
      <c r="BE497" t="str">
        <f>""</f>
        <v/>
      </c>
      <c r="BF497" t="str">
        <f>""</f>
        <v/>
      </c>
      <c r="BG497" t="str">
        <f>""</f>
        <v/>
      </c>
      <c r="BH497" t="str">
        <f>""</f>
        <v/>
      </c>
      <c r="BI497" t="str">
        <f>""</f>
        <v/>
      </c>
      <c r="BJ497" t="str">
        <f>""</f>
        <v/>
      </c>
      <c r="BK497" t="str">
        <f>""</f>
        <v/>
      </c>
      <c r="BL497" t="str">
        <f>""</f>
        <v/>
      </c>
      <c r="BM497" t="str">
        <f>""</f>
        <v/>
      </c>
      <c r="BN497" t="str">
        <f>""</f>
        <v/>
      </c>
      <c r="BO497" t="str">
        <f>""</f>
        <v/>
      </c>
      <c r="BP497" t="str">
        <f>""</f>
        <v/>
      </c>
      <c r="BQ497" t="str">
        <f>""</f>
        <v/>
      </c>
      <c r="BR497" t="str">
        <f>""</f>
        <v/>
      </c>
      <c r="BS497" t="str">
        <f>""</f>
        <v/>
      </c>
    </row>
    <row r="498" spans="1:71" x14ac:dyDescent="0.25">
      <c r="A498" t="str">
        <f>$A$79</f>
        <v xml:space="preserve">        Huntington Bancshares Inc/OH</v>
      </c>
      <c r="B498" t="str">
        <f>$B$79</f>
        <v>HBAN US Equity</v>
      </c>
      <c r="C498" t="str">
        <f>$C$79</f>
        <v>F0093</v>
      </c>
      <c r="D498" t="str">
        <f>$D$79</f>
        <v>FED_REAL_ESTATE_LOANS_DOMESTIC</v>
      </c>
      <c r="E498" t="str">
        <f>$E$79</f>
        <v>Dynamic</v>
      </c>
      <c r="F498">
        <f ca="1">_xll.BDH($B$79,$C$79,$B$425,$B$426,CONCATENATE("Per=",$B$423),"Dts=H","Dir=H",CONCATENATE("Points=",$B$424),"Sort=R","Days=A","Fill=B",CONCATENATE("FX=", $B$422),"cols=33;rows=1")</f>
        <v>53483.93</v>
      </c>
      <c r="G498">
        <v>53402.29</v>
      </c>
      <c r="H498">
        <v>53149.31</v>
      </c>
      <c r="I498">
        <v>50796.97</v>
      </c>
      <c r="J498">
        <v>32425.79</v>
      </c>
      <c r="K498">
        <v>30923.15</v>
      </c>
      <c r="L498">
        <v>31072.44</v>
      </c>
      <c r="M498">
        <v>30028.99</v>
      </c>
      <c r="N498">
        <v>29780.18</v>
      </c>
      <c r="O498">
        <v>22604.33</v>
      </c>
      <c r="P498">
        <v>22923.41</v>
      </c>
      <c r="Q498">
        <v>21964.95</v>
      </c>
      <c r="R498">
        <v>22042.95</v>
      </c>
      <c r="S498">
        <v>22656.35</v>
      </c>
      <c r="T498">
        <v>22806.44</v>
      </c>
      <c r="U498">
        <v>24044.32</v>
      </c>
      <c r="V498">
        <v>25953.17</v>
      </c>
      <c r="W498">
        <v>25817.45</v>
      </c>
      <c r="X498">
        <v>10205.790000000001</v>
      </c>
      <c r="Y498">
        <v>9632.85</v>
      </c>
      <c r="Z498">
        <v>9223.9940000000006</v>
      </c>
      <c r="AA498">
        <v>6629.6859999999997</v>
      </c>
      <c r="AB498">
        <v>5757.8419999999996</v>
      </c>
      <c r="AC498">
        <v>5608.2709999999997</v>
      </c>
      <c r="AD498">
        <v>4693.8379999999997</v>
      </c>
      <c r="AE498">
        <v>4486.9430000000002</v>
      </c>
      <c r="AF498">
        <v>4501.8289999999997</v>
      </c>
      <c r="AG498">
        <v>3823.2040000000002</v>
      </c>
      <c r="AH498">
        <v>2896.0309999999999</v>
      </c>
      <c r="AI498">
        <v>2892.154</v>
      </c>
      <c r="AJ498">
        <v>3028.0459999999998</v>
      </c>
      <c r="AK498">
        <v>3572.8580000000002</v>
      </c>
      <c r="AL498">
        <v>1977.751</v>
      </c>
      <c r="AM498" t="str">
        <f>""</f>
        <v/>
      </c>
      <c r="AN498" t="str">
        <f>""</f>
        <v/>
      </c>
      <c r="AO498" t="str">
        <f>""</f>
        <v/>
      </c>
      <c r="AP498" t="str">
        <f>""</f>
        <v/>
      </c>
      <c r="AQ498" t="str">
        <f>""</f>
        <v/>
      </c>
      <c r="AR498" t="str">
        <f>""</f>
        <v/>
      </c>
      <c r="AS498" t="str">
        <f>""</f>
        <v/>
      </c>
      <c r="AT498" t="str">
        <f>""</f>
        <v/>
      </c>
      <c r="AU498" t="str">
        <f>""</f>
        <v/>
      </c>
      <c r="AV498" t="str">
        <f>""</f>
        <v/>
      </c>
      <c r="AW498" t="str">
        <f>""</f>
        <v/>
      </c>
      <c r="AX498" t="str">
        <f>""</f>
        <v/>
      </c>
      <c r="AY498" t="str">
        <f>""</f>
        <v/>
      </c>
      <c r="AZ498" t="str">
        <f>""</f>
        <v/>
      </c>
      <c r="BA498" t="str">
        <f>""</f>
        <v/>
      </c>
      <c r="BB498" t="str">
        <f>""</f>
        <v/>
      </c>
      <c r="BC498" t="str">
        <f>""</f>
        <v/>
      </c>
      <c r="BD498" t="str">
        <f>""</f>
        <v/>
      </c>
      <c r="BE498" t="str">
        <f>""</f>
        <v/>
      </c>
      <c r="BF498" t="str">
        <f>""</f>
        <v/>
      </c>
      <c r="BG498" t="str">
        <f>""</f>
        <v/>
      </c>
      <c r="BH498" t="str">
        <f>""</f>
        <v/>
      </c>
      <c r="BI498" t="str">
        <f>""</f>
        <v/>
      </c>
      <c r="BJ498" t="str">
        <f>""</f>
        <v/>
      </c>
      <c r="BK498" t="str">
        <f>""</f>
        <v/>
      </c>
      <c r="BL498" t="str">
        <f>""</f>
        <v/>
      </c>
      <c r="BM498" t="str">
        <f>""</f>
        <v/>
      </c>
      <c r="BN498" t="str">
        <f>""</f>
        <v/>
      </c>
      <c r="BO498" t="str">
        <f>""</f>
        <v/>
      </c>
      <c r="BP498" t="str">
        <f>""</f>
        <v/>
      </c>
      <c r="BQ498" t="str">
        <f>""</f>
        <v/>
      </c>
      <c r="BR498" t="str">
        <f>""</f>
        <v/>
      </c>
      <c r="BS498" t="str">
        <f>""</f>
        <v/>
      </c>
    </row>
    <row r="499" spans="1:71" x14ac:dyDescent="0.25">
      <c r="A499" t="str">
        <f>$A$80</f>
        <v xml:space="preserve">        JPMorgan Chase &amp; Co</v>
      </c>
      <c r="B499" t="str">
        <f>$B$80</f>
        <v>JPM US Equity</v>
      </c>
      <c r="C499" t="str">
        <f>$C$80</f>
        <v>F0093</v>
      </c>
      <c r="D499" t="str">
        <f>$D$80</f>
        <v>FED_REAL_ESTATE_LOANS_DOMESTIC</v>
      </c>
      <c r="E499" t="str">
        <f>$E$80</f>
        <v>Dynamic</v>
      </c>
      <c r="F499">
        <f ca="1">_xll.BDH($B$80,$C$80,$B$425,$B$426,CONCATENATE("Per=",$B$423),"Dts=H","Dir=H",CONCATENATE("Points=",$B$424),"Sort=R","Days=A","Fill=B",CONCATENATE("FX=", $B$422),"cols=33;rows=1")</f>
        <v>491456</v>
      </c>
      <c r="G499">
        <v>504300</v>
      </c>
      <c r="H499">
        <v>379696</v>
      </c>
      <c r="I499">
        <v>377412</v>
      </c>
      <c r="J499">
        <v>367001</v>
      </c>
      <c r="K499">
        <v>369894</v>
      </c>
      <c r="L499">
        <v>402637</v>
      </c>
      <c r="M499">
        <v>397029</v>
      </c>
      <c r="N499">
        <v>376985</v>
      </c>
      <c r="O499">
        <v>348323</v>
      </c>
      <c r="P499">
        <v>292946</v>
      </c>
      <c r="Q499">
        <v>284369</v>
      </c>
      <c r="R499">
        <v>284335</v>
      </c>
      <c r="S499">
        <v>294663</v>
      </c>
      <c r="T499">
        <v>309853</v>
      </c>
      <c r="U499">
        <v>333778</v>
      </c>
      <c r="V499">
        <v>366455</v>
      </c>
      <c r="W499">
        <v>197923</v>
      </c>
      <c r="X499">
        <v>160867</v>
      </c>
      <c r="Y499">
        <v>147995</v>
      </c>
      <c r="Z499">
        <v>134306</v>
      </c>
      <c r="AA499">
        <v>73240</v>
      </c>
      <c r="AB499">
        <v>63545</v>
      </c>
      <c r="AC499">
        <v>59370</v>
      </c>
      <c r="AD499">
        <v>50358.6</v>
      </c>
      <c r="AE499">
        <v>44651.17</v>
      </c>
      <c r="AF499">
        <v>41975.54</v>
      </c>
      <c r="AG499">
        <v>38938.51</v>
      </c>
      <c r="AM499" t="str">
        <f>""</f>
        <v/>
      </c>
      <c r="AN499" t="str">
        <f>""</f>
        <v/>
      </c>
      <c r="AO499" t="str">
        <f>""</f>
        <v/>
      </c>
      <c r="AP499" t="str">
        <f>""</f>
        <v/>
      </c>
      <c r="AQ499" t="str">
        <f>""</f>
        <v/>
      </c>
      <c r="AR499" t="str">
        <f>""</f>
        <v/>
      </c>
      <c r="AS499" t="str">
        <f>""</f>
        <v/>
      </c>
      <c r="AT499" t="str">
        <f>""</f>
        <v/>
      </c>
      <c r="AU499" t="str">
        <f>""</f>
        <v/>
      </c>
      <c r="AV499" t="str">
        <f>""</f>
        <v/>
      </c>
      <c r="AW499" t="str">
        <f>""</f>
        <v/>
      </c>
      <c r="AX499" t="str">
        <f>""</f>
        <v/>
      </c>
      <c r="AY499" t="str">
        <f>""</f>
        <v/>
      </c>
      <c r="AZ499" t="str">
        <f>""</f>
        <v/>
      </c>
      <c r="BA499" t="str">
        <f>""</f>
        <v/>
      </c>
      <c r="BB499" t="str">
        <f>""</f>
        <v/>
      </c>
      <c r="BC499" t="str">
        <f>""</f>
        <v/>
      </c>
      <c r="BD499" t="str">
        <f>""</f>
        <v/>
      </c>
      <c r="BE499" t="str">
        <f>""</f>
        <v/>
      </c>
      <c r="BF499" t="str">
        <f>""</f>
        <v/>
      </c>
      <c r="BG499" t="str">
        <f>""</f>
        <v/>
      </c>
      <c r="BH499" t="str">
        <f>""</f>
        <v/>
      </c>
      <c r="BI499" t="str">
        <f>""</f>
        <v/>
      </c>
      <c r="BJ499" t="str">
        <f>""</f>
        <v/>
      </c>
      <c r="BK499" t="str">
        <f>""</f>
        <v/>
      </c>
      <c r="BL499" t="str">
        <f>""</f>
        <v/>
      </c>
      <c r="BM499" t="str">
        <f>""</f>
        <v/>
      </c>
      <c r="BN499" t="str">
        <f>""</f>
        <v/>
      </c>
      <c r="BO499" t="str">
        <f>""</f>
        <v/>
      </c>
      <c r="BP499" t="str">
        <f>""</f>
        <v/>
      </c>
      <c r="BQ499" t="str">
        <f>""</f>
        <v/>
      </c>
      <c r="BR499" t="str">
        <f>""</f>
        <v/>
      </c>
      <c r="BS499" t="str">
        <f>""</f>
        <v/>
      </c>
    </row>
    <row r="500" spans="1:71" x14ac:dyDescent="0.25">
      <c r="A500" t="str">
        <f>$A$81</f>
        <v xml:space="preserve">        KeyCorp</v>
      </c>
      <c r="B500" t="str">
        <f>$B$81</f>
        <v>KEY US Equity</v>
      </c>
      <c r="C500" t="str">
        <f>$C$81</f>
        <v>F0093</v>
      </c>
      <c r="D500" t="str">
        <f>$D$81</f>
        <v>FED_REAL_ESTATE_LOANS_DOMESTIC</v>
      </c>
      <c r="E500" t="str">
        <f>$E$81</f>
        <v>Dynamic</v>
      </c>
      <c r="F500">
        <f ca="1">_xll.BDH($B$81,$C$81,$B$425,$B$426,CONCATENATE("Per=",$B$423),"Dts=H","Dir=H",CONCATENATE("Points=",$B$424),"Sort=R","Days=A","Fill=B",CONCATENATE("FX=", $B$422),"cols=33;rows=1")</f>
        <v>43195.12</v>
      </c>
      <c r="G500">
        <v>46784.02</v>
      </c>
      <c r="H500">
        <v>48684.160000000003</v>
      </c>
      <c r="I500">
        <v>41754.89</v>
      </c>
      <c r="J500">
        <v>34609.230000000003</v>
      </c>
      <c r="K500">
        <v>33258.22</v>
      </c>
      <c r="L500">
        <v>33564.199999999997</v>
      </c>
      <c r="M500">
        <v>34527.839999999997</v>
      </c>
      <c r="N500">
        <v>36763.46</v>
      </c>
      <c r="O500">
        <v>22138.69</v>
      </c>
      <c r="P500">
        <v>22661.38</v>
      </c>
      <c r="Q500">
        <v>21997.88</v>
      </c>
      <c r="R500">
        <v>21697.29</v>
      </c>
      <c r="S500">
        <v>21756.11</v>
      </c>
      <c r="T500">
        <v>23895.46</v>
      </c>
      <c r="U500">
        <v>28280.23</v>
      </c>
      <c r="V500">
        <v>32133.81</v>
      </c>
      <c r="W500">
        <v>31544.37</v>
      </c>
      <c r="X500">
        <v>13314.38</v>
      </c>
      <c r="Y500">
        <v>15722.59</v>
      </c>
      <c r="Z500">
        <v>16276.06</v>
      </c>
      <c r="AA500">
        <v>17211.900000000001</v>
      </c>
      <c r="AB500">
        <v>16512.46</v>
      </c>
      <c r="AC500">
        <v>14102.22</v>
      </c>
      <c r="AD500">
        <v>14543.91</v>
      </c>
      <c r="AE500">
        <v>12882.99</v>
      </c>
      <c r="AF500">
        <v>12938.97</v>
      </c>
      <c r="AG500">
        <v>12716.22</v>
      </c>
      <c r="AH500">
        <v>11725.5</v>
      </c>
      <c r="AI500">
        <v>12646.87</v>
      </c>
      <c r="AJ500">
        <v>13614.91</v>
      </c>
      <c r="AK500">
        <v>4348.21</v>
      </c>
      <c r="AL500">
        <v>3661.7049999999999</v>
      </c>
      <c r="AM500" t="str">
        <f>""</f>
        <v/>
      </c>
      <c r="AN500" t="str">
        <f>""</f>
        <v/>
      </c>
      <c r="AO500" t="str">
        <f>""</f>
        <v/>
      </c>
      <c r="AP500" t="str">
        <f>""</f>
        <v/>
      </c>
      <c r="AQ500" t="str">
        <f>""</f>
        <v/>
      </c>
      <c r="AR500" t="str">
        <f>""</f>
        <v/>
      </c>
      <c r="AS500" t="str">
        <f>""</f>
        <v/>
      </c>
      <c r="AT500" t="str">
        <f>""</f>
        <v/>
      </c>
      <c r="AU500" t="str">
        <f>""</f>
        <v/>
      </c>
      <c r="AV500" t="str">
        <f>""</f>
        <v/>
      </c>
      <c r="AW500" t="str">
        <f>""</f>
        <v/>
      </c>
      <c r="AX500" t="str">
        <f>""</f>
        <v/>
      </c>
      <c r="AY500" t="str">
        <f>""</f>
        <v/>
      </c>
      <c r="AZ500" t="str">
        <f>""</f>
        <v/>
      </c>
      <c r="BA500" t="str">
        <f>""</f>
        <v/>
      </c>
      <c r="BB500" t="str">
        <f>""</f>
        <v/>
      </c>
      <c r="BC500" t="str">
        <f>""</f>
        <v/>
      </c>
      <c r="BD500" t="str">
        <f>""</f>
        <v/>
      </c>
      <c r="BE500" t="str">
        <f>""</f>
        <v/>
      </c>
      <c r="BF500" t="str">
        <f>""</f>
        <v/>
      </c>
      <c r="BG500" t="str">
        <f>""</f>
        <v/>
      </c>
      <c r="BH500" t="str">
        <f>""</f>
        <v/>
      </c>
      <c r="BI500" t="str">
        <f>""</f>
        <v/>
      </c>
      <c r="BJ500" t="str">
        <f>""</f>
        <v/>
      </c>
      <c r="BK500" t="str">
        <f>""</f>
        <v/>
      </c>
      <c r="BL500" t="str">
        <f>""</f>
        <v/>
      </c>
      <c r="BM500" t="str">
        <f>""</f>
        <v/>
      </c>
      <c r="BN500" t="str">
        <f>""</f>
        <v/>
      </c>
      <c r="BO500" t="str">
        <f>""</f>
        <v/>
      </c>
      <c r="BP500" t="str">
        <f>""</f>
        <v/>
      </c>
      <c r="BQ500" t="str">
        <f>""</f>
        <v/>
      </c>
      <c r="BR500" t="str">
        <f>""</f>
        <v/>
      </c>
      <c r="BS500" t="str">
        <f>""</f>
        <v/>
      </c>
    </row>
    <row r="501" spans="1:71" x14ac:dyDescent="0.25">
      <c r="A501" t="str">
        <f>$A$82</f>
        <v xml:space="preserve">        M&amp;T Bank Corp</v>
      </c>
      <c r="B501" t="str">
        <f>$B$82</f>
        <v>MTB US Equity</v>
      </c>
      <c r="C501" t="str">
        <f>$C$82</f>
        <v>F0093</v>
      </c>
      <c r="D501" t="str">
        <f>$D$82</f>
        <v>FED_REAL_ESTATE_LOANS_DOMESTIC</v>
      </c>
      <c r="E501" t="str">
        <f>$E$82</f>
        <v>Dynamic</v>
      </c>
      <c r="F501">
        <f ca="1">_xll.BDH($B$82,$C$82,$B$425,$B$426,CONCATENATE("Per=",$B$423),"Dts=H","Dir=H",CONCATENATE("Points=",$B$424),"Sort=R","Days=A","Fill=B",CONCATENATE("FX=", $B$422),"cols=33;rows=1")</f>
        <v>64247.14</v>
      </c>
      <c r="G501">
        <v>69539.360000000001</v>
      </c>
      <c r="H501">
        <v>73245.39</v>
      </c>
      <c r="I501">
        <v>54455.89</v>
      </c>
      <c r="J501">
        <v>58299.02</v>
      </c>
      <c r="K501">
        <v>56141.05</v>
      </c>
      <c r="L501">
        <v>56355.78</v>
      </c>
      <c r="M501">
        <v>58223.09</v>
      </c>
      <c r="N501">
        <v>61669.37</v>
      </c>
      <c r="O501">
        <v>61379.51</v>
      </c>
      <c r="P501">
        <v>42110.89</v>
      </c>
      <c r="Q501">
        <v>41175.339999999997</v>
      </c>
      <c r="R501">
        <v>43501.32</v>
      </c>
      <c r="S501">
        <v>38947.06</v>
      </c>
      <c r="T501">
        <v>33582.480000000003</v>
      </c>
      <c r="U501">
        <v>33153.81</v>
      </c>
      <c r="V501">
        <v>29336.1</v>
      </c>
      <c r="W501">
        <v>29006.13</v>
      </c>
      <c r="X501">
        <v>12778.57</v>
      </c>
      <c r="Y501">
        <v>11385.9</v>
      </c>
      <c r="Z501">
        <v>10562.08</v>
      </c>
      <c r="AA501">
        <v>9850.1550000000007</v>
      </c>
      <c r="AB501">
        <v>7611.8590000000004</v>
      </c>
      <c r="AC501">
        <v>8662.4359999999997</v>
      </c>
      <c r="AD501">
        <v>7928.4759999999997</v>
      </c>
      <c r="AE501">
        <v>6971.6210000000001</v>
      </c>
      <c r="AF501">
        <v>6595.7169999999996</v>
      </c>
      <c r="AG501">
        <v>4741.9269999999997</v>
      </c>
      <c r="AH501">
        <v>4411.0950000000003</v>
      </c>
      <c r="AI501">
        <v>4103.92</v>
      </c>
      <c r="AJ501">
        <v>3672.982</v>
      </c>
      <c r="AK501">
        <v>3372.002</v>
      </c>
      <c r="AL501">
        <v>3264.4650000000001</v>
      </c>
      <c r="AM501" t="str">
        <f>""</f>
        <v/>
      </c>
      <c r="AN501" t="str">
        <f>""</f>
        <v/>
      </c>
      <c r="AO501" t="str">
        <f>""</f>
        <v/>
      </c>
      <c r="AP501" t="str">
        <f>""</f>
        <v/>
      </c>
      <c r="AQ501" t="str">
        <f>""</f>
        <v/>
      </c>
      <c r="AR501" t="str">
        <f>""</f>
        <v/>
      </c>
      <c r="AS501" t="str">
        <f>""</f>
        <v/>
      </c>
      <c r="AT501" t="str">
        <f>""</f>
        <v/>
      </c>
      <c r="AU501" t="str">
        <f>""</f>
        <v/>
      </c>
      <c r="AV501" t="str">
        <f>""</f>
        <v/>
      </c>
      <c r="AW501" t="str">
        <f>""</f>
        <v/>
      </c>
      <c r="AX501" t="str">
        <f>""</f>
        <v/>
      </c>
      <c r="AY501" t="str">
        <f>""</f>
        <v/>
      </c>
      <c r="AZ501" t="str">
        <f>""</f>
        <v/>
      </c>
      <c r="BA501" t="str">
        <f>""</f>
        <v/>
      </c>
      <c r="BB501" t="str">
        <f>""</f>
        <v/>
      </c>
      <c r="BC501" t="str">
        <f>""</f>
        <v/>
      </c>
      <c r="BD501" t="str">
        <f>""</f>
        <v/>
      </c>
      <c r="BE501" t="str">
        <f>""</f>
        <v/>
      </c>
      <c r="BF501" t="str">
        <f>""</f>
        <v/>
      </c>
      <c r="BG501" t="str">
        <f>""</f>
        <v/>
      </c>
      <c r="BH501" t="str">
        <f>""</f>
        <v/>
      </c>
      <c r="BI501" t="str">
        <f>""</f>
        <v/>
      </c>
      <c r="BJ501" t="str">
        <f>""</f>
        <v/>
      </c>
      <c r="BK501" t="str">
        <f>""</f>
        <v/>
      </c>
      <c r="BL501" t="str">
        <f>""</f>
        <v/>
      </c>
      <c r="BM501" t="str">
        <f>""</f>
        <v/>
      </c>
      <c r="BN501" t="str">
        <f>""</f>
        <v/>
      </c>
      <c r="BO501" t="str">
        <f>""</f>
        <v/>
      </c>
      <c r="BP501" t="str">
        <f>""</f>
        <v/>
      </c>
      <c r="BQ501" t="str">
        <f>""</f>
        <v/>
      </c>
      <c r="BR501" t="str">
        <f>""</f>
        <v/>
      </c>
      <c r="BS501" t="str">
        <f>""</f>
        <v/>
      </c>
    </row>
    <row r="502" spans="1:71" x14ac:dyDescent="0.25">
      <c r="A502" t="str">
        <f>$A$83</f>
        <v xml:space="preserve">        PNC Financial Services Group I</v>
      </c>
      <c r="B502" t="str">
        <f>$B$83</f>
        <v>PNC US Equity</v>
      </c>
      <c r="C502" t="str">
        <f>$C$83</f>
        <v>F0093</v>
      </c>
      <c r="D502" t="str">
        <f>$D$83</f>
        <v>FED_REAL_ESTATE_LOANS_DOMESTIC</v>
      </c>
      <c r="E502" t="str">
        <f>$E$83</f>
        <v>Dynamic</v>
      </c>
      <c r="F502">
        <f ca="1">_xll.BDH($B$83,$C$83,$B$425,$B$426,CONCATENATE("Per=",$B$423),"Dts=H","Dir=H",CONCATENATE("Points=",$B$424),"Sort=R","Days=A","Fill=B",CONCATENATE("FX=", $B$422),"cols=33;rows=1")</f>
        <v>115940.4</v>
      </c>
      <c r="G502">
        <v>119265.1</v>
      </c>
      <c r="H502">
        <v>119192.6</v>
      </c>
      <c r="I502">
        <v>110788.5</v>
      </c>
      <c r="J502">
        <v>83798.399999999994</v>
      </c>
      <c r="K502">
        <v>83195.990000000005</v>
      </c>
      <c r="L502">
        <v>80097.259999999995</v>
      </c>
      <c r="M502">
        <v>83024.19</v>
      </c>
      <c r="N502">
        <v>83714.55</v>
      </c>
      <c r="O502">
        <v>83083.460000000006</v>
      </c>
      <c r="P502">
        <v>83997.11</v>
      </c>
      <c r="Q502">
        <v>85555.93</v>
      </c>
      <c r="R502">
        <v>84756.59</v>
      </c>
      <c r="S502">
        <v>76276.75</v>
      </c>
      <c r="T502">
        <v>80529.710000000006</v>
      </c>
      <c r="U502">
        <v>90381.81</v>
      </c>
      <c r="V502">
        <v>99656.52</v>
      </c>
      <c r="W502">
        <v>39903.449999999997</v>
      </c>
      <c r="X502">
        <v>20877.46</v>
      </c>
      <c r="Y502">
        <v>21893.74</v>
      </c>
      <c r="Z502">
        <v>18093.47</v>
      </c>
      <c r="AA502">
        <v>13122.53</v>
      </c>
      <c r="AB502">
        <v>12494.89</v>
      </c>
      <c r="AC502">
        <v>14075.53</v>
      </c>
      <c r="AD502">
        <v>20417.03</v>
      </c>
      <c r="AE502">
        <v>21397.77</v>
      </c>
      <c r="AF502">
        <v>21105.5</v>
      </c>
      <c r="AG502">
        <v>20495.45</v>
      </c>
      <c r="AH502">
        <v>18845.599999999999</v>
      </c>
      <c r="AI502">
        <v>17659.78</v>
      </c>
      <c r="AJ502">
        <v>13215.74</v>
      </c>
      <c r="AK502">
        <v>12638.64</v>
      </c>
      <c r="AL502">
        <v>5920.3280000000004</v>
      </c>
      <c r="AM502" t="str">
        <f>""</f>
        <v/>
      </c>
      <c r="AN502" t="str">
        <f>""</f>
        <v/>
      </c>
      <c r="AO502" t="str">
        <f>""</f>
        <v/>
      </c>
      <c r="AP502" t="str">
        <f>""</f>
        <v/>
      </c>
      <c r="AQ502" t="str">
        <f>""</f>
        <v/>
      </c>
      <c r="AR502" t="str">
        <f>""</f>
        <v/>
      </c>
      <c r="AS502" t="str">
        <f>""</f>
        <v/>
      </c>
      <c r="AT502" t="str">
        <f>""</f>
        <v/>
      </c>
      <c r="AU502" t="str">
        <f>""</f>
        <v/>
      </c>
      <c r="AV502" t="str">
        <f>""</f>
        <v/>
      </c>
      <c r="AW502" t="str">
        <f>""</f>
        <v/>
      </c>
      <c r="AX502" t="str">
        <f>""</f>
        <v/>
      </c>
      <c r="AY502" t="str">
        <f>""</f>
        <v/>
      </c>
      <c r="AZ502" t="str">
        <f>""</f>
        <v/>
      </c>
      <c r="BA502" t="str">
        <f>""</f>
        <v/>
      </c>
      <c r="BB502" t="str">
        <f>""</f>
        <v/>
      </c>
      <c r="BC502" t="str">
        <f>""</f>
        <v/>
      </c>
      <c r="BD502" t="str">
        <f>""</f>
        <v/>
      </c>
      <c r="BE502" t="str">
        <f>""</f>
        <v/>
      </c>
      <c r="BF502" t="str">
        <f>""</f>
        <v/>
      </c>
      <c r="BG502" t="str">
        <f>""</f>
        <v/>
      </c>
      <c r="BH502" t="str">
        <f>""</f>
        <v/>
      </c>
      <c r="BI502" t="str">
        <f>""</f>
        <v/>
      </c>
      <c r="BJ502" t="str">
        <f>""</f>
        <v/>
      </c>
      <c r="BK502" t="str">
        <f>""</f>
        <v/>
      </c>
      <c r="BL502" t="str">
        <f>""</f>
        <v/>
      </c>
      <c r="BM502" t="str">
        <f>""</f>
        <v/>
      </c>
      <c r="BN502" t="str">
        <f>""</f>
        <v/>
      </c>
      <c r="BO502" t="str">
        <f>""</f>
        <v/>
      </c>
      <c r="BP502" t="str">
        <f>""</f>
        <v/>
      </c>
      <c r="BQ502" t="str">
        <f>""</f>
        <v/>
      </c>
      <c r="BR502" t="str">
        <f>""</f>
        <v/>
      </c>
      <c r="BS502" t="str">
        <f>""</f>
        <v/>
      </c>
    </row>
    <row r="503" spans="1:71" x14ac:dyDescent="0.25">
      <c r="A503" t="str">
        <f>$A$84</f>
        <v xml:space="preserve">        Regions Financial Corp</v>
      </c>
      <c r="B503" t="str">
        <f>$B$84</f>
        <v>RF US Equity</v>
      </c>
      <c r="C503" t="str">
        <f>$C$84</f>
        <v>F0093</v>
      </c>
      <c r="D503" t="str">
        <f>$D$84</f>
        <v>FED_REAL_ESTATE_LOANS_DOMESTIC</v>
      </c>
      <c r="E503" t="str">
        <f>$E$84</f>
        <v>Dynamic</v>
      </c>
      <c r="F503">
        <f ca="1">_xll.BDH($B$84,$C$84,$B$425,$B$426,CONCATENATE("Per=",$B$423),"Dts=H","Dir=H",CONCATENATE("Points=",$B$424),"Sort=R","Days=A","Fill=B",CONCATENATE("FX=", $B$422),"cols=33;rows=1")</f>
        <v>40525</v>
      </c>
      <c r="G503">
        <v>40671</v>
      </c>
      <c r="H503">
        <v>39268</v>
      </c>
      <c r="I503">
        <v>37707</v>
      </c>
      <c r="J503">
        <v>39142</v>
      </c>
      <c r="K503">
        <v>36747</v>
      </c>
      <c r="L503">
        <v>36881.42</v>
      </c>
      <c r="M503">
        <v>37489.050000000003</v>
      </c>
      <c r="N503">
        <v>39104.29</v>
      </c>
      <c r="O503">
        <v>39601.75</v>
      </c>
      <c r="P503">
        <v>39401.29</v>
      </c>
      <c r="Q503">
        <v>41201.9</v>
      </c>
      <c r="R503">
        <v>44630.84</v>
      </c>
      <c r="S503">
        <v>50769.66</v>
      </c>
      <c r="T503">
        <v>59478.06</v>
      </c>
      <c r="U503">
        <v>61699.19</v>
      </c>
      <c r="V503">
        <v>64634.61</v>
      </c>
      <c r="W503">
        <v>64138.47</v>
      </c>
      <c r="X503">
        <v>36423.379999999997</v>
      </c>
      <c r="Y503">
        <v>20990.52</v>
      </c>
      <c r="Z503">
        <v>20878.95</v>
      </c>
      <c r="AM503" t="str">
        <f>""</f>
        <v/>
      </c>
      <c r="AN503" t="str">
        <f>""</f>
        <v/>
      </c>
      <c r="AO503" t="str">
        <f>""</f>
        <v/>
      </c>
      <c r="AP503" t="str">
        <f>""</f>
        <v/>
      </c>
      <c r="AQ503" t="str">
        <f>""</f>
        <v/>
      </c>
      <c r="AR503" t="str">
        <f>""</f>
        <v/>
      </c>
      <c r="AS503" t="str">
        <f>""</f>
        <v/>
      </c>
      <c r="AT503" t="str">
        <f>""</f>
        <v/>
      </c>
      <c r="AU503" t="str">
        <f>""</f>
        <v/>
      </c>
      <c r="AV503" t="str">
        <f>""</f>
        <v/>
      </c>
      <c r="AW503" t="str">
        <f>""</f>
        <v/>
      </c>
      <c r="AX503" t="str">
        <f>""</f>
        <v/>
      </c>
      <c r="AY503" t="str">
        <f>""</f>
        <v/>
      </c>
      <c r="AZ503" t="str">
        <f>""</f>
        <v/>
      </c>
      <c r="BA503" t="str">
        <f>""</f>
        <v/>
      </c>
      <c r="BB503" t="str">
        <f>""</f>
        <v/>
      </c>
      <c r="BC503" t="str">
        <f>""</f>
        <v/>
      </c>
      <c r="BD503" t="str">
        <f>""</f>
        <v/>
      </c>
      <c r="BE503" t="str">
        <f>""</f>
        <v/>
      </c>
      <c r="BF503" t="str">
        <f>""</f>
        <v/>
      </c>
      <c r="BG503" t="str">
        <f>""</f>
        <v/>
      </c>
      <c r="BH503" t="str">
        <f>""</f>
        <v/>
      </c>
      <c r="BI503" t="str">
        <f>""</f>
        <v/>
      </c>
      <c r="BJ503" t="str">
        <f>""</f>
        <v/>
      </c>
      <c r="BK503" t="str">
        <f>""</f>
        <v/>
      </c>
      <c r="BL503" t="str">
        <f>""</f>
        <v/>
      </c>
      <c r="BM503" t="str">
        <f>""</f>
        <v/>
      </c>
      <c r="BN503" t="str">
        <f>""</f>
        <v/>
      </c>
      <c r="BO503" t="str">
        <f>""</f>
        <v/>
      </c>
      <c r="BP503" t="str">
        <f>""</f>
        <v/>
      </c>
      <c r="BQ503" t="str">
        <f>""</f>
        <v/>
      </c>
      <c r="BR503" t="str">
        <f>""</f>
        <v/>
      </c>
      <c r="BS503" t="str">
        <f>""</f>
        <v/>
      </c>
    </row>
    <row r="504" spans="1:71" x14ac:dyDescent="0.25">
      <c r="A504" t="str">
        <f>$A$85</f>
        <v xml:space="preserve">        Truist Financial Corp</v>
      </c>
      <c r="B504" t="str">
        <f>$B$85</f>
        <v>TFC US Equity</v>
      </c>
      <c r="C504" t="str">
        <f>$C$85</f>
        <v>F0093</v>
      </c>
      <c r="D504" t="str">
        <f>$D$85</f>
        <v>FED_REAL_ESTATE_LOANS_DOMESTIC</v>
      </c>
      <c r="E504" t="str">
        <f>$E$85</f>
        <v>Dynamic</v>
      </c>
      <c r="F504">
        <f ca="1">_xll.BDH($B$85,$C$85,$B$425,$B$426,CONCATENATE("Per=",$B$423),"Dts=H","Dir=H",CONCATENATE("Points=",$B$424),"Sort=R","Days=A","Fill=B",CONCATENATE("FX=", $B$422),"cols=33;rows=1")</f>
        <v>116725</v>
      </c>
      <c r="G504">
        <v>119152</v>
      </c>
      <c r="H504">
        <v>122649</v>
      </c>
      <c r="I504">
        <v>117113</v>
      </c>
      <c r="J504">
        <v>123433</v>
      </c>
      <c r="K504">
        <v>134332</v>
      </c>
      <c r="L504">
        <v>77824</v>
      </c>
      <c r="M504">
        <v>76939</v>
      </c>
      <c r="N504">
        <v>79401.929999999993</v>
      </c>
      <c r="O504">
        <v>76978.91</v>
      </c>
      <c r="P504">
        <v>69622.31</v>
      </c>
      <c r="Q504">
        <v>71337.03</v>
      </c>
      <c r="R504">
        <v>75420.88</v>
      </c>
      <c r="S504">
        <v>72271.63</v>
      </c>
      <c r="T504">
        <v>72061.86</v>
      </c>
      <c r="U504">
        <v>73575.87</v>
      </c>
      <c r="V504">
        <v>68155.98</v>
      </c>
      <c r="W504">
        <v>64939.64</v>
      </c>
      <c r="X504">
        <v>30319.38</v>
      </c>
      <c r="Y504">
        <v>28550.66</v>
      </c>
      <c r="Z504">
        <v>26054.03</v>
      </c>
      <c r="AA504">
        <v>23801.32</v>
      </c>
      <c r="AB504">
        <v>20234.46</v>
      </c>
      <c r="AC504">
        <v>17323.86</v>
      </c>
      <c r="AD504">
        <v>15088.68</v>
      </c>
      <c r="AE504">
        <v>10494.09</v>
      </c>
      <c r="AF504">
        <v>10279.93</v>
      </c>
      <c r="AG504">
        <v>7966.4809999999998</v>
      </c>
      <c r="AH504">
        <v>6121.8819999999996</v>
      </c>
      <c r="AI504">
        <v>6340.1329999999998</v>
      </c>
      <c r="AJ504">
        <v>2563.3130000000001</v>
      </c>
      <c r="AK504">
        <v>1409.463</v>
      </c>
      <c r="AL504">
        <v>992.27700000000004</v>
      </c>
      <c r="AM504" t="str">
        <f>""</f>
        <v/>
      </c>
      <c r="AN504" t="str">
        <f>""</f>
        <v/>
      </c>
      <c r="AO504" t="str">
        <f>""</f>
        <v/>
      </c>
      <c r="AP504" t="str">
        <f>""</f>
        <v/>
      </c>
      <c r="AQ504" t="str">
        <f>""</f>
        <v/>
      </c>
      <c r="AR504" t="str">
        <f>""</f>
        <v/>
      </c>
      <c r="AS504" t="str">
        <f>""</f>
        <v/>
      </c>
      <c r="AT504" t="str">
        <f>""</f>
        <v/>
      </c>
      <c r="AU504" t="str">
        <f>""</f>
        <v/>
      </c>
      <c r="AV504" t="str">
        <f>""</f>
        <v/>
      </c>
      <c r="AW504" t="str">
        <f>""</f>
        <v/>
      </c>
      <c r="AX504" t="str">
        <f>""</f>
        <v/>
      </c>
      <c r="AY504" t="str">
        <f>""</f>
        <v/>
      </c>
      <c r="AZ504" t="str">
        <f>""</f>
        <v/>
      </c>
      <c r="BA504" t="str">
        <f>""</f>
        <v/>
      </c>
      <c r="BB504" t="str">
        <f>""</f>
        <v/>
      </c>
      <c r="BC504" t="str">
        <f>""</f>
        <v/>
      </c>
      <c r="BD504" t="str">
        <f>""</f>
        <v/>
      </c>
      <c r="BE504" t="str">
        <f>""</f>
        <v/>
      </c>
      <c r="BF504" t="str">
        <f>""</f>
        <v/>
      </c>
      <c r="BG504" t="str">
        <f>""</f>
        <v/>
      </c>
      <c r="BH504" t="str">
        <f>""</f>
        <v/>
      </c>
      <c r="BI504" t="str">
        <f>""</f>
        <v/>
      </c>
      <c r="BJ504" t="str">
        <f>""</f>
        <v/>
      </c>
      <c r="BK504" t="str">
        <f>""</f>
        <v/>
      </c>
      <c r="BL504" t="str">
        <f>""</f>
        <v/>
      </c>
      <c r="BM504" t="str">
        <f>""</f>
        <v/>
      </c>
      <c r="BN504" t="str">
        <f>""</f>
        <v/>
      </c>
      <c r="BO504" t="str">
        <f>""</f>
        <v/>
      </c>
      <c r="BP504" t="str">
        <f>""</f>
        <v/>
      </c>
      <c r="BQ504" t="str">
        <f>""</f>
        <v/>
      </c>
      <c r="BR504" t="str">
        <f>""</f>
        <v/>
      </c>
      <c r="BS504" t="str">
        <f>""</f>
        <v/>
      </c>
    </row>
    <row r="505" spans="1:71" x14ac:dyDescent="0.25">
      <c r="A505" t="str">
        <f>$A$86</f>
        <v xml:space="preserve">        US Bancorp</v>
      </c>
      <c r="B505" t="str">
        <f>$B$86</f>
        <v>USB US Equity</v>
      </c>
      <c r="C505" t="str">
        <f>$C$86</f>
        <v>F0093</v>
      </c>
      <c r="D505" t="str">
        <f>$D$86</f>
        <v>FED_REAL_ESTATE_LOANS_DOMESTIC</v>
      </c>
      <c r="E505" t="str">
        <f>$E$86</f>
        <v>Dynamic</v>
      </c>
      <c r="F505">
        <f ca="1">_xll.BDH($B$86,$C$86,$B$425,$B$426,CONCATENATE("Per=",$B$423),"Dts=H","Dir=H",CONCATENATE("Points=",$B$424),"Sort=R","Days=A","Fill=B",CONCATENATE("FX=", $B$422),"cols=33;rows=1")</f>
        <v>181875</v>
      </c>
      <c r="G505">
        <v>182234</v>
      </c>
      <c r="H505">
        <v>184586</v>
      </c>
      <c r="I505">
        <v>131024</v>
      </c>
      <c r="J505">
        <v>134911</v>
      </c>
      <c r="K505">
        <v>129085</v>
      </c>
      <c r="L505">
        <v>120599</v>
      </c>
      <c r="M505">
        <v>120465</v>
      </c>
      <c r="N505">
        <v>122126</v>
      </c>
      <c r="O505">
        <v>116114</v>
      </c>
      <c r="P505">
        <v>116486</v>
      </c>
      <c r="Q505">
        <v>113719</v>
      </c>
      <c r="R505">
        <v>112748</v>
      </c>
      <c r="S505">
        <v>107472</v>
      </c>
      <c r="T505">
        <v>104602</v>
      </c>
      <c r="U505">
        <v>99388</v>
      </c>
      <c r="V505">
        <v>85668</v>
      </c>
      <c r="W505">
        <v>70122</v>
      </c>
      <c r="X505">
        <v>41149</v>
      </c>
      <c r="Y505">
        <v>40263</v>
      </c>
      <c r="Z505">
        <v>34552</v>
      </c>
      <c r="AA505">
        <v>31195</v>
      </c>
      <c r="AB505">
        <v>30666</v>
      </c>
      <c r="AC505">
        <v>25618</v>
      </c>
      <c r="AD505">
        <v>13205.82</v>
      </c>
      <c r="AE505">
        <v>12399.78</v>
      </c>
      <c r="AF505">
        <v>11601.2</v>
      </c>
      <c r="AG505">
        <v>11152.51</v>
      </c>
      <c r="AH505">
        <v>5176.6350000000002</v>
      </c>
      <c r="AI505">
        <v>5392.2290000000003</v>
      </c>
      <c r="AM505" t="str">
        <f>""</f>
        <v/>
      </c>
      <c r="AN505" t="str">
        <f>""</f>
        <v/>
      </c>
      <c r="AO505" t="str">
        <f>""</f>
        <v/>
      </c>
      <c r="AP505" t="str">
        <f>""</f>
        <v/>
      </c>
      <c r="AQ505" t="str">
        <f>""</f>
        <v/>
      </c>
      <c r="AR505" t="str">
        <f>""</f>
        <v/>
      </c>
      <c r="AS505" t="str">
        <f>""</f>
        <v/>
      </c>
      <c r="AT505" t="str">
        <f>""</f>
        <v/>
      </c>
      <c r="AU505" t="str">
        <f>""</f>
        <v/>
      </c>
      <c r="AV505" t="str">
        <f>""</f>
        <v/>
      </c>
      <c r="AW505" t="str">
        <f>""</f>
        <v/>
      </c>
      <c r="AX505" t="str">
        <f>""</f>
        <v/>
      </c>
      <c r="AY505" t="str">
        <f>""</f>
        <v/>
      </c>
      <c r="AZ505" t="str">
        <f>""</f>
        <v/>
      </c>
      <c r="BA505" t="str">
        <f>""</f>
        <v/>
      </c>
      <c r="BB505" t="str">
        <f>""</f>
        <v/>
      </c>
      <c r="BC505" t="str">
        <f>""</f>
        <v/>
      </c>
      <c r="BD505" t="str">
        <f>""</f>
        <v/>
      </c>
      <c r="BE505" t="str">
        <f>""</f>
        <v/>
      </c>
      <c r="BF505" t="str">
        <f>""</f>
        <v/>
      </c>
      <c r="BG505" t="str">
        <f>""</f>
        <v/>
      </c>
      <c r="BH505" t="str">
        <f>""</f>
        <v/>
      </c>
      <c r="BI505" t="str">
        <f>""</f>
        <v/>
      </c>
      <c r="BJ505" t="str">
        <f>""</f>
        <v/>
      </c>
      <c r="BK505" t="str">
        <f>""</f>
        <v/>
      </c>
      <c r="BL505" t="str">
        <f>""</f>
        <v/>
      </c>
      <c r="BM505" t="str">
        <f>""</f>
        <v/>
      </c>
      <c r="BN505" t="str">
        <f>""</f>
        <v/>
      </c>
      <c r="BO505" t="str">
        <f>""</f>
        <v/>
      </c>
      <c r="BP505" t="str">
        <f>""</f>
        <v/>
      </c>
      <c r="BQ505" t="str">
        <f>""</f>
        <v/>
      </c>
      <c r="BR505" t="str">
        <f>""</f>
        <v/>
      </c>
      <c r="BS505" t="str">
        <f>""</f>
        <v/>
      </c>
    </row>
    <row r="506" spans="1:71" x14ac:dyDescent="0.25">
      <c r="A506" t="str">
        <f>$A$87</f>
        <v xml:space="preserve">        Wells Fargo &amp; Co</v>
      </c>
      <c r="B506" t="str">
        <f>$B$87</f>
        <v>WFC US Equity</v>
      </c>
      <c r="C506" t="str">
        <f>$C$87</f>
        <v>F0093</v>
      </c>
      <c r="D506" t="str">
        <f>$D$87</f>
        <v>FED_REAL_ESTATE_LOANS_DOMESTIC</v>
      </c>
      <c r="E506" t="str">
        <f>$E$87</f>
        <v>Dynamic</v>
      </c>
      <c r="F506">
        <f ca="1">_xll.BDH($B$87,$C$87,$B$425,$B$426,CONCATENATE("Per=",$B$423),"Dts=H","Dir=H",CONCATENATE("Points=",$B$424),"Sort=R","Days=A","Fill=B",CONCATENATE("FX=", $B$422),"cols=33;rows=1")</f>
        <v>377333</v>
      </c>
      <c r="G506">
        <v>399548</v>
      </c>
      <c r="H506">
        <v>414664</v>
      </c>
      <c r="I506">
        <v>410796</v>
      </c>
      <c r="J506">
        <v>451559</v>
      </c>
      <c r="K506">
        <v>472912</v>
      </c>
      <c r="L506">
        <v>467475</v>
      </c>
      <c r="M506">
        <v>485706</v>
      </c>
      <c r="N506">
        <v>496805</v>
      </c>
      <c r="O506">
        <v>482823</v>
      </c>
      <c r="P506">
        <v>470841</v>
      </c>
      <c r="Q506">
        <v>465724</v>
      </c>
      <c r="R506">
        <v>494633</v>
      </c>
      <c r="S506">
        <v>487754</v>
      </c>
      <c r="T506">
        <v>502354</v>
      </c>
      <c r="U506">
        <v>506140</v>
      </c>
      <c r="V506">
        <v>516467</v>
      </c>
      <c r="W506">
        <v>229117</v>
      </c>
      <c r="X506">
        <v>159369</v>
      </c>
      <c r="Y506">
        <v>181496</v>
      </c>
      <c r="Z506">
        <v>173464</v>
      </c>
      <c r="AA506">
        <v>152370</v>
      </c>
      <c r="AB506">
        <v>126489</v>
      </c>
      <c r="AC506">
        <v>84620</v>
      </c>
      <c r="AD506">
        <v>49355.73</v>
      </c>
      <c r="AE506">
        <v>36184.589999999997</v>
      </c>
      <c r="AF506">
        <v>38934.36</v>
      </c>
      <c r="AG506">
        <v>16182.33</v>
      </c>
      <c r="AH506">
        <v>12011.01</v>
      </c>
      <c r="AI506">
        <v>11297.89</v>
      </c>
      <c r="AM506" t="str">
        <f>""</f>
        <v/>
      </c>
      <c r="AN506" t="str">
        <f>""</f>
        <v/>
      </c>
      <c r="AO506" t="str">
        <f>""</f>
        <v/>
      </c>
      <c r="AP506" t="str">
        <f>""</f>
        <v/>
      </c>
      <c r="AQ506" t="str">
        <f>""</f>
        <v/>
      </c>
      <c r="AR506" t="str">
        <f>""</f>
        <v/>
      </c>
      <c r="AS506" t="str">
        <f>""</f>
        <v/>
      </c>
      <c r="AT506" t="str">
        <f>""</f>
        <v/>
      </c>
      <c r="AU506" t="str">
        <f>""</f>
        <v/>
      </c>
      <c r="AV506" t="str">
        <f>""</f>
        <v/>
      </c>
      <c r="AW506" t="str">
        <f>""</f>
        <v/>
      </c>
      <c r="AX506" t="str">
        <f>""</f>
        <v/>
      </c>
      <c r="AY506" t="str">
        <f>""</f>
        <v/>
      </c>
      <c r="AZ506" t="str">
        <f>""</f>
        <v/>
      </c>
      <c r="BA506" t="str">
        <f>""</f>
        <v/>
      </c>
      <c r="BB506" t="str">
        <f>""</f>
        <v/>
      </c>
      <c r="BC506" t="str">
        <f>""</f>
        <v/>
      </c>
      <c r="BD506" t="str">
        <f>""</f>
        <v/>
      </c>
      <c r="BE506" t="str">
        <f>""</f>
        <v/>
      </c>
      <c r="BF506" t="str">
        <f>""</f>
        <v/>
      </c>
      <c r="BG506" t="str">
        <f>""</f>
        <v/>
      </c>
      <c r="BH506" t="str">
        <f>""</f>
        <v/>
      </c>
      <c r="BI506" t="str">
        <f>""</f>
        <v/>
      </c>
      <c r="BJ506" t="str">
        <f>""</f>
        <v/>
      </c>
      <c r="BK506" t="str">
        <f>""</f>
        <v/>
      </c>
      <c r="BL506" t="str">
        <f>""</f>
        <v/>
      </c>
      <c r="BM506" t="str">
        <f>""</f>
        <v/>
      </c>
      <c r="BN506" t="str">
        <f>""</f>
        <v/>
      </c>
      <c r="BO506" t="str">
        <f>""</f>
        <v/>
      </c>
      <c r="BP506" t="str">
        <f>""</f>
        <v/>
      </c>
      <c r="BQ506" t="str">
        <f>""</f>
        <v/>
      </c>
      <c r="BR506" t="str">
        <f>""</f>
        <v/>
      </c>
      <c r="BS506" t="str">
        <f>""</f>
        <v/>
      </c>
    </row>
    <row r="507" spans="1:71" x14ac:dyDescent="0.25">
      <c r="A507" t="str">
        <f>$A$88</f>
        <v xml:space="preserve">        Western Alliance Bancorp</v>
      </c>
      <c r="B507" t="str">
        <f>$B$88</f>
        <v>WAL US Equity</v>
      </c>
      <c r="C507" t="str">
        <f>$C$88</f>
        <v>F0093</v>
      </c>
      <c r="D507" t="str">
        <f>$D$88</f>
        <v>FED_REAL_ESTATE_LOANS_DOMESTIC</v>
      </c>
      <c r="E507" t="str">
        <f>$E$88</f>
        <v>Dynamic</v>
      </c>
      <c r="F507">
        <f ca="1">_xll.BDH($B$88,$C$88,$B$425,$B$426,CONCATENATE("Per=",$B$423),"Dts=H","Dir=H",CONCATENATE("Points=",$B$424),"Sort=R","Days=A","Fill=B",CONCATENATE("FX=", $B$422),"cols=33;rows=1")</f>
        <v>32939.269999999997</v>
      </c>
      <c r="G507">
        <v>32458.22</v>
      </c>
      <c r="H507">
        <v>32538.63</v>
      </c>
      <c r="I507">
        <v>26118.82</v>
      </c>
      <c r="J507">
        <v>12365.51</v>
      </c>
      <c r="K507">
        <v>11335.43</v>
      </c>
      <c r="L507">
        <v>9560.4249999999993</v>
      </c>
      <c r="M507">
        <v>7875.0349999999999</v>
      </c>
      <c r="N507">
        <v>7044.8680000000004</v>
      </c>
      <c r="O507">
        <v>5591.7579999999998</v>
      </c>
      <c r="P507">
        <v>4802.9979999999996</v>
      </c>
      <c r="Q507">
        <v>4276.6719999999996</v>
      </c>
      <c r="R507">
        <v>3704.6529999999998</v>
      </c>
      <c r="S507">
        <v>3378.049</v>
      </c>
      <c r="T507">
        <v>3240.4090000000001</v>
      </c>
      <c r="U507">
        <v>3216.1610000000001</v>
      </c>
      <c r="V507">
        <v>3174.6529999999998</v>
      </c>
      <c r="W507">
        <v>2814.0880000000002</v>
      </c>
      <c r="X507">
        <v>417.46800000000002</v>
      </c>
      <c r="Y507">
        <v>298.23200000000003</v>
      </c>
      <c r="Z507">
        <v>133.67400000000001</v>
      </c>
      <c r="AA507">
        <v>56.720999999999997</v>
      </c>
      <c r="AB507">
        <v>26.126999999999999</v>
      </c>
      <c r="AC507">
        <v>18.065999999999999</v>
      </c>
      <c r="AM507" t="str">
        <f>""</f>
        <v/>
      </c>
      <c r="AN507" t="str">
        <f>""</f>
        <v/>
      </c>
      <c r="AO507" t="str">
        <f>""</f>
        <v/>
      </c>
      <c r="AP507" t="str">
        <f>""</f>
        <v/>
      </c>
      <c r="AQ507" t="str">
        <f>""</f>
        <v/>
      </c>
      <c r="AR507" t="str">
        <f>""</f>
        <v/>
      </c>
      <c r="AS507" t="str">
        <f>""</f>
        <v/>
      </c>
      <c r="AT507" t="str">
        <f>""</f>
        <v/>
      </c>
      <c r="AU507" t="str">
        <f>""</f>
        <v/>
      </c>
      <c r="AV507" t="str">
        <f>""</f>
        <v/>
      </c>
      <c r="AW507" t="str">
        <f>""</f>
        <v/>
      </c>
      <c r="AX507" t="str">
        <f>""</f>
        <v/>
      </c>
      <c r="AY507" t="str">
        <f>""</f>
        <v/>
      </c>
      <c r="AZ507" t="str">
        <f>""</f>
        <v/>
      </c>
      <c r="BA507" t="str">
        <f>""</f>
        <v/>
      </c>
      <c r="BB507" t="str">
        <f>""</f>
        <v/>
      </c>
      <c r="BC507" t="str">
        <f>""</f>
        <v/>
      </c>
      <c r="BD507" t="str">
        <f>""</f>
        <v/>
      </c>
      <c r="BE507" t="str">
        <f>""</f>
        <v/>
      </c>
      <c r="BF507" t="str">
        <f>""</f>
        <v/>
      </c>
      <c r="BG507" t="str">
        <f>""</f>
        <v/>
      </c>
      <c r="BH507" t="str">
        <f>""</f>
        <v/>
      </c>
      <c r="BI507" t="str">
        <f>""</f>
        <v/>
      </c>
      <c r="BJ507" t="str">
        <f>""</f>
        <v/>
      </c>
      <c r="BK507" t="str">
        <f>""</f>
        <v/>
      </c>
      <c r="BL507" t="str">
        <f>""</f>
        <v/>
      </c>
      <c r="BM507" t="str">
        <f>""</f>
        <v/>
      </c>
      <c r="BN507" t="str">
        <f>""</f>
        <v/>
      </c>
      <c r="BO507" t="str">
        <f>""</f>
        <v/>
      </c>
      <c r="BP507" t="str">
        <f>""</f>
        <v/>
      </c>
      <c r="BQ507" t="str">
        <f>""</f>
        <v/>
      </c>
      <c r="BR507" t="str">
        <f>""</f>
        <v/>
      </c>
      <c r="BS507" t="str">
        <f>""</f>
        <v/>
      </c>
    </row>
    <row r="508" spans="1:71" x14ac:dyDescent="0.25">
      <c r="A508" t="str">
        <f>$A$89</f>
        <v xml:space="preserve">        Zions Bancorp NA</v>
      </c>
      <c r="B508" t="str">
        <f>$B$89</f>
        <v>ZION US Equity</v>
      </c>
      <c r="C508" t="str">
        <f>$C$89</f>
        <v>F0093</v>
      </c>
      <c r="D508" t="str">
        <f>$D$89</f>
        <v>FED_REAL_ESTATE_LOANS_DOMESTIC</v>
      </c>
      <c r="E508" t="str">
        <f>$E$89</f>
        <v>Dynamic</v>
      </c>
      <c r="F508">
        <f ca="1">_xll.BDH($B$89,$C$89,$B$425,$B$426,CONCATENATE("Per=",$B$423),"Dts=H","Dir=H",CONCATENATE("Points=",$B$424),"Sort=R","Days=A","Fill=B",CONCATENATE("FX=", $B$422),"cols=33;rows=1")</f>
        <v>17207.580000000002</v>
      </c>
      <c r="G508">
        <v>15184.51</v>
      </c>
      <c r="H508">
        <v>13672.79</v>
      </c>
      <c r="I508">
        <v>11702.34</v>
      </c>
      <c r="AM508" t="str">
        <f>""</f>
        <v/>
      </c>
      <c r="AN508" t="str">
        <f>""</f>
        <v/>
      </c>
      <c r="AO508" t="str">
        <f>""</f>
        <v/>
      </c>
      <c r="AP508" t="str">
        <f>""</f>
        <v/>
      </c>
      <c r="AQ508" t="str">
        <f>""</f>
        <v/>
      </c>
      <c r="AR508" t="str">
        <f>""</f>
        <v/>
      </c>
      <c r="AS508" t="str">
        <f>""</f>
        <v/>
      </c>
      <c r="AT508" t="str">
        <f>""</f>
        <v/>
      </c>
      <c r="AU508" t="str">
        <f>""</f>
        <v/>
      </c>
      <c r="AV508" t="str">
        <f>""</f>
        <v/>
      </c>
      <c r="AW508" t="str">
        <f>""</f>
        <v/>
      </c>
      <c r="AX508" t="str">
        <f>""</f>
        <v/>
      </c>
      <c r="AY508" t="str">
        <f>""</f>
        <v/>
      </c>
      <c r="AZ508" t="str">
        <f>""</f>
        <v/>
      </c>
      <c r="BA508" t="str">
        <f>""</f>
        <v/>
      </c>
      <c r="BB508" t="str">
        <f>""</f>
        <v/>
      </c>
      <c r="BC508" t="str">
        <f>""</f>
        <v/>
      </c>
      <c r="BD508" t="str">
        <f>""</f>
        <v/>
      </c>
      <c r="BE508" t="str">
        <f>""</f>
        <v/>
      </c>
      <c r="BF508" t="str">
        <f>""</f>
        <v/>
      </c>
      <c r="BG508" t="str">
        <f>""</f>
        <v/>
      </c>
      <c r="BH508" t="str">
        <f>""</f>
        <v/>
      </c>
      <c r="BI508" t="str">
        <f>""</f>
        <v/>
      </c>
      <c r="BJ508" t="str">
        <f>""</f>
        <v/>
      </c>
      <c r="BK508" t="str">
        <f>""</f>
        <v/>
      </c>
      <c r="BL508" t="str">
        <f>""</f>
        <v/>
      </c>
      <c r="BM508" t="str">
        <f>""</f>
        <v/>
      </c>
      <c r="BN508" t="str">
        <f>""</f>
        <v/>
      </c>
      <c r="BO508" t="str">
        <f>""</f>
        <v/>
      </c>
      <c r="BP508" t="str">
        <f>""</f>
        <v/>
      </c>
      <c r="BQ508" t="str">
        <f>""</f>
        <v/>
      </c>
      <c r="BR508" t="str">
        <f>""</f>
        <v/>
      </c>
      <c r="BS508" t="str">
        <f>""</f>
        <v/>
      </c>
    </row>
    <row r="509" spans="1:71" x14ac:dyDescent="0.25">
      <c r="A509" t="str">
        <f>$A$92</f>
        <v xml:space="preserve">        Bank of America Corp</v>
      </c>
      <c r="B509" t="str">
        <f>$B$92</f>
        <v>BAC US Equity</v>
      </c>
      <c r="C509" t="str">
        <f>$C$92</f>
        <v>FR011</v>
      </c>
      <c r="D509" t="str">
        <f>$D$92</f>
        <v>FED_C&amp;I_LOANS_US_ADDRESS</v>
      </c>
      <c r="E509" t="str">
        <f>$E$92</f>
        <v>Dynamic</v>
      </c>
      <c r="F509">
        <f ca="1">_xll.BDH($B$92,$C$92,$B$425,$B$426,CONCATENATE("Per=",$B$423),"Dts=H","Dir=H",CONCATENATE("Points=",$B$424),"Sort=R","Days=A","Fill=B",CONCATENATE("FX=", $B$422),"cols=33;rows=1")</f>
        <v>259807</v>
      </c>
      <c r="G509">
        <v>246357</v>
      </c>
      <c r="H509">
        <v>251353</v>
      </c>
      <c r="I509">
        <v>226334</v>
      </c>
      <c r="J509">
        <v>227080</v>
      </c>
      <c r="K509">
        <v>222079</v>
      </c>
      <c r="L509">
        <v>212365</v>
      </c>
      <c r="M509">
        <v>204807</v>
      </c>
      <c r="N509">
        <v>192902</v>
      </c>
      <c r="O509">
        <v>175679</v>
      </c>
      <c r="P509">
        <v>158461</v>
      </c>
      <c r="Q509">
        <v>163750</v>
      </c>
      <c r="R509">
        <v>150764.85999999999</v>
      </c>
      <c r="S509">
        <v>131761.60699999999</v>
      </c>
      <c r="T509">
        <v>122807.376</v>
      </c>
      <c r="U509">
        <v>131723.85</v>
      </c>
      <c r="V509">
        <v>158991.44899999999</v>
      </c>
      <c r="W509">
        <v>151697.174</v>
      </c>
      <c r="X509">
        <v>105414.92</v>
      </c>
      <c r="Y509">
        <v>93077.101999999999</v>
      </c>
      <c r="Z509">
        <v>77996.86</v>
      </c>
      <c r="AA509">
        <v>60868.847999999998</v>
      </c>
      <c r="AB509">
        <v>71701</v>
      </c>
      <c r="AC509">
        <v>88263</v>
      </c>
      <c r="AM509" t="str">
        <f>""</f>
        <v/>
      </c>
      <c r="AN509" t="str">
        <f>""</f>
        <v/>
      </c>
      <c r="AO509" t="str">
        <f>""</f>
        <v/>
      </c>
      <c r="AP509" t="str">
        <f>""</f>
        <v/>
      </c>
      <c r="AQ509" t="str">
        <f>""</f>
        <v/>
      </c>
      <c r="AR509" t="str">
        <f>""</f>
        <v/>
      </c>
      <c r="AS509" t="str">
        <f>""</f>
        <v/>
      </c>
      <c r="AT509" t="str">
        <f>""</f>
        <v/>
      </c>
      <c r="AU509" t="str">
        <f>""</f>
        <v/>
      </c>
      <c r="AV509" t="str">
        <f>""</f>
        <v/>
      </c>
      <c r="AW509" t="str">
        <f>""</f>
        <v/>
      </c>
      <c r="AX509" t="str">
        <f>""</f>
        <v/>
      </c>
      <c r="AY509" t="str">
        <f>""</f>
        <v/>
      </c>
      <c r="AZ509" t="str">
        <f>""</f>
        <v/>
      </c>
      <c r="BA509" t="str">
        <f>""</f>
        <v/>
      </c>
      <c r="BB509" t="str">
        <f>""</f>
        <v/>
      </c>
      <c r="BC509" t="str">
        <f>""</f>
        <v/>
      </c>
      <c r="BD509" t="str">
        <f>""</f>
        <v/>
      </c>
      <c r="BE509" t="str">
        <f>""</f>
        <v/>
      </c>
      <c r="BF509" t="str">
        <f>""</f>
        <v/>
      </c>
      <c r="BG509" t="str">
        <f>""</f>
        <v/>
      </c>
      <c r="BH509" t="str">
        <f>""</f>
        <v/>
      </c>
      <c r="BI509" t="str">
        <f>""</f>
        <v/>
      </c>
      <c r="BJ509" t="str">
        <f>""</f>
        <v/>
      </c>
      <c r="BK509" t="str">
        <f>""</f>
        <v/>
      </c>
      <c r="BL509" t="str">
        <f>""</f>
        <v/>
      </c>
      <c r="BM509" t="str">
        <f>""</f>
        <v/>
      </c>
      <c r="BN509" t="str">
        <f>""</f>
        <v/>
      </c>
      <c r="BO509" t="str">
        <f>""</f>
        <v/>
      </c>
      <c r="BP509" t="str">
        <f>""</f>
        <v/>
      </c>
      <c r="BQ509" t="str">
        <f>""</f>
        <v/>
      </c>
      <c r="BR509" t="str">
        <f>""</f>
        <v/>
      </c>
      <c r="BS509" t="str">
        <f>""</f>
        <v/>
      </c>
    </row>
    <row r="510" spans="1:71" x14ac:dyDescent="0.25">
      <c r="A510" t="str">
        <f>$A$93</f>
        <v xml:space="preserve">        Citigroup Inc</v>
      </c>
      <c r="B510" t="str">
        <f>$B$93</f>
        <v>C US Equity</v>
      </c>
      <c r="C510" t="str">
        <f>$C$93</f>
        <v>FR011</v>
      </c>
      <c r="D510" t="str">
        <f>$D$93</f>
        <v>FED_C&amp;I_LOANS_US_ADDRESS</v>
      </c>
      <c r="E510" t="str">
        <f>$E$93</f>
        <v>Dynamic</v>
      </c>
      <c r="F510">
        <f ca="1">_xll.BDH($B$93,$C$93,$B$425,$B$426,CONCATENATE("Per=",$B$423),"Dts=H","Dir=H",CONCATENATE("Points=",$B$424),"Sort=R","Days=A","Fill=B",CONCATENATE("FX=", $B$422),"cols=33;rows=1")</f>
        <v>57909</v>
      </c>
      <c r="G510">
        <v>60846</v>
      </c>
      <c r="H510">
        <v>54453</v>
      </c>
      <c r="I510">
        <v>49374</v>
      </c>
      <c r="J510">
        <v>58000</v>
      </c>
      <c r="K510">
        <v>57443</v>
      </c>
      <c r="L510">
        <v>58254</v>
      </c>
      <c r="M510">
        <v>54594</v>
      </c>
      <c r="N510">
        <v>49443</v>
      </c>
      <c r="O510">
        <v>47278</v>
      </c>
      <c r="P510">
        <v>41542</v>
      </c>
      <c r="Q510">
        <v>38658</v>
      </c>
      <c r="R510">
        <v>32778</v>
      </c>
      <c r="S510">
        <v>29197</v>
      </c>
      <c r="T510">
        <v>25662</v>
      </c>
      <c r="U510">
        <v>32371</v>
      </c>
      <c r="V510">
        <v>45317</v>
      </c>
      <c r="W510">
        <v>66445</v>
      </c>
      <c r="X510">
        <v>46448</v>
      </c>
      <c r="Y510">
        <v>40425</v>
      </c>
      <c r="Z510">
        <v>31987</v>
      </c>
      <c r="AA510">
        <v>29346</v>
      </c>
      <c r="AB510">
        <v>35980</v>
      </c>
      <c r="AC510">
        <v>40230</v>
      </c>
      <c r="AM510" t="str">
        <f>""</f>
        <v/>
      </c>
      <c r="AN510" t="str">
        <f>""</f>
        <v/>
      </c>
      <c r="AO510" t="str">
        <f>""</f>
        <v/>
      </c>
      <c r="AP510" t="str">
        <f>""</f>
        <v/>
      </c>
      <c r="AQ510" t="str">
        <f>""</f>
        <v/>
      </c>
      <c r="AR510" t="str">
        <f>""</f>
        <v/>
      </c>
      <c r="AS510" t="str">
        <f>""</f>
        <v/>
      </c>
      <c r="AT510" t="str">
        <f>""</f>
        <v/>
      </c>
      <c r="AU510" t="str">
        <f>""</f>
        <v/>
      </c>
      <c r="AV510" t="str">
        <f>""</f>
        <v/>
      </c>
      <c r="AW510" t="str">
        <f>""</f>
        <v/>
      </c>
      <c r="AX510" t="str">
        <f>""</f>
        <v/>
      </c>
      <c r="AY510" t="str">
        <f>""</f>
        <v/>
      </c>
      <c r="AZ510" t="str">
        <f>""</f>
        <v/>
      </c>
      <c r="BA510" t="str">
        <f>""</f>
        <v/>
      </c>
      <c r="BB510" t="str">
        <f>""</f>
        <v/>
      </c>
      <c r="BC510" t="str">
        <f>""</f>
        <v/>
      </c>
      <c r="BD510" t="str">
        <f>""</f>
        <v/>
      </c>
      <c r="BE510" t="str">
        <f>""</f>
        <v/>
      </c>
      <c r="BF510" t="str">
        <f>""</f>
        <v/>
      </c>
      <c r="BG510" t="str">
        <f>""</f>
        <v/>
      </c>
      <c r="BH510" t="str">
        <f>""</f>
        <v/>
      </c>
      <c r="BI510" t="str">
        <f>""</f>
        <v/>
      </c>
      <c r="BJ510" t="str">
        <f>""</f>
        <v/>
      </c>
      <c r="BK510" t="str">
        <f>""</f>
        <v/>
      </c>
      <c r="BL510" t="str">
        <f>""</f>
        <v/>
      </c>
      <c r="BM510" t="str">
        <f>""</f>
        <v/>
      </c>
      <c r="BN510" t="str">
        <f>""</f>
        <v/>
      </c>
      <c r="BO510" t="str">
        <f>""</f>
        <v/>
      </c>
      <c r="BP510" t="str">
        <f>""</f>
        <v/>
      </c>
      <c r="BQ510" t="str">
        <f>""</f>
        <v/>
      </c>
      <c r="BR510" t="str">
        <f>""</f>
        <v/>
      </c>
      <c r="BS510" t="str">
        <f>""</f>
        <v/>
      </c>
    </row>
    <row r="511" spans="1:71" x14ac:dyDescent="0.25">
      <c r="A511" t="str">
        <f>$A$94</f>
        <v xml:space="preserve">        Citizens Financial Group Inc</v>
      </c>
      <c r="B511" t="str">
        <f>$B$94</f>
        <v>CFG US Equity</v>
      </c>
      <c r="C511" t="str">
        <f>$C$94</f>
        <v>FR011</v>
      </c>
      <c r="D511" t="str">
        <f>$D$94</f>
        <v>FED_C&amp;I_LOANS_US_ADDRESS</v>
      </c>
      <c r="E511" t="str">
        <f>$E$94</f>
        <v>Dynamic</v>
      </c>
      <c r="F511">
        <f ca="1">_xll.BDH($B$94,$C$94,$B$425,$B$426,CONCATENATE("Per=",$B$423),"Dts=H","Dir=H",CONCATENATE("Points=",$B$424),"Sort=R","Days=A","Fill=B",CONCATENATE("FX=", $B$422),"cols=33;rows=1")</f>
        <v>24760.656999999999</v>
      </c>
      <c r="G511">
        <v>36720.19</v>
      </c>
      <c r="H511">
        <v>44042.211000000003</v>
      </c>
      <c r="I511">
        <v>39862.752999999997</v>
      </c>
      <c r="J511">
        <v>38862.6</v>
      </c>
      <c r="K511">
        <v>35583.330999999998</v>
      </c>
      <c r="L511">
        <v>34946.69</v>
      </c>
      <c r="M511">
        <v>31192.701000000001</v>
      </c>
      <c r="N511">
        <v>30775.691999999999</v>
      </c>
      <c r="O511">
        <v>26887.003000000001</v>
      </c>
      <c r="P511">
        <v>24814.531999999999</v>
      </c>
      <c r="Q511">
        <v>22642.248</v>
      </c>
      <c r="R511">
        <v>21471.280999999999</v>
      </c>
      <c r="S511">
        <v>18801.773000000001</v>
      </c>
      <c r="T511">
        <v>15511.886</v>
      </c>
      <c r="U511">
        <v>15103.662</v>
      </c>
      <c r="V511">
        <v>19407.844000000001</v>
      </c>
      <c r="W511">
        <v>20420.476999999999</v>
      </c>
      <c r="X511">
        <v>16186.24</v>
      </c>
      <c r="Y511">
        <v>11974.531000000001</v>
      </c>
      <c r="Z511">
        <v>10496.62</v>
      </c>
      <c r="AA511">
        <v>8740.0810000000001</v>
      </c>
      <c r="AB511">
        <v>8229.5949999999993</v>
      </c>
      <c r="AC511">
        <v>8657.6260000000002</v>
      </c>
      <c r="AM511" t="str">
        <f>""</f>
        <v/>
      </c>
      <c r="AN511" t="str">
        <f>""</f>
        <v/>
      </c>
      <c r="AO511" t="str">
        <f>""</f>
        <v/>
      </c>
      <c r="AP511" t="str">
        <f>""</f>
        <v/>
      </c>
      <c r="AQ511" t="str">
        <f>""</f>
        <v/>
      </c>
      <c r="AR511" t="str">
        <f>""</f>
        <v/>
      </c>
      <c r="AS511" t="str">
        <f>""</f>
        <v/>
      </c>
      <c r="AT511" t="str">
        <f>""</f>
        <v/>
      </c>
      <c r="AU511" t="str">
        <f>""</f>
        <v/>
      </c>
      <c r="AV511" t="str">
        <f>""</f>
        <v/>
      </c>
      <c r="AW511" t="str">
        <f>""</f>
        <v/>
      </c>
      <c r="AX511" t="str">
        <f>""</f>
        <v/>
      </c>
      <c r="AY511" t="str">
        <f>""</f>
        <v/>
      </c>
      <c r="AZ511" t="str">
        <f>""</f>
        <v/>
      </c>
      <c r="BA511" t="str">
        <f>""</f>
        <v/>
      </c>
      <c r="BB511" t="str">
        <f>""</f>
        <v/>
      </c>
      <c r="BC511" t="str">
        <f>""</f>
        <v/>
      </c>
      <c r="BD511" t="str">
        <f>""</f>
        <v/>
      </c>
      <c r="BE511" t="str">
        <f>""</f>
        <v/>
      </c>
      <c r="BF511" t="str">
        <f>""</f>
        <v/>
      </c>
      <c r="BG511" t="str">
        <f>""</f>
        <v/>
      </c>
      <c r="BH511" t="str">
        <f>""</f>
        <v/>
      </c>
      <c r="BI511" t="str">
        <f>""</f>
        <v/>
      </c>
      <c r="BJ511" t="str">
        <f>""</f>
        <v/>
      </c>
      <c r="BK511" t="str">
        <f>""</f>
        <v/>
      </c>
      <c r="BL511" t="str">
        <f>""</f>
        <v/>
      </c>
      <c r="BM511" t="str">
        <f>""</f>
        <v/>
      </c>
      <c r="BN511" t="str">
        <f>""</f>
        <v/>
      </c>
      <c r="BO511" t="str">
        <f>""</f>
        <v/>
      </c>
      <c r="BP511" t="str">
        <f>""</f>
        <v/>
      </c>
      <c r="BQ511" t="str">
        <f>""</f>
        <v/>
      </c>
      <c r="BR511" t="str">
        <f>""</f>
        <v/>
      </c>
      <c r="BS511" t="str">
        <f>""</f>
        <v/>
      </c>
    </row>
    <row r="512" spans="1:71" x14ac:dyDescent="0.25">
      <c r="A512" t="str">
        <f>$A$95</f>
        <v xml:space="preserve">        Capital One Financial Corp</v>
      </c>
      <c r="B512" t="str">
        <f>$B$95</f>
        <v>COF US Equity</v>
      </c>
      <c r="C512" t="str">
        <f>$C$95</f>
        <v>FR011</v>
      </c>
      <c r="D512" t="str">
        <f>$D$95</f>
        <v>FED_C&amp;I_LOANS_US_ADDRESS</v>
      </c>
      <c r="E512" t="str">
        <f>$E$95</f>
        <v>Dynamic</v>
      </c>
      <c r="F512">
        <f ca="1">_xll.BDH($B$95,$C$95,$B$425,$B$426,CONCATENATE("Per=",$B$423),"Dts=H","Dir=H",CONCATENATE("Points=",$B$424),"Sort=R","Days=A","Fill=B",CONCATENATE("FX=", $B$422),"cols=33;rows=1")</f>
        <v>44382.421000000002</v>
      </c>
      <c r="G512">
        <v>45606.461000000003</v>
      </c>
      <c r="H512">
        <v>46765.928999999996</v>
      </c>
      <c r="I512">
        <v>39631.216999999997</v>
      </c>
      <c r="J512">
        <v>34550.311000000002</v>
      </c>
      <c r="K512">
        <v>36833.805999999997</v>
      </c>
      <c r="L512">
        <v>33425.294999999998</v>
      </c>
      <c r="M512">
        <v>28971.728999999999</v>
      </c>
      <c r="N512">
        <v>29320.767</v>
      </c>
      <c r="O512">
        <v>26806.574000000001</v>
      </c>
      <c r="P512">
        <v>22170.227999999999</v>
      </c>
      <c r="Q512">
        <v>19171.498</v>
      </c>
      <c r="R512">
        <v>17976.173999999999</v>
      </c>
      <c r="S512">
        <v>17269.212</v>
      </c>
      <c r="T512">
        <v>16030.956</v>
      </c>
      <c r="U512">
        <v>12551.272999999999</v>
      </c>
      <c r="V512">
        <v>15633.806</v>
      </c>
      <c r="W512">
        <v>16430.423999999999</v>
      </c>
      <c r="X512">
        <v>11447.718999999999</v>
      </c>
      <c r="Y512">
        <v>5636.4110000000001</v>
      </c>
      <c r="Z512">
        <v>2692.8270000000002</v>
      </c>
      <c r="AM512" t="str">
        <f>""</f>
        <v/>
      </c>
      <c r="AN512" t="str">
        <f>""</f>
        <v/>
      </c>
      <c r="AO512" t="str">
        <f>""</f>
        <v/>
      </c>
      <c r="AP512" t="str">
        <f>""</f>
        <v/>
      </c>
      <c r="AQ512" t="str">
        <f>""</f>
        <v/>
      </c>
      <c r="AR512" t="str">
        <f>""</f>
        <v/>
      </c>
      <c r="AS512" t="str">
        <f>""</f>
        <v/>
      </c>
      <c r="AT512" t="str">
        <f>""</f>
        <v/>
      </c>
      <c r="AU512" t="str">
        <f>""</f>
        <v/>
      </c>
      <c r="AV512" t="str">
        <f>""</f>
        <v/>
      </c>
      <c r="AW512" t="str">
        <f>""</f>
        <v/>
      </c>
      <c r="AX512" t="str">
        <f>""</f>
        <v/>
      </c>
      <c r="AY512" t="str">
        <f>""</f>
        <v/>
      </c>
      <c r="AZ512" t="str">
        <f>""</f>
        <v/>
      </c>
      <c r="BA512" t="str">
        <f>""</f>
        <v/>
      </c>
      <c r="BB512" t="str">
        <f>""</f>
        <v/>
      </c>
      <c r="BC512" t="str">
        <f>""</f>
        <v/>
      </c>
      <c r="BD512" t="str">
        <f>""</f>
        <v/>
      </c>
      <c r="BE512" t="str">
        <f>""</f>
        <v/>
      </c>
      <c r="BF512" t="str">
        <f>""</f>
        <v/>
      </c>
      <c r="BG512" t="str">
        <f>""</f>
        <v/>
      </c>
      <c r="BH512" t="str">
        <f>""</f>
        <v/>
      </c>
      <c r="BI512" t="str">
        <f>""</f>
        <v/>
      </c>
      <c r="BJ512" t="str">
        <f>""</f>
        <v/>
      </c>
      <c r="BK512" t="str">
        <f>""</f>
        <v/>
      </c>
      <c r="BL512" t="str">
        <f>""</f>
        <v/>
      </c>
      <c r="BM512" t="str">
        <f>""</f>
        <v/>
      </c>
      <c r="BN512" t="str">
        <f>""</f>
        <v/>
      </c>
      <c r="BO512" t="str">
        <f>""</f>
        <v/>
      </c>
      <c r="BP512" t="str">
        <f>""</f>
        <v/>
      </c>
      <c r="BQ512" t="str">
        <f>""</f>
        <v/>
      </c>
      <c r="BR512" t="str">
        <f>""</f>
        <v/>
      </c>
      <c r="BS512" t="str">
        <f>""</f>
        <v/>
      </c>
    </row>
    <row r="513" spans="1:71" x14ac:dyDescent="0.25">
      <c r="A513" t="str">
        <f>$A$96</f>
        <v xml:space="preserve">        Comerica Inc</v>
      </c>
      <c r="B513" t="str">
        <f>$B$96</f>
        <v>CMA US Equity</v>
      </c>
      <c r="C513" t="str">
        <f>$C$96</f>
        <v>FR011</v>
      </c>
      <c r="D513" t="str">
        <f>$D$96</f>
        <v>FED_C&amp;I_LOANS_US_ADDRESS</v>
      </c>
      <c r="E513" t="str">
        <f>$E$96</f>
        <v>Dynamic</v>
      </c>
      <c r="F513">
        <f ca="1">_xll.BDH($B$96,$C$96,$B$425,$B$426,CONCATENATE("Per=",$B$423),"Dts=H","Dir=H",CONCATENATE("Points=",$B$424),"Sort=R","Days=A","Fill=B",CONCATENATE("FX=", $B$422),"cols=33;rows=1")</f>
        <v>23533</v>
      </c>
      <c r="G513">
        <v>23695</v>
      </c>
      <c r="H513">
        <v>24471</v>
      </c>
      <c r="I513">
        <v>21785</v>
      </c>
      <c r="J513">
        <v>24402</v>
      </c>
      <c r="K513">
        <v>24893</v>
      </c>
      <c r="L513">
        <v>25984.683000000001</v>
      </c>
      <c r="M513">
        <v>25904.143</v>
      </c>
      <c r="N513">
        <v>25315.249</v>
      </c>
      <c r="O513">
        <v>26003.333999999999</v>
      </c>
      <c r="P513">
        <v>27096.754000000001</v>
      </c>
      <c r="Q513">
        <v>25171.499</v>
      </c>
      <c r="R513">
        <v>24717.940999999999</v>
      </c>
      <c r="S513">
        <v>22244.768</v>
      </c>
      <c r="T513">
        <v>20174.775000000001</v>
      </c>
      <c r="U513">
        <v>19454.466</v>
      </c>
      <c r="V513">
        <v>22954.455000000002</v>
      </c>
      <c r="W513">
        <v>23241.85</v>
      </c>
      <c r="X513">
        <v>21783.366000000002</v>
      </c>
      <c r="Y513">
        <v>19205.512999999999</v>
      </c>
      <c r="Z513">
        <v>19992.382000000001</v>
      </c>
      <c r="AA513">
        <v>20261.708999999999</v>
      </c>
      <c r="AB513">
        <v>21938.214</v>
      </c>
      <c r="AC513">
        <v>22098.384999999998</v>
      </c>
      <c r="AM513" t="str">
        <f>""</f>
        <v/>
      </c>
      <c r="AN513" t="str">
        <f>""</f>
        <v/>
      </c>
      <c r="AO513" t="str">
        <f>""</f>
        <v/>
      </c>
      <c r="AP513" t="str">
        <f>""</f>
        <v/>
      </c>
      <c r="AQ513" t="str">
        <f>""</f>
        <v/>
      </c>
      <c r="AR513" t="str">
        <f>""</f>
        <v/>
      </c>
      <c r="AS513" t="str">
        <f>""</f>
        <v/>
      </c>
      <c r="AT513" t="str">
        <f>""</f>
        <v/>
      </c>
      <c r="AU513" t="str">
        <f>""</f>
        <v/>
      </c>
      <c r="AV513" t="str">
        <f>""</f>
        <v/>
      </c>
      <c r="AW513" t="str">
        <f>""</f>
        <v/>
      </c>
      <c r="AX513" t="str">
        <f>""</f>
        <v/>
      </c>
      <c r="AY513" t="str">
        <f>""</f>
        <v/>
      </c>
      <c r="AZ513" t="str">
        <f>""</f>
        <v/>
      </c>
      <c r="BA513" t="str">
        <f>""</f>
        <v/>
      </c>
      <c r="BB513" t="str">
        <f>""</f>
        <v/>
      </c>
      <c r="BC513" t="str">
        <f>""</f>
        <v/>
      </c>
      <c r="BD513" t="str">
        <f>""</f>
        <v/>
      </c>
      <c r="BE513" t="str">
        <f>""</f>
        <v/>
      </c>
      <c r="BF513" t="str">
        <f>""</f>
        <v/>
      </c>
      <c r="BG513" t="str">
        <f>""</f>
        <v/>
      </c>
      <c r="BH513" t="str">
        <f>""</f>
        <v/>
      </c>
      <c r="BI513" t="str">
        <f>""</f>
        <v/>
      </c>
      <c r="BJ513" t="str">
        <f>""</f>
        <v/>
      </c>
      <c r="BK513" t="str">
        <f>""</f>
        <v/>
      </c>
      <c r="BL513" t="str">
        <f>""</f>
        <v/>
      </c>
      <c r="BM513" t="str">
        <f>""</f>
        <v/>
      </c>
      <c r="BN513" t="str">
        <f>""</f>
        <v/>
      </c>
      <c r="BO513" t="str">
        <f>""</f>
        <v/>
      </c>
      <c r="BP513" t="str">
        <f>""</f>
        <v/>
      </c>
      <c r="BQ513" t="str">
        <f>""</f>
        <v/>
      </c>
      <c r="BR513" t="str">
        <f>""</f>
        <v/>
      </c>
      <c r="BS513" t="str">
        <f>""</f>
        <v/>
      </c>
    </row>
    <row r="514" spans="1:71" x14ac:dyDescent="0.25">
      <c r="A514" t="str">
        <f>$A$97</f>
        <v xml:space="preserve">        East West Bancorp Inc</v>
      </c>
      <c r="B514" t="str">
        <f>$B$97</f>
        <v>EWBC US Equity</v>
      </c>
      <c r="C514" t="str">
        <f>$C$97</f>
        <v>FR011</v>
      </c>
      <c r="D514" t="str">
        <f>$D$97</f>
        <v>FED_C&amp;I_LOANS_US_ADDRESS</v>
      </c>
      <c r="E514" t="str">
        <f>$E$97</f>
        <v>Dynamic</v>
      </c>
      <c r="F514">
        <f ca="1">_xll.BDH($B$97,$C$97,$B$425,$B$426,CONCATENATE("Per=",$B$423),"Dts=H","Dir=H",CONCATENATE("Points=",$B$424),"Sort=R","Days=A","Fill=B",CONCATENATE("FX=", $B$422),"cols=33;rows=1")</f>
        <v>8408.4760000000006</v>
      </c>
      <c r="G514">
        <v>8127.6509999999998</v>
      </c>
      <c r="H514">
        <v>8008.2560000000003</v>
      </c>
      <c r="I514">
        <v>7764.509</v>
      </c>
      <c r="J514">
        <v>8717.0249999999996</v>
      </c>
      <c r="K514">
        <v>8337.7880000000005</v>
      </c>
      <c r="L514">
        <v>8170.8370000000004</v>
      </c>
      <c r="M514">
        <v>7611.0829999999996</v>
      </c>
      <c r="N514">
        <v>6710.85</v>
      </c>
      <c r="O514">
        <v>6467.4769999999999</v>
      </c>
      <c r="P514">
        <v>6431.9530000000004</v>
      </c>
      <c r="Q514">
        <v>5128.5519999999997</v>
      </c>
      <c r="R514">
        <v>4438.8370000000004</v>
      </c>
      <c r="S514">
        <v>3326.7579999999998</v>
      </c>
      <c r="T514">
        <v>2597.9380000000001</v>
      </c>
      <c r="U514">
        <v>2103.2280000000001</v>
      </c>
      <c r="V514">
        <v>1490.895</v>
      </c>
      <c r="W514">
        <v>1751.7940000000001</v>
      </c>
      <c r="X514">
        <v>1232.1969999999999</v>
      </c>
      <c r="Y514">
        <v>869.10400000000004</v>
      </c>
      <c r="Z514">
        <v>588.38599999999997</v>
      </c>
      <c r="AA514">
        <v>424.46499999999997</v>
      </c>
      <c r="AB514">
        <v>328.209</v>
      </c>
      <c r="AC514">
        <v>355.08699999999999</v>
      </c>
      <c r="AM514" t="str">
        <f>""</f>
        <v/>
      </c>
      <c r="AN514" t="str">
        <f>""</f>
        <v/>
      </c>
      <c r="AO514" t="str">
        <f>""</f>
        <v/>
      </c>
      <c r="AP514" t="str">
        <f>""</f>
        <v/>
      </c>
      <c r="AQ514" t="str">
        <f>""</f>
        <v/>
      </c>
      <c r="AR514" t="str">
        <f>""</f>
        <v/>
      </c>
      <c r="AS514" t="str">
        <f>""</f>
        <v/>
      </c>
      <c r="AT514" t="str">
        <f>""</f>
        <v/>
      </c>
      <c r="AU514" t="str">
        <f>""</f>
        <v/>
      </c>
      <c r="AV514" t="str">
        <f>""</f>
        <v/>
      </c>
      <c r="AW514" t="str">
        <f>""</f>
        <v/>
      </c>
      <c r="AX514" t="str">
        <f>""</f>
        <v/>
      </c>
      <c r="AY514" t="str">
        <f>""</f>
        <v/>
      </c>
      <c r="AZ514" t="str">
        <f>""</f>
        <v/>
      </c>
      <c r="BA514" t="str">
        <f>""</f>
        <v/>
      </c>
      <c r="BB514" t="str">
        <f>""</f>
        <v/>
      </c>
      <c r="BC514" t="str">
        <f>""</f>
        <v/>
      </c>
      <c r="BD514" t="str">
        <f>""</f>
        <v/>
      </c>
      <c r="BE514" t="str">
        <f>""</f>
        <v/>
      </c>
      <c r="BF514" t="str">
        <f>""</f>
        <v/>
      </c>
      <c r="BG514" t="str">
        <f>""</f>
        <v/>
      </c>
      <c r="BH514" t="str">
        <f>""</f>
        <v/>
      </c>
      <c r="BI514" t="str">
        <f>""</f>
        <v/>
      </c>
      <c r="BJ514" t="str">
        <f>""</f>
        <v/>
      </c>
      <c r="BK514" t="str">
        <f>""</f>
        <v/>
      </c>
      <c r="BL514" t="str">
        <f>""</f>
        <v/>
      </c>
      <c r="BM514" t="str">
        <f>""</f>
        <v/>
      </c>
      <c r="BN514" t="str">
        <f>""</f>
        <v/>
      </c>
      <c r="BO514" t="str">
        <f>""</f>
        <v/>
      </c>
      <c r="BP514" t="str">
        <f>""</f>
        <v/>
      </c>
      <c r="BQ514" t="str">
        <f>""</f>
        <v/>
      </c>
      <c r="BR514" t="str">
        <f>""</f>
        <v/>
      </c>
      <c r="BS514" t="str">
        <f>""</f>
        <v/>
      </c>
    </row>
    <row r="515" spans="1:71" x14ac:dyDescent="0.25">
      <c r="A515" t="str">
        <f>$A$98</f>
        <v xml:space="preserve">        Fifth Third Bancorp</v>
      </c>
      <c r="B515" t="str">
        <f>$B$98</f>
        <v>FITB US Equity</v>
      </c>
      <c r="C515" t="str">
        <f>$C$98</f>
        <v>FR011</v>
      </c>
      <c r="D515" t="str">
        <f>$D$98</f>
        <v>FED_C&amp;I_LOANS_US_ADDRESS</v>
      </c>
      <c r="E515" t="str">
        <f>$E$98</f>
        <v>Dynamic</v>
      </c>
      <c r="F515">
        <f ca="1">_xll.BDH($B$98,$C$98,$B$425,$B$426,CONCATENATE("Per=",$B$423),"Dts=H","Dir=H",CONCATENATE("Points=",$B$424),"Sort=R","Days=A","Fill=B",CONCATENATE("FX=", $B$422),"cols=33;rows=1")</f>
        <v>41172</v>
      </c>
      <c r="G515">
        <v>41876</v>
      </c>
      <c r="H515">
        <v>46011.267</v>
      </c>
      <c r="I515">
        <v>40762.673000000003</v>
      </c>
      <c r="J515">
        <v>42222.947999999997</v>
      </c>
      <c r="K515">
        <v>42969.771000000001</v>
      </c>
      <c r="L515">
        <v>36195.118000000002</v>
      </c>
      <c r="M515">
        <v>34053.671999999999</v>
      </c>
      <c r="N515">
        <v>34275.152999999998</v>
      </c>
      <c r="O515">
        <v>34329.864999999998</v>
      </c>
      <c r="P515">
        <v>32622.453000000001</v>
      </c>
      <c r="Q515">
        <v>32129.559000000001</v>
      </c>
      <c r="R515">
        <v>30177.59</v>
      </c>
      <c r="S515">
        <v>24878.082999999999</v>
      </c>
      <c r="T515">
        <v>21742.472000000002</v>
      </c>
      <c r="U515">
        <v>21562.482</v>
      </c>
      <c r="V515">
        <v>24547.674999999999</v>
      </c>
      <c r="W515">
        <v>21432.001</v>
      </c>
      <c r="X515">
        <v>16020.589</v>
      </c>
      <c r="Y515">
        <v>20776.422999999999</v>
      </c>
      <c r="Z515">
        <v>16644.635999999999</v>
      </c>
      <c r="AA515">
        <v>13324.904</v>
      </c>
      <c r="AB515">
        <v>11277.380999999999</v>
      </c>
      <c r="AC515">
        <v>9294.0020000000004</v>
      </c>
      <c r="AM515" t="str">
        <f>""</f>
        <v/>
      </c>
      <c r="AN515" t="str">
        <f>""</f>
        <v/>
      </c>
      <c r="AO515" t="str">
        <f>""</f>
        <v/>
      </c>
      <c r="AP515" t="str">
        <f>""</f>
        <v/>
      </c>
      <c r="AQ515" t="str">
        <f>""</f>
        <v/>
      </c>
      <c r="AR515" t="str">
        <f>""</f>
        <v/>
      </c>
      <c r="AS515" t="str">
        <f>""</f>
        <v/>
      </c>
      <c r="AT515" t="str">
        <f>""</f>
        <v/>
      </c>
      <c r="AU515" t="str">
        <f>""</f>
        <v/>
      </c>
      <c r="AV515" t="str">
        <f>""</f>
        <v/>
      </c>
      <c r="AW515" t="str">
        <f>""</f>
        <v/>
      </c>
      <c r="AX515" t="str">
        <f>""</f>
        <v/>
      </c>
      <c r="AY515" t="str">
        <f>""</f>
        <v/>
      </c>
      <c r="AZ515" t="str">
        <f>""</f>
        <v/>
      </c>
      <c r="BA515" t="str">
        <f>""</f>
        <v/>
      </c>
      <c r="BB515" t="str">
        <f>""</f>
        <v/>
      </c>
      <c r="BC515" t="str">
        <f>""</f>
        <v/>
      </c>
      <c r="BD515" t="str">
        <f>""</f>
        <v/>
      </c>
      <c r="BE515" t="str">
        <f>""</f>
        <v/>
      </c>
      <c r="BF515" t="str">
        <f>""</f>
        <v/>
      </c>
      <c r="BG515" t="str">
        <f>""</f>
        <v/>
      </c>
      <c r="BH515" t="str">
        <f>""</f>
        <v/>
      </c>
      <c r="BI515" t="str">
        <f>""</f>
        <v/>
      </c>
      <c r="BJ515" t="str">
        <f>""</f>
        <v/>
      </c>
      <c r="BK515" t="str">
        <f>""</f>
        <v/>
      </c>
      <c r="BL515" t="str">
        <f>""</f>
        <v/>
      </c>
      <c r="BM515" t="str">
        <f>""</f>
        <v/>
      </c>
      <c r="BN515" t="str">
        <f>""</f>
        <v/>
      </c>
      <c r="BO515" t="str">
        <f>""</f>
        <v/>
      </c>
      <c r="BP515" t="str">
        <f>""</f>
        <v/>
      </c>
      <c r="BQ515" t="str">
        <f>""</f>
        <v/>
      </c>
      <c r="BR515" t="str">
        <f>""</f>
        <v/>
      </c>
      <c r="BS515" t="str">
        <f>""</f>
        <v/>
      </c>
    </row>
    <row r="516" spans="1:71" x14ac:dyDescent="0.25">
      <c r="A516" t="str">
        <f>$A$99</f>
        <v xml:space="preserve">        First Citizens BancShares Inc/</v>
      </c>
      <c r="B516" t="str">
        <f>$B$99</f>
        <v>FCNCA US Equity</v>
      </c>
      <c r="C516" t="str">
        <f>$C$99</f>
        <v>FR011</v>
      </c>
      <c r="D516" t="str">
        <f>$D$99</f>
        <v>FED_C&amp;I_LOANS_US_ADDRESS</v>
      </c>
      <c r="E516" t="str">
        <f>$E$99</f>
        <v>Dynamic</v>
      </c>
      <c r="F516">
        <f ca="1">_xll.BDH($B$99,$C$99,$B$425,$B$426,CONCATENATE("Per=",$B$423),"Dts=H","Dir=H",CONCATENATE("Points=",$B$424),"Sort=R","Days=A","Fill=B",CONCATENATE("FX=", $B$422),"cols=33;rows=1")</f>
        <v>35564</v>
      </c>
      <c r="G516">
        <v>36102.396000000001</v>
      </c>
      <c r="H516">
        <v>19378.618999999999</v>
      </c>
      <c r="I516">
        <v>4960.9650000000001</v>
      </c>
      <c r="J516">
        <v>6164.8919999999998</v>
      </c>
      <c r="K516">
        <v>3461.8989999999999</v>
      </c>
      <c r="L516">
        <v>2867.4810000000002</v>
      </c>
      <c r="M516">
        <v>2303.0500000000002</v>
      </c>
      <c r="N516">
        <v>2168.393</v>
      </c>
      <c r="O516">
        <v>1973.0930000000001</v>
      </c>
      <c r="P516">
        <v>1650.8320000000001</v>
      </c>
      <c r="Q516">
        <v>966.49099999999999</v>
      </c>
      <c r="R516">
        <v>1701.5419999999999</v>
      </c>
      <c r="S516">
        <v>1758.124</v>
      </c>
      <c r="T516">
        <v>1800.2249999999999</v>
      </c>
      <c r="U516">
        <v>1730.212</v>
      </c>
      <c r="V516">
        <v>1695.9739999999999</v>
      </c>
      <c r="W516">
        <v>1490.4960000000001</v>
      </c>
      <c r="X516">
        <v>1275.7550000000001</v>
      </c>
      <c r="Y516">
        <v>1047.2950000000001</v>
      </c>
      <c r="Z516">
        <v>900.58299999999997</v>
      </c>
      <c r="AA516">
        <v>862.37</v>
      </c>
      <c r="AB516">
        <v>857.26499999999999</v>
      </c>
      <c r="AC516">
        <v>854.32600000000002</v>
      </c>
      <c r="AM516" t="str">
        <f>""</f>
        <v/>
      </c>
      <c r="AN516" t="str">
        <f>""</f>
        <v/>
      </c>
      <c r="AO516" t="str">
        <f>""</f>
        <v/>
      </c>
      <c r="AP516" t="str">
        <f>""</f>
        <v/>
      </c>
      <c r="AQ516" t="str">
        <f>""</f>
        <v/>
      </c>
      <c r="AR516" t="str">
        <f>""</f>
        <v/>
      </c>
      <c r="AS516" t="str">
        <f>""</f>
        <v/>
      </c>
      <c r="AT516" t="str">
        <f>""</f>
        <v/>
      </c>
      <c r="AU516" t="str">
        <f>""</f>
        <v/>
      </c>
      <c r="AV516" t="str">
        <f>""</f>
        <v/>
      </c>
      <c r="AW516" t="str">
        <f>""</f>
        <v/>
      </c>
      <c r="AX516" t="str">
        <f>""</f>
        <v/>
      </c>
      <c r="AY516" t="str">
        <f>""</f>
        <v/>
      </c>
      <c r="AZ516" t="str">
        <f>""</f>
        <v/>
      </c>
      <c r="BA516" t="str">
        <f>""</f>
        <v/>
      </c>
      <c r="BB516" t="str">
        <f>""</f>
        <v/>
      </c>
      <c r="BC516" t="str">
        <f>""</f>
        <v/>
      </c>
      <c r="BD516" t="str">
        <f>""</f>
        <v/>
      </c>
      <c r="BE516" t="str">
        <f>""</f>
        <v/>
      </c>
      <c r="BF516" t="str">
        <f>""</f>
        <v/>
      </c>
      <c r="BG516" t="str">
        <f>""</f>
        <v/>
      </c>
      <c r="BH516" t="str">
        <f>""</f>
        <v/>
      </c>
      <c r="BI516" t="str">
        <f>""</f>
        <v/>
      </c>
      <c r="BJ516" t="str">
        <f>""</f>
        <v/>
      </c>
      <c r="BK516" t="str">
        <f>""</f>
        <v/>
      </c>
      <c r="BL516" t="str">
        <f>""</f>
        <v/>
      </c>
      <c r="BM516" t="str">
        <f>""</f>
        <v/>
      </c>
      <c r="BN516" t="str">
        <f>""</f>
        <v/>
      </c>
      <c r="BO516" t="str">
        <f>""</f>
        <v/>
      </c>
      <c r="BP516" t="str">
        <f>""</f>
        <v/>
      </c>
      <c r="BQ516" t="str">
        <f>""</f>
        <v/>
      </c>
      <c r="BR516" t="str">
        <f>""</f>
        <v/>
      </c>
      <c r="BS516" t="str">
        <f>""</f>
        <v/>
      </c>
    </row>
    <row r="517" spans="1:71" x14ac:dyDescent="0.25">
      <c r="A517" t="str">
        <f>$A$100</f>
        <v xml:space="preserve">        Flagstar Financial Inc</v>
      </c>
      <c r="B517" t="str">
        <f>$B$100</f>
        <v>FLG US Equity</v>
      </c>
      <c r="C517" t="str">
        <f>$C$100</f>
        <v>FR011</v>
      </c>
      <c r="D517" t="str">
        <f>$D$100</f>
        <v>FED_C&amp;I_LOANS_US_ADDRESS</v>
      </c>
      <c r="E517" t="str">
        <f>$E$100</f>
        <v>Dynamic</v>
      </c>
      <c r="F517">
        <f ca="1">_xll.BDH($B$100,$C$100,$B$425,$B$426,CONCATENATE("Per=",$B$423),"Dts=H","Dir=H",CONCATENATE("Points=",$B$424),"Sort=R","Days=A","Fill=B",CONCATENATE("FX=", $B$422),"cols=33;rows=1")</f>
        <v>9367.3770000000004</v>
      </c>
      <c r="G517">
        <v>12136.962</v>
      </c>
      <c r="H517">
        <v>5114.6809999999996</v>
      </c>
      <c r="I517">
        <v>2042.838</v>
      </c>
      <c r="J517">
        <v>1801.171</v>
      </c>
      <c r="K517">
        <v>1744.7380000000001</v>
      </c>
      <c r="L517">
        <v>1705.713</v>
      </c>
      <c r="M517">
        <v>1376.492</v>
      </c>
      <c r="N517">
        <v>1340.1389999999999</v>
      </c>
      <c r="O517">
        <v>1084.0119999999999</v>
      </c>
      <c r="P517">
        <v>1065.683</v>
      </c>
      <c r="Q517">
        <v>728.32299999999998</v>
      </c>
      <c r="R517">
        <v>619.80499999999995</v>
      </c>
      <c r="S517">
        <v>657.20100000000002</v>
      </c>
      <c r="T517">
        <v>712.38499999999999</v>
      </c>
      <c r="U517">
        <v>653.65099999999995</v>
      </c>
      <c r="V517">
        <v>713.53099999999995</v>
      </c>
      <c r="W517">
        <v>706.56200000000001</v>
      </c>
      <c r="X517">
        <v>643.14700000000005</v>
      </c>
      <c r="Y517">
        <v>163.548</v>
      </c>
      <c r="Z517">
        <v>89.19</v>
      </c>
      <c r="AA517">
        <v>65.518000000000001</v>
      </c>
      <c r="AB517">
        <v>60.158999999999999</v>
      </c>
      <c r="AC517">
        <v>1.1160000000000001</v>
      </c>
      <c r="AM517" t="str">
        <f>""</f>
        <v/>
      </c>
      <c r="AN517" t="str">
        <f>""</f>
        <v/>
      </c>
      <c r="AO517" t="str">
        <f>""</f>
        <v/>
      </c>
      <c r="AP517" t="str">
        <f>""</f>
        <v/>
      </c>
      <c r="AQ517" t="str">
        <f>""</f>
        <v/>
      </c>
      <c r="AR517" t="str">
        <f>""</f>
        <v/>
      </c>
      <c r="AS517" t="str">
        <f>""</f>
        <v/>
      </c>
      <c r="AT517" t="str">
        <f>""</f>
        <v/>
      </c>
      <c r="AU517" t="str">
        <f>""</f>
        <v/>
      </c>
      <c r="AV517" t="str">
        <f>""</f>
        <v/>
      </c>
      <c r="AW517" t="str">
        <f>""</f>
        <v/>
      </c>
      <c r="AX517" t="str">
        <f>""</f>
        <v/>
      </c>
      <c r="AY517" t="str">
        <f>""</f>
        <v/>
      </c>
      <c r="AZ517" t="str">
        <f>""</f>
        <v/>
      </c>
      <c r="BA517" t="str">
        <f>""</f>
        <v/>
      </c>
      <c r="BB517" t="str">
        <f>""</f>
        <v/>
      </c>
      <c r="BC517" t="str">
        <f>""</f>
        <v/>
      </c>
      <c r="BD517" t="str">
        <f>""</f>
        <v/>
      </c>
      <c r="BE517" t="str">
        <f>""</f>
        <v/>
      </c>
      <c r="BF517" t="str">
        <f>""</f>
        <v/>
      </c>
      <c r="BG517" t="str">
        <f>""</f>
        <v/>
      </c>
      <c r="BH517" t="str">
        <f>""</f>
        <v/>
      </c>
      <c r="BI517" t="str">
        <f>""</f>
        <v/>
      </c>
      <c r="BJ517" t="str">
        <f>""</f>
        <v/>
      </c>
      <c r="BK517" t="str">
        <f>""</f>
        <v/>
      </c>
      <c r="BL517" t="str">
        <f>""</f>
        <v/>
      </c>
      <c r="BM517" t="str">
        <f>""</f>
        <v/>
      </c>
      <c r="BN517" t="str">
        <f>""</f>
        <v/>
      </c>
      <c r="BO517" t="str">
        <f>""</f>
        <v/>
      </c>
      <c r="BP517" t="str">
        <f>""</f>
        <v/>
      </c>
      <c r="BQ517" t="str">
        <f>""</f>
        <v/>
      </c>
      <c r="BR517" t="str">
        <f>""</f>
        <v/>
      </c>
      <c r="BS517" t="str">
        <f>""</f>
        <v/>
      </c>
    </row>
    <row r="518" spans="1:71" x14ac:dyDescent="0.25">
      <c r="A518" t="str">
        <f>$A$101</f>
        <v xml:space="preserve">        Huntington Bancshares Inc/OH</v>
      </c>
      <c r="B518" t="str">
        <f>$B$101</f>
        <v>HBAN US Equity</v>
      </c>
      <c r="C518" t="str">
        <f>$C$101</f>
        <v>FR011</v>
      </c>
      <c r="D518" t="str">
        <f>$D$101</f>
        <v>FED_C&amp;I_LOANS_US_ADDRESS</v>
      </c>
      <c r="E518" t="str">
        <f>$E$101</f>
        <v>Dynamic</v>
      </c>
      <c r="F518">
        <f ca="1">_xll.BDH($B$101,$C$101,$B$425,$B$426,CONCATENATE("Per=",$B$423),"Dts=H","Dir=H",CONCATENATE("Points=",$B$424),"Sort=R","Days=A","Fill=B",CONCATENATE("FX=", $B$422),"cols=33;rows=1")</f>
        <v>36223.894999999997</v>
      </c>
      <c r="G518">
        <v>33995.055999999997</v>
      </c>
      <c r="H518">
        <v>31979.536</v>
      </c>
      <c r="I518">
        <v>32121.205999999998</v>
      </c>
      <c r="J518">
        <v>26354.253000000001</v>
      </c>
      <c r="K518">
        <v>22581.722000000002</v>
      </c>
      <c r="L518">
        <v>22505.43</v>
      </c>
      <c r="M518">
        <v>19810.883999999998</v>
      </c>
      <c r="N518">
        <v>19294.147000000001</v>
      </c>
      <c r="O518">
        <v>14272.254999999999</v>
      </c>
      <c r="P518">
        <v>12757.535</v>
      </c>
      <c r="Q518">
        <v>11933.986000000001</v>
      </c>
      <c r="R518">
        <v>11541.575999999999</v>
      </c>
      <c r="S518">
        <v>9903.3709999999992</v>
      </c>
      <c r="T518">
        <v>8354.4689999999991</v>
      </c>
      <c r="U518">
        <v>7280.3559999999998</v>
      </c>
      <c r="V518">
        <v>7461.7690000000002</v>
      </c>
      <c r="W518">
        <v>6589.402</v>
      </c>
      <c r="X518">
        <v>4290.0709999999999</v>
      </c>
      <c r="Y518">
        <v>3818.864</v>
      </c>
      <c r="Z518">
        <v>3787.2489999999998</v>
      </c>
      <c r="AA518">
        <v>3911.26</v>
      </c>
      <c r="AB518">
        <v>4066.3939999999998</v>
      </c>
      <c r="AC518">
        <v>4976.098</v>
      </c>
      <c r="AM518" t="str">
        <f>""</f>
        <v/>
      </c>
      <c r="AN518" t="str">
        <f>""</f>
        <v/>
      </c>
      <c r="AO518" t="str">
        <f>""</f>
        <v/>
      </c>
      <c r="AP518" t="str">
        <f>""</f>
        <v/>
      </c>
      <c r="AQ518" t="str">
        <f>""</f>
        <v/>
      </c>
      <c r="AR518" t="str">
        <f>""</f>
        <v/>
      </c>
      <c r="AS518" t="str">
        <f>""</f>
        <v/>
      </c>
      <c r="AT518" t="str">
        <f>""</f>
        <v/>
      </c>
      <c r="AU518" t="str">
        <f>""</f>
        <v/>
      </c>
      <c r="AV518" t="str">
        <f>""</f>
        <v/>
      </c>
      <c r="AW518" t="str">
        <f>""</f>
        <v/>
      </c>
      <c r="AX518" t="str">
        <f>""</f>
        <v/>
      </c>
      <c r="AY518" t="str">
        <f>""</f>
        <v/>
      </c>
      <c r="AZ518" t="str">
        <f>""</f>
        <v/>
      </c>
      <c r="BA518" t="str">
        <f>""</f>
        <v/>
      </c>
      <c r="BB518" t="str">
        <f>""</f>
        <v/>
      </c>
      <c r="BC518" t="str">
        <f>""</f>
        <v/>
      </c>
      <c r="BD518" t="str">
        <f>""</f>
        <v/>
      </c>
      <c r="BE518" t="str">
        <f>""</f>
        <v/>
      </c>
      <c r="BF518" t="str">
        <f>""</f>
        <v/>
      </c>
      <c r="BG518" t="str">
        <f>""</f>
        <v/>
      </c>
      <c r="BH518" t="str">
        <f>""</f>
        <v/>
      </c>
      <c r="BI518" t="str">
        <f>""</f>
        <v/>
      </c>
      <c r="BJ518" t="str">
        <f>""</f>
        <v/>
      </c>
      <c r="BK518" t="str">
        <f>""</f>
        <v/>
      </c>
      <c r="BL518" t="str">
        <f>""</f>
        <v/>
      </c>
      <c r="BM518" t="str">
        <f>""</f>
        <v/>
      </c>
      <c r="BN518" t="str">
        <f>""</f>
        <v/>
      </c>
      <c r="BO518" t="str">
        <f>""</f>
        <v/>
      </c>
      <c r="BP518" t="str">
        <f>""</f>
        <v/>
      </c>
      <c r="BQ518" t="str">
        <f>""</f>
        <v/>
      </c>
      <c r="BR518" t="str">
        <f>""</f>
        <v/>
      </c>
      <c r="BS518" t="str">
        <f>""</f>
        <v/>
      </c>
    </row>
    <row r="519" spans="1:71" x14ac:dyDescent="0.25">
      <c r="A519" t="str">
        <f>$A$102</f>
        <v xml:space="preserve">        JPMorgan Chase &amp; Co</v>
      </c>
      <c r="B519" t="str">
        <f>$B$102</f>
        <v>JPM US Equity</v>
      </c>
      <c r="C519" t="str">
        <f>$C$102</f>
        <v>FR011</v>
      </c>
      <c r="D519" t="str">
        <f>$D$102</f>
        <v>FED_C&amp;I_LOANS_US_ADDRESS</v>
      </c>
      <c r="E519" t="str">
        <f>$E$102</f>
        <v>Dynamic</v>
      </c>
      <c r="F519">
        <f ca="1">_xll.BDH($B$102,$C$102,$B$425,$B$426,CONCATENATE("Per=",$B$423),"Dts=H","Dir=H",CONCATENATE("Points=",$B$424),"Sort=R","Days=A","Fill=B",CONCATENATE("FX=", $B$422),"cols=33;rows=1")</f>
        <v>165689</v>
      </c>
      <c r="G519">
        <v>160047</v>
      </c>
      <c r="H519">
        <v>150836</v>
      </c>
      <c r="I519">
        <v>134484</v>
      </c>
      <c r="J519">
        <v>149693</v>
      </c>
      <c r="K519">
        <v>133662</v>
      </c>
      <c r="L519">
        <v>152804</v>
      </c>
      <c r="M519">
        <v>130507</v>
      </c>
      <c r="N519">
        <v>124890</v>
      </c>
      <c r="O519">
        <v>111422</v>
      </c>
      <c r="P519">
        <v>98863</v>
      </c>
      <c r="Q519">
        <v>97172</v>
      </c>
      <c r="R519">
        <v>99319</v>
      </c>
      <c r="S519">
        <v>89125</v>
      </c>
      <c r="T519">
        <v>75796</v>
      </c>
      <c r="U519">
        <v>80452</v>
      </c>
      <c r="V519">
        <v>105908</v>
      </c>
      <c r="W519">
        <v>98000</v>
      </c>
      <c r="X519">
        <v>75327</v>
      </c>
      <c r="Y519">
        <v>75873</v>
      </c>
      <c r="Z519">
        <v>56477</v>
      </c>
      <c r="AA519">
        <v>28521</v>
      </c>
      <c r="AB519">
        <v>32397</v>
      </c>
      <c r="AC519">
        <v>36105</v>
      </c>
      <c r="AM519" t="str">
        <f>""</f>
        <v/>
      </c>
      <c r="AN519" t="str">
        <f>""</f>
        <v/>
      </c>
      <c r="AO519" t="str">
        <f>""</f>
        <v/>
      </c>
      <c r="AP519" t="str">
        <f>""</f>
        <v/>
      </c>
      <c r="AQ519" t="str">
        <f>""</f>
        <v/>
      </c>
      <c r="AR519" t="str">
        <f>""</f>
        <v/>
      </c>
      <c r="AS519" t="str">
        <f>""</f>
        <v/>
      </c>
      <c r="AT519" t="str">
        <f>""</f>
        <v/>
      </c>
      <c r="AU519" t="str">
        <f>""</f>
        <v/>
      </c>
      <c r="AV519" t="str">
        <f>""</f>
        <v/>
      </c>
      <c r="AW519" t="str">
        <f>""</f>
        <v/>
      </c>
      <c r="AX519" t="str">
        <f>""</f>
        <v/>
      </c>
      <c r="AY519" t="str">
        <f>""</f>
        <v/>
      </c>
      <c r="AZ519" t="str">
        <f>""</f>
        <v/>
      </c>
      <c r="BA519" t="str">
        <f>""</f>
        <v/>
      </c>
      <c r="BB519" t="str">
        <f>""</f>
        <v/>
      </c>
      <c r="BC519" t="str">
        <f>""</f>
        <v/>
      </c>
      <c r="BD519" t="str">
        <f>""</f>
        <v/>
      </c>
      <c r="BE519" t="str">
        <f>""</f>
        <v/>
      </c>
      <c r="BF519" t="str">
        <f>""</f>
        <v/>
      </c>
      <c r="BG519" t="str">
        <f>""</f>
        <v/>
      </c>
      <c r="BH519" t="str">
        <f>""</f>
        <v/>
      </c>
      <c r="BI519" t="str">
        <f>""</f>
        <v/>
      </c>
      <c r="BJ519" t="str">
        <f>""</f>
        <v/>
      </c>
      <c r="BK519" t="str">
        <f>""</f>
        <v/>
      </c>
      <c r="BL519" t="str">
        <f>""</f>
        <v/>
      </c>
      <c r="BM519" t="str">
        <f>""</f>
        <v/>
      </c>
      <c r="BN519" t="str">
        <f>""</f>
        <v/>
      </c>
      <c r="BO519" t="str">
        <f>""</f>
        <v/>
      </c>
      <c r="BP519" t="str">
        <f>""</f>
        <v/>
      </c>
      <c r="BQ519" t="str">
        <f>""</f>
        <v/>
      </c>
      <c r="BR519" t="str">
        <f>""</f>
        <v/>
      </c>
      <c r="BS519" t="str">
        <f>""</f>
        <v/>
      </c>
    </row>
    <row r="520" spans="1:71" x14ac:dyDescent="0.25">
      <c r="A520" t="str">
        <f>$A$103</f>
        <v xml:space="preserve">        KeyCorp</v>
      </c>
      <c r="B520" t="str">
        <f>$B$103</f>
        <v>KEY US Equity</v>
      </c>
      <c r="C520" t="str">
        <f>$C$103</f>
        <v>FR011</v>
      </c>
      <c r="D520" t="str">
        <f>$D$103</f>
        <v>FED_C&amp;I_LOANS_US_ADDRESS</v>
      </c>
      <c r="E520" t="str">
        <f>$E$103</f>
        <v>Dynamic</v>
      </c>
      <c r="F520">
        <f ca="1">_xll.BDH($B$103,$C$103,$B$425,$B$426,CONCATENATE("Per=",$B$423),"Dts=H","Dir=H",CONCATENATE("Points=",$B$424),"Sort=R","Days=A","Fill=B",CONCATENATE("FX=", $B$422),"cols=33;rows=1")</f>
        <v>29575.995999999999</v>
      </c>
      <c r="G520">
        <v>41818.837</v>
      </c>
      <c r="H520">
        <v>45880.3</v>
      </c>
      <c r="I520">
        <v>39500.326000000001</v>
      </c>
      <c r="J520">
        <v>41072.786999999997</v>
      </c>
      <c r="K520">
        <v>36785.572</v>
      </c>
      <c r="L520">
        <v>34749.845000000001</v>
      </c>
      <c r="M520">
        <v>31106</v>
      </c>
      <c r="N520">
        <v>30070.73</v>
      </c>
      <c r="O520">
        <v>22791.664000000001</v>
      </c>
      <c r="P520">
        <v>21211.904999999999</v>
      </c>
      <c r="Q520">
        <v>18998.039000000001</v>
      </c>
      <c r="R520">
        <v>17650.335999999999</v>
      </c>
      <c r="S520">
        <v>14913.321</v>
      </c>
      <c r="T520">
        <v>12897.736000000001</v>
      </c>
      <c r="U520">
        <v>15187.117</v>
      </c>
      <c r="V520">
        <v>21679.648000000001</v>
      </c>
      <c r="W520">
        <v>20581.539000000001</v>
      </c>
      <c r="X520">
        <v>18711.419999999998</v>
      </c>
      <c r="Y520">
        <v>19902.791000000001</v>
      </c>
      <c r="Z520">
        <v>17561.143</v>
      </c>
      <c r="AA520">
        <v>15727.905000000001</v>
      </c>
      <c r="AB520">
        <v>16287.365</v>
      </c>
      <c r="AC520">
        <v>16849.543000000001</v>
      </c>
      <c r="AM520" t="str">
        <f>""</f>
        <v/>
      </c>
      <c r="AN520" t="str">
        <f>""</f>
        <v/>
      </c>
      <c r="AO520" t="str">
        <f>""</f>
        <v/>
      </c>
      <c r="AP520" t="str">
        <f>""</f>
        <v/>
      </c>
      <c r="AQ520" t="str">
        <f>""</f>
        <v/>
      </c>
      <c r="AR520" t="str">
        <f>""</f>
        <v/>
      </c>
      <c r="AS520" t="str">
        <f>""</f>
        <v/>
      </c>
      <c r="AT520" t="str">
        <f>""</f>
        <v/>
      </c>
      <c r="AU520" t="str">
        <f>""</f>
        <v/>
      </c>
      <c r="AV520" t="str">
        <f>""</f>
        <v/>
      </c>
      <c r="AW520" t="str">
        <f>""</f>
        <v/>
      </c>
      <c r="AX520" t="str">
        <f>""</f>
        <v/>
      </c>
      <c r="AY520" t="str">
        <f>""</f>
        <v/>
      </c>
      <c r="AZ520" t="str">
        <f>""</f>
        <v/>
      </c>
      <c r="BA520" t="str">
        <f>""</f>
        <v/>
      </c>
      <c r="BB520" t="str">
        <f>""</f>
        <v/>
      </c>
      <c r="BC520" t="str">
        <f>""</f>
        <v/>
      </c>
      <c r="BD520" t="str">
        <f>""</f>
        <v/>
      </c>
      <c r="BE520" t="str">
        <f>""</f>
        <v/>
      </c>
      <c r="BF520" t="str">
        <f>""</f>
        <v/>
      </c>
      <c r="BG520" t="str">
        <f>""</f>
        <v/>
      </c>
      <c r="BH520" t="str">
        <f>""</f>
        <v/>
      </c>
      <c r="BI520" t="str">
        <f>""</f>
        <v/>
      </c>
      <c r="BJ520" t="str">
        <f>""</f>
        <v/>
      </c>
      <c r="BK520" t="str">
        <f>""</f>
        <v/>
      </c>
      <c r="BL520" t="str">
        <f>""</f>
        <v/>
      </c>
      <c r="BM520" t="str">
        <f>""</f>
        <v/>
      </c>
      <c r="BN520" t="str">
        <f>""</f>
        <v/>
      </c>
      <c r="BO520" t="str">
        <f>""</f>
        <v/>
      </c>
      <c r="BP520" t="str">
        <f>""</f>
        <v/>
      </c>
      <c r="BQ520" t="str">
        <f>""</f>
        <v/>
      </c>
      <c r="BR520" t="str">
        <f>""</f>
        <v/>
      </c>
      <c r="BS520" t="str">
        <f>""</f>
        <v/>
      </c>
    </row>
    <row r="521" spans="1:71" x14ac:dyDescent="0.25">
      <c r="A521" t="str">
        <f>$A$104</f>
        <v xml:space="preserve">        M&amp;T Bank Corp</v>
      </c>
      <c r="B521" t="str">
        <f>$B$104</f>
        <v>MTB US Equity</v>
      </c>
      <c r="C521" t="str">
        <f>$C$104</f>
        <v>FR011</v>
      </c>
      <c r="D521" t="str">
        <f>$D$104</f>
        <v>FED_C&amp;I_LOANS_US_ADDRESS</v>
      </c>
      <c r="E521" t="str">
        <f>$E$104</f>
        <v>Dynamic</v>
      </c>
      <c r="F521">
        <f ca="1">_xll.BDH($B$104,$C$104,$B$425,$B$426,CONCATENATE("Per=",$B$423),"Dts=H","Dir=H",CONCATENATE("Points=",$B$424),"Sort=R","Days=A","Fill=B",CONCATENATE("FX=", $B$422),"cols=33;rows=1")</f>
        <v>34151.082999999999</v>
      </c>
      <c r="G521">
        <v>32204.977999999999</v>
      </c>
      <c r="H521">
        <v>30044.839</v>
      </c>
      <c r="I521">
        <v>18034.106</v>
      </c>
      <c r="J521">
        <v>22382.092000000001</v>
      </c>
      <c r="K521">
        <v>19018.134999999998</v>
      </c>
      <c r="L521">
        <v>18099.976999999999</v>
      </c>
      <c r="M521">
        <v>16919.260999999999</v>
      </c>
      <c r="N521">
        <v>17638.648000000001</v>
      </c>
      <c r="O521">
        <v>16444.212</v>
      </c>
      <c r="P521">
        <v>15752.373</v>
      </c>
      <c r="Q521">
        <v>15094.986000000001</v>
      </c>
      <c r="R521">
        <v>14147.92</v>
      </c>
      <c r="S521">
        <v>12655.05</v>
      </c>
      <c r="T521">
        <v>10544.942999999999</v>
      </c>
      <c r="U521">
        <v>10362.379000000001</v>
      </c>
      <c r="V521">
        <v>11084.695</v>
      </c>
      <c r="W521">
        <v>10549.732</v>
      </c>
      <c r="X521">
        <v>9704.4699999999993</v>
      </c>
      <c r="Y521">
        <v>8914.3580000000002</v>
      </c>
      <c r="Z521">
        <v>7946.2920000000004</v>
      </c>
      <c r="AA521">
        <v>7429.06</v>
      </c>
      <c r="AB521">
        <v>4855.3549999999996</v>
      </c>
      <c r="AC521">
        <v>4681.1670000000004</v>
      </c>
      <c r="AM521" t="str">
        <f>""</f>
        <v/>
      </c>
      <c r="AN521" t="str">
        <f>""</f>
        <v/>
      </c>
      <c r="AO521" t="str">
        <f>""</f>
        <v/>
      </c>
      <c r="AP521" t="str">
        <f>""</f>
        <v/>
      </c>
      <c r="AQ521" t="str">
        <f>""</f>
        <v/>
      </c>
      <c r="AR521" t="str">
        <f>""</f>
        <v/>
      </c>
      <c r="AS521" t="str">
        <f>""</f>
        <v/>
      </c>
      <c r="AT521" t="str">
        <f>""</f>
        <v/>
      </c>
      <c r="AU521" t="str">
        <f>""</f>
        <v/>
      </c>
      <c r="AV521" t="str">
        <f>""</f>
        <v/>
      </c>
      <c r="AW521" t="str">
        <f>""</f>
        <v/>
      </c>
      <c r="AX521" t="str">
        <f>""</f>
        <v/>
      </c>
      <c r="AY521" t="str">
        <f>""</f>
        <v/>
      </c>
      <c r="AZ521" t="str">
        <f>""</f>
        <v/>
      </c>
      <c r="BA521" t="str">
        <f>""</f>
        <v/>
      </c>
      <c r="BB521" t="str">
        <f>""</f>
        <v/>
      </c>
      <c r="BC521" t="str">
        <f>""</f>
        <v/>
      </c>
      <c r="BD521" t="str">
        <f>""</f>
        <v/>
      </c>
      <c r="BE521" t="str">
        <f>""</f>
        <v/>
      </c>
      <c r="BF521" t="str">
        <f>""</f>
        <v/>
      </c>
      <c r="BG521" t="str">
        <f>""</f>
        <v/>
      </c>
      <c r="BH521" t="str">
        <f>""</f>
        <v/>
      </c>
      <c r="BI521" t="str">
        <f>""</f>
        <v/>
      </c>
      <c r="BJ521" t="str">
        <f>""</f>
        <v/>
      </c>
      <c r="BK521" t="str">
        <f>""</f>
        <v/>
      </c>
      <c r="BL521" t="str">
        <f>""</f>
        <v/>
      </c>
      <c r="BM521" t="str">
        <f>""</f>
        <v/>
      </c>
      <c r="BN521" t="str">
        <f>""</f>
        <v/>
      </c>
      <c r="BO521" t="str">
        <f>""</f>
        <v/>
      </c>
      <c r="BP521" t="str">
        <f>""</f>
        <v/>
      </c>
      <c r="BQ521" t="str">
        <f>""</f>
        <v/>
      </c>
      <c r="BR521" t="str">
        <f>""</f>
        <v/>
      </c>
      <c r="BS521" t="str">
        <f>""</f>
        <v/>
      </c>
    </row>
    <row r="522" spans="1:71" x14ac:dyDescent="0.25">
      <c r="A522" t="str">
        <f>$A$105</f>
        <v xml:space="preserve">        PNC Financial Services Group I</v>
      </c>
      <c r="B522" t="str">
        <f>$B$105</f>
        <v>PNC US Equity</v>
      </c>
      <c r="C522" t="str">
        <f>$C$105</f>
        <v>FR011</v>
      </c>
      <c r="D522" t="str">
        <f>$D$105</f>
        <v>FED_C&amp;I_LOANS_US_ADDRESS</v>
      </c>
      <c r="E522" t="str">
        <f>$E$105</f>
        <v>Dynamic</v>
      </c>
      <c r="F522">
        <f ca="1">_xll.BDH($B$105,$C$105,$B$425,$B$426,CONCATENATE("Per=",$B$423),"Dts=H","Dir=H",CONCATENATE("Points=",$B$424),"Sort=R","Days=A","Fill=B",CONCATENATE("FX=", $B$422),"cols=33;rows=1")</f>
        <v>115925.69500000001</v>
      </c>
      <c r="G522">
        <v>114999.12</v>
      </c>
      <c r="H522">
        <v>121294.583</v>
      </c>
      <c r="I522">
        <v>97373.402000000002</v>
      </c>
      <c r="J522">
        <v>88084.629000000001</v>
      </c>
      <c r="K522">
        <v>86519.012000000002</v>
      </c>
      <c r="L522">
        <v>80692.263999999996</v>
      </c>
      <c r="M522">
        <v>73201.493000000002</v>
      </c>
      <c r="N522">
        <v>66670.441999999995</v>
      </c>
      <c r="O522">
        <v>62898.84</v>
      </c>
      <c r="P522">
        <v>63080.902000000002</v>
      </c>
      <c r="Q522">
        <v>56707.216</v>
      </c>
      <c r="R522">
        <v>53584.644</v>
      </c>
      <c r="S522">
        <v>45414.777999999998</v>
      </c>
      <c r="T522">
        <v>40133.654999999999</v>
      </c>
      <c r="U522">
        <v>40587.699000000001</v>
      </c>
      <c r="V522">
        <v>52424.241000000002</v>
      </c>
      <c r="W522">
        <v>21134.603999999999</v>
      </c>
      <c r="X522">
        <v>16592.207999999999</v>
      </c>
      <c r="Y522">
        <v>14803.018</v>
      </c>
      <c r="Z522">
        <v>14438.828</v>
      </c>
      <c r="AA522">
        <v>11758.42</v>
      </c>
      <c r="AB522">
        <v>12662.664000000001</v>
      </c>
      <c r="AC522">
        <v>14614.16</v>
      </c>
      <c r="AM522" t="str">
        <f>""</f>
        <v/>
      </c>
      <c r="AN522" t="str">
        <f>""</f>
        <v/>
      </c>
      <c r="AO522" t="str">
        <f>""</f>
        <v/>
      </c>
      <c r="AP522" t="str">
        <f>""</f>
        <v/>
      </c>
      <c r="AQ522" t="str">
        <f>""</f>
        <v/>
      </c>
      <c r="AR522" t="str">
        <f>""</f>
        <v/>
      </c>
      <c r="AS522" t="str">
        <f>""</f>
        <v/>
      </c>
      <c r="AT522" t="str">
        <f>""</f>
        <v/>
      </c>
      <c r="AU522" t="str">
        <f>""</f>
        <v/>
      </c>
      <c r="AV522" t="str">
        <f>""</f>
        <v/>
      </c>
      <c r="AW522" t="str">
        <f>""</f>
        <v/>
      </c>
      <c r="AX522" t="str">
        <f>""</f>
        <v/>
      </c>
      <c r="AY522" t="str">
        <f>""</f>
        <v/>
      </c>
      <c r="AZ522" t="str">
        <f>""</f>
        <v/>
      </c>
      <c r="BA522" t="str">
        <f>""</f>
        <v/>
      </c>
      <c r="BB522" t="str">
        <f>""</f>
        <v/>
      </c>
      <c r="BC522" t="str">
        <f>""</f>
        <v/>
      </c>
      <c r="BD522" t="str">
        <f>""</f>
        <v/>
      </c>
      <c r="BE522" t="str">
        <f>""</f>
        <v/>
      </c>
      <c r="BF522" t="str">
        <f>""</f>
        <v/>
      </c>
      <c r="BG522" t="str">
        <f>""</f>
        <v/>
      </c>
      <c r="BH522" t="str">
        <f>""</f>
        <v/>
      </c>
      <c r="BI522" t="str">
        <f>""</f>
        <v/>
      </c>
      <c r="BJ522" t="str">
        <f>""</f>
        <v/>
      </c>
      <c r="BK522" t="str">
        <f>""</f>
        <v/>
      </c>
      <c r="BL522" t="str">
        <f>""</f>
        <v/>
      </c>
      <c r="BM522" t="str">
        <f>""</f>
        <v/>
      </c>
      <c r="BN522" t="str">
        <f>""</f>
        <v/>
      </c>
      <c r="BO522" t="str">
        <f>""</f>
        <v/>
      </c>
      <c r="BP522" t="str">
        <f>""</f>
        <v/>
      </c>
      <c r="BQ522" t="str">
        <f>""</f>
        <v/>
      </c>
      <c r="BR522" t="str">
        <f>""</f>
        <v/>
      </c>
      <c r="BS522" t="str">
        <f>""</f>
        <v/>
      </c>
    </row>
    <row r="523" spans="1:71" x14ac:dyDescent="0.25">
      <c r="A523" t="str">
        <f>$A$106</f>
        <v xml:space="preserve">        Regions Financial Corp</v>
      </c>
      <c r="B523" t="str">
        <f>$B$106</f>
        <v>RF US Equity</v>
      </c>
      <c r="C523" t="str">
        <f>$C$106</f>
        <v>FR011</v>
      </c>
      <c r="D523" t="str">
        <f>$D$106</f>
        <v>FED_C&amp;I_LOANS_US_ADDRESS</v>
      </c>
      <c r="E523" t="str">
        <f>$E$106</f>
        <v>Dynamic</v>
      </c>
      <c r="F523">
        <f ca="1">_xll.BDH($B$106,$C$106,$B$425,$B$426,CONCATENATE("Per=",$B$423),"Dts=H","Dir=H",CONCATENATE("Points=",$B$424),"Sort=R","Days=A","Fill=B",CONCATENATE("FX=", $B$422),"cols=33;rows=1")</f>
        <v>26595</v>
      </c>
      <c r="G523">
        <v>31250</v>
      </c>
      <c r="H523">
        <v>32252</v>
      </c>
      <c r="I523">
        <v>27573</v>
      </c>
      <c r="J523">
        <v>27425</v>
      </c>
      <c r="K523">
        <v>24489</v>
      </c>
      <c r="L523">
        <v>24160.666000000001</v>
      </c>
      <c r="M523">
        <v>22206.879000000001</v>
      </c>
      <c r="N523">
        <v>22228.208999999999</v>
      </c>
      <c r="O523">
        <v>24026.438999999998</v>
      </c>
      <c r="P523">
        <v>22925.076000000001</v>
      </c>
      <c r="Q523">
        <v>20427.585999999999</v>
      </c>
      <c r="R523">
        <v>18548.844000000001</v>
      </c>
      <c r="S523">
        <v>16821.334999999999</v>
      </c>
      <c r="T523">
        <v>15035.343999999999</v>
      </c>
      <c r="U523">
        <v>13576.59</v>
      </c>
      <c r="V523">
        <v>16508.572</v>
      </c>
      <c r="W523">
        <v>15699.856</v>
      </c>
      <c r="X523">
        <v>15466.166999999999</v>
      </c>
      <c r="Y523">
        <v>9710.0139999999992</v>
      </c>
      <c r="Z523">
        <v>10103.302</v>
      </c>
      <c r="AM523" t="str">
        <f>""</f>
        <v/>
      </c>
      <c r="AN523" t="str">
        <f>""</f>
        <v/>
      </c>
      <c r="AO523" t="str">
        <f>""</f>
        <v/>
      </c>
      <c r="AP523" t="str">
        <f>""</f>
        <v/>
      </c>
      <c r="AQ523" t="str">
        <f>""</f>
        <v/>
      </c>
      <c r="AR523" t="str">
        <f>""</f>
        <v/>
      </c>
      <c r="AS523" t="str">
        <f>""</f>
        <v/>
      </c>
      <c r="AT523" t="str">
        <f>""</f>
        <v/>
      </c>
      <c r="AU523" t="str">
        <f>""</f>
        <v/>
      </c>
      <c r="AV523" t="str">
        <f>""</f>
        <v/>
      </c>
      <c r="AW523" t="str">
        <f>""</f>
        <v/>
      </c>
      <c r="AX523" t="str">
        <f>""</f>
        <v/>
      </c>
      <c r="AY523" t="str">
        <f>""</f>
        <v/>
      </c>
      <c r="AZ523" t="str">
        <f>""</f>
        <v/>
      </c>
      <c r="BA523" t="str">
        <f>""</f>
        <v/>
      </c>
      <c r="BB523" t="str">
        <f>""</f>
        <v/>
      </c>
      <c r="BC523" t="str">
        <f>""</f>
        <v/>
      </c>
      <c r="BD523" t="str">
        <f>""</f>
        <v/>
      </c>
      <c r="BE523" t="str">
        <f>""</f>
        <v/>
      </c>
      <c r="BF523" t="str">
        <f>""</f>
        <v/>
      </c>
      <c r="BG523" t="str">
        <f>""</f>
        <v/>
      </c>
      <c r="BH523" t="str">
        <f>""</f>
        <v/>
      </c>
      <c r="BI523" t="str">
        <f>""</f>
        <v/>
      </c>
      <c r="BJ523" t="str">
        <f>""</f>
        <v/>
      </c>
      <c r="BK523" t="str">
        <f>""</f>
        <v/>
      </c>
      <c r="BL523" t="str">
        <f>""</f>
        <v/>
      </c>
      <c r="BM523" t="str">
        <f>""</f>
        <v/>
      </c>
      <c r="BN523" t="str">
        <f>""</f>
        <v/>
      </c>
      <c r="BO523" t="str">
        <f>""</f>
        <v/>
      </c>
      <c r="BP523" t="str">
        <f>""</f>
        <v/>
      </c>
      <c r="BQ523" t="str">
        <f>""</f>
        <v/>
      </c>
      <c r="BR523" t="str">
        <f>""</f>
        <v/>
      </c>
      <c r="BS523" t="str">
        <f>""</f>
        <v/>
      </c>
    </row>
    <row r="524" spans="1:71" x14ac:dyDescent="0.25">
      <c r="A524" t="str">
        <f>$A$107</f>
        <v xml:space="preserve">        Truist Financial Corp</v>
      </c>
      <c r="B524" t="str">
        <f>$B$107</f>
        <v>TFC US Equity</v>
      </c>
      <c r="C524" t="str">
        <f>$C$107</f>
        <v>FR011</v>
      </c>
      <c r="D524" t="str">
        <f>$D$107</f>
        <v>FED_C&amp;I_LOANS_US_ADDRESS</v>
      </c>
      <c r="E524" t="str">
        <f>$E$107</f>
        <v>Dynamic</v>
      </c>
      <c r="F524">
        <f ca="1">_xll.BDH($B$107,$C$107,$B$425,$B$426,CONCATENATE("Per=",$B$423),"Dts=H","Dir=H",CONCATENATE("Points=",$B$424),"Sort=R","Days=A","Fill=B",CONCATENATE("FX=", $B$422),"cols=33;rows=1")</f>
        <v>70656</v>
      </c>
      <c r="G524">
        <v>83799</v>
      </c>
      <c r="H524">
        <v>84615</v>
      </c>
      <c r="I524">
        <v>65471</v>
      </c>
      <c r="J524">
        <v>72404</v>
      </c>
      <c r="K524">
        <v>71051</v>
      </c>
      <c r="L524">
        <v>29892</v>
      </c>
      <c r="M524">
        <v>26761</v>
      </c>
      <c r="N524">
        <v>25953.246999999999</v>
      </c>
      <c r="O524">
        <v>23341.453000000001</v>
      </c>
      <c r="P524">
        <v>18842.584999999999</v>
      </c>
      <c r="Q524">
        <v>16823.215</v>
      </c>
      <c r="R524">
        <v>15976.623</v>
      </c>
      <c r="S524">
        <v>14793.297</v>
      </c>
      <c r="T524">
        <v>13394.07</v>
      </c>
      <c r="U524">
        <v>14099.186</v>
      </c>
      <c r="V524">
        <v>14387.058000000001</v>
      </c>
      <c r="W524">
        <v>12147.416999999999</v>
      </c>
      <c r="X524">
        <v>9170.2209999999995</v>
      </c>
      <c r="Y524">
        <v>8152.5309999999999</v>
      </c>
      <c r="Z524">
        <v>7594.5249999999996</v>
      </c>
      <c r="AA524">
        <v>7181.3829999999998</v>
      </c>
      <c r="AB524">
        <v>6909.3459999999995</v>
      </c>
      <c r="AC524">
        <v>6450.5479999999998</v>
      </c>
      <c r="AM524" t="str">
        <f>""</f>
        <v/>
      </c>
      <c r="AN524" t="str">
        <f>""</f>
        <v/>
      </c>
      <c r="AO524" t="str">
        <f>""</f>
        <v/>
      </c>
      <c r="AP524" t="str">
        <f>""</f>
        <v/>
      </c>
      <c r="AQ524" t="str">
        <f>""</f>
        <v/>
      </c>
      <c r="AR524" t="str">
        <f>""</f>
        <v/>
      </c>
      <c r="AS524" t="str">
        <f>""</f>
        <v/>
      </c>
      <c r="AT524" t="str">
        <f>""</f>
        <v/>
      </c>
      <c r="AU524" t="str">
        <f>""</f>
        <v/>
      </c>
      <c r="AV524" t="str">
        <f>""</f>
        <v/>
      </c>
      <c r="AW524" t="str">
        <f>""</f>
        <v/>
      </c>
      <c r="AX524" t="str">
        <f>""</f>
        <v/>
      </c>
      <c r="AY524" t="str">
        <f>""</f>
        <v/>
      </c>
      <c r="AZ524" t="str">
        <f>""</f>
        <v/>
      </c>
      <c r="BA524" t="str">
        <f>""</f>
        <v/>
      </c>
      <c r="BB524" t="str">
        <f>""</f>
        <v/>
      </c>
      <c r="BC524" t="str">
        <f>""</f>
        <v/>
      </c>
      <c r="BD524" t="str">
        <f>""</f>
        <v/>
      </c>
      <c r="BE524" t="str">
        <f>""</f>
        <v/>
      </c>
      <c r="BF524" t="str">
        <f>""</f>
        <v/>
      </c>
      <c r="BG524" t="str">
        <f>""</f>
        <v/>
      </c>
      <c r="BH524" t="str">
        <f>""</f>
        <v/>
      </c>
      <c r="BI524" t="str">
        <f>""</f>
        <v/>
      </c>
      <c r="BJ524" t="str">
        <f>""</f>
        <v/>
      </c>
      <c r="BK524" t="str">
        <f>""</f>
        <v/>
      </c>
      <c r="BL524" t="str">
        <f>""</f>
        <v/>
      </c>
      <c r="BM524" t="str">
        <f>""</f>
        <v/>
      </c>
      <c r="BN524" t="str">
        <f>""</f>
        <v/>
      </c>
      <c r="BO524" t="str">
        <f>""</f>
        <v/>
      </c>
      <c r="BP524" t="str">
        <f>""</f>
        <v/>
      </c>
      <c r="BQ524" t="str">
        <f>""</f>
        <v/>
      </c>
      <c r="BR524" t="str">
        <f>""</f>
        <v/>
      </c>
      <c r="BS524" t="str">
        <f>""</f>
        <v/>
      </c>
    </row>
    <row r="525" spans="1:71" x14ac:dyDescent="0.25">
      <c r="A525" t="str">
        <f>$A$108</f>
        <v xml:space="preserve">        US Bancorp</v>
      </c>
      <c r="B525" t="str">
        <f>$B$108</f>
        <v>USB US Equity</v>
      </c>
      <c r="C525" t="str">
        <f>$C$108</f>
        <v>FR011</v>
      </c>
      <c r="D525" t="str">
        <f>$D$108</f>
        <v>FED_C&amp;I_LOANS_US_ADDRESS</v>
      </c>
      <c r="E525" t="str">
        <f>$E$108</f>
        <v>Dynamic</v>
      </c>
      <c r="F525">
        <f ca="1">_xll.BDH($B$108,$C$108,$B$425,$B$426,CONCATENATE("Per=",$B$423),"Dts=H","Dir=H",CONCATENATE("Points=",$B$424),"Sort=R","Days=A","Fill=B",CONCATENATE("FX=", $B$422),"cols=33;rows=1")</f>
        <v>93480</v>
      </c>
      <c r="G525">
        <v>95923</v>
      </c>
      <c r="H525">
        <v>101069</v>
      </c>
      <c r="I525">
        <v>80352</v>
      </c>
      <c r="J525">
        <v>75750</v>
      </c>
      <c r="K525">
        <v>77666</v>
      </c>
      <c r="L525">
        <v>77365</v>
      </c>
      <c r="M525">
        <v>71503</v>
      </c>
      <c r="N525">
        <v>68079</v>
      </c>
      <c r="O525">
        <v>65637</v>
      </c>
      <c r="P525">
        <v>59496</v>
      </c>
      <c r="Q525">
        <v>51358</v>
      </c>
      <c r="R525">
        <v>47397</v>
      </c>
      <c r="S525">
        <v>41061</v>
      </c>
      <c r="T525">
        <v>35068</v>
      </c>
      <c r="U525">
        <v>35468</v>
      </c>
      <c r="V525">
        <v>41320</v>
      </c>
      <c r="W525">
        <v>36782</v>
      </c>
      <c r="X525">
        <v>32991</v>
      </c>
      <c r="Y525">
        <v>30858</v>
      </c>
      <c r="Z525">
        <v>28959</v>
      </c>
      <c r="AA525">
        <v>27437</v>
      </c>
      <c r="AB525">
        <v>29167</v>
      </c>
      <c r="AC525">
        <v>34156</v>
      </c>
      <c r="AM525" t="str">
        <f>""</f>
        <v/>
      </c>
      <c r="AN525" t="str">
        <f>""</f>
        <v/>
      </c>
      <c r="AO525" t="str">
        <f>""</f>
        <v/>
      </c>
      <c r="AP525" t="str">
        <f>""</f>
        <v/>
      </c>
      <c r="AQ525" t="str">
        <f>""</f>
        <v/>
      </c>
      <c r="AR525" t="str">
        <f>""</f>
        <v/>
      </c>
      <c r="AS525" t="str">
        <f>""</f>
        <v/>
      </c>
      <c r="AT525" t="str">
        <f>""</f>
        <v/>
      </c>
      <c r="AU525" t="str">
        <f>""</f>
        <v/>
      </c>
      <c r="AV525" t="str">
        <f>""</f>
        <v/>
      </c>
      <c r="AW525" t="str">
        <f>""</f>
        <v/>
      </c>
      <c r="AX525" t="str">
        <f>""</f>
        <v/>
      </c>
      <c r="AY525" t="str">
        <f>""</f>
        <v/>
      </c>
      <c r="AZ525" t="str">
        <f>""</f>
        <v/>
      </c>
      <c r="BA525" t="str">
        <f>""</f>
        <v/>
      </c>
      <c r="BB525" t="str">
        <f>""</f>
        <v/>
      </c>
      <c r="BC525" t="str">
        <f>""</f>
        <v/>
      </c>
      <c r="BD525" t="str">
        <f>""</f>
        <v/>
      </c>
      <c r="BE525" t="str">
        <f>""</f>
        <v/>
      </c>
      <c r="BF525" t="str">
        <f>""</f>
        <v/>
      </c>
      <c r="BG525" t="str">
        <f>""</f>
        <v/>
      </c>
      <c r="BH525" t="str">
        <f>""</f>
        <v/>
      </c>
      <c r="BI525" t="str">
        <f>""</f>
        <v/>
      </c>
      <c r="BJ525" t="str">
        <f>""</f>
        <v/>
      </c>
      <c r="BK525" t="str">
        <f>""</f>
        <v/>
      </c>
      <c r="BL525" t="str">
        <f>""</f>
        <v/>
      </c>
      <c r="BM525" t="str">
        <f>""</f>
        <v/>
      </c>
      <c r="BN525" t="str">
        <f>""</f>
        <v/>
      </c>
      <c r="BO525" t="str">
        <f>""</f>
        <v/>
      </c>
      <c r="BP525" t="str">
        <f>""</f>
        <v/>
      </c>
      <c r="BQ525" t="str">
        <f>""</f>
        <v/>
      </c>
      <c r="BR525" t="str">
        <f>""</f>
        <v/>
      </c>
      <c r="BS525" t="str">
        <f>""</f>
        <v/>
      </c>
    </row>
    <row r="526" spans="1:71" x14ac:dyDescent="0.25">
      <c r="A526" t="str">
        <f>$A$109</f>
        <v xml:space="preserve">        Wells Fargo &amp; Co</v>
      </c>
      <c r="B526" t="str">
        <f>$B$109</f>
        <v>WFC US Equity</v>
      </c>
      <c r="C526" t="str">
        <f>$C$109</f>
        <v>FR011</v>
      </c>
      <c r="D526" t="str">
        <f>$D$109</f>
        <v>FED_C&amp;I_LOANS_US_ADDRESS</v>
      </c>
      <c r="E526" t="str">
        <f>$E$109</f>
        <v>Dynamic</v>
      </c>
      <c r="F526">
        <f ca="1">_xll.BDH($B$109,$C$109,$B$425,$B$426,CONCATENATE("Per=",$B$423),"Dts=H","Dir=H",CONCATENATE("Points=",$B$424),"Sort=R","Days=A","Fill=B",CONCATENATE("FX=", $B$422),"cols=33;rows=1")</f>
        <v>169380</v>
      </c>
      <c r="G526">
        <v>172732</v>
      </c>
      <c r="H526">
        <v>177409</v>
      </c>
      <c r="I526">
        <v>154435</v>
      </c>
      <c r="J526">
        <v>148745</v>
      </c>
      <c r="K526">
        <v>171200</v>
      </c>
      <c r="L526">
        <v>175997</v>
      </c>
      <c r="M526">
        <v>168663</v>
      </c>
      <c r="N526">
        <v>168367</v>
      </c>
      <c r="O526">
        <v>155648</v>
      </c>
      <c r="P526">
        <v>151387</v>
      </c>
      <c r="Q526">
        <v>146309</v>
      </c>
      <c r="R526">
        <v>148843</v>
      </c>
      <c r="S526">
        <v>142010</v>
      </c>
      <c r="T526">
        <v>122523</v>
      </c>
      <c r="U526">
        <v>134695</v>
      </c>
      <c r="V526">
        <v>175087</v>
      </c>
      <c r="W526">
        <v>77521</v>
      </c>
      <c r="X526">
        <v>59508</v>
      </c>
      <c r="Y526">
        <v>51564</v>
      </c>
      <c r="Z526">
        <v>46115</v>
      </c>
      <c r="AA526">
        <v>42059</v>
      </c>
      <c r="AB526">
        <v>40451</v>
      </c>
      <c r="AC526">
        <v>41292</v>
      </c>
      <c r="AM526" t="str">
        <f>""</f>
        <v/>
      </c>
      <c r="AN526" t="str">
        <f>""</f>
        <v/>
      </c>
      <c r="AO526" t="str">
        <f>""</f>
        <v/>
      </c>
      <c r="AP526" t="str">
        <f>""</f>
        <v/>
      </c>
      <c r="AQ526" t="str">
        <f>""</f>
        <v/>
      </c>
      <c r="AR526" t="str">
        <f>""</f>
        <v/>
      </c>
      <c r="AS526" t="str">
        <f>""</f>
        <v/>
      </c>
      <c r="AT526" t="str">
        <f>""</f>
        <v/>
      </c>
      <c r="AU526" t="str">
        <f>""</f>
        <v/>
      </c>
      <c r="AV526" t="str">
        <f>""</f>
        <v/>
      </c>
      <c r="AW526" t="str">
        <f>""</f>
        <v/>
      </c>
      <c r="AX526" t="str">
        <f>""</f>
        <v/>
      </c>
      <c r="AY526" t="str">
        <f>""</f>
        <v/>
      </c>
      <c r="AZ526" t="str">
        <f>""</f>
        <v/>
      </c>
      <c r="BA526" t="str">
        <f>""</f>
        <v/>
      </c>
      <c r="BB526" t="str">
        <f>""</f>
        <v/>
      </c>
      <c r="BC526" t="str">
        <f>""</f>
        <v/>
      </c>
      <c r="BD526" t="str">
        <f>""</f>
        <v/>
      </c>
      <c r="BE526" t="str">
        <f>""</f>
        <v/>
      </c>
      <c r="BF526" t="str">
        <f>""</f>
        <v/>
      </c>
      <c r="BG526" t="str">
        <f>""</f>
        <v/>
      </c>
      <c r="BH526" t="str">
        <f>""</f>
        <v/>
      </c>
      <c r="BI526" t="str">
        <f>""</f>
        <v/>
      </c>
      <c r="BJ526" t="str">
        <f>""</f>
        <v/>
      </c>
      <c r="BK526" t="str">
        <f>""</f>
        <v/>
      </c>
      <c r="BL526" t="str">
        <f>""</f>
        <v/>
      </c>
      <c r="BM526" t="str">
        <f>""</f>
        <v/>
      </c>
      <c r="BN526" t="str">
        <f>""</f>
        <v/>
      </c>
      <c r="BO526" t="str">
        <f>""</f>
        <v/>
      </c>
      <c r="BP526" t="str">
        <f>""</f>
        <v/>
      </c>
      <c r="BQ526" t="str">
        <f>""</f>
        <v/>
      </c>
      <c r="BR526" t="str">
        <f>""</f>
        <v/>
      </c>
      <c r="BS526" t="str">
        <f>""</f>
        <v/>
      </c>
    </row>
    <row r="527" spans="1:71" x14ac:dyDescent="0.25">
      <c r="A527" t="str">
        <f>$A$110</f>
        <v xml:space="preserve">        Western Alliance Bancorp</v>
      </c>
      <c r="B527" t="str">
        <f>$B$110</f>
        <v>WAL US Equity</v>
      </c>
      <c r="C527" t="str">
        <f>$C$110</f>
        <v>FR011</v>
      </c>
      <c r="D527" t="str">
        <f>$D$110</f>
        <v>FED_C&amp;I_LOANS_US_ADDRESS</v>
      </c>
      <c r="E527" t="str">
        <f>$E$110</f>
        <v>Dynamic</v>
      </c>
      <c r="F527">
        <f ca="1">_xll.BDH($B$110,$C$110,$B$425,$B$426,CONCATENATE("Per=",$B$423),"Dts=H","Dir=H",CONCATENATE("Points=",$B$424),"Sort=R","Days=A","Fill=B",CONCATENATE("FX=", $B$422),"cols=33;rows=1")</f>
        <v>9927.7829999999994</v>
      </c>
      <c r="G527">
        <v>8786.5540000000001</v>
      </c>
      <c r="H527">
        <v>11612.654</v>
      </c>
      <c r="I527">
        <v>10661.641</v>
      </c>
      <c r="J527">
        <v>7359.0039999999999</v>
      </c>
      <c r="K527">
        <v>5081.0469999999996</v>
      </c>
      <c r="L527">
        <v>4284</v>
      </c>
      <c r="M527">
        <v>3945.777</v>
      </c>
      <c r="N527">
        <v>3356.7089999999998</v>
      </c>
      <c r="O527">
        <v>3136.9</v>
      </c>
      <c r="P527">
        <v>1893.979</v>
      </c>
      <c r="Q527">
        <v>1290.7919999999999</v>
      </c>
      <c r="R527">
        <v>1043.0719999999999</v>
      </c>
      <c r="S527">
        <v>817.23400000000004</v>
      </c>
      <c r="T527">
        <v>697.399</v>
      </c>
      <c r="U527">
        <v>665.65499999999997</v>
      </c>
      <c r="V527">
        <v>798.25199999999995</v>
      </c>
      <c r="W527">
        <v>727.59900000000005</v>
      </c>
      <c r="X527">
        <v>622.59199999999998</v>
      </c>
      <c r="Y527">
        <v>338.47899999999998</v>
      </c>
      <c r="Z527">
        <v>239.57599999999999</v>
      </c>
      <c r="AA527">
        <v>158.71600000000001</v>
      </c>
      <c r="AB527">
        <v>93.838999999999999</v>
      </c>
      <c r="AC527">
        <v>85.05</v>
      </c>
      <c r="AM527" t="str">
        <f>""</f>
        <v/>
      </c>
      <c r="AN527" t="str">
        <f>""</f>
        <v/>
      </c>
      <c r="AO527" t="str">
        <f>""</f>
        <v/>
      </c>
      <c r="AP527" t="str">
        <f>""</f>
        <v/>
      </c>
      <c r="AQ527" t="str">
        <f>""</f>
        <v/>
      </c>
      <c r="AR527" t="str">
        <f>""</f>
        <v/>
      </c>
      <c r="AS527" t="str">
        <f>""</f>
        <v/>
      </c>
      <c r="AT527" t="str">
        <f>""</f>
        <v/>
      </c>
      <c r="AU527" t="str">
        <f>""</f>
        <v/>
      </c>
      <c r="AV527" t="str">
        <f>""</f>
        <v/>
      </c>
      <c r="AW527" t="str">
        <f>""</f>
        <v/>
      </c>
      <c r="AX527" t="str">
        <f>""</f>
        <v/>
      </c>
      <c r="AY527" t="str">
        <f>""</f>
        <v/>
      </c>
      <c r="AZ527" t="str">
        <f>""</f>
        <v/>
      </c>
      <c r="BA527" t="str">
        <f>""</f>
        <v/>
      </c>
      <c r="BB527" t="str">
        <f>""</f>
        <v/>
      </c>
      <c r="BC527" t="str">
        <f>""</f>
        <v/>
      </c>
      <c r="BD527" t="str">
        <f>""</f>
        <v/>
      </c>
      <c r="BE527" t="str">
        <f>""</f>
        <v/>
      </c>
      <c r="BF527" t="str">
        <f>""</f>
        <v/>
      </c>
      <c r="BG527" t="str">
        <f>""</f>
        <v/>
      </c>
      <c r="BH527" t="str">
        <f>""</f>
        <v/>
      </c>
      <c r="BI527" t="str">
        <f>""</f>
        <v/>
      </c>
      <c r="BJ527" t="str">
        <f>""</f>
        <v/>
      </c>
      <c r="BK527" t="str">
        <f>""</f>
        <v/>
      </c>
      <c r="BL527" t="str">
        <f>""</f>
        <v/>
      </c>
      <c r="BM527" t="str">
        <f>""</f>
        <v/>
      </c>
      <c r="BN527" t="str">
        <f>""</f>
        <v/>
      </c>
      <c r="BO527" t="str">
        <f>""</f>
        <v/>
      </c>
      <c r="BP527" t="str">
        <f>""</f>
        <v/>
      </c>
      <c r="BQ527" t="str">
        <f>""</f>
        <v/>
      </c>
      <c r="BR527" t="str">
        <f>""</f>
        <v/>
      </c>
      <c r="BS527" t="str">
        <f>""</f>
        <v/>
      </c>
    </row>
    <row r="528" spans="1:71" x14ac:dyDescent="0.25">
      <c r="A528" t="str">
        <f>$A$111</f>
        <v xml:space="preserve">        Zions Bancorp NA</v>
      </c>
      <c r="B528" t="str">
        <f>$B$111</f>
        <v>ZION US Equity</v>
      </c>
      <c r="C528" t="str">
        <f>$C$111</f>
        <v>FR011</v>
      </c>
      <c r="D528" t="str">
        <f>$D$111</f>
        <v>FED_C&amp;I_LOANS_US_ADDRESS</v>
      </c>
      <c r="E528" t="str">
        <f>$E$111</f>
        <v>Dynamic</v>
      </c>
      <c r="F528" t="str">
        <f ca="1">_xll.BDH($B$111,$C$111,$B$425,$B$426,CONCATENATE("Per=",$B$423),"Dts=H","Dir=H",CONCATENATE("Points=",$B$424),"Sort=R","Days=A","Fill=B",CONCATENATE("FX=", $B$422) )</f>
        <v/>
      </c>
      <c r="AM528" t="str">
        <f>""</f>
        <v/>
      </c>
      <c r="AN528" t="str">
        <f>""</f>
        <v/>
      </c>
      <c r="AO528" t="str">
        <f>""</f>
        <v/>
      </c>
      <c r="AP528" t="str">
        <f>""</f>
        <v/>
      </c>
      <c r="AQ528" t="str">
        <f>""</f>
        <v/>
      </c>
      <c r="AR528" t="str">
        <f>""</f>
        <v/>
      </c>
      <c r="AS528" t="str">
        <f>""</f>
        <v/>
      </c>
      <c r="AT528" t="str">
        <f>""</f>
        <v/>
      </c>
      <c r="AU528" t="str">
        <f>""</f>
        <v/>
      </c>
      <c r="AV528" t="str">
        <f>""</f>
        <v/>
      </c>
      <c r="AW528" t="str">
        <f>""</f>
        <v/>
      </c>
      <c r="AX528" t="str">
        <f>""</f>
        <v/>
      </c>
      <c r="AY528" t="str">
        <f>""</f>
        <v/>
      </c>
      <c r="AZ528" t="str">
        <f>""</f>
        <v/>
      </c>
      <c r="BA528" t="str">
        <f>""</f>
        <v/>
      </c>
      <c r="BB528" t="str">
        <f>""</f>
        <v/>
      </c>
      <c r="BC528" t="str">
        <f>""</f>
        <v/>
      </c>
      <c r="BD528" t="str">
        <f>""</f>
        <v/>
      </c>
      <c r="BE528" t="str">
        <f>""</f>
        <v/>
      </c>
      <c r="BF528" t="str">
        <f>""</f>
        <v/>
      </c>
      <c r="BG528" t="str">
        <f>""</f>
        <v/>
      </c>
      <c r="BH528" t="str">
        <f>""</f>
        <v/>
      </c>
      <c r="BI528" t="str">
        <f>""</f>
        <v/>
      </c>
      <c r="BJ528" t="str">
        <f>""</f>
        <v/>
      </c>
      <c r="BK528" t="str">
        <f>""</f>
        <v/>
      </c>
      <c r="BL528" t="str">
        <f>""</f>
        <v/>
      </c>
      <c r="BM528" t="str">
        <f>""</f>
        <v/>
      </c>
      <c r="BN528" t="str">
        <f>""</f>
        <v/>
      </c>
      <c r="BO528" t="str">
        <f>""</f>
        <v/>
      </c>
      <c r="BP528" t="str">
        <f>""</f>
        <v/>
      </c>
      <c r="BQ528" t="str">
        <f>""</f>
        <v/>
      </c>
      <c r="BR528" t="str">
        <f>""</f>
        <v/>
      </c>
      <c r="BS528" t="str">
        <f>""</f>
        <v/>
      </c>
    </row>
    <row r="529" spans="1:71" x14ac:dyDescent="0.25">
      <c r="A529" t="str">
        <f>$A$113</f>
        <v xml:space="preserve">        Bank of America Corp</v>
      </c>
      <c r="B529" t="str">
        <f>$B$113</f>
        <v>BAC US Equity</v>
      </c>
      <c r="C529" t="str">
        <f>$C$113</f>
        <v>FC313</v>
      </c>
      <c r="D529" t="str">
        <f>$D$113</f>
        <v>FDIC_C&amp;I_LOANS_NON-US</v>
      </c>
      <c r="E529" t="str">
        <f>$E$113</f>
        <v>Dynamic</v>
      </c>
      <c r="F529">
        <f ca="1">_xll.BDH($B$113,$C$113,$B$425,$B$426,CONCATENATE("Per=",$B$423),"Dts=H","Dir=H",CONCATENATE("Points=",$B$424),"Sort=R","Days=A","Fill=B",CONCATENATE("FX=", $B$422),"cols=33;rows=1")</f>
        <v>72613</v>
      </c>
      <c r="G529">
        <v>72553</v>
      </c>
      <c r="H529">
        <v>78031</v>
      </c>
      <c r="I529">
        <v>71816</v>
      </c>
      <c r="J529">
        <v>64041</v>
      </c>
      <c r="K529">
        <v>75373</v>
      </c>
      <c r="L529">
        <v>67320</v>
      </c>
      <c r="M529">
        <v>66557</v>
      </c>
      <c r="N529">
        <v>59810</v>
      </c>
      <c r="O529">
        <v>59116</v>
      </c>
      <c r="P529">
        <v>57082</v>
      </c>
      <c r="Q529">
        <v>68259</v>
      </c>
      <c r="R529">
        <v>60037.034</v>
      </c>
      <c r="S529">
        <v>53195.612999999998</v>
      </c>
      <c r="T529">
        <v>34961.697</v>
      </c>
      <c r="U529">
        <v>33865.370999999999</v>
      </c>
      <c r="V529">
        <v>29854.469000000001</v>
      </c>
      <c r="W529">
        <v>25181.438999999998</v>
      </c>
      <c r="X529">
        <v>19760.146000000001</v>
      </c>
      <c r="Y529">
        <v>19219.291000000001</v>
      </c>
      <c r="Z529">
        <v>16700.333999999999</v>
      </c>
      <c r="AA529">
        <v>9715.7610000000004</v>
      </c>
      <c r="AB529">
        <v>13208</v>
      </c>
      <c r="AC529">
        <v>15664</v>
      </c>
      <c r="AM529" t="str">
        <f>""</f>
        <v/>
      </c>
      <c r="AN529" t="str">
        <f>""</f>
        <v/>
      </c>
      <c r="AO529" t="str">
        <f>""</f>
        <v/>
      </c>
      <c r="AP529" t="str">
        <f>""</f>
        <v/>
      </c>
      <c r="AQ529" t="str">
        <f>""</f>
        <v/>
      </c>
      <c r="AR529" t="str">
        <f>""</f>
        <v/>
      </c>
      <c r="AS529" t="str">
        <f>""</f>
        <v/>
      </c>
      <c r="AT529" t="str">
        <f>""</f>
        <v/>
      </c>
      <c r="AU529" t="str">
        <f>""</f>
        <v/>
      </c>
      <c r="AV529" t="str">
        <f>""</f>
        <v/>
      </c>
      <c r="AW529" t="str">
        <f>""</f>
        <v/>
      </c>
      <c r="AX529" t="str">
        <f>""</f>
        <v/>
      </c>
      <c r="AY529" t="str">
        <f>""</f>
        <v/>
      </c>
      <c r="AZ529" t="str">
        <f>""</f>
        <v/>
      </c>
      <c r="BA529" t="str">
        <f>""</f>
        <v/>
      </c>
      <c r="BB529" t="str">
        <f>""</f>
        <v/>
      </c>
      <c r="BC529" t="str">
        <f>""</f>
        <v/>
      </c>
      <c r="BD529" t="str">
        <f>""</f>
        <v/>
      </c>
      <c r="BE529" t="str">
        <f>""</f>
        <v/>
      </c>
      <c r="BF529" t="str">
        <f>""</f>
        <v/>
      </c>
      <c r="BG529" t="str">
        <f>""</f>
        <v/>
      </c>
      <c r="BH529" t="str">
        <f>""</f>
        <v/>
      </c>
      <c r="BI529" t="str">
        <f>""</f>
        <v/>
      </c>
      <c r="BJ529" t="str">
        <f>""</f>
        <v/>
      </c>
      <c r="BK529" t="str">
        <f>""</f>
        <v/>
      </c>
      <c r="BL529" t="str">
        <f>""</f>
        <v/>
      </c>
      <c r="BM529" t="str">
        <f>""</f>
        <v/>
      </c>
      <c r="BN529" t="str">
        <f>""</f>
        <v/>
      </c>
      <c r="BO529" t="str">
        <f>""</f>
        <v/>
      </c>
      <c r="BP529" t="str">
        <f>""</f>
        <v/>
      </c>
      <c r="BQ529" t="str">
        <f>""</f>
        <v/>
      </c>
      <c r="BR529" t="str">
        <f>""</f>
        <v/>
      </c>
      <c r="BS529" t="str">
        <f>""</f>
        <v/>
      </c>
    </row>
    <row r="530" spans="1:71" x14ac:dyDescent="0.25">
      <c r="A530" t="str">
        <f>$A$114</f>
        <v xml:space="preserve">        Citigroup Inc</v>
      </c>
      <c r="B530" t="str">
        <f>$B$114</f>
        <v>C US Equity</v>
      </c>
      <c r="C530" t="str">
        <f>$C$114</f>
        <v>FC313</v>
      </c>
      <c r="D530" t="str">
        <f>$D$114</f>
        <v>FDIC_C&amp;I_LOANS_NON-US</v>
      </c>
      <c r="E530" t="str">
        <f>$E$114</f>
        <v>Dynamic</v>
      </c>
      <c r="F530">
        <f ca="1">_xll.BDH($B$114,$C$114,$B$425,$B$426,CONCATENATE("Per=",$B$423),"Dts=H","Dir=H",CONCATENATE("Points=",$B$424),"Sort=R","Days=A","Fill=B",CONCATENATE("FX=", $B$422),"cols=33;rows=1")</f>
        <v>100958</v>
      </c>
      <c r="G530">
        <v>101791</v>
      </c>
      <c r="H530">
        <v>103166</v>
      </c>
      <c r="I530">
        <v>109790</v>
      </c>
      <c r="J530">
        <v>109657</v>
      </c>
      <c r="K530">
        <v>119593</v>
      </c>
      <c r="L530">
        <v>120072</v>
      </c>
      <c r="M530">
        <v>120154</v>
      </c>
      <c r="N530">
        <v>105562</v>
      </c>
      <c r="O530">
        <v>109821</v>
      </c>
      <c r="P530">
        <v>110277</v>
      </c>
      <c r="Q530">
        <v>111845</v>
      </c>
      <c r="R530">
        <v>107545</v>
      </c>
      <c r="S530">
        <v>100282</v>
      </c>
      <c r="T530">
        <v>86208</v>
      </c>
      <c r="U530">
        <v>84501</v>
      </c>
      <c r="V530">
        <v>105861</v>
      </c>
      <c r="W530">
        <v>137916</v>
      </c>
      <c r="X530">
        <v>112208</v>
      </c>
      <c r="Y530">
        <v>87534</v>
      </c>
      <c r="Z530">
        <v>83245</v>
      </c>
      <c r="AA530">
        <v>66918</v>
      </c>
      <c r="AB530">
        <v>71111</v>
      </c>
      <c r="AC530">
        <v>75247</v>
      </c>
      <c r="AD530">
        <v>67923</v>
      </c>
      <c r="AE530">
        <v>59610</v>
      </c>
      <c r="AF530">
        <v>55964</v>
      </c>
      <c r="AM530" t="str">
        <f>""</f>
        <v/>
      </c>
      <c r="AN530" t="str">
        <f>""</f>
        <v/>
      </c>
      <c r="AO530" t="str">
        <f>""</f>
        <v/>
      </c>
      <c r="AP530" t="str">
        <f>""</f>
        <v/>
      </c>
      <c r="AQ530" t="str">
        <f>""</f>
        <v/>
      </c>
      <c r="AR530" t="str">
        <f>""</f>
        <v/>
      </c>
      <c r="AS530" t="str">
        <f>""</f>
        <v/>
      </c>
      <c r="AT530" t="str">
        <f>""</f>
        <v/>
      </c>
      <c r="AU530" t="str">
        <f>""</f>
        <v/>
      </c>
      <c r="AV530" t="str">
        <f>""</f>
        <v/>
      </c>
      <c r="AW530" t="str">
        <f>""</f>
        <v/>
      </c>
      <c r="AX530" t="str">
        <f>""</f>
        <v/>
      </c>
      <c r="AY530" t="str">
        <f>""</f>
        <v/>
      </c>
      <c r="AZ530" t="str">
        <f>""</f>
        <v/>
      </c>
      <c r="BA530" t="str">
        <f>""</f>
        <v/>
      </c>
      <c r="BB530" t="str">
        <f>""</f>
        <v/>
      </c>
      <c r="BC530" t="str">
        <f>""</f>
        <v/>
      </c>
      <c r="BD530" t="str">
        <f>""</f>
        <v/>
      </c>
      <c r="BE530" t="str">
        <f>""</f>
        <v/>
      </c>
      <c r="BF530" t="str">
        <f>""</f>
        <v/>
      </c>
      <c r="BG530" t="str">
        <f>""</f>
        <v/>
      </c>
      <c r="BH530" t="str">
        <f>""</f>
        <v/>
      </c>
      <c r="BI530" t="str">
        <f>""</f>
        <v/>
      </c>
      <c r="BJ530" t="str">
        <f>""</f>
        <v/>
      </c>
      <c r="BK530" t="str">
        <f>""</f>
        <v/>
      </c>
      <c r="BL530" t="str">
        <f>""</f>
        <v/>
      </c>
      <c r="BM530" t="str">
        <f>""</f>
        <v/>
      </c>
      <c r="BN530" t="str">
        <f>""</f>
        <v/>
      </c>
      <c r="BO530" t="str">
        <f>""</f>
        <v/>
      </c>
      <c r="BP530" t="str">
        <f>""</f>
        <v/>
      </c>
      <c r="BQ530" t="str">
        <f>""</f>
        <v/>
      </c>
      <c r="BR530" t="str">
        <f>""</f>
        <v/>
      </c>
      <c r="BS530" t="str">
        <f>""</f>
        <v/>
      </c>
    </row>
    <row r="531" spans="1:71" x14ac:dyDescent="0.25">
      <c r="A531" t="str">
        <f>$A$115</f>
        <v xml:space="preserve">        Citizens Financial Group Inc</v>
      </c>
      <c r="B531" t="str">
        <f>$B$115</f>
        <v>CFG US Equity</v>
      </c>
      <c r="C531" t="str">
        <f>$C$115</f>
        <v>FC313</v>
      </c>
      <c r="D531" t="str">
        <f>$D$115</f>
        <v>FDIC_C&amp;I_LOANS_NON-US</v>
      </c>
      <c r="E531" t="str">
        <f>$E$115</f>
        <v>Dynamic</v>
      </c>
      <c r="F531">
        <f ca="1">_xll.BDH($B$115,$C$115,$B$425,$B$426,CONCATENATE("Per=",$B$423),"Dts=H","Dir=H",CONCATENATE("Points=",$B$424),"Sort=R","Days=A","Fill=B",CONCATENATE("FX=", $B$422),"cols=33;rows=1")</f>
        <v>1088.059</v>
      </c>
      <c r="G531">
        <v>2535.8939999999998</v>
      </c>
      <c r="H531">
        <v>2903.672</v>
      </c>
      <c r="I531">
        <v>1365.1790000000001</v>
      </c>
      <c r="J531">
        <v>1004.043</v>
      </c>
      <c r="K531">
        <v>949.94100000000003</v>
      </c>
      <c r="L531">
        <v>1024.3119999999999</v>
      </c>
      <c r="M531">
        <v>813.42</v>
      </c>
      <c r="N531">
        <v>999.23800000000006</v>
      </c>
      <c r="O531">
        <v>366.40499999999997</v>
      </c>
      <c r="P531">
        <v>440.95499999999998</v>
      </c>
      <c r="Q531">
        <v>460.839</v>
      </c>
      <c r="R531">
        <v>269.22500000000002</v>
      </c>
      <c r="S531">
        <v>124.003</v>
      </c>
      <c r="T531">
        <v>78.718000000000004</v>
      </c>
      <c r="U531">
        <v>46.523000000000003</v>
      </c>
      <c r="V531">
        <v>49.673000000000002</v>
      </c>
      <c r="W531">
        <v>19.847000000000001</v>
      </c>
      <c r="X531">
        <v>54.133000000000003</v>
      </c>
      <c r="Y531">
        <v>36.713999999999999</v>
      </c>
      <c r="Z531">
        <v>26.742999999999999</v>
      </c>
      <c r="AA531">
        <v>2.0110000000000001</v>
      </c>
      <c r="AB531">
        <v>1.73</v>
      </c>
      <c r="AC531">
        <v>22.797999999999998</v>
      </c>
      <c r="AM531" t="str">
        <f>""</f>
        <v/>
      </c>
      <c r="AN531" t="str">
        <f>""</f>
        <v/>
      </c>
      <c r="AO531" t="str">
        <f>""</f>
        <v/>
      </c>
      <c r="AP531" t="str">
        <f>""</f>
        <v/>
      </c>
      <c r="AQ531" t="str">
        <f>""</f>
        <v/>
      </c>
      <c r="AR531" t="str">
        <f>""</f>
        <v/>
      </c>
      <c r="AS531" t="str">
        <f>""</f>
        <v/>
      </c>
      <c r="AT531" t="str">
        <f>""</f>
        <v/>
      </c>
      <c r="AU531" t="str">
        <f>""</f>
        <v/>
      </c>
      <c r="AV531" t="str">
        <f>""</f>
        <v/>
      </c>
      <c r="AW531" t="str">
        <f>""</f>
        <v/>
      </c>
      <c r="AX531" t="str">
        <f>""</f>
        <v/>
      </c>
      <c r="AY531" t="str">
        <f>""</f>
        <v/>
      </c>
      <c r="AZ531" t="str">
        <f>""</f>
        <v/>
      </c>
      <c r="BA531" t="str">
        <f>""</f>
        <v/>
      </c>
      <c r="BB531" t="str">
        <f>""</f>
        <v/>
      </c>
      <c r="BC531" t="str">
        <f>""</f>
        <v/>
      </c>
      <c r="BD531" t="str">
        <f>""</f>
        <v/>
      </c>
      <c r="BE531" t="str">
        <f>""</f>
        <v/>
      </c>
      <c r="BF531" t="str">
        <f>""</f>
        <v/>
      </c>
      <c r="BG531" t="str">
        <f>""</f>
        <v/>
      </c>
      <c r="BH531" t="str">
        <f>""</f>
        <v/>
      </c>
      <c r="BI531" t="str">
        <f>""</f>
        <v/>
      </c>
      <c r="BJ531" t="str">
        <f>""</f>
        <v/>
      </c>
      <c r="BK531" t="str">
        <f>""</f>
        <v/>
      </c>
      <c r="BL531" t="str">
        <f>""</f>
        <v/>
      </c>
      <c r="BM531" t="str">
        <f>""</f>
        <v/>
      </c>
      <c r="BN531" t="str">
        <f>""</f>
        <v/>
      </c>
      <c r="BO531" t="str">
        <f>""</f>
        <v/>
      </c>
      <c r="BP531" t="str">
        <f>""</f>
        <v/>
      </c>
      <c r="BQ531" t="str">
        <f>""</f>
        <v/>
      </c>
      <c r="BR531" t="str">
        <f>""</f>
        <v/>
      </c>
      <c r="BS531" t="str">
        <f>""</f>
        <v/>
      </c>
    </row>
    <row r="532" spans="1:71" x14ac:dyDescent="0.25">
      <c r="A532" t="str">
        <f>$A$116</f>
        <v xml:space="preserve">        Capital One Financial Corp</v>
      </c>
      <c r="B532" t="str">
        <f>$B$116</f>
        <v>COF US Equity</v>
      </c>
      <c r="C532" t="str">
        <f>$C$116</f>
        <v>FC313</v>
      </c>
      <c r="D532" t="str">
        <f>$D$116</f>
        <v>FDIC_C&amp;I_LOANS_NON-US</v>
      </c>
      <c r="E532" t="str">
        <f>$E$116</f>
        <v>Dynamic</v>
      </c>
      <c r="F532">
        <f ca="1">_xll.BDH($B$116,$C$116,$B$425,$B$426,CONCATENATE("Per=",$B$423),"Dts=H","Dir=H",CONCATENATE("Points=",$B$424),"Sort=R","Days=A","Fill=B",CONCATENATE("FX=", $B$422),"cols=33;rows=1")</f>
        <v>658.30499999999995</v>
      </c>
      <c r="G532">
        <v>634.846</v>
      </c>
      <c r="H532">
        <v>821.40700000000004</v>
      </c>
      <c r="I532">
        <v>897.33100000000002</v>
      </c>
      <c r="J532">
        <v>609.96</v>
      </c>
      <c r="K532">
        <v>514.952</v>
      </c>
      <c r="L532">
        <v>406.596</v>
      </c>
      <c r="M532">
        <v>121.071</v>
      </c>
      <c r="N532">
        <v>144.01</v>
      </c>
      <c r="O532">
        <v>7.0439999999999996</v>
      </c>
      <c r="P532">
        <v>0.109</v>
      </c>
      <c r="Q532">
        <v>6.2450000000000001</v>
      </c>
      <c r="R532">
        <v>71.995999999999995</v>
      </c>
      <c r="S532">
        <v>88.227000000000004</v>
      </c>
      <c r="T532">
        <v>4.2000000000000003E-2</v>
      </c>
      <c r="U532">
        <v>0.01</v>
      </c>
      <c r="V532">
        <v>0.13600000000000001</v>
      </c>
      <c r="W532">
        <v>0.151</v>
      </c>
      <c r="X532">
        <v>0.14699999999999999</v>
      </c>
      <c r="Y532">
        <v>1.1000000000000001</v>
      </c>
      <c r="Z532">
        <v>0</v>
      </c>
      <c r="AM532" t="str">
        <f>""</f>
        <v/>
      </c>
      <c r="AN532" t="str">
        <f>""</f>
        <v/>
      </c>
      <c r="AO532" t="str">
        <f>""</f>
        <v/>
      </c>
      <c r="AP532" t="str">
        <f>""</f>
        <v/>
      </c>
      <c r="AQ532" t="str">
        <f>""</f>
        <v/>
      </c>
      <c r="AR532" t="str">
        <f>""</f>
        <v/>
      </c>
      <c r="AS532" t="str">
        <f>""</f>
        <v/>
      </c>
      <c r="AT532" t="str">
        <f>""</f>
        <v/>
      </c>
      <c r="AU532" t="str">
        <f>""</f>
        <v/>
      </c>
      <c r="AV532" t="str">
        <f>""</f>
        <v/>
      </c>
      <c r="AW532" t="str">
        <f>""</f>
        <v/>
      </c>
      <c r="AX532" t="str">
        <f>""</f>
        <v/>
      </c>
      <c r="AY532" t="str">
        <f>""</f>
        <v/>
      </c>
      <c r="AZ532" t="str">
        <f>""</f>
        <v/>
      </c>
      <c r="BA532" t="str">
        <f>""</f>
        <v/>
      </c>
      <c r="BB532" t="str">
        <f>""</f>
        <v/>
      </c>
      <c r="BC532" t="str">
        <f>""</f>
        <v/>
      </c>
      <c r="BD532" t="str">
        <f>""</f>
        <v/>
      </c>
      <c r="BE532" t="str">
        <f>""</f>
        <v/>
      </c>
      <c r="BF532" t="str">
        <f>""</f>
        <v/>
      </c>
      <c r="BG532" t="str">
        <f>""</f>
        <v/>
      </c>
      <c r="BH532" t="str">
        <f>""</f>
        <v/>
      </c>
      <c r="BI532" t="str">
        <f>""</f>
        <v/>
      </c>
      <c r="BJ532" t="str">
        <f>""</f>
        <v/>
      </c>
      <c r="BK532" t="str">
        <f>""</f>
        <v/>
      </c>
      <c r="BL532" t="str">
        <f>""</f>
        <v/>
      </c>
      <c r="BM532" t="str">
        <f>""</f>
        <v/>
      </c>
      <c r="BN532" t="str">
        <f>""</f>
        <v/>
      </c>
      <c r="BO532" t="str">
        <f>""</f>
        <v/>
      </c>
      <c r="BP532" t="str">
        <f>""</f>
        <v/>
      </c>
      <c r="BQ532" t="str">
        <f>""</f>
        <v/>
      </c>
      <c r="BR532" t="str">
        <f>""</f>
        <v/>
      </c>
      <c r="BS532" t="str">
        <f>""</f>
        <v/>
      </c>
    </row>
    <row r="533" spans="1:71" x14ac:dyDescent="0.25">
      <c r="A533" t="str">
        <f>$A$117</f>
        <v xml:space="preserve">        Comerica Inc</v>
      </c>
      <c r="B533" t="str">
        <f>$B$117</f>
        <v>CMA US Equity</v>
      </c>
      <c r="C533" t="str">
        <f>$C$117</f>
        <v>FC313</v>
      </c>
      <c r="D533" t="str">
        <f>$D$117</f>
        <v>FDIC_C&amp;I_LOANS_NON-US</v>
      </c>
      <c r="E533" t="str">
        <f>$E$117</f>
        <v>Dynamic</v>
      </c>
      <c r="F533">
        <f ca="1">_xll.BDH($B$117,$C$117,$B$425,$B$426,CONCATENATE("Per=",$B$423),"Dts=H","Dir=H",CONCATENATE("Points=",$B$424),"Sort=R","Days=A","Fill=B",CONCATENATE("FX=", $B$422),"cols=33;rows=1")</f>
        <v>922</v>
      </c>
      <c r="G533">
        <v>1074</v>
      </c>
      <c r="H533">
        <v>1148</v>
      </c>
      <c r="I533">
        <v>1150</v>
      </c>
      <c r="J533">
        <v>888</v>
      </c>
      <c r="K533">
        <v>989</v>
      </c>
      <c r="L533">
        <v>1055.0899999999999</v>
      </c>
      <c r="M533">
        <v>1054.462</v>
      </c>
      <c r="N533">
        <v>1323.4190000000001</v>
      </c>
      <c r="O533">
        <v>1439.9929999999999</v>
      </c>
      <c r="P533">
        <v>1564.6120000000001</v>
      </c>
      <c r="Q533">
        <v>1469.0550000000001</v>
      </c>
      <c r="R533">
        <v>1362.8240000000001</v>
      </c>
      <c r="S533">
        <v>1155.758</v>
      </c>
      <c r="T533">
        <v>1077.02</v>
      </c>
      <c r="U533">
        <v>1104.67</v>
      </c>
      <c r="V533">
        <v>1496.748</v>
      </c>
      <c r="W533">
        <v>1542.933</v>
      </c>
      <c r="X533">
        <v>1699.771</v>
      </c>
      <c r="Y533">
        <v>1813.4459999999999</v>
      </c>
      <c r="Z533">
        <v>2103.674</v>
      </c>
      <c r="AA533">
        <v>2138.1729999999998</v>
      </c>
      <c r="AB533">
        <v>2406.2579999999998</v>
      </c>
      <c r="AC533">
        <v>2454.6970000000001</v>
      </c>
      <c r="AD533">
        <v>2139.895</v>
      </c>
      <c r="AE533">
        <v>2085.2139999999999</v>
      </c>
      <c r="AF533">
        <v>1993.021</v>
      </c>
      <c r="AG533">
        <v>1350.693</v>
      </c>
      <c r="AH533">
        <v>996.04200000000003</v>
      </c>
      <c r="AI533">
        <v>665.66200000000003</v>
      </c>
      <c r="AJ533">
        <v>436.61700000000002</v>
      </c>
      <c r="AK533">
        <v>187.30600000000001</v>
      </c>
      <c r="AL533">
        <v>193.46899999999999</v>
      </c>
      <c r="AM533" t="str">
        <f>""</f>
        <v/>
      </c>
      <c r="AN533" t="str">
        <f>""</f>
        <v/>
      </c>
      <c r="AO533" t="str">
        <f>""</f>
        <v/>
      </c>
      <c r="AP533" t="str">
        <f>""</f>
        <v/>
      </c>
      <c r="AQ533" t="str">
        <f>""</f>
        <v/>
      </c>
      <c r="AR533" t="str">
        <f>""</f>
        <v/>
      </c>
      <c r="AS533" t="str">
        <f>""</f>
        <v/>
      </c>
      <c r="AT533" t="str">
        <f>""</f>
        <v/>
      </c>
      <c r="AU533" t="str">
        <f>""</f>
        <v/>
      </c>
      <c r="AV533" t="str">
        <f>""</f>
        <v/>
      </c>
      <c r="AW533" t="str">
        <f>""</f>
        <v/>
      </c>
      <c r="AX533" t="str">
        <f>""</f>
        <v/>
      </c>
      <c r="AY533" t="str">
        <f>""</f>
        <v/>
      </c>
      <c r="AZ533" t="str">
        <f>""</f>
        <v/>
      </c>
      <c r="BA533" t="str">
        <f>""</f>
        <v/>
      </c>
      <c r="BB533" t="str">
        <f>""</f>
        <v/>
      </c>
      <c r="BC533" t="str">
        <f>""</f>
        <v/>
      </c>
      <c r="BD533" t="str">
        <f>""</f>
        <v/>
      </c>
      <c r="BE533" t="str">
        <f>""</f>
        <v/>
      </c>
      <c r="BF533" t="str">
        <f>""</f>
        <v/>
      </c>
      <c r="BG533" t="str">
        <f>""</f>
        <v/>
      </c>
      <c r="BH533" t="str">
        <f>""</f>
        <v/>
      </c>
      <c r="BI533" t="str">
        <f>""</f>
        <v/>
      </c>
      <c r="BJ533" t="str">
        <f>""</f>
        <v/>
      </c>
      <c r="BK533" t="str">
        <f>""</f>
        <v/>
      </c>
      <c r="BL533" t="str">
        <f>""</f>
        <v/>
      </c>
      <c r="BM533" t="str">
        <f>""</f>
        <v/>
      </c>
      <c r="BN533" t="str">
        <f>""</f>
        <v/>
      </c>
      <c r="BO533" t="str">
        <f>""</f>
        <v/>
      </c>
      <c r="BP533" t="str">
        <f>""</f>
        <v/>
      </c>
      <c r="BQ533" t="str">
        <f>""</f>
        <v/>
      </c>
      <c r="BR533" t="str">
        <f>""</f>
        <v/>
      </c>
      <c r="BS533" t="str">
        <f>""</f>
        <v/>
      </c>
    </row>
    <row r="534" spans="1:71" x14ac:dyDescent="0.25">
      <c r="A534" t="str">
        <f>$A$118</f>
        <v xml:space="preserve">        East West Bancorp Inc</v>
      </c>
      <c r="B534" t="str">
        <f>$B$118</f>
        <v>EWBC US Equity</v>
      </c>
      <c r="C534" t="str">
        <f>$C$118</f>
        <v>FC313</v>
      </c>
      <c r="D534" t="str">
        <f>$D$118</f>
        <v>FDIC_C&amp;I_LOANS_NON-US</v>
      </c>
      <c r="E534" t="str">
        <f>$E$118</f>
        <v>Dynamic</v>
      </c>
      <c r="F534">
        <f ca="1">_xll.BDH($B$118,$C$118,$B$425,$B$426,CONCATENATE("Per=",$B$423),"Dts=H","Dir=H",CONCATENATE("Points=",$B$424),"Sort=R","Days=A","Fill=B",CONCATENATE("FX=", $B$422),"cols=33;rows=1")</f>
        <v>2058.7330000000002</v>
      </c>
      <c r="G534">
        <v>2108.9929999999999</v>
      </c>
      <c r="H534">
        <v>1887.42</v>
      </c>
      <c r="I534">
        <v>1991.732</v>
      </c>
      <c r="J534">
        <v>1675.8119999999999</v>
      </c>
      <c r="K534">
        <v>1409.01</v>
      </c>
      <c r="L534">
        <v>1325.5730000000001</v>
      </c>
      <c r="M534">
        <v>1093.5309999999999</v>
      </c>
      <c r="N534">
        <v>1132.7059999999999</v>
      </c>
      <c r="O534">
        <v>1004.232</v>
      </c>
      <c r="P534">
        <v>644.84</v>
      </c>
      <c r="Q534">
        <v>415.04599999999999</v>
      </c>
      <c r="R534">
        <v>314.767</v>
      </c>
      <c r="S534">
        <v>543.31700000000001</v>
      </c>
      <c r="T534">
        <v>282.09699999999998</v>
      </c>
      <c r="U534">
        <v>478.46699999999998</v>
      </c>
      <c r="V534">
        <v>63.698</v>
      </c>
      <c r="W534">
        <v>53.826999999999998</v>
      </c>
      <c r="X534">
        <v>0</v>
      </c>
      <c r="Y534">
        <v>0</v>
      </c>
      <c r="Z534">
        <v>0</v>
      </c>
      <c r="AA534">
        <v>0</v>
      </c>
      <c r="AB534">
        <v>2.149</v>
      </c>
      <c r="AC534">
        <v>0.61499999999999999</v>
      </c>
      <c r="AD534">
        <v>0</v>
      </c>
      <c r="AE534">
        <v>0</v>
      </c>
      <c r="AF534">
        <v>0</v>
      </c>
      <c r="AM534" t="str">
        <f>""</f>
        <v/>
      </c>
      <c r="AN534" t="str">
        <f>""</f>
        <v/>
      </c>
      <c r="AO534" t="str">
        <f>""</f>
        <v/>
      </c>
      <c r="AP534" t="str">
        <f>""</f>
        <v/>
      </c>
      <c r="AQ534" t="str">
        <f>""</f>
        <v/>
      </c>
      <c r="AR534" t="str">
        <f>""</f>
        <v/>
      </c>
      <c r="AS534" t="str">
        <f>""</f>
        <v/>
      </c>
      <c r="AT534" t="str">
        <f>""</f>
        <v/>
      </c>
      <c r="AU534" t="str">
        <f>""</f>
        <v/>
      </c>
      <c r="AV534" t="str">
        <f>""</f>
        <v/>
      </c>
      <c r="AW534" t="str">
        <f>""</f>
        <v/>
      </c>
      <c r="AX534" t="str">
        <f>""</f>
        <v/>
      </c>
      <c r="AY534" t="str">
        <f>""</f>
        <v/>
      </c>
      <c r="AZ534" t="str">
        <f>""</f>
        <v/>
      </c>
      <c r="BA534" t="str">
        <f>""</f>
        <v/>
      </c>
      <c r="BB534" t="str">
        <f>""</f>
        <v/>
      </c>
      <c r="BC534" t="str">
        <f>""</f>
        <v/>
      </c>
      <c r="BD534" t="str">
        <f>""</f>
        <v/>
      </c>
      <c r="BE534" t="str">
        <f>""</f>
        <v/>
      </c>
      <c r="BF534" t="str">
        <f>""</f>
        <v/>
      </c>
      <c r="BG534" t="str">
        <f>""</f>
        <v/>
      </c>
      <c r="BH534" t="str">
        <f>""</f>
        <v/>
      </c>
      <c r="BI534" t="str">
        <f>""</f>
        <v/>
      </c>
      <c r="BJ534" t="str">
        <f>""</f>
        <v/>
      </c>
      <c r="BK534" t="str">
        <f>""</f>
        <v/>
      </c>
      <c r="BL534" t="str">
        <f>""</f>
        <v/>
      </c>
      <c r="BM534" t="str">
        <f>""</f>
        <v/>
      </c>
      <c r="BN534" t="str">
        <f>""</f>
        <v/>
      </c>
      <c r="BO534" t="str">
        <f>""</f>
        <v/>
      </c>
      <c r="BP534" t="str">
        <f>""</f>
        <v/>
      </c>
      <c r="BQ534" t="str">
        <f>""</f>
        <v/>
      </c>
      <c r="BR534" t="str">
        <f>""</f>
        <v/>
      </c>
      <c r="BS534" t="str">
        <f>""</f>
        <v/>
      </c>
    </row>
    <row r="535" spans="1:71" x14ac:dyDescent="0.25">
      <c r="A535" t="str">
        <f>$A$119</f>
        <v xml:space="preserve">        Fifth Third Bancorp</v>
      </c>
      <c r="B535" t="str">
        <f>$B$119</f>
        <v>FITB US Equity</v>
      </c>
      <c r="C535" t="str">
        <f>$C$119</f>
        <v>FC313</v>
      </c>
      <c r="D535" t="str">
        <f>$D$119</f>
        <v>FDIC_C&amp;I_LOANS_NON-US</v>
      </c>
      <c r="E535" t="str">
        <f>$E$119</f>
        <v>Dynamic</v>
      </c>
      <c r="F535">
        <f ca="1">_xll.BDH($B$119,$C$119,$B$425,$B$426,CONCATENATE("Per=",$B$423),"Dts=H","Dir=H",CONCATENATE("Points=",$B$424),"Sort=R","Days=A","Fill=B",CONCATENATE("FX=", $B$422),"cols=33;rows=1")</f>
        <v>2499</v>
      </c>
      <c r="G535">
        <v>2986</v>
      </c>
      <c r="H535">
        <v>2982.8519999999999</v>
      </c>
      <c r="I535">
        <v>2740.652</v>
      </c>
      <c r="J535">
        <v>2829.6039999999998</v>
      </c>
      <c r="K535">
        <v>2747.3519999999999</v>
      </c>
      <c r="L535">
        <v>2036.7449999999999</v>
      </c>
      <c r="M535">
        <v>2035.9190000000001</v>
      </c>
      <c r="N535">
        <v>1632.386</v>
      </c>
      <c r="O535">
        <v>1728.03</v>
      </c>
      <c r="P535">
        <v>1849.9680000000001</v>
      </c>
      <c r="Q535">
        <v>1213.7070000000001</v>
      </c>
      <c r="R535">
        <v>760.49800000000005</v>
      </c>
      <c r="S535">
        <v>714.69600000000003</v>
      </c>
      <c r="T535">
        <v>631.798</v>
      </c>
      <c r="U535">
        <v>488.77</v>
      </c>
      <c r="V535">
        <v>562.08199999999999</v>
      </c>
      <c r="W535">
        <v>320.41800000000001</v>
      </c>
      <c r="X535">
        <v>168.42699999999999</v>
      </c>
      <c r="Y535">
        <v>56.853999999999999</v>
      </c>
      <c r="Z535">
        <v>8.1609999999999996</v>
      </c>
      <c r="AA535">
        <v>13.175000000000001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 t="str">
        <f>""</f>
        <v/>
      </c>
      <c r="AN535" t="str">
        <f>""</f>
        <v/>
      </c>
      <c r="AO535" t="str">
        <f>""</f>
        <v/>
      </c>
      <c r="AP535" t="str">
        <f>""</f>
        <v/>
      </c>
      <c r="AQ535" t="str">
        <f>""</f>
        <v/>
      </c>
      <c r="AR535" t="str">
        <f>""</f>
        <v/>
      </c>
      <c r="AS535" t="str">
        <f>""</f>
        <v/>
      </c>
      <c r="AT535" t="str">
        <f>""</f>
        <v/>
      </c>
      <c r="AU535" t="str">
        <f>""</f>
        <v/>
      </c>
      <c r="AV535" t="str">
        <f>""</f>
        <v/>
      </c>
      <c r="AW535" t="str">
        <f>""</f>
        <v/>
      </c>
      <c r="AX535" t="str">
        <f>""</f>
        <v/>
      </c>
      <c r="AY535" t="str">
        <f>""</f>
        <v/>
      </c>
      <c r="AZ535" t="str">
        <f>""</f>
        <v/>
      </c>
      <c r="BA535" t="str">
        <f>""</f>
        <v/>
      </c>
      <c r="BB535" t="str">
        <f>""</f>
        <v/>
      </c>
      <c r="BC535" t="str">
        <f>""</f>
        <v/>
      </c>
      <c r="BD535" t="str">
        <f>""</f>
        <v/>
      </c>
      <c r="BE535" t="str">
        <f>""</f>
        <v/>
      </c>
      <c r="BF535" t="str">
        <f>""</f>
        <v/>
      </c>
      <c r="BG535" t="str">
        <f>""</f>
        <v/>
      </c>
      <c r="BH535" t="str">
        <f>""</f>
        <v/>
      </c>
      <c r="BI535" t="str">
        <f>""</f>
        <v/>
      </c>
      <c r="BJ535" t="str">
        <f>""</f>
        <v/>
      </c>
      <c r="BK535" t="str">
        <f>""</f>
        <v/>
      </c>
      <c r="BL535" t="str">
        <f>""</f>
        <v/>
      </c>
      <c r="BM535" t="str">
        <f>""</f>
        <v/>
      </c>
      <c r="BN535" t="str">
        <f>""</f>
        <v/>
      </c>
      <c r="BO535" t="str">
        <f>""</f>
        <v/>
      </c>
      <c r="BP535" t="str">
        <f>""</f>
        <v/>
      </c>
      <c r="BQ535" t="str">
        <f>""</f>
        <v/>
      </c>
      <c r="BR535" t="str">
        <f>""</f>
        <v/>
      </c>
      <c r="BS535" t="str">
        <f>""</f>
        <v/>
      </c>
    </row>
    <row r="536" spans="1:71" x14ac:dyDescent="0.25">
      <c r="A536" t="str">
        <f>$A$120</f>
        <v xml:space="preserve">        First Citizens BancShares Inc/</v>
      </c>
      <c r="B536" t="str">
        <f>$B$120</f>
        <v>FCNCA US Equity</v>
      </c>
      <c r="C536" t="str">
        <f>$C$120</f>
        <v>FC313</v>
      </c>
      <c r="D536" t="str">
        <f>$D$120</f>
        <v>FDIC_C&amp;I_LOANS_NON-US</v>
      </c>
      <c r="E536" t="str">
        <f>$E$120</f>
        <v>Dynamic</v>
      </c>
      <c r="F536">
        <f ca="1">_xll.BDH($B$120,$C$120,$B$425,$B$426,CONCATENATE("Per=",$B$423),"Dts=H","Dir=H",CONCATENATE("Points=",$B$424),"Sort=R","Days=A","Fill=B",CONCATENATE("FX=", $B$422),"cols=33;rows=1")</f>
        <v>1963</v>
      </c>
      <c r="G536">
        <v>1698.454</v>
      </c>
      <c r="H536">
        <v>291.34100000000001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8.8999999999999996E-2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 t="str">
        <f>""</f>
        <v/>
      </c>
      <c r="AN536" t="str">
        <f>""</f>
        <v/>
      </c>
      <c r="AO536" t="str">
        <f>""</f>
        <v/>
      </c>
      <c r="AP536" t="str">
        <f>""</f>
        <v/>
      </c>
      <c r="AQ536" t="str">
        <f>""</f>
        <v/>
      </c>
      <c r="AR536" t="str">
        <f>""</f>
        <v/>
      </c>
      <c r="AS536" t="str">
        <f>""</f>
        <v/>
      </c>
      <c r="AT536" t="str">
        <f>""</f>
        <v/>
      </c>
      <c r="AU536" t="str">
        <f>""</f>
        <v/>
      </c>
      <c r="AV536" t="str">
        <f>""</f>
        <v/>
      </c>
      <c r="AW536" t="str">
        <f>""</f>
        <v/>
      </c>
      <c r="AX536" t="str">
        <f>""</f>
        <v/>
      </c>
      <c r="AY536" t="str">
        <f>""</f>
        <v/>
      </c>
      <c r="AZ536" t="str">
        <f>""</f>
        <v/>
      </c>
      <c r="BA536" t="str">
        <f>""</f>
        <v/>
      </c>
      <c r="BB536" t="str">
        <f>""</f>
        <v/>
      </c>
      <c r="BC536" t="str">
        <f>""</f>
        <v/>
      </c>
      <c r="BD536" t="str">
        <f>""</f>
        <v/>
      </c>
      <c r="BE536" t="str">
        <f>""</f>
        <v/>
      </c>
      <c r="BF536" t="str">
        <f>""</f>
        <v/>
      </c>
      <c r="BG536" t="str">
        <f>""</f>
        <v/>
      </c>
      <c r="BH536" t="str">
        <f>""</f>
        <v/>
      </c>
      <c r="BI536" t="str">
        <f>""</f>
        <v/>
      </c>
      <c r="BJ536" t="str">
        <f>""</f>
        <v/>
      </c>
      <c r="BK536" t="str">
        <f>""</f>
        <v/>
      </c>
      <c r="BL536" t="str">
        <f>""</f>
        <v/>
      </c>
      <c r="BM536" t="str">
        <f>""</f>
        <v/>
      </c>
      <c r="BN536" t="str">
        <f>""</f>
        <v/>
      </c>
      <c r="BO536" t="str">
        <f>""</f>
        <v/>
      </c>
      <c r="BP536" t="str">
        <f>""</f>
        <v/>
      </c>
      <c r="BQ536" t="str">
        <f>""</f>
        <v/>
      </c>
      <c r="BR536" t="str">
        <f>""</f>
        <v/>
      </c>
      <c r="BS536" t="str">
        <f>""</f>
        <v/>
      </c>
    </row>
    <row r="537" spans="1:71" x14ac:dyDescent="0.25">
      <c r="A537" t="str">
        <f>$A$121</f>
        <v xml:space="preserve">        Flagstar Financial Inc</v>
      </c>
      <c r="B537" t="str">
        <f>$B$121</f>
        <v>FLG US Equity</v>
      </c>
      <c r="C537" t="str">
        <f>$C$121</f>
        <v>FC313</v>
      </c>
      <c r="D537" t="str">
        <f>$D$121</f>
        <v>FDIC_C&amp;I_LOANS_NON-US</v>
      </c>
      <c r="E537" t="str">
        <f>$E$121</f>
        <v>Dynamic</v>
      </c>
      <c r="F537">
        <f ca="1">_xll.BDH($B$121,$C$121,$B$425,$B$426,CONCATENATE("Per=",$B$423),"Dts=H","Dir=H",CONCATENATE("Points=",$B$424),"Sort=R","Days=A","Fill=B",CONCATENATE("FX=", $B$422),"cols=33;rows=1")</f>
        <v>0</v>
      </c>
      <c r="G537">
        <v>0</v>
      </c>
      <c r="H537">
        <v>1.8089999999999999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M537" t="str">
        <f>""</f>
        <v/>
      </c>
      <c r="AN537" t="str">
        <f>""</f>
        <v/>
      </c>
      <c r="AO537" t="str">
        <f>""</f>
        <v/>
      </c>
      <c r="AP537" t="str">
        <f>""</f>
        <v/>
      </c>
      <c r="AQ537" t="str">
        <f>""</f>
        <v/>
      </c>
      <c r="AR537" t="str">
        <f>""</f>
        <v/>
      </c>
      <c r="AS537" t="str">
        <f>""</f>
        <v/>
      </c>
      <c r="AT537" t="str">
        <f>""</f>
        <v/>
      </c>
      <c r="AU537" t="str">
        <f>""</f>
        <v/>
      </c>
      <c r="AV537" t="str">
        <f>""</f>
        <v/>
      </c>
      <c r="AW537" t="str">
        <f>""</f>
        <v/>
      </c>
      <c r="AX537" t="str">
        <f>""</f>
        <v/>
      </c>
      <c r="AY537" t="str">
        <f>""</f>
        <v/>
      </c>
      <c r="AZ537" t="str">
        <f>""</f>
        <v/>
      </c>
      <c r="BA537" t="str">
        <f>""</f>
        <v/>
      </c>
      <c r="BB537" t="str">
        <f>""</f>
        <v/>
      </c>
      <c r="BC537" t="str">
        <f>""</f>
        <v/>
      </c>
      <c r="BD537" t="str">
        <f>""</f>
        <v/>
      </c>
      <c r="BE537" t="str">
        <f>""</f>
        <v/>
      </c>
      <c r="BF537" t="str">
        <f>""</f>
        <v/>
      </c>
      <c r="BG537" t="str">
        <f>""</f>
        <v/>
      </c>
      <c r="BH537" t="str">
        <f>""</f>
        <v/>
      </c>
      <c r="BI537" t="str">
        <f>""</f>
        <v/>
      </c>
      <c r="BJ537" t="str">
        <f>""</f>
        <v/>
      </c>
      <c r="BK537" t="str">
        <f>""</f>
        <v/>
      </c>
      <c r="BL537" t="str">
        <f>""</f>
        <v/>
      </c>
      <c r="BM537" t="str">
        <f>""</f>
        <v/>
      </c>
      <c r="BN537" t="str">
        <f>""</f>
        <v/>
      </c>
      <c r="BO537" t="str">
        <f>""</f>
        <v/>
      </c>
      <c r="BP537" t="str">
        <f>""</f>
        <v/>
      </c>
      <c r="BQ537" t="str">
        <f>""</f>
        <v/>
      </c>
      <c r="BR537" t="str">
        <f>""</f>
        <v/>
      </c>
      <c r="BS537" t="str">
        <f>""</f>
        <v/>
      </c>
    </row>
    <row r="538" spans="1:71" x14ac:dyDescent="0.25">
      <c r="A538" t="str">
        <f>$A$122</f>
        <v xml:space="preserve">        Huntington Bancshares Inc/OH</v>
      </c>
      <c r="B538" t="str">
        <f>$B$122</f>
        <v>HBAN US Equity</v>
      </c>
      <c r="C538" t="str">
        <f>$C$122</f>
        <v>FC313</v>
      </c>
      <c r="D538" t="str">
        <f>$D$122</f>
        <v>FDIC_C&amp;I_LOANS_NON-US</v>
      </c>
      <c r="E538" t="str">
        <f>$E$122</f>
        <v>Dynamic</v>
      </c>
      <c r="F538">
        <f ca="1">_xll.BDH($B$122,$C$122,$B$425,$B$426,CONCATENATE("Per=",$B$423),"Dts=H","Dir=H",CONCATENATE("Points=",$B$424),"Sort=R","Days=A","Fill=B",CONCATENATE("FX=", $B$422),"cols=33;rows=1")</f>
        <v>1265.8579999999999</v>
      </c>
      <c r="G538">
        <v>999.32600000000002</v>
      </c>
      <c r="H538">
        <v>916.74699999999996</v>
      </c>
      <c r="I538">
        <v>417.62700000000001</v>
      </c>
      <c r="J538">
        <v>58.136000000000003</v>
      </c>
      <c r="K538">
        <v>74.822999999999993</v>
      </c>
      <c r="L538">
        <v>97.554000000000002</v>
      </c>
      <c r="M538">
        <v>103.453</v>
      </c>
      <c r="N538">
        <v>25.928999999999998</v>
      </c>
      <c r="O538">
        <v>59.652000000000001</v>
      </c>
      <c r="P538">
        <v>167.30099999999999</v>
      </c>
      <c r="Q538">
        <v>0</v>
      </c>
      <c r="R538">
        <v>0</v>
      </c>
      <c r="S538">
        <v>0.53300000000000003</v>
      </c>
      <c r="T538">
        <v>0.55300000000000005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9.3729999999999993</v>
      </c>
      <c r="AH538">
        <v>0</v>
      </c>
      <c r="AI538">
        <v>0</v>
      </c>
      <c r="AJ538">
        <v>0</v>
      </c>
      <c r="AK538">
        <v>0</v>
      </c>
      <c r="AL538">
        <v>0</v>
      </c>
      <c r="AM538" t="str">
        <f>""</f>
        <v/>
      </c>
      <c r="AN538" t="str">
        <f>""</f>
        <v/>
      </c>
      <c r="AO538" t="str">
        <f>""</f>
        <v/>
      </c>
      <c r="AP538" t="str">
        <f>""</f>
        <v/>
      </c>
      <c r="AQ538" t="str">
        <f>""</f>
        <v/>
      </c>
      <c r="AR538" t="str">
        <f>""</f>
        <v/>
      </c>
      <c r="AS538" t="str">
        <f>""</f>
        <v/>
      </c>
      <c r="AT538" t="str">
        <f>""</f>
        <v/>
      </c>
      <c r="AU538" t="str">
        <f>""</f>
        <v/>
      </c>
      <c r="AV538" t="str">
        <f>""</f>
        <v/>
      </c>
      <c r="AW538" t="str">
        <f>""</f>
        <v/>
      </c>
      <c r="AX538" t="str">
        <f>""</f>
        <v/>
      </c>
      <c r="AY538" t="str">
        <f>""</f>
        <v/>
      </c>
      <c r="AZ538" t="str">
        <f>""</f>
        <v/>
      </c>
      <c r="BA538" t="str">
        <f>""</f>
        <v/>
      </c>
      <c r="BB538" t="str">
        <f>""</f>
        <v/>
      </c>
      <c r="BC538" t="str">
        <f>""</f>
        <v/>
      </c>
      <c r="BD538" t="str">
        <f>""</f>
        <v/>
      </c>
      <c r="BE538" t="str">
        <f>""</f>
        <v/>
      </c>
      <c r="BF538" t="str">
        <f>""</f>
        <v/>
      </c>
      <c r="BG538" t="str">
        <f>""</f>
        <v/>
      </c>
      <c r="BH538" t="str">
        <f>""</f>
        <v/>
      </c>
      <c r="BI538" t="str">
        <f>""</f>
        <v/>
      </c>
      <c r="BJ538" t="str">
        <f>""</f>
        <v/>
      </c>
      <c r="BK538" t="str">
        <f>""</f>
        <v/>
      </c>
      <c r="BL538" t="str">
        <f>""</f>
        <v/>
      </c>
      <c r="BM538" t="str">
        <f>""</f>
        <v/>
      </c>
      <c r="BN538" t="str">
        <f>""</f>
        <v/>
      </c>
      <c r="BO538" t="str">
        <f>""</f>
        <v/>
      </c>
      <c r="BP538" t="str">
        <f>""</f>
        <v/>
      </c>
      <c r="BQ538" t="str">
        <f>""</f>
        <v/>
      </c>
      <c r="BR538" t="str">
        <f>""</f>
        <v/>
      </c>
      <c r="BS538" t="str">
        <f>""</f>
        <v/>
      </c>
    </row>
    <row r="539" spans="1:71" x14ac:dyDescent="0.25">
      <c r="A539" t="str">
        <f>$A$123</f>
        <v xml:space="preserve">        JPMorgan Chase &amp; Co</v>
      </c>
      <c r="B539" t="str">
        <f>$B$123</f>
        <v>JPM US Equity</v>
      </c>
      <c r="C539" t="str">
        <f>$C$123</f>
        <v>FC313</v>
      </c>
      <c r="D539" t="str">
        <f>$D$123</f>
        <v>FDIC_C&amp;I_LOANS_NON-US</v>
      </c>
      <c r="E539" t="str">
        <f>$E$123</f>
        <v>Dynamic</v>
      </c>
      <c r="F539">
        <f ca="1">_xll.BDH($B$123,$C$123,$B$425,$B$426,CONCATENATE("Per=",$B$423),"Dts=H","Dir=H",CONCATENATE("Points=",$B$424),"Sort=R","Days=A","Fill=B",CONCATENATE("FX=", $B$422),"cols=33;rows=1")</f>
        <v>43614</v>
      </c>
      <c r="G539">
        <v>43416</v>
      </c>
      <c r="H539">
        <v>52278</v>
      </c>
      <c r="I539">
        <v>49634</v>
      </c>
      <c r="J539">
        <v>44614</v>
      </c>
      <c r="K539">
        <v>36470</v>
      </c>
      <c r="L539">
        <v>34901</v>
      </c>
      <c r="M539">
        <v>33483</v>
      </c>
      <c r="N539">
        <v>34207</v>
      </c>
      <c r="O539">
        <v>31087</v>
      </c>
      <c r="P539">
        <v>33401</v>
      </c>
      <c r="Q539">
        <v>33936</v>
      </c>
      <c r="R539">
        <v>40723</v>
      </c>
      <c r="S539">
        <v>33861</v>
      </c>
      <c r="T539">
        <v>22337</v>
      </c>
      <c r="U539">
        <v>23836</v>
      </c>
      <c r="V539">
        <v>45329</v>
      </c>
      <c r="W539">
        <v>42945</v>
      </c>
      <c r="X539">
        <v>27630</v>
      </c>
      <c r="Y539">
        <v>19934</v>
      </c>
      <c r="Z539">
        <v>14594</v>
      </c>
      <c r="AA539">
        <v>16987</v>
      </c>
      <c r="AB539">
        <v>19980</v>
      </c>
      <c r="AC539">
        <v>26105</v>
      </c>
      <c r="AD539">
        <v>28760</v>
      </c>
      <c r="AE539">
        <v>21640.365000000002</v>
      </c>
      <c r="AF539">
        <v>24449.145</v>
      </c>
      <c r="AG539">
        <v>25872.205999999998</v>
      </c>
      <c r="AH539">
        <v>23292.92</v>
      </c>
      <c r="AI539">
        <v>10983.630999999999</v>
      </c>
      <c r="AJ539">
        <v>8465.4310000000005</v>
      </c>
      <c r="AK539">
        <v>7930.0910000000003</v>
      </c>
      <c r="AL539">
        <v>9198.7279999999992</v>
      </c>
      <c r="AM539" t="str">
        <f>""</f>
        <v/>
      </c>
      <c r="AN539" t="str">
        <f>""</f>
        <v/>
      </c>
      <c r="AO539" t="str">
        <f>""</f>
        <v/>
      </c>
      <c r="AP539" t="str">
        <f>""</f>
        <v/>
      </c>
      <c r="AQ539" t="str">
        <f>""</f>
        <v/>
      </c>
      <c r="AR539" t="str">
        <f>""</f>
        <v/>
      </c>
      <c r="AS539" t="str">
        <f>""</f>
        <v/>
      </c>
      <c r="AT539" t="str">
        <f>""</f>
        <v/>
      </c>
      <c r="AU539" t="str">
        <f>""</f>
        <v/>
      </c>
      <c r="AV539" t="str">
        <f>""</f>
        <v/>
      </c>
      <c r="AW539" t="str">
        <f>""</f>
        <v/>
      </c>
      <c r="AX539" t="str">
        <f>""</f>
        <v/>
      </c>
      <c r="AY539" t="str">
        <f>""</f>
        <v/>
      </c>
      <c r="AZ539" t="str">
        <f>""</f>
        <v/>
      </c>
      <c r="BA539" t="str">
        <f>""</f>
        <v/>
      </c>
      <c r="BB539" t="str">
        <f>""</f>
        <v/>
      </c>
      <c r="BC539" t="str">
        <f>""</f>
        <v/>
      </c>
      <c r="BD539" t="str">
        <f>""</f>
        <v/>
      </c>
      <c r="BE539" t="str">
        <f>""</f>
        <v/>
      </c>
      <c r="BF539" t="str">
        <f>""</f>
        <v/>
      </c>
      <c r="BG539" t="str">
        <f>""</f>
        <v/>
      </c>
      <c r="BH539" t="str">
        <f>""</f>
        <v/>
      </c>
      <c r="BI539" t="str">
        <f>""</f>
        <v/>
      </c>
      <c r="BJ539" t="str">
        <f>""</f>
        <v/>
      </c>
      <c r="BK539" t="str">
        <f>""</f>
        <v/>
      </c>
      <c r="BL539" t="str">
        <f>""</f>
        <v/>
      </c>
      <c r="BM539" t="str">
        <f>""</f>
        <v/>
      </c>
      <c r="BN539" t="str">
        <f>""</f>
        <v/>
      </c>
      <c r="BO539" t="str">
        <f>""</f>
        <v/>
      </c>
      <c r="BP539" t="str">
        <f>""</f>
        <v/>
      </c>
      <c r="BQ539" t="str">
        <f>""</f>
        <v/>
      </c>
      <c r="BR539" t="str">
        <f>""</f>
        <v/>
      </c>
      <c r="BS539" t="str">
        <f>""</f>
        <v/>
      </c>
    </row>
    <row r="540" spans="1:71" x14ac:dyDescent="0.25">
      <c r="A540" t="str">
        <f>$A$124</f>
        <v xml:space="preserve">        KeyCorp</v>
      </c>
      <c r="B540" t="str">
        <f>$B$124</f>
        <v>KEY US Equity</v>
      </c>
      <c r="C540" t="str">
        <f>$C$124</f>
        <v>FC313</v>
      </c>
      <c r="D540" t="str">
        <f>$D$124</f>
        <v>FDIC_C&amp;I_LOANS_NON-US</v>
      </c>
      <c r="E540" t="str">
        <f>$E$124</f>
        <v>Dynamic</v>
      </c>
      <c r="F540">
        <f ca="1">_xll.BDH($B$124,$C$124,$B$425,$B$426,CONCATENATE("Per=",$B$423),"Dts=H","Dir=H",CONCATENATE("Points=",$B$424),"Sort=R","Days=A","Fill=B",CONCATENATE("FX=", $B$422),"cols=33;rows=1")</f>
        <v>306.125</v>
      </c>
      <c r="G540">
        <v>1792.8879999999999</v>
      </c>
      <c r="H540">
        <v>1933.9179999999999</v>
      </c>
      <c r="I540">
        <v>1451.116</v>
      </c>
      <c r="J540">
        <v>1385.4</v>
      </c>
      <c r="K540">
        <v>1091.7739999999999</v>
      </c>
      <c r="L540">
        <v>1032.8130000000001</v>
      </c>
      <c r="M540">
        <v>1080.2170000000001</v>
      </c>
      <c r="N540">
        <v>1256.616</v>
      </c>
      <c r="O540">
        <v>1041.7919999999999</v>
      </c>
      <c r="P540">
        <v>685.86900000000003</v>
      </c>
      <c r="Q540">
        <v>707.63599999999997</v>
      </c>
      <c r="R540">
        <v>460.93700000000001</v>
      </c>
      <c r="S540">
        <v>194.48</v>
      </c>
      <c r="T540">
        <v>191.06100000000001</v>
      </c>
      <c r="U540">
        <v>284.16199999999998</v>
      </c>
      <c r="V540">
        <v>365.66699999999997</v>
      </c>
      <c r="W540">
        <v>400.96800000000002</v>
      </c>
      <c r="X540">
        <v>307.43799999999999</v>
      </c>
      <c r="Y540">
        <v>123.262</v>
      </c>
      <c r="Z540">
        <v>42.718000000000004</v>
      </c>
      <c r="AA540">
        <v>91.72</v>
      </c>
      <c r="AB540">
        <v>106.035</v>
      </c>
      <c r="AC540">
        <v>137.28800000000001</v>
      </c>
      <c r="AD540">
        <v>157.51900000000001</v>
      </c>
      <c r="AE540">
        <v>146.292</v>
      </c>
      <c r="AF540">
        <v>134.31800000000001</v>
      </c>
      <c r="AG540">
        <v>116.15300000000001</v>
      </c>
      <c r="AH540">
        <v>39.384999999999998</v>
      </c>
      <c r="AI540">
        <v>27.510999999999999</v>
      </c>
      <c r="AJ540">
        <v>20.079000000000001</v>
      </c>
      <c r="AK540">
        <v>1.8959999999999999</v>
      </c>
      <c r="AL540">
        <v>32.655000000000001</v>
      </c>
      <c r="AM540" t="str">
        <f>""</f>
        <v/>
      </c>
      <c r="AN540" t="str">
        <f>""</f>
        <v/>
      </c>
      <c r="AO540" t="str">
        <f>""</f>
        <v/>
      </c>
      <c r="AP540" t="str">
        <f>""</f>
        <v/>
      </c>
      <c r="AQ540" t="str">
        <f>""</f>
        <v/>
      </c>
      <c r="AR540" t="str">
        <f>""</f>
        <v/>
      </c>
      <c r="AS540" t="str">
        <f>""</f>
        <v/>
      </c>
      <c r="AT540" t="str">
        <f>""</f>
        <v/>
      </c>
      <c r="AU540" t="str">
        <f>""</f>
        <v/>
      </c>
      <c r="AV540" t="str">
        <f>""</f>
        <v/>
      </c>
      <c r="AW540" t="str">
        <f>""</f>
        <v/>
      </c>
      <c r="AX540" t="str">
        <f>""</f>
        <v/>
      </c>
      <c r="AY540" t="str">
        <f>""</f>
        <v/>
      </c>
      <c r="AZ540" t="str">
        <f>""</f>
        <v/>
      </c>
      <c r="BA540" t="str">
        <f>""</f>
        <v/>
      </c>
      <c r="BB540" t="str">
        <f>""</f>
        <v/>
      </c>
      <c r="BC540" t="str">
        <f>""</f>
        <v/>
      </c>
      <c r="BD540" t="str">
        <f>""</f>
        <v/>
      </c>
      <c r="BE540" t="str">
        <f>""</f>
        <v/>
      </c>
      <c r="BF540" t="str">
        <f>""</f>
        <v/>
      </c>
      <c r="BG540" t="str">
        <f>""</f>
        <v/>
      </c>
      <c r="BH540" t="str">
        <f>""</f>
        <v/>
      </c>
      <c r="BI540" t="str">
        <f>""</f>
        <v/>
      </c>
      <c r="BJ540" t="str">
        <f>""</f>
        <v/>
      </c>
      <c r="BK540" t="str">
        <f>""</f>
        <v/>
      </c>
      <c r="BL540" t="str">
        <f>""</f>
        <v/>
      </c>
      <c r="BM540" t="str">
        <f>""</f>
        <v/>
      </c>
      <c r="BN540" t="str">
        <f>""</f>
        <v/>
      </c>
      <c r="BO540" t="str">
        <f>""</f>
        <v/>
      </c>
      <c r="BP540" t="str">
        <f>""</f>
        <v/>
      </c>
      <c r="BQ540" t="str">
        <f>""</f>
        <v/>
      </c>
      <c r="BR540" t="str">
        <f>""</f>
        <v/>
      </c>
      <c r="BS540" t="str">
        <f>""</f>
        <v/>
      </c>
    </row>
    <row r="541" spans="1:71" x14ac:dyDescent="0.25">
      <c r="A541" t="str">
        <f>$A$125</f>
        <v xml:space="preserve">        M&amp;T Bank Corp</v>
      </c>
      <c r="B541" t="str">
        <f>$B$125</f>
        <v>MTB US Equity</v>
      </c>
      <c r="C541" t="str">
        <f>$C$125</f>
        <v>FC313</v>
      </c>
      <c r="D541" t="str">
        <f>$D$125</f>
        <v>FDIC_C&amp;I_LOANS_NON-US</v>
      </c>
      <c r="E541" t="str">
        <f>$E$125</f>
        <v>Dynamic</v>
      </c>
      <c r="F541">
        <f ca="1">_xll.BDH($B$125,$C$125,$B$425,$B$426,CONCATENATE("Per=",$B$423),"Dts=H","Dir=H",CONCATENATE("Points=",$B$424),"Sort=R","Days=A","Fill=B",CONCATENATE("FX=", $B$422),"cols=33;rows=1")</f>
        <v>71.186000000000007</v>
      </c>
      <c r="G541">
        <v>48.201000000000001</v>
      </c>
      <c r="H541">
        <v>72.313999999999993</v>
      </c>
      <c r="I541">
        <v>38.174999999999997</v>
      </c>
      <c r="J541">
        <v>49.287999999999997</v>
      </c>
      <c r="K541">
        <v>92.290999999999997</v>
      </c>
      <c r="L541">
        <v>108.726</v>
      </c>
      <c r="M541">
        <v>76.543999999999997</v>
      </c>
      <c r="N541">
        <v>227.51</v>
      </c>
      <c r="O541">
        <v>191.11</v>
      </c>
      <c r="P541">
        <v>167.13200000000001</v>
      </c>
      <c r="Q541">
        <v>170.01300000000001</v>
      </c>
      <c r="R541">
        <v>138.03800000000001</v>
      </c>
      <c r="S541">
        <v>120.578</v>
      </c>
      <c r="T541">
        <v>100.875</v>
      </c>
      <c r="U541">
        <v>47.101999999999997</v>
      </c>
      <c r="V541">
        <v>77.932000000000002</v>
      </c>
      <c r="W541">
        <v>83.388999999999996</v>
      </c>
      <c r="X541">
        <v>128.13399999999999</v>
      </c>
      <c r="Y541">
        <v>145.74199999999999</v>
      </c>
      <c r="Z541">
        <v>159.91</v>
      </c>
      <c r="AA541">
        <v>199.66399999999999</v>
      </c>
      <c r="AB541">
        <v>0</v>
      </c>
      <c r="AC541">
        <v>0</v>
      </c>
      <c r="AD541">
        <v>0</v>
      </c>
      <c r="AE541">
        <v>4.7670000000000003</v>
      </c>
      <c r="AF541">
        <v>25.248000000000001</v>
      </c>
      <c r="AG541">
        <v>4.96</v>
      </c>
      <c r="AH541">
        <v>1.6779999999999999</v>
      </c>
      <c r="AI541">
        <v>1.0960000000000001</v>
      </c>
      <c r="AJ541">
        <v>1.222</v>
      </c>
      <c r="AK541">
        <v>1.391</v>
      </c>
      <c r="AL541">
        <v>1.774</v>
      </c>
      <c r="AM541" t="str">
        <f>""</f>
        <v/>
      </c>
      <c r="AN541" t="str">
        <f>""</f>
        <v/>
      </c>
      <c r="AO541" t="str">
        <f>""</f>
        <v/>
      </c>
      <c r="AP541" t="str">
        <f>""</f>
        <v/>
      </c>
      <c r="AQ541" t="str">
        <f>""</f>
        <v/>
      </c>
      <c r="AR541" t="str">
        <f>""</f>
        <v/>
      </c>
      <c r="AS541" t="str">
        <f>""</f>
        <v/>
      </c>
      <c r="AT541" t="str">
        <f>""</f>
        <v/>
      </c>
      <c r="AU541" t="str">
        <f>""</f>
        <v/>
      </c>
      <c r="AV541" t="str">
        <f>""</f>
        <v/>
      </c>
      <c r="AW541" t="str">
        <f>""</f>
        <v/>
      </c>
      <c r="AX541" t="str">
        <f>""</f>
        <v/>
      </c>
      <c r="AY541" t="str">
        <f>""</f>
        <v/>
      </c>
      <c r="AZ541" t="str">
        <f>""</f>
        <v/>
      </c>
      <c r="BA541" t="str">
        <f>""</f>
        <v/>
      </c>
      <c r="BB541" t="str">
        <f>""</f>
        <v/>
      </c>
      <c r="BC541" t="str">
        <f>""</f>
        <v/>
      </c>
      <c r="BD541" t="str">
        <f>""</f>
        <v/>
      </c>
      <c r="BE541" t="str">
        <f>""</f>
        <v/>
      </c>
      <c r="BF541" t="str">
        <f>""</f>
        <v/>
      </c>
      <c r="BG541" t="str">
        <f>""</f>
        <v/>
      </c>
      <c r="BH541" t="str">
        <f>""</f>
        <v/>
      </c>
      <c r="BI541" t="str">
        <f>""</f>
        <v/>
      </c>
      <c r="BJ541" t="str">
        <f>""</f>
        <v/>
      </c>
      <c r="BK541" t="str">
        <f>""</f>
        <v/>
      </c>
      <c r="BL541" t="str">
        <f>""</f>
        <v/>
      </c>
      <c r="BM541" t="str">
        <f>""</f>
        <v/>
      </c>
      <c r="BN541" t="str">
        <f>""</f>
        <v/>
      </c>
      <c r="BO541" t="str">
        <f>""</f>
        <v/>
      </c>
      <c r="BP541" t="str">
        <f>""</f>
        <v/>
      </c>
      <c r="BQ541" t="str">
        <f>""</f>
        <v/>
      </c>
      <c r="BR541" t="str">
        <f>""</f>
        <v/>
      </c>
      <c r="BS541" t="str">
        <f>""</f>
        <v/>
      </c>
    </row>
    <row r="542" spans="1:71" x14ac:dyDescent="0.25">
      <c r="A542" t="str">
        <f>$A$126</f>
        <v xml:space="preserve">        PNC Financial Services Group I</v>
      </c>
      <c r="B542" t="str">
        <f>$B$126</f>
        <v>PNC US Equity</v>
      </c>
      <c r="C542" t="str">
        <f>$C$126</f>
        <v>FC313</v>
      </c>
      <c r="D542" t="str">
        <f>$D$126</f>
        <v>FDIC_C&amp;I_LOANS_NON-US</v>
      </c>
      <c r="E542" t="str">
        <f>$E$126</f>
        <v>Dynamic</v>
      </c>
      <c r="F542">
        <f ca="1">_xll.BDH($B$126,$C$126,$B$425,$B$426,CONCATENATE("Per=",$B$423),"Dts=H","Dir=H",CONCATENATE("Points=",$B$424),"Sort=R","Days=A","Fill=B",CONCATENATE("FX=", $B$422),"cols=33;rows=1")</f>
        <v>12082.873</v>
      </c>
      <c r="G542">
        <v>10995.325000000001</v>
      </c>
      <c r="H542">
        <v>11020.046</v>
      </c>
      <c r="I542">
        <v>9055.2170000000006</v>
      </c>
      <c r="J542">
        <v>7401.8360000000002</v>
      </c>
      <c r="K542">
        <v>6735.8890000000001</v>
      </c>
      <c r="L542">
        <v>5070.5119999999997</v>
      </c>
      <c r="M542">
        <v>4181.4579999999996</v>
      </c>
      <c r="N542">
        <v>3922.7269999999999</v>
      </c>
      <c r="O542">
        <v>3733.886</v>
      </c>
      <c r="P542">
        <v>2332.817</v>
      </c>
      <c r="Q542">
        <v>2025.3589999999999</v>
      </c>
      <c r="R542">
        <v>1790.05</v>
      </c>
      <c r="S542">
        <v>1409.0509999999999</v>
      </c>
      <c r="T542">
        <v>1031.8869999999999</v>
      </c>
      <c r="U542">
        <v>938.85699999999997</v>
      </c>
      <c r="V542">
        <v>739.62599999999998</v>
      </c>
      <c r="W542">
        <v>239.36799999999999</v>
      </c>
      <c r="X542">
        <v>211.458</v>
      </c>
      <c r="Y542">
        <v>80.84</v>
      </c>
      <c r="Z542">
        <v>67.603999999999999</v>
      </c>
      <c r="AA542">
        <v>75.290000000000006</v>
      </c>
      <c r="AB542">
        <v>79.244</v>
      </c>
      <c r="AC542">
        <v>23.786999999999999</v>
      </c>
      <c r="AD542">
        <v>95.296999999999997</v>
      </c>
      <c r="AE542">
        <v>97.828999999999994</v>
      </c>
      <c r="AF542">
        <v>100.07</v>
      </c>
      <c r="AG542">
        <v>61.36</v>
      </c>
      <c r="AH542">
        <v>84.748999999999995</v>
      </c>
      <c r="AI542">
        <v>111.098</v>
      </c>
      <c r="AJ542">
        <v>178.892</v>
      </c>
      <c r="AK542">
        <v>146.74299999999999</v>
      </c>
      <c r="AL542">
        <v>157.64400000000001</v>
      </c>
      <c r="AM542" t="str">
        <f>""</f>
        <v/>
      </c>
      <c r="AN542" t="str">
        <f>""</f>
        <v/>
      </c>
      <c r="AO542" t="str">
        <f>""</f>
        <v/>
      </c>
      <c r="AP542" t="str">
        <f>""</f>
        <v/>
      </c>
      <c r="AQ542" t="str">
        <f>""</f>
        <v/>
      </c>
      <c r="AR542" t="str">
        <f>""</f>
        <v/>
      </c>
      <c r="AS542" t="str">
        <f>""</f>
        <v/>
      </c>
      <c r="AT542" t="str">
        <f>""</f>
        <v/>
      </c>
      <c r="AU542" t="str">
        <f>""</f>
        <v/>
      </c>
      <c r="AV542" t="str">
        <f>""</f>
        <v/>
      </c>
      <c r="AW542" t="str">
        <f>""</f>
        <v/>
      </c>
      <c r="AX542" t="str">
        <f>""</f>
        <v/>
      </c>
      <c r="AY542" t="str">
        <f>""</f>
        <v/>
      </c>
      <c r="AZ542" t="str">
        <f>""</f>
        <v/>
      </c>
      <c r="BA542" t="str">
        <f>""</f>
        <v/>
      </c>
      <c r="BB542" t="str">
        <f>""</f>
        <v/>
      </c>
      <c r="BC542" t="str">
        <f>""</f>
        <v/>
      </c>
      <c r="BD542" t="str">
        <f>""</f>
        <v/>
      </c>
      <c r="BE542" t="str">
        <f>""</f>
        <v/>
      </c>
      <c r="BF542" t="str">
        <f>""</f>
        <v/>
      </c>
      <c r="BG542" t="str">
        <f>""</f>
        <v/>
      </c>
      <c r="BH542" t="str">
        <f>""</f>
        <v/>
      </c>
      <c r="BI542" t="str">
        <f>""</f>
        <v/>
      </c>
      <c r="BJ542" t="str">
        <f>""</f>
        <v/>
      </c>
      <c r="BK542" t="str">
        <f>""</f>
        <v/>
      </c>
      <c r="BL542" t="str">
        <f>""</f>
        <v/>
      </c>
      <c r="BM542" t="str">
        <f>""</f>
        <v/>
      </c>
      <c r="BN542" t="str">
        <f>""</f>
        <v/>
      </c>
      <c r="BO542" t="str">
        <f>""</f>
        <v/>
      </c>
      <c r="BP542" t="str">
        <f>""</f>
        <v/>
      </c>
      <c r="BQ542" t="str">
        <f>""</f>
        <v/>
      </c>
      <c r="BR542" t="str">
        <f>""</f>
        <v/>
      </c>
      <c r="BS542" t="str">
        <f>""</f>
        <v/>
      </c>
    </row>
    <row r="543" spans="1:71" x14ac:dyDescent="0.25">
      <c r="A543" t="str">
        <f>$A$127</f>
        <v xml:space="preserve">        Regions Financial Corp</v>
      </c>
      <c r="B543" t="str">
        <f>$B$127</f>
        <v>RF US Equity</v>
      </c>
      <c r="C543" t="str">
        <f>$C$127</f>
        <v>FC313</v>
      </c>
      <c r="D543" t="str">
        <f>$D$127</f>
        <v>FDIC_C&amp;I_LOANS_NON-US</v>
      </c>
      <c r="E543" t="str">
        <f>$E$127</f>
        <v>Dynamic</v>
      </c>
      <c r="F543">
        <f ca="1">_xll.BDH($B$127,$C$127,$B$425,$B$426,CONCATENATE("Per=",$B$423),"Dts=H","Dir=H",CONCATENATE("Points=",$B$424),"Sort=R","Days=A","Fill=B",CONCATENATE("FX=", $B$422),"cols=33;rows=1")</f>
        <v>403</v>
      </c>
      <c r="G543">
        <v>635</v>
      </c>
      <c r="H543">
        <v>517</v>
      </c>
      <c r="I543">
        <v>689</v>
      </c>
      <c r="J543">
        <v>110</v>
      </c>
      <c r="K543">
        <v>205</v>
      </c>
      <c r="L543">
        <v>180.483</v>
      </c>
      <c r="M543">
        <v>148.28899999999999</v>
      </c>
      <c r="N543">
        <v>36.156999999999996</v>
      </c>
      <c r="O543">
        <v>103.095</v>
      </c>
      <c r="P543">
        <v>100.39700000000001</v>
      </c>
      <c r="Q543">
        <v>52.268000000000001</v>
      </c>
      <c r="R543">
        <v>71.150999999999996</v>
      </c>
      <c r="S543">
        <v>69.849000000000004</v>
      </c>
      <c r="T543">
        <v>6.8339999999999996</v>
      </c>
      <c r="U543">
        <v>24.28</v>
      </c>
      <c r="V543">
        <v>30.338999999999999</v>
      </c>
      <c r="W543">
        <v>42.664999999999999</v>
      </c>
      <c r="X543">
        <v>43.966000000000001</v>
      </c>
      <c r="Y543">
        <v>35.344999999999999</v>
      </c>
      <c r="Z543">
        <v>41.487000000000002</v>
      </c>
      <c r="AM543" t="str">
        <f>""</f>
        <v/>
      </c>
      <c r="AN543" t="str">
        <f>""</f>
        <v/>
      </c>
      <c r="AO543" t="str">
        <f>""</f>
        <v/>
      </c>
      <c r="AP543" t="str">
        <f>""</f>
        <v/>
      </c>
      <c r="AQ543" t="str">
        <f>""</f>
        <v/>
      </c>
      <c r="AR543" t="str">
        <f>""</f>
        <v/>
      </c>
      <c r="AS543" t="str">
        <f>""</f>
        <v/>
      </c>
      <c r="AT543" t="str">
        <f>""</f>
        <v/>
      </c>
      <c r="AU543" t="str">
        <f>""</f>
        <v/>
      </c>
      <c r="AV543" t="str">
        <f>""</f>
        <v/>
      </c>
      <c r="AW543" t="str">
        <f>""</f>
        <v/>
      </c>
      <c r="AX543" t="str">
        <f>""</f>
        <v/>
      </c>
      <c r="AY543" t="str">
        <f>""</f>
        <v/>
      </c>
      <c r="AZ543" t="str">
        <f>""</f>
        <v/>
      </c>
      <c r="BA543" t="str">
        <f>""</f>
        <v/>
      </c>
      <c r="BB543" t="str">
        <f>""</f>
        <v/>
      </c>
      <c r="BC543" t="str">
        <f>""</f>
        <v/>
      </c>
      <c r="BD543" t="str">
        <f>""</f>
        <v/>
      </c>
      <c r="BE543" t="str">
        <f>""</f>
        <v/>
      </c>
      <c r="BF543" t="str">
        <f>""</f>
        <v/>
      </c>
      <c r="BG543" t="str">
        <f>""</f>
        <v/>
      </c>
      <c r="BH543" t="str">
        <f>""</f>
        <v/>
      </c>
      <c r="BI543" t="str">
        <f>""</f>
        <v/>
      </c>
      <c r="BJ543" t="str">
        <f>""</f>
        <v/>
      </c>
      <c r="BK543" t="str">
        <f>""</f>
        <v/>
      </c>
      <c r="BL543" t="str">
        <f>""</f>
        <v/>
      </c>
      <c r="BM543" t="str">
        <f>""</f>
        <v/>
      </c>
      <c r="BN543" t="str">
        <f>""</f>
        <v/>
      </c>
      <c r="BO543" t="str">
        <f>""</f>
        <v/>
      </c>
      <c r="BP543" t="str">
        <f>""</f>
        <v/>
      </c>
      <c r="BQ543" t="str">
        <f>""</f>
        <v/>
      </c>
      <c r="BR543" t="str">
        <f>""</f>
        <v/>
      </c>
      <c r="BS543" t="str">
        <f>""</f>
        <v/>
      </c>
    </row>
    <row r="544" spans="1:71" x14ac:dyDescent="0.25">
      <c r="A544" t="str">
        <f>$A$128</f>
        <v xml:space="preserve">        Truist Financial Corp</v>
      </c>
      <c r="B544" t="str">
        <f>$B$128</f>
        <v>TFC US Equity</v>
      </c>
      <c r="C544" t="str">
        <f>$C$128</f>
        <v>FC313</v>
      </c>
      <c r="D544" t="str">
        <f>$D$128</f>
        <v>FDIC_C&amp;I_LOANS_NON-US</v>
      </c>
      <c r="E544" t="str">
        <f>$E$128</f>
        <v>Dynamic</v>
      </c>
      <c r="F544">
        <f ca="1">_xll.BDH($B$128,$C$128,$B$425,$B$426,CONCATENATE("Per=",$B$423),"Dts=H","Dir=H",CONCATENATE("Points=",$B$424),"Sort=R","Days=A","Fill=B",CONCATENATE("FX=", $B$422),"cols=33;rows=1")</f>
        <v>2388</v>
      </c>
      <c r="G544">
        <v>1069</v>
      </c>
      <c r="H544">
        <v>1360</v>
      </c>
      <c r="I544">
        <v>2191</v>
      </c>
      <c r="J544">
        <v>1913</v>
      </c>
      <c r="K544">
        <v>1867</v>
      </c>
      <c r="L544">
        <v>693</v>
      </c>
      <c r="M544">
        <v>534</v>
      </c>
      <c r="N544">
        <v>394.18099999999998</v>
      </c>
      <c r="O544">
        <v>363.32100000000003</v>
      </c>
      <c r="P544">
        <v>397.47899999999998</v>
      </c>
      <c r="Q544">
        <v>392.935</v>
      </c>
      <c r="R544">
        <v>400.786</v>
      </c>
      <c r="S544">
        <v>318.04399999999998</v>
      </c>
      <c r="T544">
        <v>262.93400000000003</v>
      </c>
      <c r="U544">
        <v>252.006</v>
      </c>
      <c r="V544">
        <v>188.28899999999999</v>
      </c>
      <c r="W544">
        <v>211.16800000000001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 t="str">
        <f>""</f>
        <v/>
      </c>
      <c r="AN544" t="str">
        <f>""</f>
        <v/>
      </c>
      <c r="AO544" t="str">
        <f>""</f>
        <v/>
      </c>
      <c r="AP544" t="str">
        <f>""</f>
        <v/>
      </c>
      <c r="AQ544" t="str">
        <f>""</f>
        <v/>
      </c>
      <c r="AR544" t="str">
        <f>""</f>
        <v/>
      </c>
      <c r="AS544" t="str">
        <f>""</f>
        <v/>
      </c>
      <c r="AT544" t="str">
        <f>""</f>
        <v/>
      </c>
      <c r="AU544" t="str">
        <f>""</f>
        <v/>
      </c>
      <c r="AV544" t="str">
        <f>""</f>
        <v/>
      </c>
      <c r="AW544" t="str">
        <f>""</f>
        <v/>
      </c>
      <c r="AX544" t="str">
        <f>""</f>
        <v/>
      </c>
      <c r="AY544" t="str">
        <f>""</f>
        <v/>
      </c>
      <c r="AZ544" t="str">
        <f>""</f>
        <v/>
      </c>
      <c r="BA544" t="str">
        <f>""</f>
        <v/>
      </c>
      <c r="BB544" t="str">
        <f>""</f>
        <v/>
      </c>
      <c r="BC544" t="str">
        <f>""</f>
        <v/>
      </c>
      <c r="BD544" t="str">
        <f>""</f>
        <v/>
      </c>
      <c r="BE544" t="str">
        <f>""</f>
        <v/>
      </c>
      <c r="BF544" t="str">
        <f>""</f>
        <v/>
      </c>
      <c r="BG544" t="str">
        <f>""</f>
        <v/>
      </c>
      <c r="BH544" t="str">
        <f>""</f>
        <v/>
      </c>
      <c r="BI544" t="str">
        <f>""</f>
        <v/>
      </c>
      <c r="BJ544" t="str">
        <f>""</f>
        <v/>
      </c>
      <c r="BK544" t="str">
        <f>""</f>
        <v/>
      </c>
      <c r="BL544" t="str">
        <f>""</f>
        <v/>
      </c>
      <c r="BM544" t="str">
        <f>""</f>
        <v/>
      </c>
      <c r="BN544" t="str">
        <f>""</f>
        <v/>
      </c>
      <c r="BO544" t="str">
        <f>""</f>
        <v/>
      </c>
      <c r="BP544" t="str">
        <f>""</f>
        <v/>
      </c>
      <c r="BQ544" t="str">
        <f>""</f>
        <v/>
      </c>
      <c r="BR544" t="str">
        <f>""</f>
        <v/>
      </c>
      <c r="BS544" t="str">
        <f>""</f>
        <v/>
      </c>
    </row>
    <row r="545" spans="1:71" x14ac:dyDescent="0.25">
      <c r="A545" t="str">
        <f>$A$129</f>
        <v xml:space="preserve">        US Bancorp</v>
      </c>
      <c r="B545" t="str">
        <f>$B$129</f>
        <v>USB US Equity</v>
      </c>
      <c r="C545" t="str">
        <f>$C$129</f>
        <v>FC313</v>
      </c>
      <c r="D545" t="str">
        <f>$D$129</f>
        <v>FDIC_C&amp;I_LOANS_NON-US</v>
      </c>
      <c r="E545" t="str">
        <f>$E$129</f>
        <v>Dynamic</v>
      </c>
      <c r="F545">
        <f ca="1">_xll.BDH($B$129,$C$129,$B$425,$B$426,CONCATENATE("Per=",$B$423),"Dts=H","Dir=H",CONCATENATE("Points=",$B$424),"Sort=R","Days=A","Fill=B",CONCATENATE("FX=", $B$422),"cols=33;rows=1")</f>
        <v>2198</v>
      </c>
      <c r="G545">
        <v>1839</v>
      </c>
      <c r="H545">
        <v>1712</v>
      </c>
      <c r="I545">
        <v>1058</v>
      </c>
      <c r="J545">
        <v>731</v>
      </c>
      <c r="K545">
        <v>1080</v>
      </c>
      <c r="L545">
        <v>1030</v>
      </c>
      <c r="M545">
        <v>825</v>
      </c>
      <c r="N545">
        <v>998</v>
      </c>
      <c r="O545">
        <v>826</v>
      </c>
      <c r="P545">
        <v>1045</v>
      </c>
      <c r="Q545">
        <v>862</v>
      </c>
      <c r="R545">
        <v>932</v>
      </c>
      <c r="S545">
        <v>587</v>
      </c>
      <c r="T545">
        <v>558</v>
      </c>
      <c r="U545">
        <v>517</v>
      </c>
      <c r="V545">
        <v>663</v>
      </c>
      <c r="W545">
        <v>555</v>
      </c>
      <c r="X545">
        <v>511</v>
      </c>
      <c r="Y545">
        <v>433</v>
      </c>
      <c r="Z545">
        <v>244</v>
      </c>
      <c r="AA545">
        <v>168</v>
      </c>
      <c r="AB545">
        <v>170</v>
      </c>
      <c r="AC545">
        <v>132</v>
      </c>
      <c r="AD545">
        <v>144.578</v>
      </c>
      <c r="AE545">
        <v>91.531000000000006</v>
      </c>
      <c r="AF545">
        <v>48.871000000000002</v>
      </c>
      <c r="AG545">
        <v>60.628999999999998</v>
      </c>
      <c r="AH545">
        <v>32.003999999999998</v>
      </c>
      <c r="AI545">
        <v>1.96</v>
      </c>
      <c r="AJ545">
        <v>3.3959999999999999</v>
      </c>
      <c r="AK545">
        <v>1.2689999999999999</v>
      </c>
      <c r="AL545">
        <v>5.63</v>
      </c>
      <c r="AM545" t="str">
        <f>""</f>
        <v/>
      </c>
      <c r="AN545" t="str">
        <f>""</f>
        <v/>
      </c>
      <c r="AO545" t="str">
        <f>""</f>
        <v/>
      </c>
      <c r="AP545" t="str">
        <f>""</f>
        <v/>
      </c>
      <c r="AQ545" t="str">
        <f>""</f>
        <v/>
      </c>
      <c r="AR545" t="str">
        <f>""</f>
        <v/>
      </c>
      <c r="AS545" t="str">
        <f>""</f>
        <v/>
      </c>
      <c r="AT545" t="str">
        <f>""</f>
        <v/>
      </c>
      <c r="AU545" t="str">
        <f>""</f>
        <v/>
      </c>
      <c r="AV545" t="str">
        <f>""</f>
        <v/>
      </c>
      <c r="AW545" t="str">
        <f>""</f>
        <v/>
      </c>
      <c r="AX545" t="str">
        <f>""</f>
        <v/>
      </c>
      <c r="AY545" t="str">
        <f>""</f>
        <v/>
      </c>
      <c r="AZ545" t="str">
        <f>""</f>
        <v/>
      </c>
      <c r="BA545" t="str">
        <f>""</f>
        <v/>
      </c>
      <c r="BB545" t="str">
        <f>""</f>
        <v/>
      </c>
      <c r="BC545" t="str">
        <f>""</f>
        <v/>
      </c>
      <c r="BD545" t="str">
        <f>""</f>
        <v/>
      </c>
      <c r="BE545" t="str">
        <f>""</f>
        <v/>
      </c>
      <c r="BF545" t="str">
        <f>""</f>
        <v/>
      </c>
      <c r="BG545" t="str">
        <f>""</f>
        <v/>
      </c>
      <c r="BH545" t="str">
        <f>""</f>
        <v/>
      </c>
      <c r="BI545" t="str">
        <f>""</f>
        <v/>
      </c>
      <c r="BJ545" t="str">
        <f>""</f>
        <v/>
      </c>
      <c r="BK545" t="str">
        <f>""</f>
        <v/>
      </c>
      <c r="BL545" t="str">
        <f>""</f>
        <v/>
      </c>
      <c r="BM545" t="str">
        <f>""</f>
        <v/>
      </c>
      <c r="BN545" t="str">
        <f>""</f>
        <v/>
      </c>
      <c r="BO545" t="str">
        <f>""</f>
        <v/>
      </c>
      <c r="BP545" t="str">
        <f>""</f>
        <v/>
      </c>
      <c r="BQ545" t="str">
        <f>""</f>
        <v/>
      </c>
      <c r="BR545" t="str">
        <f>""</f>
        <v/>
      </c>
      <c r="BS545" t="str">
        <f>""</f>
        <v/>
      </c>
    </row>
    <row r="546" spans="1:71" x14ac:dyDescent="0.25">
      <c r="A546" t="str">
        <f>$A$130</f>
        <v xml:space="preserve">        Wells Fargo &amp; Co</v>
      </c>
      <c r="B546" t="str">
        <f>$B$130</f>
        <v>WFC US Equity</v>
      </c>
      <c r="C546" t="str">
        <f>$C$130</f>
        <v>FC313</v>
      </c>
      <c r="D546" t="str">
        <f>$D$130</f>
        <v>FDIC_C&amp;I_LOANS_NON-US</v>
      </c>
      <c r="E546" t="str">
        <f>$E$130</f>
        <v>Dynamic</v>
      </c>
      <c r="F546">
        <f ca="1">_xll.BDH($B$130,$C$130,$B$425,$B$426,CONCATENATE("Per=",$B$423),"Dts=H","Dir=H",CONCATENATE("Points=",$B$424),"Sort=R","Days=A","Fill=B",CONCATENATE("FX=", $B$422),"cols=33;rows=1")</f>
        <v>17462</v>
      </c>
      <c r="G546">
        <v>19203</v>
      </c>
      <c r="H546">
        <v>17605</v>
      </c>
      <c r="I546">
        <v>13524</v>
      </c>
      <c r="J546">
        <v>14058</v>
      </c>
      <c r="K546">
        <v>16866</v>
      </c>
      <c r="L546">
        <v>17658</v>
      </c>
      <c r="M546">
        <v>16989</v>
      </c>
      <c r="N546">
        <v>17185</v>
      </c>
      <c r="O546">
        <v>9607</v>
      </c>
      <c r="P546">
        <v>9112</v>
      </c>
      <c r="Q546">
        <v>6439</v>
      </c>
      <c r="R546">
        <v>7144</v>
      </c>
      <c r="S546">
        <v>5896</v>
      </c>
      <c r="T546">
        <v>4783</v>
      </c>
      <c r="U546">
        <v>8060</v>
      </c>
      <c r="V546">
        <v>9870</v>
      </c>
      <c r="W546">
        <v>1941</v>
      </c>
      <c r="X546">
        <v>1335</v>
      </c>
      <c r="Y546">
        <v>763</v>
      </c>
      <c r="Z546">
        <v>492</v>
      </c>
      <c r="AA546">
        <v>278</v>
      </c>
      <c r="AB546">
        <v>54</v>
      </c>
      <c r="AC546">
        <v>42</v>
      </c>
      <c r="AD546">
        <v>218.53100000000001</v>
      </c>
      <c r="AE546">
        <v>276.00700000000001</v>
      </c>
      <c r="AF546">
        <v>160.52799999999999</v>
      </c>
      <c r="AG546">
        <v>108.64</v>
      </c>
      <c r="AH546">
        <v>96.637</v>
      </c>
      <c r="AI546">
        <v>84.724000000000004</v>
      </c>
      <c r="AJ546">
        <v>28.405999999999999</v>
      </c>
      <c r="AK546">
        <v>12.619</v>
      </c>
      <c r="AL546">
        <v>19.309999999999999</v>
      </c>
      <c r="AM546" t="str">
        <f>""</f>
        <v/>
      </c>
      <c r="AN546" t="str">
        <f>""</f>
        <v/>
      </c>
      <c r="AO546" t="str">
        <f>""</f>
        <v/>
      </c>
      <c r="AP546" t="str">
        <f>""</f>
        <v/>
      </c>
      <c r="AQ546" t="str">
        <f>""</f>
        <v/>
      </c>
      <c r="AR546" t="str">
        <f>""</f>
        <v/>
      </c>
      <c r="AS546" t="str">
        <f>""</f>
        <v/>
      </c>
      <c r="AT546" t="str">
        <f>""</f>
        <v/>
      </c>
      <c r="AU546" t="str">
        <f>""</f>
        <v/>
      </c>
      <c r="AV546" t="str">
        <f>""</f>
        <v/>
      </c>
      <c r="AW546" t="str">
        <f>""</f>
        <v/>
      </c>
      <c r="AX546" t="str">
        <f>""</f>
        <v/>
      </c>
      <c r="AY546" t="str">
        <f>""</f>
        <v/>
      </c>
      <c r="AZ546" t="str">
        <f>""</f>
        <v/>
      </c>
      <c r="BA546" t="str">
        <f>""</f>
        <v/>
      </c>
      <c r="BB546" t="str">
        <f>""</f>
        <v/>
      </c>
      <c r="BC546" t="str">
        <f>""</f>
        <v/>
      </c>
      <c r="BD546" t="str">
        <f>""</f>
        <v/>
      </c>
      <c r="BE546" t="str">
        <f>""</f>
        <v/>
      </c>
      <c r="BF546" t="str">
        <f>""</f>
        <v/>
      </c>
      <c r="BG546" t="str">
        <f>""</f>
        <v/>
      </c>
      <c r="BH546" t="str">
        <f>""</f>
        <v/>
      </c>
      <c r="BI546" t="str">
        <f>""</f>
        <v/>
      </c>
      <c r="BJ546" t="str">
        <f>""</f>
        <v/>
      </c>
      <c r="BK546" t="str">
        <f>""</f>
        <v/>
      </c>
      <c r="BL546" t="str">
        <f>""</f>
        <v/>
      </c>
      <c r="BM546" t="str">
        <f>""</f>
        <v/>
      </c>
      <c r="BN546" t="str">
        <f>""</f>
        <v/>
      </c>
      <c r="BO546" t="str">
        <f>""</f>
        <v/>
      </c>
      <c r="BP546" t="str">
        <f>""</f>
        <v/>
      </c>
      <c r="BQ546" t="str">
        <f>""</f>
        <v/>
      </c>
      <c r="BR546" t="str">
        <f>""</f>
        <v/>
      </c>
      <c r="BS546" t="str">
        <f>""</f>
        <v/>
      </c>
    </row>
    <row r="547" spans="1:71" x14ac:dyDescent="0.25">
      <c r="A547" t="str">
        <f>$A$131</f>
        <v xml:space="preserve">        Western Alliance Bancorp</v>
      </c>
      <c r="B547" t="str">
        <f>$B$131</f>
        <v>WAL US Equity</v>
      </c>
      <c r="C547" t="str">
        <f>$C$131</f>
        <v>FC313</v>
      </c>
      <c r="D547" t="str">
        <f>$D$131</f>
        <v>FDIC_C&amp;I_LOANS_NON-US</v>
      </c>
      <c r="E547" t="str">
        <f>$E$131</f>
        <v>Dynamic</v>
      </c>
      <c r="F547">
        <f ca="1">_xll.BDH($B$131,$C$131,$B$425,$B$426,CONCATENATE("Per=",$B$423),"Dts=H","Dir=H",CONCATENATE("Points=",$B$424),"Sort=R","Days=A","Fill=B",CONCATENATE("FX=", $B$422),"cols=33;rows=1")</f>
        <v>107.81399999999999</v>
      </c>
      <c r="G547">
        <v>63.743000000000002</v>
      </c>
      <c r="H547">
        <v>363.35300000000001</v>
      </c>
      <c r="I547">
        <v>202.489</v>
      </c>
      <c r="J547">
        <v>276.77</v>
      </c>
      <c r="K547">
        <v>140.785</v>
      </c>
      <c r="L547">
        <v>74.522000000000006</v>
      </c>
      <c r="M547">
        <v>67.126000000000005</v>
      </c>
      <c r="N547">
        <v>21.701000000000001</v>
      </c>
      <c r="O547">
        <v>54.488999999999997</v>
      </c>
      <c r="P547">
        <v>28.256</v>
      </c>
      <c r="Q547">
        <v>15.102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M547" t="str">
        <f>""</f>
        <v/>
      </c>
      <c r="AN547" t="str">
        <f>""</f>
        <v/>
      </c>
      <c r="AO547" t="str">
        <f>""</f>
        <v/>
      </c>
      <c r="AP547" t="str">
        <f>""</f>
        <v/>
      </c>
      <c r="AQ547" t="str">
        <f>""</f>
        <v/>
      </c>
      <c r="AR547" t="str">
        <f>""</f>
        <v/>
      </c>
      <c r="AS547" t="str">
        <f>""</f>
        <v/>
      </c>
      <c r="AT547" t="str">
        <f>""</f>
        <v/>
      </c>
      <c r="AU547" t="str">
        <f>""</f>
        <v/>
      </c>
      <c r="AV547" t="str">
        <f>""</f>
        <v/>
      </c>
      <c r="AW547" t="str">
        <f>""</f>
        <v/>
      </c>
      <c r="AX547" t="str">
        <f>""</f>
        <v/>
      </c>
      <c r="AY547" t="str">
        <f>""</f>
        <v/>
      </c>
      <c r="AZ547" t="str">
        <f>""</f>
        <v/>
      </c>
      <c r="BA547" t="str">
        <f>""</f>
        <v/>
      </c>
      <c r="BB547" t="str">
        <f>""</f>
        <v/>
      </c>
      <c r="BC547" t="str">
        <f>""</f>
        <v/>
      </c>
      <c r="BD547" t="str">
        <f>""</f>
        <v/>
      </c>
      <c r="BE547" t="str">
        <f>""</f>
        <v/>
      </c>
      <c r="BF547" t="str">
        <f>""</f>
        <v/>
      </c>
      <c r="BG547" t="str">
        <f>""</f>
        <v/>
      </c>
      <c r="BH547" t="str">
        <f>""</f>
        <v/>
      </c>
      <c r="BI547" t="str">
        <f>""</f>
        <v/>
      </c>
      <c r="BJ547" t="str">
        <f>""</f>
        <v/>
      </c>
      <c r="BK547" t="str">
        <f>""</f>
        <v/>
      </c>
      <c r="BL547" t="str">
        <f>""</f>
        <v/>
      </c>
      <c r="BM547" t="str">
        <f>""</f>
        <v/>
      </c>
      <c r="BN547" t="str">
        <f>""</f>
        <v/>
      </c>
      <c r="BO547" t="str">
        <f>""</f>
        <v/>
      </c>
      <c r="BP547" t="str">
        <f>""</f>
        <v/>
      </c>
      <c r="BQ547" t="str">
        <f>""</f>
        <v/>
      </c>
      <c r="BR547" t="str">
        <f>""</f>
        <v/>
      </c>
      <c r="BS547" t="str">
        <f>""</f>
        <v/>
      </c>
    </row>
    <row r="548" spans="1:71" x14ac:dyDescent="0.25">
      <c r="A548" t="str">
        <f>$A$132</f>
        <v xml:space="preserve">        Zions Bancorp NA</v>
      </c>
      <c r="B548" t="str">
        <f>$B$132</f>
        <v>ZION US Equity</v>
      </c>
      <c r="C548" t="str">
        <f>$C$132</f>
        <v>FC313</v>
      </c>
      <c r="D548" t="str">
        <f>$D$132</f>
        <v>FDIC_C&amp;I_LOANS_NON-US</v>
      </c>
      <c r="E548" t="str">
        <f>$E$132</f>
        <v>Dynamic</v>
      </c>
      <c r="F548">
        <f ca="1">_xll.BDH($B$132,$C$132,$B$425,$B$426,CONCATENATE("Per=",$B$423),"Dts=H","Dir=H",CONCATENATE("Points=",$B$424),"Sort=R","Days=A","Fill=B",CONCATENATE("FX=", $B$422),"cols=33;rows=1")</f>
        <v>1.6679999999999999</v>
      </c>
      <c r="G548">
        <v>0.502</v>
      </c>
      <c r="H548">
        <v>30.603999999999999</v>
      </c>
      <c r="I548">
        <v>34.831000000000003</v>
      </c>
      <c r="AM548" t="str">
        <f>""</f>
        <v/>
      </c>
      <c r="AN548" t="str">
        <f>""</f>
        <v/>
      </c>
      <c r="AO548" t="str">
        <f>""</f>
        <v/>
      </c>
      <c r="AP548" t="str">
        <f>""</f>
        <v/>
      </c>
      <c r="AQ548" t="str">
        <f>""</f>
        <v/>
      </c>
      <c r="AR548" t="str">
        <f>""</f>
        <v/>
      </c>
      <c r="AS548" t="str">
        <f>""</f>
        <v/>
      </c>
      <c r="AT548" t="str">
        <f>""</f>
        <v/>
      </c>
      <c r="AU548" t="str">
        <f>""</f>
        <v/>
      </c>
      <c r="AV548" t="str">
        <f>""</f>
        <v/>
      </c>
      <c r="AW548" t="str">
        <f>""</f>
        <v/>
      </c>
      <c r="AX548" t="str">
        <f>""</f>
        <v/>
      </c>
      <c r="AY548" t="str">
        <f>""</f>
        <v/>
      </c>
      <c r="AZ548" t="str">
        <f>""</f>
        <v/>
      </c>
      <c r="BA548" t="str">
        <f>""</f>
        <v/>
      </c>
      <c r="BB548" t="str">
        <f>""</f>
        <v/>
      </c>
      <c r="BC548" t="str">
        <f>""</f>
        <v/>
      </c>
      <c r="BD548" t="str">
        <f>""</f>
        <v/>
      </c>
      <c r="BE548" t="str">
        <f>""</f>
        <v/>
      </c>
      <c r="BF548" t="str">
        <f>""</f>
        <v/>
      </c>
      <c r="BG548" t="str">
        <f>""</f>
        <v/>
      </c>
      <c r="BH548" t="str">
        <f>""</f>
        <v/>
      </c>
      <c r="BI548" t="str">
        <f>""</f>
        <v/>
      </c>
      <c r="BJ548" t="str">
        <f>""</f>
        <v/>
      </c>
      <c r="BK548" t="str">
        <f>""</f>
        <v/>
      </c>
      <c r="BL548" t="str">
        <f>""</f>
        <v/>
      </c>
      <c r="BM548" t="str">
        <f>""</f>
        <v/>
      </c>
      <c r="BN548" t="str">
        <f>""</f>
        <v/>
      </c>
      <c r="BO548" t="str">
        <f>""</f>
        <v/>
      </c>
      <c r="BP548" t="str">
        <f>""</f>
        <v/>
      </c>
      <c r="BQ548" t="str">
        <f>""</f>
        <v/>
      </c>
      <c r="BR548" t="str">
        <f>""</f>
        <v/>
      </c>
      <c r="BS548" t="str">
        <f>""</f>
        <v/>
      </c>
    </row>
    <row r="549" spans="1:71" x14ac:dyDescent="0.25">
      <c r="A549" t="str">
        <f>$A$134</f>
        <v xml:space="preserve">        Bank of America Corp</v>
      </c>
      <c r="B549" t="str">
        <f>$B$134</f>
        <v>BAC US Equity</v>
      </c>
      <c r="C549" t="str">
        <f>$C$134</f>
        <v>F0090</v>
      </c>
      <c r="D549" t="str">
        <f>$D$134</f>
        <v>FED_C&amp;I_LOANS_CONSOLIDATED</v>
      </c>
      <c r="E549" t="str">
        <f>$E$134</f>
        <v>Dynamic</v>
      </c>
      <c r="F549">
        <f ca="1">_xll.BDH($B$134,$C$134,$B$425,$B$426,CONCATENATE("Per=",$B$423),"Dts=H","Dir=H",CONCATENATE("Points=",$B$424),"Sort=R","Days=A","Fill=B",CONCATENATE("FX=", $B$422),"cols=33;rows=1")</f>
        <v>332420</v>
      </c>
      <c r="G549">
        <v>318910</v>
      </c>
      <c r="H549">
        <v>329384</v>
      </c>
      <c r="I549">
        <v>298150</v>
      </c>
      <c r="J549">
        <v>291121</v>
      </c>
      <c r="K549">
        <v>297452</v>
      </c>
      <c r="L549">
        <v>279685</v>
      </c>
      <c r="M549">
        <v>271364</v>
      </c>
      <c r="N549">
        <v>252712</v>
      </c>
      <c r="O549">
        <v>234795</v>
      </c>
      <c r="P549">
        <v>215543</v>
      </c>
      <c r="Q549">
        <v>232009</v>
      </c>
      <c r="R549">
        <v>210801.894</v>
      </c>
      <c r="S549">
        <v>184957.22</v>
      </c>
      <c r="T549">
        <v>157769.073</v>
      </c>
      <c r="U549">
        <v>165589.22099999999</v>
      </c>
      <c r="V549">
        <v>188845.91800000001</v>
      </c>
      <c r="W549">
        <v>176878.61300000001</v>
      </c>
      <c r="X549">
        <v>125175.06600000001</v>
      </c>
      <c r="Y549">
        <v>112296.393</v>
      </c>
      <c r="Z549">
        <v>94697.194000000003</v>
      </c>
      <c r="AA549">
        <v>70584.608999999997</v>
      </c>
      <c r="AB549">
        <v>84909</v>
      </c>
      <c r="AC549">
        <v>103927</v>
      </c>
      <c r="AM549" t="str">
        <f>""</f>
        <v/>
      </c>
      <c r="AN549" t="str">
        <f>""</f>
        <v/>
      </c>
      <c r="AO549" t="str">
        <f>""</f>
        <v/>
      </c>
      <c r="AP549" t="str">
        <f>""</f>
        <v/>
      </c>
      <c r="AQ549" t="str">
        <f>""</f>
        <v/>
      </c>
      <c r="AR549" t="str">
        <f>""</f>
        <v/>
      </c>
      <c r="AS549" t="str">
        <f>""</f>
        <v/>
      </c>
      <c r="AT549" t="str">
        <f>""</f>
        <v/>
      </c>
      <c r="AU549" t="str">
        <f>""</f>
        <v/>
      </c>
      <c r="AV549" t="str">
        <f>""</f>
        <v/>
      </c>
      <c r="AW549" t="str">
        <f>""</f>
        <v/>
      </c>
      <c r="AX549" t="str">
        <f>""</f>
        <v/>
      </c>
      <c r="AY549" t="str">
        <f>""</f>
        <v/>
      </c>
      <c r="AZ549" t="str">
        <f>""</f>
        <v/>
      </c>
      <c r="BA549" t="str">
        <f>""</f>
        <v/>
      </c>
      <c r="BB549" t="str">
        <f>""</f>
        <v/>
      </c>
      <c r="BC549" t="str">
        <f>""</f>
        <v/>
      </c>
      <c r="BD549" t="str">
        <f>""</f>
        <v/>
      </c>
      <c r="BE549" t="str">
        <f>""</f>
        <v/>
      </c>
      <c r="BF549" t="str">
        <f>""</f>
        <v/>
      </c>
      <c r="BG549" t="str">
        <f>""</f>
        <v/>
      </c>
      <c r="BH549" t="str">
        <f>""</f>
        <v/>
      </c>
      <c r="BI549" t="str">
        <f>""</f>
        <v/>
      </c>
      <c r="BJ549" t="str">
        <f>""</f>
        <v/>
      </c>
      <c r="BK549" t="str">
        <f>""</f>
        <v/>
      </c>
      <c r="BL549" t="str">
        <f>""</f>
        <v/>
      </c>
      <c r="BM549" t="str">
        <f>""</f>
        <v/>
      </c>
      <c r="BN549" t="str">
        <f>""</f>
        <v/>
      </c>
      <c r="BO549" t="str">
        <f>""</f>
        <v/>
      </c>
      <c r="BP549" t="str">
        <f>""</f>
        <v/>
      </c>
      <c r="BQ549" t="str">
        <f>""</f>
        <v/>
      </c>
      <c r="BR549" t="str">
        <f>""</f>
        <v/>
      </c>
      <c r="BS549" t="str">
        <f>""</f>
        <v/>
      </c>
    </row>
    <row r="550" spans="1:71" x14ac:dyDescent="0.25">
      <c r="A550" t="str">
        <f>$A$135</f>
        <v xml:space="preserve">        Citigroup Inc</v>
      </c>
      <c r="B550" t="str">
        <f>$B$135</f>
        <v>C US Equity</v>
      </c>
      <c r="C550" t="str">
        <f>$C$135</f>
        <v>F0090</v>
      </c>
      <c r="D550" t="str">
        <f>$D$135</f>
        <v>FED_C&amp;I_LOANS_CONSOLIDATED</v>
      </c>
      <c r="E550" t="str">
        <f>$E$135</f>
        <v>Dynamic</v>
      </c>
      <c r="F550">
        <f ca="1">_xll.BDH($B$135,$C$135,$B$425,$B$426,CONCATENATE("Per=",$B$423),"Dts=H","Dir=H",CONCATENATE("Points=",$B$424),"Sort=R","Days=A","Fill=B",CONCATENATE("FX=", $B$422),"cols=33;rows=1")</f>
        <v>158867</v>
      </c>
      <c r="G550">
        <v>162637</v>
      </c>
      <c r="H550">
        <v>157619</v>
      </c>
      <c r="I550">
        <v>159164</v>
      </c>
      <c r="J550">
        <v>167657</v>
      </c>
      <c r="K550">
        <v>177036</v>
      </c>
      <c r="L550">
        <v>178326</v>
      </c>
      <c r="M550">
        <v>174748</v>
      </c>
      <c r="N550">
        <v>155005</v>
      </c>
      <c r="O550">
        <v>157099</v>
      </c>
      <c r="P550">
        <v>151819</v>
      </c>
      <c r="Q550">
        <v>150503</v>
      </c>
      <c r="R550">
        <v>140323</v>
      </c>
      <c r="S550">
        <v>129479</v>
      </c>
      <c r="T550">
        <v>111870</v>
      </c>
      <c r="U550">
        <v>116872</v>
      </c>
      <c r="V550">
        <v>151178</v>
      </c>
      <c r="W550">
        <v>204361</v>
      </c>
      <c r="X550">
        <v>158656</v>
      </c>
      <c r="Y550">
        <v>127959</v>
      </c>
      <c r="Z550">
        <v>115232</v>
      </c>
      <c r="AA550">
        <v>96264</v>
      </c>
      <c r="AB550">
        <v>107091</v>
      </c>
      <c r="AC550">
        <v>115477</v>
      </c>
      <c r="AM550" t="str">
        <f>""</f>
        <v/>
      </c>
      <c r="AN550" t="str">
        <f>""</f>
        <v/>
      </c>
      <c r="AO550" t="str">
        <f>""</f>
        <v/>
      </c>
      <c r="AP550" t="str">
        <f>""</f>
        <v/>
      </c>
      <c r="AQ550" t="str">
        <f>""</f>
        <v/>
      </c>
      <c r="AR550" t="str">
        <f>""</f>
        <v/>
      </c>
      <c r="AS550" t="str">
        <f>""</f>
        <v/>
      </c>
      <c r="AT550" t="str">
        <f>""</f>
        <v/>
      </c>
      <c r="AU550" t="str">
        <f>""</f>
        <v/>
      </c>
      <c r="AV550" t="str">
        <f>""</f>
        <v/>
      </c>
      <c r="AW550" t="str">
        <f>""</f>
        <v/>
      </c>
      <c r="AX550" t="str">
        <f>""</f>
        <v/>
      </c>
      <c r="AY550" t="str">
        <f>""</f>
        <v/>
      </c>
      <c r="AZ550" t="str">
        <f>""</f>
        <v/>
      </c>
      <c r="BA550" t="str">
        <f>""</f>
        <v/>
      </c>
      <c r="BB550" t="str">
        <f>""</f>
        <v/>
      </c>
      <c r="BC550" t="str">
        <f>""</f>
        <v/>
      </c>
      <c r="BD550" t="str">
        <f>""</f>
        <v/>
      </c>
      <c r="BE550" t="str">
        <f>""</f>
        <v/>
      </c>
      <c r="BF550" t="str">
        <f>""</f>
        <v/>
      </c>
      <c r="BG550" t="str">
        <f>""</f>
        <v/>
      </c>
      <c r="BH550" t="str">
        <f>""</f>
        <v/>
      </c>
      <c r="BI550" t="str">
        <f>""</f>
        <v/>
      </c>
      <c r="BJ550" t="str">
        <f>""</f>
        <v/>
      </c>
      <c r="BK550" t="str">
        <f>""</f>
        <v/>
      </c>
      <c r="BL550" t="str">
        <f>""</f>
        <v/>
      </c>
      <c r="BM550" t="str">
        <f>""</f>
        <v/>
      </c>
      <c r="BN550" t="str">
        <f>""</f>
        <v/>
      </c>
      <c r="BO550" t="str">
        <f>""</f>
        <v/>
      </c>
      <c r="BP550" t="str">
        <f>""</f>
        <v/>
      </c>
      <c r="BQ550" t="str">
        <f>""</f>
        <v/>
      </c>
      <c r="BR550" t="str">
        <f>""</f>
        <v/>
      </c>
      <c r="BS550" t="str">
        <f>""</f>
        <v/>
      </c>
    </row>
    <row r="551" spans="1:71" x14ac:dyDescent="0.25">
      <c r="A551" t="str">
        <f>$A$136</f>
        <v xml:space="preserve">        Citizens Financial Group Inc</v>
      </c>
      <c r="B551" t="str">
        <f>$B$136</f>
        <v>CFG US Equity</v>
      </c>
      <c r="C551" t="str">
        <f>$C$136</f>
        <v>F0090</v>
      </c>
      <c r="D551" t="str">
        <f>$D$136</f>
        <v>FED_C&amp;I_LOANS_CONSOLIDATED</v>
      </c>
      <c r="E551" t="str">
        <f>$E$136</f>
        <v>Dynamic</v>
      </c>
      <c r="F551">
        <f ca="1">_xll.BDH($B$136,$C$136,$B$425,$B$426,CONCATENATE("Per=",$B$423),"Dts=H","Dir=H",CONCATENATE("Points=",$B$424),"Sort=R","Days=A","Fill=B",CONCATENATE("FX=", $B$422),"cols=33;rows=1")</f>
        <v>25848.716</v>
      </c>
      <c r="G551">
        <v>39256.084000000003</v>
      </c>
      <c r="H551">
        <v>46945.883000000002</v>
      </c>
      <c r="I551">
        <v>41227.932000000001</v>
      </c>
      <c r="J551">
        <v>39866.642999999996</v>
      </c>
      <c r="K551">
        <v>36533.271999999997</v>
      </c>
      <c r="L551">
        <v>35971.002</v>
      </c>
      <c r="M551">
        <v>32006.120999999999</v>
      </c>
      <c r="N551">
        <v>31774.93</v>
      </c>
      <c r="O551">
        <v>27253.407999999999</v>
      </c>
      <c r="P551">
        <v>25255.487000000001</v>
      </c>
      <c r="Q551">
        <v>23103.087</v>
      </c>
      <c r="R551">
        <v>21740.506000000001</v>
      </c>
      <c r="S551">
        <v>18925.776000000002</v>
      </c>
      <c r="T551">
        <v>15590.603999999999</v>
      </c>
      <c r="U551">
        <v>15150.184999999999</v>
      </c>
      <c r="V551">
        <v>19457.517</v>
      </c>
      <c r="W551">
        <v>20440.324000000001</v>
      </c>
      <c r="X551">
        <v>16240.373</v>
      </c>
      <c r="Y551">
        <v>12011.245000000001</v>
      </c>
      <c r="Z551">
        <v>10523.362999999999</v>
      </c>
      <c r="AA551">
        <v>8742.0920000000006</v>
      </c>
      <c r="AB551">
        <v>8231.3250000000007</v>
      </c>
      <c r="AC551">
        <v>8680.4240000000009</v>
      </c>
      <c r="AM551" t="str">
        <f>""</f>
        <v/>
      </c>
      <c r="AN551" t="str">
        <f>""</f>
        <v/>
      </c>
      <c r="AO551" t="str">
        <f>""</f>
        <v/>
      </c>
      <c r="AP551" t="str">
        <f>""</f>
        <v/>
      </c>
      <c r="AQ551" t="str">
        <f>""</f>
        <v/>
      </c>
      <c r="AR551" t="str">
        <f>""</f>
        <v/>
      </c>
      <c r="AS551" t="str">
        <f>""</f>
        <v/>
      </c>
      <c r="AT551" t="str">
        <f>""</f>
        <v/>
      </c>
      <c r="AU551" t="str">
        <f>""</f>
        <v/>
      </c>
      <c r="AV551" t="str">
        <f>""</f>
        <v/>
      </c>
      <c r="AW551" t="str">
        <f>""</f>
        <v/>
      </c>
      <c r="AX551" t="str">
        <f>""</f>
        <v/>
      </c>
      <c r="AY551" t="str">
        <f>""</f>
        <v/>
      </c>
      <c r="AZ551" t="str">
        <f>""</f>
        <v/>
      </c>
      <c r="BA551" t="str">
        <f>""</f>
        <v/>
      </c>
      <c r="BB551" t="str">
        <f>""</f>
        <v/>
      </c>
      <c r="BC551" t="str">
        <f>""</f>
        <v/>
      </c>
      <c r="BD551" t="str">
        <f>""</f>
        <v/>
      </c>
      <c r="BE551" t="str">
        <f>""</f>
        <v/>
      </c>
      <c r="BF551" t="str">
        <f>""</f>
        <v/>
      </c>
      <c r="BG551" t="str">
        <f>""</f>
        <v/>
      </c>
      <c r="BH551" t="str">
        <f>""</f>
        <v/>
      </c>
      <c r="BI551" t="str">
        <f>""</f>
        <v/>
      </c>
      <c r="BJ551" t="str">
        <f>""</f>
        <v/>
      </c>
      <c r="BK551" t="str">
        <f>""</f>
        <v/>
      </c>
      <c r="BL551" t="str">
        <f>""</f>
        <v/>
      </c>
      <c r="BM551" t="str">
        <f>""</f>
        <v/>
      </c>
      <c r="BN551" t="str">
        <f>""</f>
        <v/>
      </c>
      <c r="BO551" t="str">
        <f>""</f>
        <v/>
      </c>
      <c r="BP551" t="str">
        <f>""</f>
        <v/>
      </c>
      <c r="BQ551" t="str">
        <f>""</f>
        <v/>
      </c>
      <c r="BR551" t="str">
        <f>""</f>
        <v/>
      </c>
      <c r="BS551" t="str">
        <f>""</f>
        <v/>
      </c>
    </row>
    <row r="552" spans="1:71" x14ac:dyDescent="0.25">
      <c r="A552" t="str">
        <f>$A$137</f>
        <v xml:space="preserve">        Capital One Financial Corp</v>
      </c>
      <c r="B552" t="str">
        <f>$B$137</f>
        <v>COF US Equity</v>
      </c>
      <c r="C552" t="str">
        <f>$C$137</f>
        <v>F0090</v>
      </c>
      <c r="D552" t="str">
        <f>$D$137</f>
        <v>FED_C&amp;I_LOANS_CONSOLIDATED</v>
      </c>
      <c r="E552" t="str">
        <f>$E$137</f>
        <v>Dynamic</v>
      </c>
      <c r="F552">
        <f ca="1">_xll.BDH($B$137,$C$137,$B$425,$B$426,CONCATENATE("Per=",$B$423),"Dts=H","Dir=H",CONCATENATE("Points=",$B$424),"Sort=R","Days=A","Fill=B",CONCATENATE("FX=", $B$422),"cols=33;rows=1")</f>
        <v>45040.726000000002</v>
      </c>
      <c r="G552">
        <v>46241.307000000001</v>
      </c>
      <c r="H552">
        <v>47587.336000000003</v>
      </c>
      <c r="I552">
        <v>40528.548000000003</v>
      </c>
      <c r="J552">
        <v>35160.271000000001</v>
      </c>
      <c r="K552">
        <v>37348.758000000002</v>
      </c>
      <c r="L552">
        <v>33831.891000000003</v>
      </c>
      <c r="M552">
        <v>29092.799999999999</v>
      </c>
      <c r="N552">
        <v>29464.776999999998</v>
      </c>
      <c r="O552">
        <v>26813.617999999999</v>
      </c>
      <c r="P552">
        <v>22170.337</v>
      </c>
      <c r="Q552">
        <v>19177.742999999999</v>
      </c>
      <c r="R552">
        <v>18048.169999999998</v>
      </c>
      <c r="S552">
        <v>17357.438999999998</v>
      </c>
      <c r="T552">
        <v>16030.998</v>
      </c>
      <c r="U552">
        <v>12551.282999999999</v>
      </c>
      <c r="V552">
        <v>15633.941999999999</v>
      </c>
      <c r="W552">
        <v>16430.575000000001</v>
      </c>
      <c r="X552">
        <v>11447.866</v>
      </c>
      <c r="Y552">
        <v>5637.5110000000004</v>
      </c>
      <c r="Z552">
        <v>2692.8270000000002</v>
      </c>
      <c r="AM552" t="str">
        <f>""</f>
        <v/>
      </c>
      <c r="AN552" t="str">
        <f>""</f>
        <v/>
      </c>
      <c r="AO552" t="str">
        <f>""</f>
        <v/>
      </c>
      <c r="AP552" t="str">
        <f>""</f>
        <v/>
      </c>
      <c r="AQ552" t="str">
        <f>""</f>
        <v/>
      </c>
      <c r="AR552" t="str">
        <f>""</f>
        <v/>
      </c>
      <c r="AS552" t="str">
        <f>""</f>
        <v/>
      </c>
      <c r="AT552" t="str">
        <f>""</f>
        <v/>
      </c>
      <c r="AU552" t="str">
        <f>""</f>
        <v/>
      </c>
      <c r="AV552" t="str">
        <f>""</f>
        <v/>
      </c>
      <c r="AW552" t="str">
        <f>""</f>
        <v/>
      </c>
      <c r="AX552" t="str">
        <f>""</f>
        <v/>
      </c>
      <c r="AY552" t="str">
        <f>""</f>
        <v/>
      </c>
      <c r="AZ552" t="str">
        <f>""</f>
        <v/>
      </c>
      <c r="BA552" t="str">
        <f>""</f>
        <v/>
      </c>
      <c r="BB552" t="str">
        <f>""</f>
        <v/>
      </c>
      <c r="BC552" t="str">
        <f>""</f>
        <v/>
      </c>
      <c r="BD552" t="str">
        <f>""</f>
        <v/>
      </c>
      <c r="BE552" t="str">
        <f>""</f>
        <v/>
      </c>
      <c r="BF552" t="str">
        <f>""</f>
        <v/>
      </c>
      <c r="BG552" t="str">
        <f>""</f>
        <v/>
      </c>
      <c r="BH552" t="str">
        <f>""</f>
        <v/>
      </c>
      <c r="BI552" t="str">
        <f>""</f>
        <v/>
      </c>
      <c r="BJ552" t="str">
        <f>""</f>
        <v/>
      </c>
      <c r="BK552" t="str">
        <f>""</f>
        <v/>
      </c>
      <c r="BL552" t="str">
        <f>""</f>
        <v/>
      </c>
      <c r="BM552" t="str">
        <f>""</f>
        <v/>
      </c>
      <c r="BN552" t="str">
        <f>""</f>
        <v/>
      </c>
      <c r="BO552" t="str">
        <f>""</f>
        <v/>
      </c>
      <c r="BP552" t="str">
        <f>""</f>
        <v/>
      </c>
      <c r="BQ552" t="str">
        <f>""</f>
        <v/>
      </c>
      <c r="BR552" t="str">
        <f>""</f>
        <v/>
      </c>
      <c r="BS552" t="str">
        <f>""</f>
        <v/>
      </c>
    </row>
    <row r="553" spans="1:71" x14ac:dyDescent="0.25">
      <c r="A553" t="str">
        <f>$A$138</f>
        <v xml:space="preserve">        Comerica Inc</v>
      </c>
      <c r="B553" t="str">
        <f>$B$138</f>
        <v>CMA US Equity</v>
      </c>
      <c r="C553" t="str">
        <f>$C$138</f>
        <v>F0090</v>
      </c>
      <c r="D553" t="str">
        <f>$D$138</f>
        <v>FED_C&amp;I_LOANS_CONSOLIDATED</v>
      </c>
      <c r="E553" t="str">
        <f>$E$138</f>
        <v>Dynamic</v>
      </c>
      <c r="F553">
        <f ca="1">_xll.BDH($B$138,$C$138,$B$425,$B$426,CONCATENATE("Per=",$B$423),"Dts=H","Dir=H",CONCATENATE("Points=",$B$424),"Sort=R","Days=A","Fill=B",CONCATENATE("FX=", $B$422),"cols=33;rows=1")</f>
        <v>24455</v>
      </c>
      <c r="G553">
        <v>24769</v>
      </c>
      <c r="H553">
        <v>25619</v>
      </c>
      <c r="I553">
        <v>22935</v>
      </c>
      <c r="J553">
        <v>25290</v>
      </c>
      <c r="K553">
        <v>25882</v>
      </c>
      <c r="L553">
        <v>27039.773000000001</v>
      </c>
      <c r="M553">
        <v>26958.605</v>
      </c>
      <c r="N553">
        <v>26638.668000000001</v>
      </c>
      <c r="O553">
        <v>27443.327000000001</v>
      </c>
      <c r="P553">
        <v>28661.366000000002</v>
      </c>
      <c r="Q553">
        <v>26640.554</v>
      </c>
      <c r="R553">
        <v>26080.764999999999</v>
      </c>
      <c r="S553">
        <v>23400.526000000002</v>
      </c>
      <c r="T553">
        <v>21251.794999999998</v>
      </c>
      <c r="U553">
        <v>20559.135999999999</v>
      </c>
      <c r="V553">
        <v>24451.203000000001</v>
      </c>
      <c r="W553">
        <v>24784.782999999999</v>
      </c>
      <c r="X553">
        <v>23483.136999999999</v>
      </c>
      <c r="Y553">
        <v>21018.958999999999</v>
      </c>
      <c r="Z553">
        <v>22096.056</v>
      </c>
      <c r="AA553">
        <v>22399.882000000001</v>
      </c>
      <c r="AB553">
        <v>24344.472000000002</v>
      </c>
      <c r="AC553">
        <v>24553.081999999999</v>
      </c>
      <c r="AM553" t="str">
        <f>""</f>
        <v/>
      </c>
      <c r="AN553" t="str">
        <f>""</f>
        <v/>
      </c>
      <c r="AO553" t="str">
        <f>""</f>
        <v/>
      </c>
      <c r="AP553" t="str">
        <f>""</f>
        <v/>
      </c>
      <c r="AQ553" t="str">
        <f>""</f>
        <v/>
      </c>
      <c r="AR553" t="str">
        <f>""</f>
        <v/>
      </c>
      <c r="AS553" t="str">
        <f>""</f>
        <v/>
      </c>
      <c r="AT553" t="str">
        <f>""</f>
        <v/>
      </c>
      <c r="AU553" t="str">
        <f>""</f>
        <v/>
      </c>
      <c r="AV553" t="str">
        <f>""</f>
        <v/>
      </c>
      <c r="AW553" t="str">
        <f>""</f>
        <v/>
      </c>
      <c r="AX553" t="str">
        <f>""</f>
        <v/>
      </c>
      <c r="AY553" t="str">
        <f>""</f>
        <v/>
      </c>
      <c r="AZ553" t="str">
        <f>""</f>
        <v/>
      </c>
      <c r="BA553" t="str">
        <f>""</f>
        <v/>
      </c>
      <c r="BB553" t="str">
        <f>""</f>
        <v/>
      </c>
      <c r="BC553" t="str">
        <f>""</f>
        <v/>
      </c>
      <c r="BD553" t="str">
        <f>""</f>
        <v/>
      </c>
      <c r="BE553" t="str">
        <f>""</f>
        <v/>
      </c>
      <c r="BF553" t="str">
        <f>""</f>
        <v/>
      </c>
      <c r="BG553" t="str">
        <f>""</f>
        <v/>
      </c>
      <c r="BH553" t="str">
        <f>""</f>
        <v/>
      </c>
      <c r="BI553" t="str">
        <f>""</f>
        <v/>
      </c>
      <c r="BJ553" t="str">
        <f>""</f>
        <v/>
      </c>
      <c r="BK553" t="str">
        <f>""</f>
        <v/>
      </c>
      <c r="BL553" t="str">
        <f>""</f>
        <v/>
      </c>
      <c r="BM553" t="str">
        <f>""</f>
        <v/>
      </c>
      <c r="BN553" t="str">
        <f>""</f>
        <v/>
      </c>
      <c r="BO553" t="str">
        <f>""</f>
        <v/>
      </c>
      <c r="BP553" t="str">
        <f>""</f>
        <v/>
      </c>
      <c r="BQ553" t="str">
        <f>""</f>
        <v/>
      </c>
      <c r="BR553" t="str">
        <f>""</f>
        <v/>
      </c>
      <c r="BS553" t="str">
        <f>""</f>
        <v/>
      </c>
    </row>
    <row r="554" spans="1:71" x14ac:dyDescent="0.25">
      <c r="A554" t="str">
        <f>$A$139</f>
        <v xml:space="preserve">        East West Bancorp Inc</v>
      </c>
      <c r="B554" t="str">
        <f>$B$139</f>
        <v>EWBC US Equity</v>
      </c>
      <c r="C554" t="str">
        <f>$C$139</f>
        <v>F0090</v>
      </c>
      <c r="D554" t="str">
        <f>$D$139</f>
        <v>FED_C&amp;I_LOANS_CONSOLIDATED</v>
      </c>
      <c r="E554" t="str">
        <f>$E$139</f>
        <v>Dynamic</v>
      </c>
      <c r="F554">
        <f ca="1">_xll.BDH($B$139,$C$139,$B$425,$B$426,CONCATENATE("Per=",$B$423),"Dts=H","Dir=H",CONCATENATE("Points=",$B$424),"Sort=R","Days=A","Fill=B",CONCATENATE("FX=", $B$422),"cols=33;rows=1")</f>
        <v>10467.209000000001</v>
      </c>
      <c r="G554">
        <v>10236.644</v>
      </c>
      <c r="H554">
        <v>9895.6759999999995</v>
      </c>
      <c r="I554">
        <v>9756.241</v>
      </c>
      <c r="J554">
        <v>10392.837</v>
      </c>
      <c r="K554">
        <v>9746.7980000000007</v>
      </c>
      <c r="L554">
        <v>9496.41</v>
      </c>
      <c r="M554">
        <v>8704.6139999999996</v>
      </c>
      <c r="N554">
        <v>7843.5559999999996</v>
      </c>
      <c r="O554">
        <v>7471.7089999999998</v>
      </c>
      <c r="P554">
        <v>7076.7929999999997</v>
      </c>
      <c r="Q554">
        <v>5543.598</v>
      </c>
      <c r="R554">
        <v>4753.6040000000003</v>
      </c>
      <c r="S554">
        <v>3870.0749999999998</v>
      </c>
      <c r="T554">
        <v>2880.0349999999999</v>
      </c>
      <c r="U554">
        <v>2581.6950000000002</v>
      </c>
      <c r="V554">
        <v>1554.5930000000001</v>
      </c>
      <c r="W554">
        <v>1805.6210000000001</v>
      </c>
      <c r="X554">
        <v>1232.1969999999999</v>
      </c>
      <c r="Y554">
        <v>869.10400000000004</v>
      </c>
      <c r="Z554">
        <v>588.38599999999997</v>
      </c>
      <c r="AA554">
        <v>424.46499999999997</v>
      </c>
      <c r="AB554">
        <v>330.358</v>
      </c>
      <c r="AC554">
        <v>355.702</v>
      </c>
      <c r="AM554" t="str">
        <f>""</f>
        <v/>
      </c>
      <c r="AN554" t="str">
        <f>""</f>
        <v/>
      </c>
      <c r="AO554" t="str">
        <f>""</f>
        <v/>
      </c>
      <c r="AP554" t="str">
        <f>""</f>
        <v/>
      </c>
      <c r="AQ554" t="str">
        <f>""</f>
        <v/>
      </c>
      <c r="AR554" t="str">
        <f>""</f>
        <v/>
      </c>
      <c r="AS554" t="str">
        <f>""</f>
        <v/>
      </c>
      <c r="AT554" t="str">
        <f>""</f>
        <v/>
      </c>
      <c r="AU554" t="str">
        <f>""</f>
        <v/>
      </c>
      <c r="AV554" t="str">
        <f>""</f>
        <v/>
      </c>
      <c r="AW554" t="str">
        <f>""</f>
        <v/>
      </c>
      <c r="AX554" t="str">
        <f>""</f>
        <v/>
      </c>
      <c r="AY554" t="str">
        <f>""</f>
        <v/>
      </c>
      <c r="AZ554" t="str">
        <f>""</f>
        <v/>
      </c>
      <c r="BA554" t="str">
        <f>""</f>
        <v/>
      </c>
      <c r="BB554" t="str">
        <f>""</f>
        <v/>
      </c>
      <c r="BC554" t="str">
        <f>""</f>
        <v/>
      </c>
      <c r="BD554" t="str">
        <f>""</f>
        <v/>
      </c>
      <c r="BE554" t="str">
        <f>""</f>
        <v/>
      </c>
      <c r="BF554" t="str">
        <f>""</f>
        <v/>
      </c>
      <c r="BG554" t="str">
        <f>""</f>
        <v/>
      </c>
      <c r="BH554" t="str">
        <f>""</f>
        <v/>
      </c>
      <c r="BI554" t="str">
        <f>""</f>
        <v/>
      </c>
      <c r="BJ554" t="str">
        <f>""</f>
        <v/>
      </c>
      <c r="BK554" t="str">
        <f>""</f>
        <v/>
      </c>
      <c r="BL554" t="str">
        <f>""</f>
        <v/>
      </c>
      <c r="BM554" t="str">
        <f>""</f>
        <v/>
      </c>
      <c r="BN554" t="str">
        <f>""</f>
        <v/>
      </c>
      <c r="BO554" t="str">
        <f>""</f>
        <v/>
      </c>
      <c r="BP554" t="str">
        <f>""</f>
        <v/>
      </c>
      <c r="BQ554" t="str">
        <f>""</f>
        <v/>
      </c>
      <c r="BR554" t="str">
        <f>""</f>
        <v/>
      </c>
      <c r="BS554" t="str">
        <f>""</f>
        <v/>
      </c>
    </row>
    <row r="555" spans="1:71" x14ac:dyDescent="0.25">
      <c r="A555" t="str">
        <f>$A$140</f>
        <v xml:space="preserve">        Fifth Third Bancorp</v>
      </c>
      <c r="B555" t="str">
        <f>$B$140</f>
        <v>FITB US Equity</v>
      </c>
      <c r="C555" t="str">
        <f>$C$140</f>
        <v>F0090</v>
      </c>
      <c r="D555" t="str">
        <f>$D$140</f>
        <v>FED_C&amp;I_LOANS_CONSOLIDATED</v>
      </c>
      <c r="E555" t="str">
        <f>$E$140</f>
        <v>Dynamic</v>
      </c>
      <c r="F555">
        <f ca="1">_xll.BDH($B$140,$C$140,$B$425,$B$426,CONCATENATE("Per=",$B$423),"Dts=H","Dir=H",CONCATENATE("Points=",$B$424),"Sort=R","Days=A","Fill=B",CONCATENATE("FX=", $B$422),"cols=33;rows=1")</f>
        <v>43671</v>
      </c>
      <c r="G555">
        <v>44862</v>
      </c>
      <c r="H555">
        <v>48994.118999999999</v>
      </c>
      <c r="I555">
        <v>43503.324999999997</v>
      </c>
      <c r="J555">
        <v>45052.552000000003</v>
      </c>
      <c r="K555">
        <v>45717.123</v>
      </c>
      <c r="L555">
        <v>38231.862999999998</v>
      </c>
      <c r="M555">
        <v>36089.591</v>
      </c>
      <c r="N555">
        <v>35907.538999999997</v>
      </c>
      <c r="O555">
        <v>36057.894999999997</v>
      </c>
      <c r="P555">
        <v>34472.421000000002</v>
      </c>
      <c r="Q555">
        <v>33343.266000000003</v>
      </c>
      <c r="R555">
        <v>30938.088</v>
      </c>
      <c r="S555">
        <v>25592.778999999999</v>
      </c>
      <c r="T555">
        <v>22374.27</v>
      </c>
      <c r="U555">
        <v>22051.252</v>
      </c>
      <c r="V555">
        <v>25109.757000000001</v>
      </c>
      <c r="W555">
        <v>21752.419000000002</v>
      </c>
      <c r="X555">
        <v>16189.016</v>
      </c>
      <c r="Y555">
        <v>20833.276999999998</v>
      </c>
      <c r="Z555">
        <v>16652.796999999999</v>
      </c>
      <c r="AA555">
        <v>13338.079</v>
      </c>
      <c r="AB555">
        <v>11277.380999999999</v>
      </c>
      <c r="AC555">
        <v>9294.0020000000004</v>
      </c>
      <c r="AM555" t="str">
        <f>""</f>
        <v/>
      </c>
      <c r="AN555" t="str">
        <f>""</f>
        <v/>
      </c>
      <c r="AO555" t="str">
        <f>""</f>
        <v/>
      </c>
      <c r="AP555" t="str">
        <f>""</f>
        <v/>
      </c>
      <c r="AQ555" t="str">
        <f>""</f>
        <v/>
      </c>
      <c r="AR555" t="str">
        <f>""</f>
        <v/>
      </c>
      <c r="AS555" t="str">
        <f>""</f>
        <v/>
      </c>
      <c r="AT555" t="str">
        <f>""</f>
        <v/>
      </c>
      <c r="AU555" t="str">
        <f>""</f>
        <v/>
      </c>
      <c r="AV555" t="str">
        <f>""</f>
        <v/>
      </c>
      <c r="AW555" t="str">
        <f>""</f>
        <v/>
      </c>
      <c r="AX555" t="str">
        <f>""</f>
        <v/>
      </c>
      <c r="AY555" t="str">
        <f>""</f>
        <v/>
      </c>
      <c r="AZ555" t="str">
        <f>""</f>
        <v/>
      </c>
      <c r="BA555" t="str">
        <f>""</f>
        <v/>
      </c>
      <c r="BB555" t="str">
        <f>""</f>
        <v/>
      </c>
      <c r="BC555" t="str">
        <f>""</f>
        <v/>
      </c>
      <c r="BD555" t="str">
        <f>""</f>
        <v/>
      </c>
      <c r="BE555" t="str">
        <f>""</f>
        <v/>
      </c>
      <c r="BF555" t="str">
        <f>""</f>
        <v/>
      </c>
      <c r="BG555" t="str">
        <f>""</f>
        <v/>
      </c>
      <c r="BH555" t="str">
        <f>""</f>
        <v/>
      </c>
      <c r="BI555" t="str">
        <f>""</f>
        <v/>
      </c>
      <c r="BJ555" t="str">
        <f>""</f>
        <v/>
      </c>
      <c r="BK555" t="str">
        <f>""</f>
        <v/>
      </c>
      <c r="BL555" t="str">
        <f>""</f>
        <v/>
      </c>
      <c r="BM555" t="str">
        <f>""</f>
        <v/>
      </c>
      <c r="BN555" t="str">
        <f>""</f>
        <v/>
      </c>
      <c r="BO555" t="str">
        <f>""</f>
        <v/>
      </c>
      <c r="BP555" t="str">
        <f>""</f>
        <v/>
      </c>
      <c r="BQ555" t="str">
        <f>""</f>
        <v/>
      </c>
      <c r="BR555" t="str">
        <f>""</f>
        <v/>
      </c>
      <c r="BS555" t="str">
        <f>""</f>
        <v/>
      </c>
    </row>
    <row r="556" spans="1:71" x14ac:dyDescent="0.25">
      <c r="A556" t="str">
        <f>$A$141</f>
        <v xml:space="preserve">        First Citizens BancShares Inc/</v>
      </c>
      <c r="B556" t="str">
        <f>$B$141</f>
        <v>FCNCA US Equity</v>
      </c>
      <c r="C556" t="str">
        <f>$C$141</f>
        <v>F0090</v>
      </c>
      <c r="D556" t="str">
        <f>$D$141</f>
        <v>FED_C&amp;I_LOANS_CONSOLIDATED</v>
      </c>
      <c r="E556" t="str">
        <f>$E$141</f>
        <v>Dynamic</v>
      </c>
      <c r="F556">
        <f ca="1">_xll.BDH($B$141,$C$141,$B$425,$B$426,CONCATENATE("Per=",$B$423),"Dts=H","Dir=H",CONCATENATE("Points=",$B$424),"Sort=R","Days=A","Fill=B",CONCATENATE("FX=", $B$422),"cols=33;rows=1")</f>
        <v>37527</v>
      </c>
      <c r="G556">
        <v>37800.85</v>
      </c>
      <c r="H556">
        <v>19669.96</v>
      </c>
      <c r="I556">
        <v>4960.9650000000001</v>
      </c>
      <c r="J556">
        <v>6164.8919999999998</v>
      </c>
      <c r="K556">
        <v>3461.8989999999999</v>
      </c>
      <c r="L556">
        <v>2867.4810000000002</v>
      </c>
      <c r="M556">
        <v>2303.0500000000002</v>
      </c>
      <c r="N556">
        <v>2168.393</v>
      </c>
      <c r="O556">
        <v>1973.182</v>
      </c>
      <c r="P556">
        <v>1650.8320000000001</v>
      </c>
      <c r="Q556">
        <v>966.49099999999999</v>
      </c>
      <c r="R556">
        <v>1701.5419999999999</v>
      </c>
      <c r="S556">
        <v>1758.124</v>
      </c>
      <c r="T556">
        <v>1800.2249999999999</v>
      </c>
      <c r="U556">
        <v>1730.212</v>
      </c>
      <c r="V556">
        <v>1695.9739999999999</v>
      </c>
      <c r="W556">
        <v>1490.4960000000001</v>
      </c>
      <c r="X556">
        <v>1275.7550000000001</v>
      </c>
      <c r="Y556">
        <v>1047.2950000000001</v>
      </c>
      <c r="Z556">
        <v>900.58299999999997</v>
      </c>
      <c r="AA556">
        <v>862.37</v>
      </c>
      <c r="AB556">
        <v>857.26499999999999</v>
      </c>
      <c r="AC556">
        <v>854.32600000000002</v>
      </c>
      <c r="AM556" t="str">
        <f>""</f>
        <v/>
      </c>
      <c r="AN556" t="str">
        <f>""</f>
        <v/>
      </c>
      <c r="AO556" t="str">
        <f>""</f>
        <v/>
      </c>
      <c r="AP556" t="str">
        <f>""</f>
        <v/>
      </c>
      <c r="AQ556" t="str">
        <f>""</f>
        <v/>
      </c>
      <c r="AR556" t="str">
        <f>""</f>
        <v/>
      </c>
      <c r="AS556" t="str">
        <f>""</f>
        <v/>
      </c>
      <c r="AT556" t="str">
        <f>""</f>
        <v/>
      </c>
      <c r="AU556" t="str">
        <f>""</f>
        <v/>
      </c>
      <c r="AV556" t="str">
        <f>""</f>
        <v/>
      </c>
      <c r="AW556" t="str">
        <f>""</f>
        <v/>
      </c>
      <c r="AX556" t="str">
        <f>""</f>
        <v/>
      </c>
      <c r="AY556" t="str">
        <f>""</f>
        <v/>
      </c>
      <c r="AZ556" t="str">
        <f>""</f>
        <v/>
      </c>
      <c r="BA556" t="str">
        <f>""</f>
        <v/>
      </c>
      <c r="BB556" t="str">
        <f>""</f>
        <v/>
      </c>
      <c r="BC556" t="str">
        <f>""</f>
        <v/>
      </c>
      <c r="BD556" t="str">
        <f>""</f>
        <v/>
      </c>
      <c r="BE556" t="str">
        <f>""</f>
        <v/>
      </c>
      <c r="BF556" t="str">
        <f>""</f>
        <v/>
      </c>
      <c r="BG556" t="str">
        <f>""</f>
        <v/>
      </c>
      <c r="BH556" t="str">
        <f>""</f>
        <v/>
      </c>
      <c r="BI556" t="str">
        <f>""</f>
        <v/>
      </c>
      <c r="BJ556" t="str">
        <f>""</f>
        <v/>
      </c>
      <c r="BK556" t="str">
        <f>""</f>
        <v/>
      </c>
      <c r="BL556" t="str">
        <f>""</f>
        <v/>
      </c>
      <c r="BM556" t="str">
        <f>""</f>
        <v/>
      </c>
      <c r="BN556" t="str">
        <f>""</f>
        <v/>
      </c>
      <c r="BO556" t="str">
        <f>""</f>
        <v/>
      </c>
      <c r="BP556" t="str">
        <f>""</f>
        <v/>
      </c>
      <c r="BQ556" t="str">
        <f>""</f>
        <v/>
      </c>
      <c r="BR556" t="str">
        <f>""</f>
        <v/>
      </c>
      <c r="BS556" t="str">
        <f>""</f>
        <v/>
      </c>
    </row>
    <row r="557" spans="1:71" x14ac:dyDescent="0.25">
      <c r="A557" t="str">
        <f>$A$142</f>
        <v xml:space="preserve">        Flagstar Financial Inc</v>
      </c>
      <c r="B557" t="str">
        <f>$B$142</f>
        <v>FLG US Equity</v>
      </c>
      <c r="C557" t="str">
        <f>$C$142</f>
        <v>F0090</v>
      </c>
      <c r="D557" t="str">
        <f>$D$142</f>
        <v>FED_C&amp;I_LOANS_CONSOLIDATED</v>
      </c>
      <c r="E557" t="str">
        <f>$E$142</f>
        <v>Dynamic</v>
      </c>
      <c r="F557">
        <f ca="1">_xll.BDH($B$142,$C$142,$B$425,$B$426,CONCATENATE("Per=",$B$423),"Dts=H","Dir=H",CONCATENATE("Points=",$B$424),"Sort=R","Days=A","Fill=B",CONCATENATE("FX=", $B$422),"cols=33;rows=1")</f>
        <v>9367.3770000000004</v>
      </c>
      <c r="G557">
        <v>12136.962</v>
      </c>
      <c r="H557">
        <v>5116.49</v>
      </c>
      <c r="I557">
        <v>2042.838</v>
      </c>
      <c r="J557">
        <v>1801.171</v>
      </c>
      <c r="K557">
        <v>1744.7380000000001</v>
      </c>
      <c r="L557">
        <v>1705.713</v>
      </c>
      <c r="M557">
        <v>1376.492</v>
      </c>
      <c r="N557">
        <v>1340.1389999999999</v>
      </c>
      <c r="O557">
        <v>1084.0119999999999</v>
      </c>
      <c r="P557">
        <v>1065.683</v>
      </c>
      <c r="Q557">
        <v>728.32299999999998</v>
      </c>
      <c r="R557">
        <v>619.80499999999995</v>
      </c>
      <c r="S557">
        <v>657.20100000000002</v>
      </c>
      <c r="T557">
        <v>712.38499999999999</v>
      </c>
      <c r="U557">
        <v>653.65099999999995</v>
      </c>
      <c r="V557">
        <v>713.53099999999995</v>
      </c>
      <c r="W557">
        <v>706.56200000000001</v>
      </c>
      <c r="X557">
        <v>643.14700000000005</v>
      </c>
      <c r="Y557">
        <v>163.548</v>
      </c>
      <c r="Z557">
        <v>89.19</v>
      </c>
      <c r="AA557">
        <v>65.518000000000001</v>
      </c>
      <c r="AB557">
        <v>60.158999999999999</v>
      </c>
      <c r="AC557">
        <v>1.1160000000000001</v>
      </c>
      <c r="AM557" t="str">
        <f>""</f>
        <v/>
      </c>
      <c r="AN557" t="str">
        <f>""</f>
        <v/>
      </c>
      <c r="AO557" t="str">
        <f>""</f>
        <v/>
      </c>
      <c r="AP557" t="str">
        <f>""</f>
        <v/>
      </c>
      <c r="AQ557" t="str">
        <f>""</f>
        <v/>
      </c>
      <c r="AR557" t="str">
        <f>""</f>
        <v/>
      </c>
      <c r="AS557" t="str">
        <f>""</f>
        <v/>
      </c>
      <c r="AT557" t="str">
        <f>""</f>
        <v/>
      </c>
      <c r="AU557" t="str">
        <f>""</f>
        <v/>
      </c>
      <c r="AV557" t="str">
        <f>""</f>
        <v/>
      </c>
      <c r="AW557" t="str">
        <f>""</f>
        <v/>
      </c>
      <c r="AX557" t="str">
        <f>""</f>
        <v/>
      </c>
      <c r="AY557" t="str">
        <f>""</f>
        <v/>
      </c>
      <c r="AZ557" t="str">
        <f>""</f>
        <v/>
      </c>
      <c r="BA557" t="str">
        <f>""</f>
        <v/>
      </c>
      <c r="BB557" t="str">
        <f>""</f>
        <v/>
      </c>
      <c r="BC557" t="str">
        <f>""</f>
        <v/>
      </c>
      <c r="BD557" t="str">
        <f>""</f>
        <v/>
      </c>
      <c r="BE557" t="str">
        <f>""</f>
        <v/>
      </c>
      <c r="BF557" t="str">
        <f>""</f>
        <v/>
      </c>
      <c r="BG557" t="str">
        <f>""</f>
        <v/>
      </c>
      <c r="BH557" t="str">
        <f>""</f>
        <v/>
      </c>
      <c r="BI557" t="str">
        <f>""</f>
        <v/>
      </c>
      <c r="BJ557" t="str">
        <f>""</f>
        <v/>
      </c>
      <c r="BK557" t="str">
        <f>""</f>
        <v/>
      </c>
      <c r="BL557" t="str">
        <f>""</f>
        <v/>
      </c>
      <c r="BM557" t="str">
        <f>""</f>
        <v/>
      </c>
      <c r="BN557" t="str">
        <f>""</f>
        <v/>
      </c>
      <c r="BO557" t="str">
        <f>""</f>
        <v/>
      </c>
      <c r="BP557" t="str">
        <f>""</f>
        <v/>
      </c>
      <c r="BQ557" t="str">
        <f>""</f>
        <v/>
      </c>
      <c r="BR557" t="str">
        <f>""</f>
        <v/>
      </c>
      <c r="BS557" t="str">
        <f>""</f>
        <v/>
      </c>
    </row>
    <row r="558" spans="1:71" x14ac:dyDescent="0.25">
      <c r="A558" t="str">
        <f>$A$143</f>
        <v xml:space="preserve">        Huntington Bancshares Inc/OH</v>
      </c>
      <c r="B558" t="str">
        <f>$B$143</f>
        <v>HBAN US Equity</v>
      </c>
      <c r="C558" t="str">
        <f>$C$143</f>
        <v>F0090</v>
      </c>
      <c r="D558" t="str">
        <f>$D$143</f>
        <v>FED_C&amp;I_LOANS_CONSOLIDATED</v>
      </c>
      <c r="E558" t="str">
        <f>$E$143</f>
        <v>Dynamic</v>
      </c>
      <c r="F558">
        <f ca="1">_xll.BDH($B$143,$C$143,$B$425,$B$426,CONCATENATE("Per=",$B$423),"Dts=H","Dir=H",CONCATENATE("Points=",$B$424),"Sort=R","Days=A","Fill=B",CONCATENATE("FX=", $B$422),"cols=33;rows=1")</f>
        <v>37489.752999999997</v>
      </c>
      <c r="G558">
        <v>34994.381999999998</v>
      </c>
      <c r="H558">
        <v>32896.283000000003</v>
      </c>
      <c r="I558">
        <v>32538.832999999999</v>
      </c>
      <c r="J558">
        <v>26412.388999999999</v>
      </c>
      <c r="K558">
        <v>22656.544999999998</v>
      </c>
      <c r="L558">
        <v>22602.984</v>
      </c>
      <c r="M558">
        <v>19914.337</v>
      </c>
      <c r="N558">
        <v>19320.076000000001</v>
      </c>
      <c r="O558">
        <v>14331.906999999999</v>
      </c>
      <c r="P558">
        <v>12924.835999999999</v>
      </c>
      <c r="Q558">
        <v>11933.986000000001</v>
      </c>
      <c r="R558">
        <v>11541.575999999999</v>
      </c>
      <c r="S558">
        <v>9903.9040000000005</v>
      </c>
      <c r="T558">
        <v>8355.0220000000008</v>
      </c>
      <c r="U558">
        <v>7280.3559999999998</v>
      </c>
      <c r="V558">
        <v>7461.7690000000002</v>
      </c>
      <c r="W558">
        <v>6589.402</v>
      </c>
      <c r="X558">
        <v>4290.0709999999999</v>
      </c>
      <c r="Y558">
        <v>3818.864</v>
      </c>
      <c r="Z558">
        <v>3787.2489999999998</v>
      </c>
      <c r="AA558">
        <v>3911.26</v>
      </c>
      <c r="AB558">
        <v>4066.3939999999998</v>
      </c>
      <c r="AC558">
        <v>4976.098</v>
      </c>
      <c r="AM558" t="str">
        <f>""</f>
        <v/>
      </c>
      <c r="AN558" t="str">
        <f>""</f>
        <v/>
      </c>
      <c r="AO558" t="str">
        <f>""</f>
        <v/>
      </c>
      <c r="AP558" t="str">
        <f>""</f>
        <v/>
      </c>
      <c r="AQ558" t="str">
        <f>""</f>
        <v/>
      </c>
      <c r="AR558" t="str">
        <f>""</f>
        <v/>
      </c>
      <c r="AS558" t="str">
        <f>""</f>
        <v/>
      </c>
      <c r="AT558" t="str">
        <f>""</f>
        <v/>
      </c>
      <c r="AU558" t="str">
        <f>""</f>
        <v/>
      </c>
      <c r="AV558" t="str">
        <f>""</f>
        <v/>
      </c>
      <c r="AW558" t="str">
        <f>""</f>
        <v/>
      </c>
      <c r="AX558" t="str">
        <f>""</f>
        <v/>
      </c>
      <c r="AY558" t="str">
        <f>""</f>
        <v/>
      </c>
      <c r="AZ558" t="str">
        <f>""</f>
        <v/>
      </c>
      <c r="BA558" t="str">
        <f>""</f>
        <v/>
      </c>
      <c r="BB558" t="str">
        <f>""</f>
        <v/>
      </c>
      <c r="BC558" t="str">
        <f>""</f>
        <v/>
      </c>
      <c r="BD558" t="str">
        <f>""</f>
        <v/>
      </c>
      <c r="BE558" t="str">
        <f>""</f>
        <v/>
      </c>
      <c r="BF558" t="str">
        <f>""</f>
        <v/>
      </c>
      <c r="BG558" t="str">
        <f>""</f>
        <v/>
      </c>
      <c r="BH558" t="str">
        <f>""</f>
        <v/>
      </c>
      <c r="BI558" t="str">
        <f>""</f>
        <v/>
      </c>
      <c r="BJ558" t="str">
        <f>""</f>
        <v/>
      </c>
      <c r="BK558" t="str">
        <f>""</f>
        <v/>
      </c>
      <c r="BL558" t="str">
        <f>""</f>
        <v/>
      </c>
      <c r="BM558" t="str">
        <f>""</f>
        <v/>
      </c>
      <c r="BN558" t="str">
        <f>""</f>
        <v/>
      </c>
      <c r="BO558" t="str">
        <f>""</f>
        <v/>
      </c>
      <c r="BP558" t="str">
        <f>""</f>
        <v/>
      </c>
      <c r="BQ558" t="str">
        <f>""</f>
        <v/>
      </c>
      <c r="BR558" t="str">
        <f>""</f>
        <v/>
      </c>
      <c r="BS558" t="str">
        <f>""</f>
        <v/>
      </c>
    </row>
    <row r="559" spans="1:71" x14ac:dyDescent="0.25">
      <c r="A559" t="str">
        <f>$A$144</f>
        <v xml:space="preserve">        JPMorgan Chase &amp; Co</v>
      </c>
      <c r="B559" t="str">
        <f>$B$144</f>
        <v>JPM US Equity</v>
      </c>
      <c r="C559" t="str">
        <f>$C$144</f>
        <v>F0090</v>
      </c>
      <c r="D559" t="str">
        <f>$D$144</f>
        <v>FED_C&amp;I_LOANS_CONSOLIDATED</v>
      </c>
      <c r="E559" t="str">
        <f>$E$144</f>
        <v>Dynamic</v>
      </c>
      <c r="F559">
        <f ca="1">_xll.BDH($B$144,$C$144,$B$425,$B$426,CONCATENATE("Per=",$B$423),"Dts=H","Dir=H",CONCATENATE("Points=",$B$424),"Sort=R","Days=A","Fill=B",CONCATENATE("FX=", $B$422),"cols=33;rows=1")</f>
        <v>209303</v>
      </c>
      <c r="G559">
        <v>203463</v>
      </c>
      <c r="H559">
        <v>203114</v>
      </c>
      <c r="I559">
        <v>184118</v>
      </c>
      <c r="J559">
        <v>194307</v>
      </c>
      <c r="K559">
        <v>170132</v>
      </c>
      <c r="L559">
        <v>187705</v>
      </c>
      <c r="M559">
        <v>163990</v>
      </c>
      <c r="N559">
        <v>159097</v>
      </c>
      <c r="O559">
        <v>142509</v>
      </c>
      <c r="P559">
        <v>132264</v>
      </c>
      <c r="Q559">
        <v>131108</v>
      </c>
      <c r="R559">
        <v>140042</v>
      </c>
      <c r="S559">
        <v>122986</v>
      </c>
      <c r="T559">
        <v>98133</v>
      </c>
      <c r="U559">
        <v>104288</v>
      </c>
      <c r="V559">
        <v>151237</v>
      </c>
      <c r="W559">
        <v>140945</v>
      </c>
      <c r="X559">
        <v>102957</v>
      </c>
      <c r="Y559">
        <v>95807</v>
      </c>
      <c r="Z559">
        <v>71071</v>
      </c>
      <c r="AA559">
        <v>45508</v>
      </c>
      <c r="AB559">
        <v>52377</v>
      </c>
      <c r="AC559">
        <v>62210</v>
      </c>
      <c r="AM559" t="str">
        <f>""</f>
        <v/>
      </c>
      <c r="AN559" t="str">
        <f>""</f>
        <v/>
      </c>
      <c r="AO559" t="str">
        <f>""</f>
        <v/>
      </c>
      <c r="AP559" t="str">
        <f>""</f>
        <v/>
      </c>
      <c r="AQ559" t="str">
        <f>""</f>
        <v/>
      </c>
      <c r="AR559" t="str">
        <f>""</f>
        <v/>
      </c>
      <c r="AS559" t="str">
        <f>""</f>
        <v/>
      </c>
      <c r="AT559" t="str">
        <f>""</f>
        <v/>
      </c>
      <c r="AU559" t="str">
        <f>""</f>
        <v/>
      </c>
      <c r="AV559" t="str">
        <f>""</f>
        <v/>
      </c>
      <c r="AW559" t="str">
        <f>""</f>
        <v/>
      </c>
      <c r="AX559" t="str">
        <f>""</f>
        <v/>
      </c>
      <c r="AY559" t="str">
        <f>""</f>
        <v/>
      </c>
      <c r="AZ559" t="str">
        <f>""</f>
        <v/>
      </c>
      <c r="BA559" t="str">
        <f>""</f>
        <v/>
      </c>
      <c r="BB559" t="str">
        <f>""</f>
        <v/>
      </c>
      <c r="BC559" t="str">
        <f>""</f>
        <v/>
      </c>
      <c r="BD559" t="str">
        <f>""</f>
        <v/>
      </c>
      <c r="BE559" t="str">
        <f>""</f>
        <v/>
      </c>
      <c r="BF559" t="str">
        <f>""</f>
        <v/>
      </c>
      <c r="BG559" t="str">
        <f>""</f>
        <v/>
      </c>
      <c r="BH559" t="str">
        <f>""</f>
        <v/>
      </c>
      <c r="BI559" t="str">
        <f>""</f>
        <v/>
      </c>
      <c r="BJ559" t="str">
        <f>""</f>
        <v/>
      </c>
      <c r="BK559" t="str">
        <f>""</f>
        <v/>
      </c>
      <c r="BL559" t="str">
        <f>""</f>
        <v/>
      </c>
      <c r="BM559" t="str">
        <f>""</f>
        <v/>
      </c>
      <c r="BN559" t="str">
        <f>""</f>
        <v/>
      </c>
      <c r="BO559" t="str">
        <f>""</f>
        <v/>
      </c>
      <c r="BP559" t="str">
        <f>""</f>
        <v/>
      </c>
      <c r="BQ559" t="str">
        <f>""</f>
        <v/>
      </c>
      <c r="BR559" t="str">
        <f>""</f>
        <v/>
      </c>
      <c r="BS559" t="str">
        <f>""</f>
        <v/>
      </c>
    </row>
    <row r="560" spans="1:71" x14ac:dyDescent="0.25">
      <c r="A560" t="str">
        <f>$A$145</f>
        <v xml:space="preserve">        KeyCorp</v>
      </c>
      <c r="B560" t="str">
        <f>$B$145</f>
        <v>KEY US Equity</v>
      </c>
      <c r="C560" t="str">
        <f>$C$145</f>
        <v>F0090</v>
      </c>
      <c r="D560" t="str">
        <f>$D$145</f>
        <v>FED_C&amp;I_LOANS_CONSOLIDATED</v>
      </c>
      <c r="E560" t="str">
        <f>$E$145</f>
        <v>Dynamic</v>
      </c>
      <c r="F560">
        <f ca="1">_xll.BDH($B$145,$C$145,$B$425,$B$426,CONCATENATE("Per=",$B$423),"Dts=H","Dir=H",CONCATENATE("Points=",$B$424),"Sort=R","Days=A","Fill=B",CONCATENATE("FX=", $B$422),"cols=33;rows=1")</f>
        <v>29882.120999999999</v>
      </c>
      <c r="G560">
        <v>43611.724999999999</v>
      </c>
      <c r="H560">
        <v>47814.218000000001</v>
      </c>
      <c r="I560">
        <v>40951.442000000003</v>
      </c>
      <c r="J560">
        <v>42458.186999999998</v>
      </c>
      <c r="K560">
        <v>37877.345999999998</v>
      </c>
      <c r="L560">
        <v>35782.658000000003</v>
      </c>
      <c r="M560">
        <v>32186.217000000001</v>
      </c>
      <c r="N560">
        <v>31327.346000000001</v>
      </c>
      <c r="O560">
        <v>23833.455999999998</v>
      </c>
      <c r="P560">
        <v>21897.774000000001</v>
      </c>
      <c r="Q560">
        <v>19705.674999999999</v>
      </c>
      <c r="R560">
        <v>18111.273000000001</v>
      </c>
      <c r="S560">
        <v>15107.800999999999</v>
      </c>
      <c r="T560">
        <v>13088.797</v>
      </c>
      <c r="U560">
        <v>15471.279</v>
      </c>
      <c r="V560">
        <v>22045.314999999999</v>
      </c>
      <c r="W560">
        <v>20982.507000000001</v>
      </c>
      <c r="X560">
        <v>19018.858</v>
      </c>
      <c r="Y560">
        <v>20026.053</v>
      </c>
      <c r="Z560">
        <v>17603.861000000001</v>
      </c>
      <c r="AA560">
        <v>15819.625</v>
      </c>
      <c r="AB560">
        <v>16393.400000000001</v>
      </c>
      <c r="AC560">
        <v>16986.830999999998</v>
      </c>
      <c r="AM560" t="str">
        <f>""</f>
        <v/>
      </c>
      <c r="AN560" t="str">
        <f>""</f>
        <v/>
      </c>
      <c r="AO560" t="str">
        <f>""</f>
        <v/>
      </c>
      <c r="AP560" t="str">
        <f>""</f>
        <v/>
      </c>
      <c r="AQ560" t="str">
        <f>""</f>
        <v/>
      </c>
      <c r="AR560" t="str">
        <f>""</f>
        <v/>
      </c>
      <c r="AS560" t="str">
        <f>""</f>
        <v/>
      </c>
      <c r="AT560" t="str">
        <f>""</f>
        <v/>
      </c>
      <c r="AU560" t="str">
        <f>""</f>
        <v/>
      </c>
      <c r="AV560" t="str">
        <f>""</f>
        <v/>
      </c>
      <c r="AW560" t="str">
        <f>""</f>
        <v/>
      </c>
      <c r="AX560" t="str">
        <f>""</f>
        <v/>
      </c>
      <c r="AY560" t="str">
        <f>""</f>
        <v/>
      </c>
      <c r="AZ560" t="str">
        <f>""</f>
        <v/>
      </c>
      <c r="BA560" t="str">
        <f>""</f>
        <v/>
      </c>
      <c r="BB560" t="str">
        <f>""</f>
        <v/>
      </c>
      <c r="BC560" t="str">
        <f>""</f>
        <v/>
      </c>
      <c r="BD560" t="str">
        <f>""</f>
        <v/>
      </c>
      <c r="BE560" t="str">
        <f>""</f>
        <v/>
      </c>
      <c r="BF560" t="str">
        <f>""</f>
        <v/>
      </c>
      <c r="BG560" t="str">
        <f>""</f>
        <v/>
      </c>
      <c r="BH560" t="str">
        <f>""</f>
        <v/>
      </c>
      <c r="BI560" t="str">
        <f>""</f>
        <v/>
      </c>
      <c r="BJ560" t="str">
        <f>""</f>
        <v/>
      </c>
      <c r="BK560" t="str">
        <f>""</f>
        <v/>
      </c>
      <c r="BL560" t="str">
        <f>""</f>
        <v/>
      </c>
      <c r="BM560" t="str">
        <f>""</f>
        <v/>
      </c>
      <c r="BN560" t="str">
        <f>""</f>
        <v/>
      </c>
      <c r="BO560" t="str">
        <f>""</f>
        <v/>
      </c>
      <c r="BP560" t="str">
        <f>""</f>
        <v/>
      </c>
      <c r="BQ560" t="str">
        <f>""</f>
        <v/>
      </c>
      <c r="BR560" t="str">
        <f>""</f>
        <v/>
      </c>
      <c r="BS560" t="str">
        <f>""</f>
        <v/>
      </c>
    </row>
    <row r="561" spans="1:71" x14ac:dyDescent="0.25">
      <c r="A561" t="str">
        <f>$A$146</f>
        <v xml:space="preserve">        M&amp;T Bank Corp</v>
      </c>
      <c r="B561" t="str">
        <f>$B$146</f>
        <v>MTB US Equity</v>
      </c>
      <c r="C561" t="str">
        <f>$C$146</f>
        <v>F0090</v>
      </c>
      <c r="D561" t="str">
        <f>$D$146</f>
        <v>FED_C&amp;I_LOANS_CONSOLIDATED</v>
      </c>
      <c r="E561" t="str">
        <f>$E$146</f>
        <v>Dynamic</v>
      </c>
      <c r="F561">
        <f ca="1">_xll.BDH($B$146,$C$146,$B$425,$B$426,CONCATENATE("Per=",$B$423),"Dts=H","Dir=H",CONCATENATE("Points=",$B$424),"Sort=R","Days=A","Fill=B",CONCATENATE("FX=", $B$422),"cols=33;rows=1")</f>
        <v>34222.269</v>
      </c>
      <c r="G561">
        <v>32253.179</v>
      </c>
      <c r="H561">
        <v>30117.152999999998</v>
      </c>
      <c r="I561">
        <v>18072.280999999999</v>
      </c>
      <c r="J561">
        <v>22431.38</v>
      </c>
      <c r="K561">
        <v>19110.425999999999</v>
      </c>
      <c r="L561">
        <v>18208.703000000001</v>
      </c>
      <c r="M561">
        <v>16995.805</v>
      </c>
      <c r="N561">
        <v>17866.157999999999</v>
      </c>
      <c r="O561">
        <v>16635.322</v>
      </c>
      <c r="P561">
        <v>15919.504999999999</v>
      </c>
      <c r="Q561">
        <v>15264.999</v>
      </c>
      <c r="R561">
        <v>14285.958000000001</v>
      </c>
      <c r="S561">
        <v>12775.628000000001</v>
      </c>
      <c r="T561">
        <v>10645.817999999999</v>
      </c>
      <c r="U561">
        <v>10409.481</v>
      </c>
      <c r="V561">
        <v>11162.627</v>
      </c>
      <c r="W561">
        <v>10633.120999999999</v>
      </c>
      <c r="X561">
        <v>9832.6039999999994</v>
      </c>
      <c r="Y561">
        <v>9060.1</v>
      </c>
      <c r="Z561">
        <v>8106.2020000000002</v>
      </c>
      <c r="AA561">
        <v>7628.7240000000002</v>
      </c>
      <c r="AB561">
        <v>4855.3549999999996</v>
      </c>
      <c r="AC561">
        <v>4681.1670000000004</v>
      </c>
      <c r="AM561" t="str">
        <f>""</f>
        <v/>
      </c>
      <c r="AN561" t="str">
        <f>""</f>
        <v/>
      </c>
      <c r="AO561" t="str">
        <f>""</f>
        <v/>
      </c>
      <c r="AP561" t="str">
        <f>""</f>
        <v/>
      </c>
      <c r="AQ561" t="str">
        <f>""</f>
        <v/>
      </c>
      <c r="AR561" t="str">
        <f>""</f>
        <v/>
      </c>
      <c r="AS561" t="str">
        <f>""</f>
        <v/>
      </c>
      <c r="AT561" t="str">
        <f>""</f>
        <v/>
      </c>
      <c r="AU561" t="str">
        <f>""</f>
        <v/>
      </c>
      <c r="AV561" t="str">
        <f>""</f>
        <v/>
      </c>
      <c r="AW561" t="str">
        <f>""</f>
        <v/>
      </c>
      <c r="AX561" t="str">
        <f>""</f>
        <v/>
      </c>
      <c r="AY561" t="str">
        <f>""</f>
        <v/>
      </c>
      <c r="AZ561" t="str">
        <f>""</f>
        <v/>
      </c>
      <c r="BA561" t="str">
        <f>""</f>
        <v/>
      </c>
      <c r="BB561" t="str">
        <f>""</f>
        <v/>
      </c>
      <c r="BC561" t="str">
        <f>""</f>
        <v/>
      </c>
      <c r="BD561" t="str">
        <f>""</f>
        <v/>
      </c>
      <c r="BE561" t="str">
        <f>""</f>
        <v/>
      </c>
      <c r="BF561" t="str">
        <f>""</f>
        <v/>
      </c>
      <c r="BG561" t="str">
        <f>""</f>
        <v/>
      </c>
      <c r="BH561" t="str">
        <f>""</f>
        <v/>
      </c>
      <c r="BI561" t="str">
        <f>""</f>
        <v/>
      </c>
      <c r="BJ561" t="str">
        <f>""</f>
        <v/>
      </c>
      <c r="BK561" t="str">
        <f>""</f>
        <v/>
      </c>
      <c r="BL561" t="str">
        <f>""</f>
        <v/>
      </c>
      <c r="BM561" t="str">
        <f>""</f>
        <v/>
      </c>
      <c r="BN561" t="str">
        <f>""</f>
        <v/>
      </c>
      <c r="BO561" t="str">
        <f>""</f>
        <v/>
      </c>
      <c r="BP561" t="str">
        <f>""</f>
        <v/>
      </c>
      <c r="BQ561" t="str">
        <f>""</f>
        <v/>
      </c>
      <c r="BR561" t="str">
        <f>""</f>
        <v/>
      </c>
      <c r="BS561" t="str">
        <f>""</f>
        <v/>
      </c>
    </row>
    <row r="562" spans="1:71" x14ac:dyDescent="0.25">
      <c r="A562" t="str">
        <f>$A$147</f>
        <v xml:space="preserve">        PNC Financial Services Group I</v>
      </c>
      <c r="B562" t="str">
        <f>$B$147</f>
        <v>PNC US Equity</v>
      </c>
      <c r="C562" t="str">
        <f>$C$147</f>
        <v>F0090</v>
      </c>
      <c r="D562" t="str">
        <f>$D$147</f>
        <v>FED_C&amp;I_LOANS_CONSOLIDATED</v>
      </c>
      <c r="E562" t="str">
        <f>$E$147</f>
        <v>Dynamic</v>
      </c>
      <c r="F562">
        <f ca="1">_xll.BDH($B$147,$C$147,$B$425,$B$426,CONCATENATE("Per=",$B$423),"Dts=H","Dir=H",CONCATENATE("Points=",$B$424),"Sort=R","Days=A","Fill=B",CONCATENATE("FX=", $B$422),"cols=33;rows=1")</f>
        <v>128008.568</v>
      </c>
      <c r="G562">
        <v>125994.44500000001</v>
      </c>
      <c r="H562">
        <v>132314.62899999999</v>
      </c>
      <c r="I562">
        <v>106428.61900000001</v>
      </c>
      <c r="J562">
        <v>95486.464999999997</v>
      </c>
      <c r="K562">
        <v>93254.900999999998</v>
      </c>
      <c r="L562">
        <v>85762.775999999998</v>
      </c>
      <c r="M562">
        <v>77382.951000000001</v>
      </c>
      <c r="N562">
        <v>70593.168999999994</v>
      </c>
      <c r="O562">
        <v>66632.725999999995</v>
      </c>
      <c r="P562">
        <v>65413.718999999997</v>
      </c>
      <c r="Q562">
        <v>58732.574999999997</v>
      </c>
      <c r="R562">
        <v>55374.694000000003</v>
      </c>
      <c r="S562">
        <v>46823.828999999998</v>
      </c>
      <c r="T562">
        <v>41165.542000000001</v>
      </c>
      <c r="U562">
        <v>41526.555999999997</v>
      </c>
      <c r="V562">
        <v>53163.866999999998</v>
      </c>
      <c r="W562">
        <v>21373.972000000002</v>
      </c>
      <c r="X562">
        <v>16803.666000000001</v>
      </c>
      <c r="Y562">
        <v>14883.858</v>
      </c>
      <c r="Z562">
        <v>14506.432000000001</v>
      </c>
      <c r="AA562">
        <v>11833.71</v>
      </c>
      <c r="AB562">
        <v>12741.907999999999</v>
      </c>
      <c r="AC562">
        <v>14637.947</v>
      </c>
      <c r="AM562" t="str">
        <f>""</f>
        <v/>
      </c>
      <c r="AN562" t="str">
        <f>""</f>
        <v/>
      </c>
      <c r="AO562" t="str">
        <f>""</f>
        <v/>
      </c>
      <c r="AP562" t="str">
        <f>""</f>
        <v/>
      </c>
      <c r="AQ562" t="str">
        <f>""</f>
        <v/>
      </c>
      <c r="AR562" t="str">
        <f>""</f>
        <v/>
      </c>
      <c r="AS562" t="str">
        <f>""</f>
        <v/>
      </c>
      <c r="AT562" t="str">
        <f>""</f>
        <v/>
      </c>
      <c r="AU562" t="str">
        <f>""</f>
        <v/>
      </c>
      <c r="AV562" t="str">
        <f>""</f>
        <v/>
      </c>
      <c r="AW562" t="str">
        <f>""</f>
        <v/>
      </c>
      <c r="AX562" t="str">
        <f>""</f>
        <v/>
      </c>
      <c r="AY562" t="str">
        <f>""</f>
        <v/>
      </c>
      <c r="AZ562" t="str">
        <f>""</f>
        <v/>
      </c>
      <c r="BA562" t="str">
        <f>""</f>
        <v/>
      </c>
      <c r="BB562" t="str">
        <f>""</f>
        <v/>
      </c>
      <c r="BC562" t="str">
        <f>""</f>
        <v/>
      </c>
      <c r="BD562" t="str">
        <f>""</f>
        <v/>
      </c>
      <c r="BE562" t="str">
        <f>""</f>
        <v/>
      </c>
      <c r="BF562" t="str">
        <f>""</f>
        <v/>
      </c>
      <c r="BG562" t="str">
        <f>""</f>
        <v/>
      </c>
      <c r="BH562" t="str">
        <f>""</f>
        <v/>
      </c>
      <c r="BI562" t="str">
        <f>""</f>
        <v/>
      </c>
      <c r="BJ562" t="str">
        <f>""</f>
        <v/>
      </c>
      <c r="BK562" t="str">
        <f>""</f>
        <v/>
      </c>
      <c r="BL562" t="str">
        <f>""</f>
        <v/>
      </c>
      <c r="BM562" t="str">
        <f>""</f>
        <v/>
      </c>
      <c r="BN562" t="str">
        <f>""</f>
        <v/>
      </c>
      <c r="BO562" t="str">
        <f>""</f>
        <v/>
      </c>
      <c r="BP562" t="str">
        <f>""</f>
        <v/>
      </c>
      <c r="BQ562" t="str">
        <f>""</f>
        <v/>
      </c>
      <c r="BR562" t="str">
        <f>""</f>
        <v/>
      </c>
      <c r="BS562" t="str">
        <f>""</f>
        <v/>
      </c>
    </row>
    <row r="563" spans="1:71" x14ac:dyDescent="0.25">
      <c r="A563" t="str">
        <f>$A$148</f>
        <v xml:space="preserve">        Regions Financial Corp</v>
      </c>
      <c r="B563" t="str">
        <f>$B$148</f>
        <v>RF US Equity</v>
      </c>
      <c r="C563" t="str">
        <f>$C$148</f>
        <v>F0090</v>
      </c>
      <c r="D563" t="str">
        <f>$D$148</f>
        <v>FED_C&amp;I_LOANS_CONSOLIDATED</v>
      </c>
      <c r="E563" t="str">
        <f>$E$148</f>
        <v>Dynamic</v>
      </c>
      <c r="F563">
        <f ca="1">_xll.BDH($B$148,$C$148,$B$425,$B$426,CONCATENATE("Per=",$B$423),"Dts=H","Dir=H",CONCATENATE("Points=",$B$424),"Sort=R","Days=A","Fill=B",CONCATENATE("FX=", $B$422),"cols=33;rows=1")</f>
        <v>26998</v>
      </c>
      <c r="G563">
        <v>31885</v>
      </c>
      <c r="H563">
        <v>32769</v>
      </c>
      <c r="I563">
        <v>28262</v>
      </c>
      <c r="J563">
        <v>27535</v>
      </c>
      <c r="K563">
        <v>24694</v>
      </c>
      <c r="L563">
        <v>24341.149000000001</v>
      </c>
      <c r="M563">
        <v>22355.168000000001</v>
      </c>
      <c r="N563">
        <v>22264.366000000002</v>
      </c>
      <c r="O563">
        <v>24129.534</v>
      </c>
      <c r="P563">
        <v>23025.473000000002</v>
      </c>
      <c r="Q563">
        <v>20479.853999999999</v>
      </c>
      <c r="R563">
        <v>18619.994999999999</v>
      </c>
      <c r="S563">
        <v>16891.184000000001</v>
      </c>
      <c r="T563">
        <v>15042.178</v>
      </c>
      <c r="U563">
        <v>13600.87</v>
      </c>
      <c r="V563">
        <v>16538.911</v>
      </c>
      <c r="W563">
        <v>15742.521000000001</v>
      </c>
      <c r="X563">
        <v>15510.133</v>
      </c>
      <c r="Y563">
        <v>9745.3590000000004</v>
      </c>
      <c r="Z563">
        <v>10144.789000000001</v>
      </c>
      <c r="AM563" t="str">
        <f>""</f>
        <v/>
      </c>
      <c r="AN563" t="str">
        <f>""</f>
        <v/>
      </c>
      <c r="AO563" t="str">
        <f>""</f>
        <v/>
      </c>
      <c r="AP563" t="str">
        <f>""</f>
        <v/>
      </c>
      <c r="AQ563" t="str">
        <f>""</f>
        <v/>
      </c>
      <c r="AR563" t="str">
        <f>""</f>
        <v/>
      </c>
      <c r="AS563" t="str">
        <f>""</f>
        <v/>
      </c>
      <c r="AT563" t="str">
        <f>""</f>
        <v/>
      </c>
      <c r="AU563" t="str">
        <f>""</f>
        <v/>
      </c>
      <c r="AV563" t="str">
        <f>""</f>
        <v/>
      </c>
      <c r="AW563" t="str">
        <f>""</f>
        <v/>
      </c>
      <c r="AX563" t="str">
        <f>""</f>
        <v/>
      </c>
      <c r="AY563" t="str">
        <f>""</f>
        <v/>
      </c>
      <c r="AZ563" t="str">
        <f>""</f>
        <v/>
      </c>
      <c r="BA563" t="str">
        <f>""</f>
        <v/>
      </c>
      <c r="BB563" t="str">
        <f>""</f>
        <v/>
      </c>
      <c r="BC563" t="str">
        <f>""</f>
        <v/>
      </c>
      <c r="BD563" t="str">
        <f>""</f>
        <v/>
      </c>
      <c r="BE563" t="str">
        <f>""</f>
        <v/>
      </c>
      <c r="BF563" t="str">
        <f>""</f>
        <v/>
      </c>
      <c r="BG563" t="str">
        <f>""</f>
        <v/>
      </c>
      <c r="BH563" t="str">
        <f>""</f>
        <v/>
      </c>
      <c r="BI563" t="str">
        <f>""</f>
        <v/>
      </c>
      <c r="BJ563" t="str">
        <f>""</f>
        <v/>
      </c>
      <c r="BK563" t="str">
        <f>""</f>
        <v/>
      </c>
      <c r="BL563" t="str">
        <f>""</f>
        <v/>
      </c>
      <c r="BM563" t="str">
        <f>""</f>
        <v/>
      </c>
      <c r="BN563" t="str">
        <f>""</f>
        <v/>
      </c>
      <c r="BO563" t="str">
        <f>""</f>
        <v/>
      </c>
      <c r="BP563" t="str">
        <f>""</f>
        <v/>
      </c>
      <c r="BQ563" t="str">
        <f>""</f>
        <v/>
      </c>
      <c r="BR563" t="str">
        <f>""</f>
        <v/>
      </c>
      <c r="BS563" t="str">
        <f>""</f>
        <v/>
      </c>
    </row>
    <row r="564" spans="1:71" x14ac:dyDescent="0.25">
      <c r="A564" t="str">
        <f>$A$149</f>
        <v xml:space="preserve">        Truist Financial Corp</v>
      </c>
      <c r="B564" t="str">
        <f>$B$149</f>
        <v>TFC US Equity</v>
      </c>
      <c r="C564" t="str">
        <f>$C$149</f>
        <v>F0090</v>
      </c>
      <c r="D564" t="str">
        <f>$D$149</f>
        <v>FED_C&amp;I_LOANS_CONSOLIDATED</v>
      </c>
      <c r="E564" t="str">
        <f>$E$149</f>
        <v>Dynamic</v>
      </c>
      <c r="F564">
        <f ca="1">_xll.BDH($B$149,$C$149,$B$425,$B$426,CONCATENATE("Per=",$B$423),"Dts=H","Dir=H",CONCATENATE("Points=",$B$424),"Sort=R","Days=A","Fill=B",CONCATENATE("FX=", $B$422),"cols=33;rows=1")</f>
        <v>73044</v>
      </c>
      <c r="G564">
        <v>84868</v>
      </c>
      <c r="H564">
        <v>85975</v>
      </c>
      <c r="I564">
        <v>67662</v>
      </c>
      <c r="J564">
        <v>74317</v>
      </c>
      <c r="K564">
        <v>72918</v>
      </c>
      <c r="L564">
        <v>30585</v>
      </c>
      <c r="M564">
        <v>27295</v>
      </c>
      <c r="N564">
        <v>26347.428</v>
      </c>
      <c r="O564">
        <v>23704.774000000001</v>
      </c>
      <c r="P564">
        <v>19240.063999999998</v>
      </c>
      <c r="Q564">
        <v>17216.150000000001</v>
      </c>
      <c r="R564">
        <v>16377.409</v>
      </c>
      <c r="S564">
        <v>15111.341</v>
      </c>
      <c r="T564">
        <v>13657.004000000001</v>
      </c>
      <c r="U564">
        <v>14351.191999999999</v>
      </c>
      <c r="V564">
        <v>14575.347</v>
      </c>
      <c r="W564">
        <v>12358.584999999999</v>
      </c>
      <c r="X564">
        <v>9170.2209999999995</v>
      </c>
      <c r="Y564">
        <v>8152.5309999999999</v>
      </c>
      <c r="Z564">
        <v>7594.5249999999996</v>
      </c>
      <c r="AA564">
        <v>7181.3829999999998</v>
      </c>
      <c r="AB564">
        <v>6909.3459999999995</v>
      </c>
      <c r="AC564">
        <v>6450.5479999999998</v>
      </c>
      <c r="AM564" t="str">
        <f>""</f>
        <v/>
      </c>
      <c r="AN564" t="str">
        <f>""</f>
        <v/>
      </c>
      <c r="AO564" t="str">
        <f>""</f>
        <v/>
      </c>
      <c r="AP564" t="str">
        <f>""</f>
        <v/>
      </c>
      <c r="AQ564" t="str">
        <f>""</f>
        <v/>
      </c>
      <c r="AR564" t="str">
        <f>""</f>
        <v/>
      </c>
      <c r="AS564" t="str">
        <f>""</f>
        <v/>
      </c>
      <c r="AT564" t="str">
        <f>""</f>
        <v/>
      </c>
      <c r="AU564" t="str">
        <f>""</f>
        <v/>
      </c>
      <c r="AV564" t="str">
        <f>""</f>
        <v/>
      </c>
      <c r="AW564" t="str">
        <f>""</f>
        <v/>
      </c>
      <c r="AX564" t="str">
        <f>""</f>
        <v/>
      </c>
      <c r="AY564" t="str">
        <f>""</f>
        <v/>
      </c>
      <c r="AZ564" t="str">
        <f>""</f>
        <v/>
      </c>
      <c r="BA564" t="str">
        <f>""</f>
        <v/>
      </c>
      <c r="BB564" t="str">
        <f>""</f>
        <v/>
      </c>
      <c r="BC564" t="str">
        <f>""</f>
        <v/>
      </c>
      <c r="BD564" t="str">
        <f>""</f>
        <v/>
      </c>
      <c r="BE564" t="str">
        <f>""</f>
        <v/>
      </c>
      <c r="BF564" t="str">
        <f>""</f>
        <v/>
      </c>
      <c r="BG564" t="str">
        <f>""</f>
        <v/>
      </c>
      <c r="BH564" t="str">
        <f>""</f>
        <v/>
      </c>
      <c r="BI564" t="str">
        <f>""</f>
        <v/>
      </c>
      <c r="BJ564" t="str">
        <f>""</f>
        <v/>
      </c>
      <c r="BK564" t="str">
        <f>""</f>
        <v/>
      </c>
      <c r="BL564" t="str">
        <f>""</f>
        <v/>
      </c>
      <c r="BM564" t="str">
        <f>""</f>
        <v/>
      </c>
      <c r="BN564" t="str">
        <f>""</f>
        <v/>
      </c>
      <c r="BO564" t="str">
        <f>""</f>
        <v/>
      </c>
      <c r="BP564" t="str">
        <f>""</f>
        <v/>
      </c>
      <c r="BQ564" t="str">
        <f>""</f>
        <v/>
      </c>
      <c r="BR564" t="str">
        <f>""</f>
        <v/>
      </c>
      <c r="BS564" t="str">
        <f>""</f>
        <v/>
      </c>
    </row>
    <row r="565" spans="1:71" x14ac:dyDescent="0.25">
      <c r="A565" t="str">
        <f>$A$150</f>
        <v xml:space="preserve">        US Bancorp</v>
      </c>
      <c r="B565" t="str">
        <f>$B$150</f>
        <v>USB US Equity</v>
      </c>
      <c r="C565" t="str">
        <f>$C$150</f>
        <v>F0090</v>
      </c>
      <c r="D565" t="str">
        <f>$D$150</f>
        <v>FED_C&amp;I_LOANS_CONSOLIDATED</v>
      </c>
      <c r="E565" t="str">
        <f>$E$150</f>
        <v>Dynamic</v>
      </c>
      <c r="F565">
        <f ca="1">_xll.BDH($B$150,$C$150,$B$425,$B$426,CONCATENATE("Per=",$B$423),"Dts=H","Dir=H",CONCATENATE("Points=",$B$424),"Sort=R","Days=A","Fill=B",CONCATENATE("FX=", $B$422),"cols=33;rows=1")</f>
        <v>95678</v>
      </c>
      <c r="G565">
        <v>97762</v>
      </c>
      <c r="H565">
        <v>102781</v>
      </c>
      <c r="I565">
        <v>81410</v>
      </c>
      <c r="J565">
        <v>76481</v>
      </c>
      <c r="K565">
        <v>78746</v>
      </c>
      <c r="L565">
        <v>78395</v>
      </c>
      <c r="M565">
        <v>72328</v>
      </c>
      <c r="N565">
        <v>69077</v>
      </c>
      <c r="O565">
        <v>66463</v>
      </c>
      <c r="P565">
        <v>60541</v>
      </c>
      <c r="Q565">
        <v>52220</v>
      </c>
      <c r="R565">
        <v>48329</v>
      </c>
      <c r="S565">
        <v>41648</v>
      </c>
      <c r="T565">
        <v>35626</v>
      </c>
      <c r="U565">
        <v>35985</v>
      </c>
      <c r="V565">
        <v>41983</v>
      </c>
      <c r="W565">
        <v>37337</v>
      </c>
      <c r="X565">
        <v>33502</v>
      </c>
      <c r="Y565">
        <v>31291</v>
      </c>
      <c r="Z565">
        <v>29203</v>
      </c>
      <c r="AA565">
        <v>27605</v>
      </c>
      <c r="AB565">
        <v>29337</v>
      </c>
      <c r="AC565">
        <v>34288</v>
      </c>
      <c r="AM565" t="str">
        <f>""</f>
        <v/>
      </c>
      <c r="AN565" t="str">
        <f>""</f>
        <v/>
      </c>
      <c r="AO565" t="str">
        <f>""</f>
        <v/>
      </c>
      <c r="AP565" t="str">
        <f>""</f>
        <v/>
      </c>
      <c r="AQ565" t="str">
        <f>""</f>
        <v/>
      </c>
      <c r="AR565" t="str">
        <f>""</f>
        <v/>
      </c>
      <c r="AS565" t="str">
        <f>""</f>
        <v/>
      </c>
      <c r="AT565" t="str">
        <f>""</f>
        <v/>
      </c>
      <c r="AU565" t="str">
        <f>""</f>
        <v/>
      </c>
      <c r="AV565" t="str">
        <f>""</f>
        <v/>
      </c>
      <c r="AW565" t="str">
        <f>""</f>
        <v/>
      </c>
      <c r="AX565" t="str">
        <f>""</f>
        <v/>
      </c>
      <c r="AY565" t="str">
        <f>""</f>
        <v/>
      </c>
      <c r="AZ565" t="str">
        <f>""</f>
        <v/>
      </c>
      <c r="BA565" t="str">
        <f>""</f>
        <v/>
      </c>
      <c r="BB565" t="str">
        <f>""</f>
        <v/>
      </c>
      <c r="BC565" t="str">
        <f>""</f>
        <v/>
      </c>
      <c r="BD565" t="str">
        <f>""</f>
        <v/>
      </c>
      <c r="BE565" t="str">
        <f>""</f>
        <v/>
      </c>
      <c r="BF565" t="str">
        <f>""</f>
        <v/>
      </c>
      <c r="BG565" t="str">
        <f>""</f>
        <v/>
      </c>
      <c r="BH565" t="str">
        <f>""</f>
        <v/>
      </c>
      <c r="BI565" t="str">
        <f>""</f>
        <v/>
      </c>
      <c r="BJ565" t="str">
        <f>""</f>
        <v/>
      </c>
      <c r="BK565" t="str">
        <f>""</f>
        <v/>
      </c>
      <c r="BL565" t="str">
        <f>""</f>
        <v/>
      </c>
      <c r="BM565" t="str">
        <f>""</f>
        <v/>
      </c>
      <c r="BN565" t="str">
        <f>""</f>
        <v/>
      </c>
      <c r="BO565" t="str">
        <f>""</f>
        <v/>
      </c>
      <c r="BP565" t="str">
        <f>""</f>
        <v/>
      </c>
      <c r="BQ565" t="str">
        <f>""</f>
        <v/>
      </c>
      <c r="BR565" t="str">
        <f>""</f>
        <v/>
      </c>
      <c r="BS565" t="str">
        <f>""</f>
        <v/>
      </c>
    </row>
    <row r="566" spans="1:71" x14ac:dyDescent="0.25">
      <c r="A566" t="str">
        <f>$A$151</f>
        <v xml:space="preserve">        Wells Fargo &amp; Co</v>
      </c>
      <c r="B566" t="str">
        <f>$B$151</f>
        <v>WFC US Equity</v>
      </c>
      <c r="C566" t="str">
        <f>$C$151</f>
        <v>F0090</v>
      </c>
      <c r="D566" t="str">
        <f>$D$151</f>
        <v>FED_C&amp;I_LOANS_CONSOLIDATED</v>
      </c>
      <c r="E566" t="str">
        <f>$E$151</f>
        <v>Dynamic</v>
      </c>
      <c r="F566">
        <f ca="1">_xll.BDH($B$151,$C$151,$B$425,$B$426,CONCATENATE("Per=",$B$423),"Dts=H","Dir=H",CONCATENATE("Points=",$B$424),"Sort=R","Days=A","Fill=B",CONCATENATE("FX=", $B$422),"cols=33;rows=1")</f>
        <v>186842</v>
      </c>
      <c r="G566">
        <v>191935</v>
      </c>
      <c r="H566">
        <v>195014</v>
      </c>
      <c r="I566">
        <v>167959</v>
      </c>
      <c r="J566">
        <v>162803</v>
      </c>
      <c r="K566">
        <v>188066</v>
      </c>
      <c r="L566">
        <v>193655</v>
      </c>
      <c r="M566">
        <v>185652</v>
      </c>
      <c r="N566">
        <v>185552</v>
      </c>
      <c r="O566">
        <v>165255</v>
      </c>
      <c r="P566">
        <v>160499</v>
      </c>
      <c r="Q566">
        <v>152748</v>
      </c>
      <c r="R566">
        <v>155987</v>
      </c>
      <c r="S566">
        <v>147906</v>
      </c>
      <c r="T566">
        <v>127306</v>
      </c>
      <c r="U566">
        <v>142755</v>
      </c>
      <c r="V566">
        <v>184957</v>
      </c>
      <c r="W566">
        <v>79462</v>
      </c>
      <c r="X566">
        <v>60843</v>
      </c>
      <c r="Y566">
        <v>52327</v>
      </c>
      <c r="Z566">
        <v>46607</v>
      </c>
      <c r="AA566">
        <v>42337</v>
      </c>
      <c r="AB566">
        <v>40505</v>
      </c>
      <c r="AC566">
        <v>41334</v>
      </c>
      <c r="AM566" t="str">
        <f>""</f>
        <v/>
      </c>
      <c r="AN566" t="str">
        <f>""</f>
        <v/>
      </c>
      <c r="AO566" t="str">
        <f>""</f>
        <v/>
      </c>
      <c r="AP566" t="str">
        <f>""</f>
        <v/>
      </c>
      <c r="AQ566" t="str">
        <f>""</f>
        <v/>
      </c>
      <c r="AR566" t="str">
        <f>""</f>
        <v/>
      </c>
      <c r="AS566" t="str">
        <f>""</f>
        <v/>
      </c>
      <c r="AT566" t="str">
        <f>""</f>
        <v/>
      </c>
      <c r="AU566" t="str">
        <f>""</f>
        <v/>
      </c>
      <c r="AV566" t="str">
        <f>""</f>
        <v/>
      </c>
      <c r="AW566" t="str">
        <f>""</f>
        <v/>
      </c>
      <c r="AX566" t="str">
        <f>""</f>
        <v/>
      </c>
      <c r="AY566" t="str">
        <f>""</f>
        <v/>
      </c>
      <c r="AZ566" t="str">
        <f>""</f>
        <v/>
      </c>
      <c r="BA566" t="str">
        <f>""</f>
        <v/>
      </c>
      <c r="BB566" t="str">
        <f>""</f>
        <v/>
      </c>
      <c r="BC566" t="str">
        <f>""</f>
        <v/>
      </c>
      <c r="BD566" t="str">
        <f>""</f>
        <v/>
      </c>
      <c r="BE566" t="str">
        <f>""</f>
        <v/>
      </c>
      <c r="BF566" t="str">
        <f>""</f>
        <v/>
      </c>
      <c r="BG566" t="str">
        <f>""</f>
        <v/>
      </c>
      <c r="BH566" t="str">
        <f>""</f>
        <v/>
      </c>
      <c r="BI566" t="str">
        <f>""</f>
        <v/>
      </c>
      <c r="BJ566" t="str">
        <f>""</f>
        <v/>
      </c>
      <c r="BK566" t="str">
        <f>""</f>
        <v/>
      </c>
      <c r="BL566" t="str">
        <f>""</f>
        <v/>
      </c>
      <c r="BM566" t="str">
        <f>""</f>
        <v/>
      </c>
      <c r="BN566" t="str">
        <f>""</f>
        <v/>
      </c>
      <c r="BO566" t="str">
        <f>""</f>
        <v/>
      </c>
      <c r="BP566" t="str">
        <f>""</f>
        <v/>
      </c>
      <c r="BQ566" t="str">
        <f>""</f>
        <v/>
      </c>
      <c r="BR566" t="str">
        <f>""</f>
        <v/>
      </c>
      <c r="BS566" t="str">
        <f>""</f>
        <v/>
      </c>
    </row>
    <row r="567" spans="1:71" x14ac:dyDescent="0.25">
      <c r="A567" t="str">
        <f>$A$152</f>
        <v xml:space="preserve">        Western Alliance Bancorp</v>
      </c>
      <c r="B567" t="str">
        <f>$B$152</f>
        <v>WAL US Equity</v>
      </c>
      <c r="C567" t="str">
        <f>$C$152</f>
        <v>F0090</v>
      </c>
      <c r="D567" t="str">
        <f>$D$152</f>
        <v>FED_C&amp;I_LOANS_CONSOLIDATED</v>
      </c>
      <c r="E567" t="str">
        <f>$E$152</f>
        <v>Dynamic</v>
      </c>
      <c r="F567">
        <f ca="1">_xll.BDH($B$152,$C$152,$B$425,$B$426,CONCATENATE("Per=",$B$423),"Dts=H","Dir=H",CONCATENATE("Points=",$B$424),"Sort=R","Days=A","Fill=B",CONCATENATE("FX=", $B$422),"cols=33;rows=1")</f>
        <v>10035.597</v>
      </c>
      <c r="G567">
        <v>8850.2970000000005</v>
      </c>
      <c r="H567">
        <v>11976.007</v>
      </c>
      <c r="I567">
        <v>10864.13</v>
      </c>
      <c r="J567">
        <v>7635.7740000000003</v>
      </c>
      <c r="K567">
        <v>5221.8320000000003</v>
      </c>
      <c r="L567">
        <v>4358.5219999999999</v>
      </c>
      <c r="M567">
        <v>4012.9029999999998</v>
      </c>
      <c r="N567">
        <v>3378.41</v>
      </c>
      <c r="O567">
        <v>3191.3890000000001</v>
      </c>
      <c r="P567">
        <v>1922.2349999999999</v>
      </c>
      <c r="Q567">
        <v>1305.894</v>
      </c>
      <c r="R567">
        <v>1043.0719999999999</v>
      </c>
      <c r="S567">
        <v>817.23400000000004</v>
      </c>
      <c r="T567">
        <v>697.399</v>
      </c>
      <c r="U567">
        <v>665.65499999999997</v>
      </c>
      <c r="V567">
        <v>798.25199999999995</v>
      </c>
      <c r="W567">
        <v>727.59900000000005</v>
      </c>
      <c r="X567">
        <v>622.59199999999998</v>
      </c>
      <c r="Y567">
        <v>338.47899999999998</v>
      </c>
      <c r="Z567">
        <v>239.57599999999999</v>
      </c>
      <c r="AA567">
        <v>158.71600000000001</v>
      </c>
      <c r="AB567">
        <v>93.838999999999999</v>
      </c>
      <c r="AC567">
        <v>85.05</v>
      </c>
      <c r="AM567" t="str">
        <f>""</f>
        <v/>
      </c>
      <c r="AN567" t="str">
        <f>""</f>
        <v/>
      </c>
      <c r="AO567" t="str">
        <f>""</f>
        <v/>
      </c>
      <c r="AP567" t="str">
        <f>""</f>
        <v/>
      </c>
      <c r="AQ567" t="str">
        <f>""</f>
        <v/>
      </c>
      <c r="AR567" t="str">
        <f>""</f>
        <v/>
      </c>
      <c r="AS567" t="str">
        <f>""</f>
        <v/>
      </c>
      <c r="AT567" t="str">
        <f>""</f>
        <v/>
      </c>
      <c r="AU567" t="str">
        <f>""</f>
        <v/>
      </c>
      <c r="AV567" t="str">
        <f>""</f>
        <v/>
      </c>
      <c r="AW567" t="str">
        <f>""</f>
        <v/>
      </c>
      <c r="AX567" t="str">
        <f>""</f>
        <v/>
      </c>
      <c r="AY567" t="str">
        <f>""</f>
        <v/>
      </c>
      <c r="AZ567" t="str">
        <f>""</f>
        <v/>
      </c>
      <c r="BA567" t="str">
        <f>""</f>
        <v/>
      </c>
      <c r="BB567" t="str">
        <f>""</f>
        <v/>
      </c>
      <c r="BC567" t="str">
        <f>""</f>
        <v/>
      </c>
      <c r="BD567" t="str">
        <f>""</f>
        <v/>
      </c>
      <c r="BE567" t="str">
        <f>""</f>
        <v/>
      </c>
      <c r="BF567" t="str">
        <f>""</f>
        <v/>
      </c>
      <c r="BG567" t="str">
        <f>""</f>
        <v/>
      </c>
      <c r="BH567" t="str">
        <f>""</f>
        <v/>
      </c>
      <c r="BI567" t="str">
        <f>""</f>
        <v/>
      </c>
      <c r="BJ567" t="str">
        <f>""</f>
        <v/>
      </c>
      <c r="BK567" t="str">
        <f>""</f>
        <v/>
      </c>
      <c r="BL567" t="str">
        <f>""</f>
        <v/>
      </c>
      <c r="BM567" t="str">
        <f>""</f>
        <v/>
      </c>
      <c r="BN567" t="str">
        <f>""</f>
        <v/>
      </c>
      <c r="BO567" t="str">
        <f>""</f>
        <v/>
      </c>
      <c r="BP567" t="str">
        <f>""</f>
        <v/>
      </c>
      <c r="BQ567" t="str">
        <f>""</f>
        <v/>
      </c>
      <c r="BR567" t="str">
        <f>""</f>
        <v/>
      </c>
      <c r="BS567" t="str">
        <f>""</f>
        <v/>
      </c>
    </row>
    <row r="568" spans="1:71" x14ac:dyDescent="0.25">
      <c r="A568" t="str">
        <f>$A$153</f>
        <v xml:space="preserve">        Zions Bancorp NA</v>
      </c>
      <c r="B568" t="str">
        <f>$B$153</f>
        <v>ZION US Equity</v>
      </c>
      <c r="C568" t="str">
        <f>$C$153</f>
        <v>F0090</v>
      </c>
      <c r="D568" t="str">
        <f>$D$153</f>
        <v>FED_C&amp;I_LOANS_CONSOLIDATED</v>
      </c>
      <c r="E568" t="str">
        <f>$E$153</f>
        <v>Dynamic</v>
      </c>
      <c r="F568" t="str">
        <f ca="1">_xll.BDH($B$153,$C$153,$B$425,$B$426,CONCATENATE("Per=",$B$423),"Dts=H","Dir=H",CONCATENATE("Points=",$B$424),"Sort=R","Days=A","Fill=B",CONCATENATE("FX=", $B$422) )</f>
        <v/>
      </c>
      <c r="AM568" t="str">
        <f>""</f>
        <v/>
      </c>
      <c r="AN568" t="str">
        <f>""</f>
        <v/>
      </c>
      <c r="AO568" t="str">
        <f>""</f>
        <v/>
      </c>
      <c r="AP568" t="str">
        <f>""</f>
        <v/>
      </c>
      <c r="AQ568" t="str">
        <f>""</f>
        <v/>
      </c>
      <c r="AR568" t="str">
        <f>""</f>
        <v/>
      </c>
      <c r="AS568" t="str">
        <f>""</f>
        <v/>
      </c>
      <c r="AT568" t="str">
        <f>""</f>
        <v/>
      </c>
      <c r="AU568" t="str">
        <f>""</f>
        <v/>
      </c>
      <c r="AV568" t="str">
        <f>""</f>
        <v/>
      </c>
      <c r="AW568" t="str">
        <f>""</f>
        <v/>
      </c>
      <c r="AX568" t="str">
        <f>""</f>
        <v/>
      </c>
      <c r="AY568" t="str">
        <f>""</f>
        <v/>
      </c>
      <c r="AZ568" t="str">
        <f>""</f>
        <v/>
      </c>
      <c r="BA568" t="str">
        <f>""</f>
        <v/>
      </c>
      <c r="BB568" t="str">
        <f>""</f>
        <v/>
      </c>
      <c r="BC568" t="str">
        <f>""</f>
        <v/>
      </c>
      <c r="BD568" t="str">
        <f>""</f>
        <v/>
      </c>
      <c r="BE568" t="str">
        <f>""</f>
        <v/>
      </c>
      <c r="BF568" t="str">
        <f>""</f>
        <v/>
      </c>
      <c r="BG568" t="str">
        <f>""</f>
        <v/>
      </c>
      <c r="BH568" t="str">
        <f>""</f>
        <v/>
      </c>
      <c r="BI568" t="str">
        <f>""</f>
        <v/>
      </c>
      <c r="BJ568" t="str">
        <f>""</f>
        <v/>
      </c>
      <c r="BK568" t="str">
        <f>""</f>
        <v/>
      </c>
      <c r="BL568" t="str">
        <f>""</f>
        <v/>
      </c>
      <c r="BM568" t="str">
        <f>""</f>
        <v/>
      </c>
      <c r="BN568" t="str">
        <f>""</f>
        <v/>
      </c>
      <c r="BO568" t="str">
        <f>""</f>
        <v/>
      </c>
      <c r="BP568" t="str">
        <f>""</f>
        <v/>
      </c>
      <c r="BQ568" t="str">
        <f>""</f>
        <v/>
      </c>
      <c r="BR568" t="str">
        <f>""</f>
        <v/>
      </c>
      <c r="BS568" t="str">
        <f>""</f>
        <v/>
      </c>
    </row>
    <row r="569" spans="1:71" x14ac:dyDescent="0.25">
      <c r="A569" t="str">
        <f>$A$156</f>
        <v xml:space="preserve">        Bank of America Corp</v>
      </c>
      <c r="B569" t="str">
        <f>$B$156</f>
        <v>BAC US Equity</v>
      </c>
      <c r="C569" t="str">
        <f>$C$156</f>
        <v>F0091</v>
      </c>
      <c r="D569" t="str">
        <f>$D$156</f>
        <v>FED_CONSUMER_LOANS_&amp;_LEASES_CONS</v>
      </c>
      <c r="E569" t="str">
        <f>$E$156</f>
        <v>Dynamic</v>
      </c>
      <c r="F569">
        <f ca="1">_xll.BDH($B$156,$C$156,$B$425,$B$426,CONCATENATE("Per=",$B$423),"Dts=H","Dir=H",CONCATENATE("Points=",$B$424),"Sort=R","Days=A","Fill=B",CONCATENATE("FX=", $B$422),"cols=33;rows=1")</f>
        <v>196347</v>
      </c>
      <c r="G569">
        <v>192047</v>
      </c>
      <c r="H569">
        <v>185463</v>
      </c>
      <c r="I569">
        <v>170250</v>
      </c>
      <c r="J569">
        <v>156120</v>
      </c>
      <c r="K569">
        <v>175199</v>
      </c>
      <c r="L569">
        <v>175785</v>
      </c>
      <c r="M569">
        <v>177379</v>
      </c>
      <c r="N569">
        <v>173943</v>
      </c>
      <c r="O569">
        <v>177654</v>
      </c>
      <c r="P569">
        <v>181496</v>
      </c>
      <c r="Q569">
        <v>183282</v>
      </c>
      <c r="R569">
        <v>187055.64799999999</v>
      </c>
      <c r="S569">
        <v>203218.00099999999</v>
      </c>
      <c r="T569">
        <v>238205.49900000001</v>
      </c>
      <c r="U569">
        <v>175281.15700000001</v>
      </c>
      <c r="V569">
        <v>171792.606</v>
      </c>
      <c r="W569">
        <v>163817.25599999999</v>
      </c>
      <c r="X569">
        <v>139868.99100000001</v>
      </c>
      <c r="Y569">
        <v>102924.82799999999</v>
      </c>
      <c r="Z569">
        <v>91181.926000000007</v>
      </c>
      <c r="AA569">
        <v>68256.441000000006</v>
      </c>
      <c r="AB569">
        <v>59435</v>
      </c>
      <c r="AC569">
        <v>50727</v>
      </c>
      <c r="AM569" t="str">
        <f>""</f>
        <v/>
      </c>
      <c r="AN569" t="str">
        <f>""</f>
        <v/>
      </c>
      <c r="AO569" t="str">
        <f>""</f>
        <v/>
      </c>
      <c r="AP569" t="str">
        <f>""</f>
        <v/>
      </c>
      <c r="AQ569" t="str">
        <f>""</f>
        <v/>
      </c>
      <c r="AR569" t="str">
        <f>""</f>
        <v/>
      </c>
      <c r="AS569" t="str">
        <f>""</f>
        <v/>
      </c>
      <c r="AT569" t="str">
        <f>""</f>
        <v/>
      </c>
      <c r="AU569" t="str">
        <f>""</f>
        <v/>
      </c>
      <c r="AV569" t="str">
        <f>""</f>
        <v/>
      </c>
      <c r="AW569" t="str">
        <f>""</f>
        <v/>
      </c>
      <c r="AX569" t="str">
        <f>""</f>
        <v/>
      </c>
      <c r="AY569" t="str">
        <f>""</f>
        <v/>
      </c>
      <c r="AZ569" t="str">
        <f>""</f>
        <v/>
      </c>
      <c r="BA569" t="str">
        <f>""</f>
        <v/>
      </c>
      <c r="BB569" t="str">
        <f>""</f>
        <v/>
      </c>
      <c r="BC569" t="str">
        <f>""</f>
        <v/>
      </c>
      <c r="BD569" t="str">
        <f>""</f>
        <v/>
      </c>
      <c r="BE569" t="str">
        <f>""</f>
        <v/>
      </c>
      <c r="BF569" t="str">
        <f>""</f>
        <v/>
      </c>
      <c r="BG569" t="str">
        <f>""</f>
        <v/>
      </c>
      <c r="BH569" t="str">
        <f>""</f>
        <v/>
      </c>
      <c r="BI569" t="str">
        <f>""</f>
        <v/>
      </c>
      <c r="BJ569" t="str">
        <f>""</f>
        <v/>
      </c>
      <c r="BK569" t="str">
        <f>""</f>
        <v/>
      </c>
      <c r="BL569" t="str">
        <f>""</f>
        <v/>
      </c>
      <c r="BM569" t="str">
        <f>""</f>
        <v/>
      </c>
      <c r="BN569" t="str">
        <f>""</f>
        <v/>
      </c>
      <c r="BO569" t="str">
        <f>""</f>
        <v/>
      </c>
      <c r="BP569" t="str">
        <f>""</f>
        <v/>
      </c>
      <c r="BQ569" t="str">
        <f>""</f>
        <v/>
      </c>
      <c r="BR569" t="str">
        <f>""</f>
        <v/>
      </c>
      <c r="BS569" t="str">
        <f>""</f>
        <v/>
      </c>
    </row>
    <row r="570" spans="1:71" x14ac:dyDescent="0.25">
      <c r="A570" t="str">
        <f>$A$157</f>
        <v xml:space="preserve">        Citigroup Inc</v>
      </c>
      <c r="B570" t="str">
        <f>$B$157</f>
        <v>C US Equity</v>
      </c>
      <c r="C570" t="str">
        <f>$C$157</f>
        <v>F0091</v>
      </c>
      <c r="D570" t="str">
        <f>$D$157</f>
        <v>FED_CONSUMER_LOANS_&amp;_LEASES_CONS</v>
      </c>
      <c r="E570" t="str">
        <f>$E$157</f>
        <v>Dynamic</v>
      </c>
      <c r="F570">
        <f ca="1">_xll.BDH($B$157,$C$157,$B$425,$B$426,CONCATENATE("Per=",$B$423),"Dts=H","Dir=H",CONCATENATE("Points=",$B$424),"Sort=R","Days=A","Fill=B",CONCATENATE("FX=", $B$422),"cols=33;rows=1")</f>
        <v>192090</v>
      </c>
      <c r="G570">
        <v>187661</v>
      </c>
      <c r="H570">
        <v>177382</v>
      </c>
      <c r="I570">
        <v>172146</v>
      </c>
      <c r="J570">
        <v>173176</v>
      </c>
      <c r="K570">
        <v>200542</v>
      </c>
      <c r="L570">
        <v>191199</v>
      </c>
      <c r="M570">
        <v>189575</v>
      </c>
      <c r="N570">
        <v>179420</v>
      </c>
      <c r="O570">
        <v>166874</v>
      </c>
      <c r="P570">
        <v>181395</v>
      </c>
      <c r="Q570">
        <v>192047</v>
      </c>
      <c r="R570">
        <v>195578</v>
      </c>
      <c r="S570">
        <v>202924</v>
      </c>
      <c r="T570">
        <v>227248</v>
      </c>
      <c r="U570">
        <v>169691</v>
      </c>
      <c r="V570">
        <v>198473</v>
      </c>
      <c r="W570">
        <v>225839</v>
      </c>
      <c r="X570">
        <v>186625</v>
      </c>
      <c r="Y570">
        <v>173718</v>
      </c>
      <c r="Z570">
        <v>186077</v>
      </c>
      <c r="AA570">
        <v>178398</v>
      </c>
      <c r="AB570">
        <v>147329</v>
      </c>
      <c r="AC570">
        <v>127731</v>
      </c>
      <c r="AD570">
        <v>100480.78200000001</v>
      </c>
      <c r="AE570">
        <v>75604.313999999998</v>
      </c>
      <c r="AF570">
        <v>72834.535000000003</v>
      </c>
      <c r="AM570" t="str">
        <f>""</f>
        <v/>
      </c>
      <c r="AN570" t="str">
        <f>""</f>
        <v/>
      </c>
      <c r="AO570" t="str">
        <f>""</f>
        <v/>
      </c>
      <c r="AP570" t="str">
        <f>""</f>
        <v/>
      </c>
      <c r="AQ570" t="str">
        <f>""</f>
        <v/>
      </c>
      <c r="AR570" t="str">
        <f>""</f>
        <v/>
      </c>
      <c r="AS570" t="str">
        <f>""</f>
        <v/>
      </c>
      <c r="AT570" t="str">
        <f>""</f>
        <v/>
      </c>
      <c r="AU570" t="str">
        <f>""</f>
        <v/>
      </c>
      <c r="AV570" t="str">
        <f>""</f>
        <v/>
      </c>
      <c r="AW570" t="str">
        <f>""</f>
        <v/>
      </c>
      <c r="AX570" t="str">
        <f>""</f>
        <v/>
      </c>
      <c r="AY570" t="str">
        <f>""</f>
        <v/>
      </c>
      <c r="AZ570" t="str">
        <f>""</f>
        <v/>
      </c>
      <c r="BA570" t="str">
        <f>""</f>
        <v/>
      </c>
      <c r="BB570" t="str">
        <f>""</f>
        <v/>
      </c>
      <c r="BC570" t="str">
        <f>""</f>
        <v/>
      </c>
      <c r="BD570" t="str">
        <f>""</f>
        <v/>
      </c>
      <c r="BE570" t="str">
        <f>""</f>
        <v/>
      </c>
      <c r="BF570" t="str">
        <f>""</f>
        <v/>
      </c>
      <c r="BG570" t="str">
        <f>""</f>
        <v/>
      </c>
      <c r="BH570" t="str">
        <f>""</f>
        <v/>
      </c>
      <c r="BI570" t="str">
        <f>""</f>
        <v/>
      </c>
      <c r="BJ570" t="str">
        <f>""</f>
        <v/>
      </c>
      <c r="BK570" t="str">
        <f>""</f>
        <v/>
      </c>
      <c r="BL570" t="str">
        <f>""</f>
        <v/>
      </c>
      <c r="BM570" t="str">
        <f>""</f>
        <v/>
      </c>
      <c r="BN570" t="str">
        <f>""</f>
        <v/>
      </c>
      <c r="BO570" t="str">
        <f>""</f>
        <v/>
      </c>
      <c r="BP570" t="str">
        <f>""</f>
        <v/>
      </c>
      <c r="BQ570" t="str">
        <f>""</f>
        <v/>
      </c>
      <c r="BR570" t="str">
        <f>""</f>
        <v/>
      </c>
      <c r="BS570" t="str">
        <f>""</f>
        <v/>
      </c>
    </row>
    <row r="571" spans="1:71" x14ac:dyDescent="0.25">
      <c r="A571" t="str">
        <f>$A$158</f>
        <v xml:space="preserve">        Citizens Financial Group Inc</v>
      </c>
      <c r="B571" t="str">
        <f>$B$158</f>
        <v>CFG US Equity</v>
      </c>
      <c r="C571" t="str">
        <f>$C$158</f>
        <v>F0091</v>
      </c>
      <c r="D571" t="str">
        <f>$D$158</f>
        <v>FED_CONSUMER_LOANS_&amp;_LEASES_CONS</v>
      </c>
      <c r="E571" t="str">
        <f>$E$158</f>
        <v>Dynamic</v>
      </c>
      <c r="F571">
        <f ca="1">_xll.BDH($B$158,$C$158,$B$425,$B$426,CONCATENATE("Per=",$B$423),"Dts=H","Dir=H",CONCATENATE("Points=",$B$424),"Sort=R","Days=A","Fill=B",CONCATENATE("FX=", $B$422),"cols=33;rows=1")</f>
        <v>19643.289000000001</v>
      </c>
      <c r="G571">
        <v>24180.834999999999</v>
      </c>
      <c r="H571">
        <v>29205.897000000001</v>
      </c>
      <c r="I571">
        <v>31590.168000000001</v>
      </c>
      <c r="J571">
        <v>29061.32</v>
      </c>
      <c r="K571">
        <v>27541.728999999999</v>
      </c>
      <c r="L571">
        <v>24974.058000000001</v>
      </c>
      <c r="M571">
        <v>24504.257000000001</v>
      </c>
      <c r="N571">
        <v>22753.502</v>
      </c>
      <c r="O571">
        <v>19948.776000000002</v>
      </c>
      <c r="P571">
        <v>17542.13</v>
      </c>
      <c r="Q571">
        <v>14503.466</v>
      </c>
      <c r="R571">
        <v>14334.983</v>
      </c>
      <c r="S571">
        <v>13364.541999999999</v>
      </c>
      <c r="T571">
        <v>14974.453</v>
      </c>
      <c r="U571">
        <v>18065.933000000001</v>
      </c>
      <c r="V571">
        <v>21260.628000000001</v>
      </c>
      <c r="W571">
        <v>22083.164000000001</v>
      </c>
      <c r="X571">
        <v>23039.444</v>
      </c>
      <c r="Y571">
        <v>24900.952000000001</v>
      </c>
      <c r="Z571">
        <v>21500.097000000002</v>
      </c>
      <c r="AA571">
        <v>10841.427</v>
      </c>
      <c r="AB571">
        <v>8430.2209999999995</v>
      </c>
      <c r="AC571">
        <v>6519.0029999999997</v>
      </c>
      <c r="AM571" t="str">
        <f>""</f>
        <v/>
      </c>
      <c r="AN571" t="str">
        <f>""</f>
        <v/>
      </c>
      <c r="AO571" t="str">
        <f>""</f>
        <v/>
      </c>
      <c r="AP571" t="str">
        <f>""</f>
        <v/>
      </c>
      <c r="AQ571" t="str">
        <f>""</f>
        <v/>
      </c>
      <c r="AR571" t="str">
        <f>""</f>
        <v/>
      </c>
      <c r="AS571" t="str">
        <f>""</f>
        <v/>
      </c>
      <c r="AT571" t="str">
        <f>""</f>
        <v/>
      </c>
      <c r="AU571" t="str">
        <f>""</f>
        <v/>
      </c>
      <c r="AV571" t="str">
        <f>""</f>
        <v/>
      </c>
      <c r="AW571" t="str">
        <f>""</f>
        <v/>
      </c>
      <c r="AX571" t="str">
        <f>""</f>
        <v/>
      </c>
      <c r="AY571" t="str">
        <f>""</f>
        <v/>
      </c>
      <c r="AZ571" t="str">
        <f>""</f>
        <v/>
      </c>
      <c r="BA571" t="str">
        <f>""</f>
        <v/>
      </c>
      <c r="BB571" t="str">
        <f>""</f>
        <v/>
      </c>
      <c r="BC571" t="str">
        <f>""</f>
        <v/>
      </c>
      <c r="BD571" t="str">
        <f>""</f>
        <v/>
      </c>
      <c r="BE571" t="str">
        <f>""</f>
        <v/>
      </c>
      <c r="BF571" t="str">
        <f>""</f>
        <v/>
      </c>
      <c r="BG571" t="str">
        <f>""</f>
        <v/>
      </c>
      <c r="BH571" t="str">
        <f>""</f>
        <v/>
      </c>
      <c r="BI571" t="str">
        <f>""</f>
        <v/>
      </c>
      <c r="BJ571" t="str">
        <f>""</f>
        <v/>
      </c>
      <c r="BK571" t="str">
        <f>""</f>
        <v/>
      </c>
      <c r="BL571" t="str">
        <f>""</f>
        <v/>
      </c>
      <c r="BM571" t="str">
        <f>""</f>
        <v/>
      </c>
      <c r="BN571" t="str">
        <f>""</f>
        <v/>
      </c>
      <c r="BO571" t="str">
        <f>""</f>
        <v/>
      </c>
      <c r="BP571" t="str">
        <f>""</f>
        <v/>
      </c>
      <c r="BQ571" t="str">
        <f>""</f>
        <v/>
      </c>
      <c r="BR571" t="str">
        <f>""</f>
        <v/>
      </c>
      <c r="BS571" t="str">
        <f>""</f>
        <v/>
      </c>
    </row>
    <row r="572" spans="1:71" x14ac:dyDescent="0.25">
      <c r="A572" t="str">
        <f>$A$159</f>
        <v xml:space="preserve">        Capital One Financial Corp</v>
      </c>
      <c r="B572" t="str">
        <f>$B$159</f>
        <v>COF US Equity</v>
      </c>
      <c r="C572" t="str">
        <f>$C$159</f>
        <v>F0091</v>
      </c>
      <c r="D572" t="str">
        <f>$D$159</f>
        <v>FED_CONSUMER_LOANS_&amp;_LEASES_CONS</v>
      </c>
      <c r="E572" t="str">
        <f>$E$159</f>
        <v>Dynamic</v>
      </c>
      <c r="F572">
        <f ca="1">_xll.BDH($B$159,$C$159,$B$425,$B$426,CONCATENATE("Per=",$B$423),"Dts=H","Dir=H",CONCATENATE("Points=",$B$424),"Sort=R","Days=A","Fill=B",CONCATENATE("FX=", $B$422),"cols=33;rows=1")</f>
        <v>226221.94399999999</v>
      </c>
      <c r="G572">
        <v>216460.851</v>
      </c>
      <c r="H572">
        <v>204745.166</v>
      </c>
      <c r="I572">
        <v>186091.73300000001</v>
      </c>
      <c r="J572">
        <v>166963.49900000001</v>
      </c>
      <c r="K572">
        <v>179655.829</v>
      </c>
      <c r="L572">
        <v>164397.24799999999</v>
      </c>
      <c r="M572">
        <v>161181.93400000001</v>
      </c>
      <c r="N572">
        <v>146547.052</v>
      </c>
      <c r="O572">
        <v>132135.774</v>
      </c>
      <c r="P572">
        <v>119205.549</v>
      </c>
      <c r="Q572">
        <v>108980.15399999999</v>
      </c>
      <c r="R572">
        <v>114694.94899999999</v>
      </c>
      <c r="S572">
        <v>82519.856</v>
      </c>
      <c r="T572">
        <v>74359.021999999997</v>
      </c>
      <c r="U572">
        <v>39289.472000000002</v>
      </c>
      <c r="V572">
        <v>52181.635000000002</v>
      </c>
      <c r="W572">
        <v>51639.686999999998</v>
      </c>
      <c r="X572">
        <v>52165.614999999998</v>
      </c>
      <c r="Y572">
        <v>44078.811000000002</v>
      </c>
      <c r="Z572">
        <v>35522.764000000003</v>
      </c>
      <c r="AM572" t="str">
        <f>""</f>
        <v/>
      </c>
      <c r="AN572" t="str">
        <f>""</f>
        <v/>
      </c>
      <c r="AO572" t="str">
        <f>""</f>
        <v/>
      </c>
      <c r="AP572" t="str">
        <f>""</f>
        <v/>
      </c>
      <c r="AQ572" t="str">
        <f>""</f>
        <v/>
      </c>
      <c r="AR572" t="str">
        <f>""</f>
        <v/>
      </c>
      <c r="AS572" t="str">
        <f>""</f>
        <v/>
      </c>
      <c r="AT572" t="str">
        <f>""</f>
        <v/>
      </c>
      <c r="AU572" t="str">
        <f>""</f>
        <v/>
      </c>
      <c r="AV572" t="str">
        <f>""</f>
        <v/>
      </c>
      <c r="AW572" t="str">
        <f>""</f>
        <v/>
      </c>
      <c r="AX572" t="str">
        <f>""</f>
        <v/>
      </c>
      <c r="AY572" t="str">
        <f>""</f>
        <v/>
      </c>
      <c r="AZ572" t="str">
        <f>""</f>
        <v/>
      </c>
      <c r="BA572" t="str">
        <f>""</f>
        <v/>
      </c>
      <c r="BB572" t="str">
        <f>""</f>
        <v/>
      </c>
      <c r="BC572" t="str">
        <f>""</f>
        <v/>
      </c>
      <c r="BD572" t="str">
        <f>""</f>
        <v/>
      </c>
      <c r="BE572" t="str">
        <f>""</f>
        <v/>
      </c>
      <c r="BF572" t="str">
        <f>""</f>
        <v/>
      </c>
      <c r="BG572" t="str">
        <f>""</f>
        <v/>
      </c>
      <c r="BH572" t="str">
        <f>""</f>
        <v/>
      </c>
      <c r="BI572" t="str">
        <f>""</f>
        <v/>
      </c>
      <c r="BJ572" t="str">
        <f>""</f>
        <v/>
      </c>
      <c r="BK572" t="str">
        <f>""</f>
        <v/>
      </c>
      <c r="BL572" t="str">
        <f>""</f>
        <v/>
      </c>
      <c r="BM572" t="str">
        <f>""</f>
        <v/>
      </c>
      <c r="BN572" t="str">
        <f>""</f>
        <v/>
      </c>
      <c r="BO572" t="str">
        <f>""</f>
        <v/>
      </c>
      <c r="BP572" t="str">
        <f>""</f>
        <v/>
      </c>
      <c r="BQ572" t="str">
        <f>""</f>
        <v/>
      </c>
      <c r="BR572" t="str">
        <f>""</f>
        <v/>
      </c>
      <c r="BS572" t="str">
        <f>""</f>
        <v/>
      </c>
    </row>
    <row r="573" spans="1:71" x14ac:dyDescent="0.25">
      <c r="A573" t="str">
        <f>$A$160</f>
        <v xml:space="preserve">        Comerica Inc</v>
      </c>
      <c r="B573" t="str">
        <f>$B$160</f>
        <v>CMA US Equity</v>
      </c>
      <c r="C573" t="str">
        <f>$C$160</f>
        <v>F0091</v>
      </c>
      <c r="D573" t="str">
        <f>$D$160</f>
        <v>FED_CONSUMER_LOANS_&amp;_LEASES_CONS</v>
      </c>
      <c r="E573" t="str">
        <f>$E$160</f>
        <v>Dynamic</v>
      </c>
      <c r="F573">
        <f ca="1">_xll.BDH($B$160,$C$160,$B$425,$B$426,CONCATENATE("Per=",$B$423),"Dts=H","Dir=H",CONCATENATE("Points=",$B$424),"Sort=R","Days=A","Fill=B",CONCATENATE("FX=", $B$422),"cols=33;rows=1")</f>
        <v>472</v>
      </c>
      <c r="G573">
        <v>503</v>
      </c>
      <c r="H573">
        <v>533</v>
      </c>
      <c r="I573">
        <v>563</v>
      </c>
      <c r="J573">
        <v>609</v>
      </c>
      <c r="K573">
        <v>558</v>
      </c>
      <c r="L573">
        <v>576.73599999999999</v>
      </c>
      <c r="M573">
        <v>597.1</v>
      </c>
      <c r="N573">
        <v>602.596</v>
      </c>
      <c r="O573">
        <v>659.97400000000005</v>
      </c>
      <c r="P573">
        <v>640.37900000000002</v>
      </c>
      <c r="Q573">
        <v>586.52499999999998</v>
      </c>
      <c r="R573">
        <v>525.9</v>
      </c>
      <c r="S573">
        <v>557.67499999999995</v>
      </c>
      <c r="T573">
        <v>513.04999999999995</v>
      </c>
      <c r="U573">
        <v>615.59799999999996</v>
      </c>
      <c r="V573">
        <v>747.08199999999999</v>
      </c>
      <c r="W573">
        <v>664.55799999999999</v>
      </c>
      <c r="X573">
        <v>624.88800000000003</v>
      </c>
      <c r="Y573">
        <v>711.96</v>
      </c>
      <c r="Z573">
        <v>820.30600000000004</v>
      </c>
      <c r="AA573">
        <v>785.90800000000002</v>
      </c>
      <c r="AB573">
        <v>790.99199999999996</v>
      </c>
      <c r="AC573">
        <v>835.01499999999999</v>
      </c>
      <c r="AD573">
        <v>768.84400000000005</v>
      </c>
      <c r="AE573">
        <v>1214.8030000000001</v>
      </c>
      <c r="AF573">
        <v>1283.451</v>
      </c>
      <c r="AG573">
        <v>3624.645</v>
      </c>
      <c r="AH573">
        <v>3914.9749999999999</v>
      </c>
      <c r="AI573">
        <v>3853.027</v>
      </c>
      <c r="AJ573">
        <v>3581.33</v>
      </c>
      <c r="AK573">
        <v>3105.2669999999998</v>
      </c>
      <c r="AL573">
        <v>3140.779</v>
      </c>
      <c r="AM573" t="str">
        <f>""</f>
        <v/>
      </c>
      <c r="AN573" t="str">
        <f>""</f>
        <v/>
      </c>
      <c r="AO573" t="str">
        <f>""</f>
        <v/>
      </c>
      <c r="AP573" t="str">
        <f>""</f>
        <v/>
      </c>
      <c r="AQ573" t="str">
        <f>""</f>
        <v/>
      </c>
      <c r="AR573" t="str">
        <f>""</f>
        <v/>
      </c>
      <c r="AS573" t="str">
        <f>""</f>
        <v/>
      </c>
      <c r="AT573" t="str">
        <f>""</f>
        <v/>
      </c>
      <c r="AU573" t="str">
        <f>""</f>
        <v/>
      </c>
      <c r="AV573" t="str">
        <f>""</f>
        <v/>
      </c>
      <c r="AW573" t="str">
        <f>""</f>
        <v/>
      </c>
      <c r="AX573" t="str">
        <f>""</f>
        <v/>
      </c>
      <c r="AY573" t="str">
        <f>""</f>
        <v/>
      </c>
      <c r="AZ573" t="str">
        <f>""</f>
        <v/>
      </c>
      <c r="BA573" t="str">
        <f>""</f>
        <v/>
      </c>
      <c r="BB573" t="str">
        <f>""</f>
        <v/>
      </c>
      <c r="BC573" t="str">
        <f>""</f>
        <v/>
      </c>
      <c r="BD573" t="str">
        <f>""</f>
        <v/>
      </c>
      <c r="BE573" t="str">
        <f>""</f>
        <v/>
      </c>
      <c r="BF573" t="str">
        <f>""</f>
        <v/>
      </c>
      <c r="BG573" t="str">
        <f>""</f>
        <v/>
      </c>
      <c r="BH573" t="str">
        <f>""</f>
        <v/>
      </c>
      <c r="BI573" t="str">
        <f>""</f>
        <v/>
      </c>
      <c r="BJ573" t="str">
        <f>""</f>
        <v/>
      </c>
      <c r="BK573" t="str">
        <f>""</f>
        <v/>
      </c>
      <c r="BL573" t="str">
        <f>""</f>
        <v/>
      </c>
      <c r="BM573" t="str">
        <f>""</f>
        <v/>
      </c>
      <c r="BN573" t="str">
        <f>""</f>
        <v/>
      </c>
      <c r="BO573" t="str">
        <f>""</f>
        <v/>
      </c>
      <c r="BP573" t="str">
        <f>""</f>
        <v/>
      </c>
      <c r="BQ573" t="str">
        <f>""</f>
        <v/>
      </c>
      <c r="BR573" t="str">
        <f>""</f>
        <v/>
      </c>
      <c r="BS573" t="str">
        <f>""</f>
        <v/>
      </c>
    </row>
    <row r="574" spans="1:71" x14ac:dyDescent="0.25">
      <c r="A574" t="str">
        <f>$A$161</f>
        <v xml:space="preserve">        East West Bancorp Inc</v>
      </c>
      <c r="B574" t="str">
        <f>$B$161</f>
        <v>EWBC US Equity</v>
      </c>
      <c r="C574" t="str">
        <f>$C$161</f>
        <v>F0091</v>
      </c>
      <c r="D574" t="str">
        <f>$D$161</f>
        <v>FED_CONSUMER_LOANS_&amp;_LEASES_CONS</v>
      </c>
      <c r="E574" t="str">
        <f>$E$161</f>
        <v>Dynamic</v>
      </c>
      <c r="F574">
        <f ca="1">_xll.BDH($B$161,$C$161,$B$425,$B$426,CONCATENATE("Per=",$B$423),"Dts=H","Dir=H",CONCATENATE("Points=",$B$424),"Sort=R","Days=A","Fill=B",CONCATENATE("FX=", $B$422),"cols=33;rows=1")</f>
        <v>19.462</v>
      </c>
      <c r="G574">
        <v>11.468</v>
      </c>
      <c r="H574">
        <v>10.89</v>
      </c>
      <c r="I574">
        <v>9.89</v>
      </c>
      <c r="J574">
        <v>13.879</v>
      </c>
      <c r="K574">
        <v>27.187999999999999</v>
      </c>
      <c r="L574">
        <v>46.15</v>
      </c>
      <c r="M574">
        <v>66.778000000000006</v>
      </c>
      <c r="N574">
        <v>87.876000000000005</v>
      </c>
      <c r="O574">
        <v>80.495999999999995</v>
      </c>
      <c r="P574">
        <v>51.844000000000001</v>
      </c>
      <c r="Q574">
        <v>848.13900000000001</v>
      </c>
      <c r="R574">
        <v>617.03800000000001</v>
      </c>
      <c r="S574">
        <v>557.15</v>
      </c>
      <c r="T574">
        <v>661.10599999999999</v>
      </c>
      <c r="U574">
        <v>397.87900000000002</v>
      </c>
      <c r="V574">
        <v>27.541</v>
      </c>
      <c r="W574">
        <v>30.353999999999999</v>
      </c>
      <c r="X574">
        <v>15.446999999999999</v>
      </c>
      <c r="Y574">
        <v>18.873999999999999</v>
      </c>
      <c r="Z574">
        <v>16.667000000000002</v>
      </c>
      <c r="AA574">
        <v>19.387</v>
      </c>
      <c r="AB574">
        <v>21.091000000000001</v>
      </c>
      <c r="AC574">
        <v>19.887</v>
      </c>
      <c r="AD574">
        <v>11.792</v>
      </c>
      <c r="AE574">
        <v>8.2780000000000005</v>
      </c>
      <c r="AF574">
        <v>8.08</v>
      </c>
      <c r="AM574" t="str">
        <f>""</f>
        <v/>
      </c>
      <c r="AN574" t="str">
        <f>""</f>
        <v/>
      </c>
      <c r="AO574" t="str">
        <f>""</f>
        <v/>
      </c>
      <c r="AP574" t="str">
        <f>""</f>
        <v/>
      </c>
      <c r="AQ574" t="str">
        <f>""</f>
        <v/>
      </c>
      <c r="AR574" t="str">
        <f>""</f>
        <v/>
      </c>
      <c r="AS574" t="str">
        <f>""</f>
        <v/>
      </c>
      <c r="AT574" t="str">
        <f>""</f>
        <v/>
      </c>
      <c r="AU574" t="str">
        <f>""</f>
        <v/>
      </c>
      <c r="AV574" t="str">
        <f>""</f>
        <v/>
      </c>
      <c r="AW574" t="str">
        <f>""</f>
        <v/>
      </c>
      <c r="AX574" t="str">
        <f>""</f>
        <v/>
      </c>
      <c r="AY574" t="str">
        <f>""</f>
        <v/>
      </c>
      <c r="AZ574" t="str">
        <f>""</f>
        <v/>
      </c>
      <c r="BA574" t="str">
        <f>""</f>
        <v/>
      </c>
      <c r="BB574" t="str">
        <f>""</f>
        <v/>
      </c>
      <c r="BC574" t="str">
        <f>""</f>
        <v/>
      </c>
      <c r="BD574" t="str">
        <f>""</f>
        <v/>
      </c>
      <c r="BE574" t="str">
        <f>""</f>
        <v/>
      </c>
      <c r="BF574" t="str">
        <f>""</f>
        <v/>
      </c>
      <c r="BG574" t="str">
        <f>""</f>
        <v/>
      </c>
      <c r="BH574" t="str">
        <f>""</f>
        <v/>
      </c>
      <c r="BI574" t="str">
        <f>""</f>
        <v/>
      </c>
      <c r="BJ574" t="str">
        <f>""</f>
        <v/>
      </c>
      <c r="BK574" t="str">
        <f>""</f>
        <v/>
      </c>
      <c r="BL574" t="str">
        <f>""</f>
        <v/>
      </c>
      <c r="BM574" t="str">
        <f>""</f>
        <v/>
      </c>
      <c r="BN574" t="str">
        <f>""</f>
        <v/>
      </c>
      <c r="BO574" t="str">
        <f>""</f>
        <v/>
      </c>
      <c r="BP574" t="str">
        <f>""</f>
        <v/>
      </c>
      <c r="BQ574" t="str">
        <f>""</f>
        <v/>
      </c>
      <c r="BR574" t="str">
        <f>""</f>
        <v/>
      </c>
      <c r="BS574" t="str">
        <f>""</f>
        <v/>
      </c>
    </row>
    <row r="575" spans="1:71" x14ac:dyDescent="0.25">
      <c r="A575" t="str">
        <f>$A$162</f>
        <v xml:space="preserve">        Fifth Third Bancorp</v>
      </c>
      <c r="B575" t="str">
        <f>$B$162</f>
        <v>FITB US Equity</v>
      </c>
      <c r="C575" t="str">
        <f>$C$162</f>
        <v>F0091</v>
      </c>
      <c r="D575" t="str">
        <f>$D$162</f>
        <v>FED_CONSUMER_LOANS_&amp;_LEASES_CONS</v>
      </c>
      <c r="E575" t="str">
        <f>$E$162</f>
        <v>Dynamic</v>
      </c>
      <c r="F575">
        <f ca="1">_xll.BDH($B$162,$C$162,$B$425,$B$426,CONCATENATE("Per=",$B$423),"Dts=H","Dir=H",CONCATENATE("Points=",$B$424),"Sort=R","Days=A","Fill=B",CONCATENATE("FX=", $B$422),"cols=33;rows=1")</f>
        <v>24804</v>
      </c>
      <c r="G575">
        <v>23595</v>
      </c>
      <c r="H575">
        <v>23502.022000000001</v>
      </c>
      <c r="I575">
        <v>21426.385999999999</v>
      </c>
      <c r="J575">
        <v>18612.883000000002</v>
      </c>
      <c r="K575">
        <v>16848.905999999999</v>
      </c>
      <c r="L575">
        <v>13885.838</v>
      </c>
      <c r="M575">
        <v>13010.075999999999</v>
      </c>
      <c r="N575">
        <v>13060.368</v>
      </c>
      <c r="O575">
        <v>14680.522000000001</v>
      </c>
      <c r="P575">
        <v>15150.132</v>
      </c>
      <c r="Q575">
        <v>14881.902</v>
      </c>
      <c r="R575">
        <v>14528.058000000001</v>
      </c>
      <c r="S575">
        <v>14172.093999999999</v>
      </c>
      <c r="T575">
        <v>13532.089</v>
      </c>
      <c r="U575">
        <v>11696.802</v>
      </c>
      <c r="V575">
        <v>11564.503000000001</v>
      </c>
      <c r="W575">
        <v>14291.134</v>
      </c>
      <c r="X575">
        <v>11725.525</v>
      </c>
      <c r="Y575">
        <v>11020.308000000001</v>
      </c>
      <c r="Z575">
        <v>9181.7819999999992</v>
      </c>
      <c r="AA575">
        <v>9893.1270000000004</v>
      </c>
      <c r="AB575">
        <v>7038.8249999999998</v>
      </c>
      <c r="AC575">
        <v>5355.2749999999996</v>
      </c>
      <c r="AD575">
        <v>3184.4520000000002</v>
      </c>
      <c r="AE575">
        <v>3023.2440000000001</v>
      </c>
      <c r="AF575">
        <v>2287.3649999999998</v>
      </c>
      <c r="AG575">
        <v>2451.1759999999999</v>
      </c>
      <c r="AH575">
        <v>2490.2570000000001</v>
      </c>
      <c r="AI575">
        <v>2955.3989999999999</v>
      </c>
      <c r="AJ575">
        <v>2473.0050000000001</v>
      </c>
      <c r="AK575">
        <v>2295.3919999999998</v>
      </c>
      <c r="AL575">
        <v>1875.8420000000001</v>
      </c>
      <c r="AM575" t="str">
        <f>""</f>
        <v/>
      </c>
      <c r="AN575" t="str">
        <f>""</f>
        <v/>
      </c>
      <c r="AO575" t="str">
        <f>""</f>
        <v/>
      </c>
      <c r="AP575" t="str">
        <f>""</f>
        <v/>
      </c>
      <c r="AQ575" t="str">
        <f>""</f>
        <v/>
      </c>
      <c r="AR575" t="str">
        <f>""</f>
        <v/>
      </c>
      <c r="AS575" t="str">
        <f>""</f>
        <v/>
      </c>
      <c r="AT575" t="str">
        <f>""</f>
        <v/>
      </c>
      <c r="AU575" t="str">
        <f>""</f>
        <v/>
      </c>
      <c r="AV575" t="str">
        <f>""</f>
        <v/>
      </c>
      <c r="AW575" t="str">
        <f>""</f>
        <v/>
      </c>
      <c r="AX575" t="str">
        <f>""</f>
        <v/>
      </c>
      <c r="AY575" t="str">
        <f>""</f>
        <v/>
      </c>
      <c r="AZ575" t="str">
        <f>""</f>
        <v/>
      </c>
      <c r="BA575" t="str">
        <f>""</f>
        <v/>
      </c>
      <c r="BB575" t="str">
        <f>""</f>
        <v/>
      </c>
      <c r="BC575" t="str">
        <f>""</f>
        <v/>
      </c>
      <c r="BD575" t="str">
        <f>""</f>
        <v/>
      </c>
      <c r="BE575" t="str">
        <f>""</f>
        <v/>
      </c>
      <c r="BF575" t="str">
        <f>""</f>
        <v/>
      </c>
      <c r="BG575" t="str">
        <f>""</f>
        <v/>
      </c>
      <c r="BH575" t="str">
        <f>""</f>
        <v/>
      </c>
      <c r="BI575" t="str">
        <f>""</f>
        <v/>
      </c>
      <c r="BJ575" t="str">
        <f>""</f>
        <v/>
      </c>
      <c r="BK575" t="str">
        <f>""</f>
        <v/>
      </c>
      <c r="BL575" t="str">
        <f>""</f>
        <v/>
      </c>
      <c r="BM575" t="str">
        <f>""</f>
        <v/>
      </c>
      <c r="BN575" t="str">
        <f>""</f>
        <v/>
      </c>
      <c r="BO575" t="str">
        <f>""</f>
        <v/>
      </c>
      <c r="BP575" t="str">
        <f>""</f>
        <v/>
      </c>
      <c r="BQ575" t="str">
        <f>""</f>
        <v/>
      </c>
      <c r="BR575" t="str">
        <f>""</f>
        <v/>
      </c>
      <c r="BS575" t="str">
        <f>""</f>
        <v/>
      </c>
    </row>
    <row r="576" spans="1:71" x14ac:dyDescent="0.25">
      <c r="A576" t="str">
        <f>$A$163</f>
        <v xml:space="preserve">        First Citizens BancShares Inc/</v>
      </c>
      <c r="B576" t="str">
        <f>$B$163</f>
        <v>FCNCA US Equity</v>
      </c>
      <c r="C576" t="str">
        <f>$C$163</f>
        <v>F0091</v>
      </c>
      <c r="D576" t="str">
        <f>$D$163</f>
        <v>FED_CONSUMER_LOANS_&amp;_LEASES_CONS</v>
      </c>
      <c r="E576" t="str">
        <f>$E$163</f>
        <v>Dynamic</v>
      </c>
      <c r="F576">
        <f ca="1">_xll.BDH($B$163,$C$163,$B$425,$B$426,CONCATENATE("Per=",$B$423),"Dts=H","Dir=H",CONCATENATE("Points=",$B$424),"Sort=R","Days=A","Fill=B",CONCATENATE("FX=", $B$422),"cols=33;rows=1")</f>
        <v>2706</v>
      </c>
      <c r="G576">
        <v>2618.29</v>
      </c>
      <c r="H576">
        <v>2066.86</v>
      </c>
      <c r="I576">
        <v>1879.3979999999999</v>
      </c>
      <c r="J576">
        <v>1808.7739999999999</v>
      </c>
      <c r="K576">
        <v>1781.14</v>
      </c>
      <c r="L576">
        <v>1715.364</v>
      </c>
      <c r="M576">
        <v>1563.3630000000001</v>
      </c>
      <c r="N576">
        <v>1447.91</v>
      </c>
      <c r="O576">
        <v>1222.0940000000001</v>
      </c>
      <c r="P576">
        <v>1120.4690000000001</v>
      </c>
      <c r="Q576">
        <v>387.303</v>
      </c>
      <c r="R576">
        <v>418.375</v>
      </c>
      <c r="S576">
        <v>502.18099999999998</v>
      </c>
      <c r="T576">
        <v>666.39200000000005</v>
      </c>
      <c r="U576">
        <v>946.5</v>
      </c>
      <c r="V576">
        <v>1233.075</v>
      </c>
      <c r="W576">
        <v>1368.2280000000001</v>
      </c>
      <c r="X576">
        <v>1356.8679999999999</v>
      </c>
      <c r="Y576">
        <v>1315.1769999999999</v>
      </c>
      <c r="Z576">
        <v>1391.962</v>
      </c>
      <c r="AA576">
        <v>1303.3050000000001</v>
      </c>
      <c r="AB576">
        <v>1153.9690000000001</v>
      </c>
      <c r="AC576">
        <v>1074.2049999999999</v>
      </c>
      <c r="AD576">
        <v>1389.633</v>
      </c>
      <c r="AE576">
        <v>1554.3230000000001</v>
      </c>
      <c r="AF576">
        <v>1674.588</v>
      </c>
      <c r="AG576">
        <v>1525.327</v>
      </c>
      <c r="AH576">
        <v>1250.1099999999999</v>
      </c>
      <c r="AI576">
        <v>1201.29</v>
      </c>
      <c r="AJ576">
        <v>1119.962</v>
      </c>
      <c r="AK576">
        <v>888.67200000000003</v>
      </c>
      <c r="AL576">
        <v>708.91399999999999</v>
      </c>
      <c r="AM576" t="str">
        <f>""</f>
        <v/>
      </c>
      <c r="AN576" t="str">
        <f>""</f>
        <v/>
      </c>
      <c r="AO576" t="str">
        <f>""</f>
        <v/>
      </c>
      <c r="AP576" t="str">
        <f>""</f>
        <v/>
      </c>
      <c r="AQ576" t="str">
        <f>""</f>
        <v/>
      </c>
      <c r="AR576" t="str">
        <f>""</f>
        <v/>
      </c>
      <c r="AS576" t="str">
        <f>""</f>
        <v/>
      </c>
      <c r="AT576" t="str">
        <f>""</f>
        <v/>
      </c>
      <c r="AU576" t="str">
        <f>""</f>
        <v/>
      </c>
      <c r="AV576" t="str">
        <f>""</f>
        <v/>
      </c>
      <c r="AW576" t="str">
        <f>""</f>
        <v/>
      </c>
      <c r="AX576" t="str">
        <f>""</f>
        <v/>
      </c>
      <c r="AY576" t="str">
        <f>""</f>
        <v/>
      </c>
      <c r="AZ576" t="str">
        <f>""</f>
        <v/>
      </c>
      <c r="BA576" t="str">
        <f>""</f>
        <v/>
      </c>
      <c r="BB576" t="str">
        <f>""</f>
        <v/>
      </c>
      <c r="BC576" t="str">
        <f>""</f>
        <v/>
      </c>
      <c r="BD576" t="str">
        <f>""</f>
        <v/>
      </c>
      <c r="BE576" t="str">
        <f>""</f>
        <v/>
      </c>
      <c r="BF576" t="str">
        <f>""</f>
        <v/>
      </c>
      <c r="BG576" t="str">
        <f>""</f>
        <v/>
      </c>
      <c r="BH576" t="str">
        <f>""</f>
        <v/>
      </c>
      <c r="BI576" t="str">
        <f>""</f>
        <v/>
      </c>
      <c r="BJ576" t="str">
        <f>""</f>
        <v/>
      </c>
      <c r="BK576" t="str">
        <f>""</f>
        <v/>
      </c>
      <c r="BL576" t="str">
        <f>""</f>
        <v/>
      </c>
      <c r="BM576" t="str">
        <f>""</f>
        <v/>
      </c>
      <c r="BN576" t="str">
        <f>""</f>
        <v/>
      </c>
      <c r="BO576" t="str">
        <f>""</f>
        <v/>
      </c>
      <c r="BP576" t="str">
        <f>""</f>
        <v/>
      </c>
      <c r="BQ576" t="str">
        <f>""</f>
        <v/>
      </c>
      <c r="BR576" t="str">
        <f>""</f>
        <v/>
      </c>
      <c r="BS576" t="str">
        <f>""</f>
        <v/>
      </c>
    </row>
    <row r="577" spans="1:71" x14ac:dyDescent="0.25">
      <c r="A577" t="str">
        <f>$A$164</f>
        <v xml:space="preserve">        Flagstar Financial Inc</v>
      </c>
      <c r="B577" t="str">
        <f>$B$164</f>
        <v>FLG US Equity</v>
      </c>
      <c r="C577" t="str">
        <f>$C$164</f>
        <v>F0091</v>
      </c>
      <c r="D577" t="str">
        <f>$D$164</f>
        <v>FED_CONSUMER_LOANS_&amp;_LEASES_CONS</v>
      </c>
      <c r="E577" t="str">
        <f>$E$164</f>
        <v>Dynamic</v>
      </c>
      <c r="F577">
        <f ca="1">_xll.BDH($B$164,$C$164,$B$425,$B$426,CONCATENATE("Per=",$B$423),"Dts=H","Dir=H",CONCATENATE("Points=",$B$424),"Sort=R","Days=A","Fill=B",CONCATENATE("FX=", $B$422),"cols=33;rows=1")</f>
        <v>207.018</v>
      </c>
      <c r="G577">
        <v>1220.1690000000001</v>
      </c>
      <c r="H577">
        <v>1361.2650000000001</v>
      </c>
      <c r="I577">
        <v>1.774</v>
      </c>
      <c r="J577">
        <v>2.0960000000000001</v>
      </c>
      <c r="K577">
        <v>3.1459999999999999</v>
      </c>
      <c r="L577">
        <v>3.4169999999999998</v>
      </c>
      <c r="M577">
        <v>3.1859999999999999</v>
      </c>
      <c r="N577">
        <v>3.976</v>
      </c>
      <c r="O577">
        <v>4.2750000000000004</v>
      </c>
      <c r="P577">
        <v>15.159000000000001</v>
      </c>
      <c r="Q577">
        <v>17.248000000000001</v>
      </c>
      <c r="R577">
        <v>19.446999999999999</v>
      </c>
      <c r="S577">
        <v>22.079000000000001</v>
      </c>
      <c r="T577">
        <v>22.847000000000001</v>
      </c>
      <c r="U577">
        <v>20.555</v>
      </c>
      <c r="V577">
        <v>34.213999999999999</v>
      </c>
      <c r="W577">
        <v>85.587999999999994</v>
      </c>
      <c r="X577">
        <v>30.61</v>
      </c>
      <c r="Y577">
        <v>8.6470000000000002</v>
      </c>
      <c r="Z577">
        <v>4.9340000000000002</v>
      </c>
      <c r="AA577">
        <v>102.69199999999999</v>
      </c>
      <c r="AB577">
        <v>15.414999999999999</v>
      </c>
      <c r="AC577">
        <v>21.041</v>
      </c>
      <c r="AD577">
        <v>10.749000000000001</v>
      </c>
      <c r="AE577">
        <v>0.434</v>
      </c>
      <c r="AF577">
        <v>0.51200000000000001</v>
      </c>
      <c r="AG577">
        <v>0.54400000000000004</v>
      </c>
      <c r="AH577">
        <v>0.61799999999999999</v>
      </c>
      <c r="AI577">
        <v>0.872</v>
      </c>
      <c r="AJ577">
        <v>1.054</v>
      </c>
      <c r="AK577">
        <v>4.2169999999999996</v>
      </c>
      <c r="AM577" t="str">
        <f>""</f>
        <v/>
      </c>
      <c r="AN577" t="str">
        <f>""</f>
        <v/>
      </c>
      <c r="AO577" t="str">
        <f>""</f>
        <v/>
      </c>
      <c r="AP577" t="str">
        <f>""</f>
        <v/>
      </c>
      <c r="AQ577" t="str">
        <f>""</f>
        <v/>
      </c>
      <c r="AR577" t="str">
        <f>""</f>
        <v/>
      </c>
      <c r="AS577" t="str">
        <f>""</f>
        <v/>
      </c>
      <c r="AT577" t="str">
        <f>""</f>
        <v/>
      </c>
      <c r="AU577" t="str">
        <f>""</f>
        <v/>
      </c>
      <c r="AV577" t="str">
        <f>""</f>
        <v/>
      </c>
      <c r="AW577" t="str">
        <f>""</f>
        <v/>
      </c>
      <c r="AX577" t="str">
        <f>""</f>
        <v/>
      </c>
      <c r="AY577" t="str">
        <f>""</f>
        <v/>
      </c>
      <c r="AZ577" t="str">
        <f>""</f>
        <v/>
      </c>
      <c r="BA577" t="str">
        <f>""</f>
        <v/>
      </c>
      <c r="BB577" t="str">
        <f>""</f>
        <v/>
      </c>
      <c r="BC577" t="str">
        <f>""</f>
        <v/>
      </c>
      <c r="BD577" t="str">
        <f>""</f>
        <v/>
      </c>
      <c r="BE577" t="str">
        <f>""</f>
        <v/>
      </c>
      <c r="BF577" t="str">
        <f>""</f>
        <v/>
      </c>
      <c r="BG577" t="str">
        <f>""</f>
        <v/>
      </c>
      <c r="BH577" t="str">
        <f>""</f>
        <v/>
      </c>
      <c r="BI577" t="str">
        <f>""</f>
        <v/>
      </c>
      <c r="BJ577" t="str">
        <f>""</f>
        <v/>
      </c>
      <c r="BK577" t="str">
        <f>""</f>
        <v/>
      </c>
      <c r="BL577" t="str">
        <f>""</f>
        <v/>
      </c>
      <c r="BM577" t="str">
        <f>""</f>
        <v/>
      </c>
      <c r="BN577" t="str">
        <f>""</f>
        <v/>
      </c>
      <c r="BO577" t="str">
        <f>""</f>
        <v/>
      </c>
      <c r="BP577" t="str">
        <f>""</f>
        <v/>
      </c>
      <c r="BQ577" t="str">
        <f>""</f>
        <v/>
      </c>
      <c r="BR577" t="str">
        <f>""</f>
        <v/>
      </c>
      <c r="BS577" t="str">
        <f>""</f>
        <v/>
      </c>
    </row>
    <row r="578" spans="1:71" x14ac:dyDescent="0.25">
      <c r="A578" t="str">
        <f>$A$165</f>
        <v xml:space="preserve">        Huntington Bancshares Inc/OH</v>
      </c>
      <c r="B578" t="str">
        <f>$B$165</f>
        <v>HBAN US Equity</v>
      </c>
      <c r="C578" t="str">
        <f>$C$165</f>
        <v>F0091</v>
      </c>
      <c r="D578" t="str">
        <f>$D$165</f>
        <v>FED_CONSUMER_LOANS_&amp;_LEASES_CONS</v>
      </c>
      <c r="E578" t="str">
        <f>$E$165</f>
        <v>Dynamic</v>
      </c>
      <c r="F578">
        <f ca="1">_xll.BDH($B$165,$C$165,$B$425,$B$426,CONCATENATE("Per=",$B$423),"Dts=H","Dir=H",CONCATENATE("Points=",$B$424),"Sort=R","Days=A","Fill=B",CONCATENATE("FX=", $B$422),"cols=33;rows=1")</f>
        <v>22731.822</v>
      </c>
      <c r="G578">
        <v>20265.987000000001</v>
      </c>
      <c r="H578">
        <v>21115.134999999998</v>
      </c>
      <c r="I578">
        <v>20853.848999999998</v>
      </c>
      <c r="J578">
        <v>18384.258999999998</v>
      </c>
      <c r="K578">
        <v>17891.636999999999</v>
      </c>
      <c r="L578">
        <v>17273.179</v>
      </c>
      <c r="M578">
        <v>16070.194</v>
      </c>
      <c r="N578">
        <v>14163.602000000001</v>
      </c>
      <c r="O578">
        <v>10226.071</v>
      </c>
      <c r="P578">
        <v>9260.0810000000001</v>
      </c>
      <c r="Q578">
        <v>7157.9470000000001</v>
      </c>
      <c r="R578">
        <v>5436.8789999999999</v>
      </c>
      <c r="S578">
        <v>6301.1610000000001</v>
      </c>
      <c r="T578">
        <v>6335.6040000000003</v>
      </c>
      <c r="U578">
        <v>4045.1709999999998</v>
      </c>
      <c r="V578">
        <v>5272.3379999999997</v>
      </c>
      <c r="W578">
        <v>5073.9440000000004</v>
      </c>
      <c r="X578">
        <v>2996.6010000000001</v>
      </c>
      <c r="Y578">
        <v>2776.3049999999998</v>
      </c>
      <c r="Z578">
        <v>2594.08</v>
      </c>
      <c r="AA578">
        <v>3654.1849999999999</v>
      </c>
      <c r="AB578">
        <v>3611.7350000000001</v>
      </c>
      <c r="AC578">
        <v>3484.8890000000001</v>
      </c>
      <c r="AD578">
        <v>3140.5920000000001</v>
      </c>
      <c r="AE578">
        <v>4205.0060000000003</v>
      </c>
      <c r="AF578">
        <v>4679.8609999999999</v>
      </c>
      <c r="AG578">
        <v>4509.97</v>
      </c>
      <c r="AH578">
        <v>3988.0279999999998</v>
      </c>
      <c r="AI578">
        <v>3870.2689999999998</v>
      </c>
      <c r="AJ578">
        <v>3532.0120000000002</v>
      </c>
      <c r="AK578">
        <v>3040.9609999999998</v>
      </c>
      <c r="AL578">
        <v>2407.6410000000001</v>
      </c>
      <c r="AM578" t="str">
        <f>""</f>
        <v/>
      </c>
      <c r="AN578" t="str">
        <f>""</f>
        <v/>
      </c>
      <c r="AO578" t="str">
        <f>""</f>
        <v/>
      </c>
      <c r="AP578" t="str">
        <f>""</f>
        <v/>
      </c>
      <c r="AQ578" t="str">
        <f>""</f>
        <v/>
      </c>
      <c r="AR578" t="str">
        <f>""</f>
        <v/>
      </c>
      <c r="AS578" t="str">
        <f>""</f>
        <v/>
      </c>
      <c r="AT578" t="str">
        <f>""</f>
        <v/>
      </c>
      <c r="AU578" t="str">
        <f>""</f>
        <v/>
      </c>
      <c r="AV578" t="str">
        <f>""</f>
        <v/>
      </c>
      <c r="AW578" t="str">
        <f>""</f>
        <v/>
      </c>
      <c r="AX578" t="str">
        <f>""</f>
        <v/>
      </c>
      <c r="AY578" t="str">
        <f>""</f>
        <v/>
      </c>
      <c r="AZ578" t="str">
        <f>""</f>
        <v/>
      </c>
      <c r="BA578" t="str">
        <f>""</f>
        <v/>
      </c>
      <c r="BB578" t="str">
        <f>""</f>
        <v/>
      </c>
      <c r="BC578" t="str">
        <f>""</f>
        <v/>
      </c>
      <c r="BD578" t="str">
        <f>""</f>
        <v/>
      </c>
      <c r="BE578" t="str">
        <f>""</f>
        <v/>
      </c>
      <c r="BF578" t="str">
        <f>""</f>
        <v/>
      </c>
      <c r="BG578" t="str">
        <f>""</f>
        <v/>
      </c>
      <c r="BH578" t="str">
        <f>""</f>
        <v/>
      </c>
      <c r="BI578" t="str">
        <f>""</f>
        <v/>
      </c>
      <c r="BJ578" t="str">
        <f>""</f>
        <v/>
      </c>
      <c r="BK578" t="str">
        <f>""</f>
        <v/>
      </c>
      <c r="BL578" t="str">
        <f>""</f>
        <v/>
      </c>
      <c r="BM578" t="str">
        <f>""</f>
        <v/>
      </c>
      <c r="BN578" t="str">
        <f>""</f>
        <v/>
      </c>
      <c r="BO578" t="str">
        <f>""</f>
        <v/>
      </c>
      <c r="BP578" t="str">
        <f>""</f>
        <v/>
      </c>
      <c r="BQ578" t="str">
        <f>""</f>
        <v/>
      </c>
      <c r="BR578" t="str">
        <f>""</f>
        <v/>
      </c>
      <c r="BS578" t="str">
        <f>""</f>
        <v/>
      </c>
    </row>
    <row r="579" spans="1:71" x14ac:dyDescent="0.25">
      <c r="A579" t="str">
        <f>$A$166</f>
        <v xml:space="preserve">        JPMorgan Chase &amp; Co</v>
      </c>
      <c r="B579" t="str">
        <f>$B$166</f>
        <v>JPM US Equity</v>
      </c>
      <c r="C579" t="str">
        <f>$C$166</f>
        <v>F0091</v>
      </c>
      <c r="D579" t="str">
        <f>$D$166</f>
        <v>FED_CONSUMER_LOANS_&amp;_LEASES_CONS</v>
      </c>
      <c r="E579" t="str">
        <f>$E$166</f>
        <v>Dynamic</v>
      </c>
      <c r="F579">
        <f ca="1">_xll.BDH($B$166,$C$166,$B$425,$B$426,CONCATENATE("Per=",$B$423),"Dts=H","Dir=H",CONCATENATE("Points=",$B$424),"Sort=R","Days=A","Fill=B",CONCATENATE("FX=", $B$422),"cols=33;rows=1")</f>
        <v>285330</v>
      </c>
      <c r="G579">
        <v>275548</v>
      </c>
      <c r="H579">
        <v>246411</v>
      </c>
      <c r="I579">
        <v>220532</v>
      </c>
      <c r="J579">
        <v>199932</v>
      </c>
      <c r="K579">
        <v>212966</v>
      </c>
      <c r="L579">
        <v>203661</v>
      </c>
      <c r="M579">
        <v>200963</v>
      </c>
      <c r="N579">
        <v>201962</v>
      </c>
      <c r="O579">
        <v>189481</v>
      </c>
      <c r="P579">
        <v>187015</v>
      </c>
      <c r="Q579">
        <v>181587</v>
      </c>
      <c r="R579">
        <v>180720</v>
      </c>
      <c r="S579">
        <v>182248</v>
      </c>
      <c r="T579">
        <v>189783</v>
      </c>
      <c r="U579">
        <v>129254</v>
      </c>
      <c r="V579">
        <v>151425</v>
      </c>
      <c r="W579">
        <v>126947</v>
      </c>
      <c r="X579">
        <v>127458</v>
      </c>
      <c r="Y579">
        <v>128845</v>
      </c>
      <c r="Z579">
        <v>113756</v>
      </c>
      <c r="AA579">
        <v>54252</v>
      </c>
      <c r="AB579">
        <v>52445</v>
      </c>
      <c r="AC579">
        <v>45823</v>
      </c>
      <c r="AD579">
        <v>40436.999000000003</v>
      </c>
      <c r="AE579">
        <v>35916.714999999997</v>
      </c>
      <c r="AF579">
        <v>34290.548000000003</v>
      </c>
      <c r="AG579">
        <v>33359.981</v>
      </c>
      <c r="AM579" t="str">
        <f>""</f>
        <v/>
      </c>
      <c r="AN579" t="str">
        <f>""</f>
        <v/>
      </c>
      <c r="AO579" t="str">
        <f>""</f>
        <v/>
      </c>
      <c r="AP579" t="str">
        <f>""</f>
        <v/>
      </c>
      <c r="AQ579" t="str">
        <f>""</f>
        <v/>
      </c>
      <c r="AR579" t="str">
        <f>""</f>
        <v/>
      </c>
      <c r="AS579" t="str">
        <f>""</f>
        <v/>
      </c>
      <c r="AT579" t="str">
        <f>""</f>
        <v/>
      </c>
      <c r="AU579" t="str">
        <f>""</f>
        <v/>
      </c>
      <c r="AV579" t="str">
        <f>""</f>
        <v/>
      </c>
      <c r="AW579" t="str">
        <f>""</f>
        <v/>
      </c>
      <c r="AX579" t="str">
        <f>""</f>
        <v/>
      </c>
      <c r="AY579" t="str">
        <f>""</f>
        <v/>
      </c>
      <c r="AZ579" t="str">
        <f>""</f>
        <v/>
      </c>
      <c r="BA579" t="str">
        <f>""</f>
        <v/>
      </c>
      <c r="BB579" t="str">
        <f>""</f>
        <v/>
      </c>
      <c r="BC579" t="str">
        <f>""</f>
        <v/>
      </c>
      <c r="BD579" t="str">
        <f>""</f>
        <v/>
      </c>
      <c r="BE579" t="str">
        <f>""</f>
        <v/>
      </c>
      <c r="BF579" t="str">
        <f>""</f>
        <v/>
      </c>
      <c r="BG579" t="str">
        <f>""</f>
        <v/>
      </c>
      <c r="BH579" t="str">
        <f>""</f>
        <v/>
      </c>
      <c r="BI579" t="str">
        <f>""</f>
        <v/>
      </c>
      <c r="BJ579" t="str">
        <f>""</f>
        <v/>
      </c>
      <c r="BK579" t="str">
        <f>""</f>
        <v/>
      </c>
      <c r="BL579" t="str">
        <f>""</f>
        <v/>
      </c>
      <c r="BM579" t="str">
        <f>""</f>
        <v/>
      </c>
      <c r="BN579" t="str">
        <f>""</f>
        <v/>
      </c>
      <c r="BO579" t="str">
        <f>""</f>
        <v/>
      </c>
      <c r="BP579" t="str">
        <f>""</f>
        <v/>
      </c>
      <c r="BQ579" t="str">
        <f>""</f>
        <v/>
      </c>
      <c r="BR579" t="str">
        <f>""</f>
        <v/>
      </c>
      <c r="BS579" t="str">
        <f>""</f>
        <v/>
      </c>
    </row>
    <row r="580" spans="1:71" x14ac:dyDescent="0.25">
      <c r="A580" t="str">
        <f>$A$167</f>
        <v xml:space="preserve">        KeyCorp</v>
      </c>
      <c r="B580" t="str">
        <f>$B$167</f>
        <v>KEY US Equity</v>
      </c>
      <c r="C580" t="str">
        <f>$C$167</f>
        <v>F0091</v>
      </c>
      <c r="D580" t="str">
        <f>$D$167</f>
        <v>FED_CONSUMER_LOANS_&amp;_LEASES_CONS</v>
      </c>
      <c r="E580" t="str">
        <f>$E$167</f>
        <v>Dynamic</v>
      </c>
      <c r="F580">
        <f ca="1">_xll.BDH($B$167,$C$167,$B$425,$B$426,CONCATENATE("Per=",$B$423),"Dts=H","Dir=H",CONCATENATE("Points=",$B$424),"Sort=R","Days=A","Fill=B",CONCATENATE("FX=", $B$422),"cols=33;rows=1")</f>
        <v>6382.5140000000001</v>
      </c>
      <c r="G580">
        <v>7255.43</v>
      </c>
      <c r="H580">
        <v>8011.1480000000001</v>
      </c>
      <c r="I580">
        <v>7361.8280000000004</v>
      </c>
      <c r="J580">
        <v>11314.116</v>
      </c>
      <c r="K580">
        <v>10234.895</v>
      </c>
      <c r="L580">
        <v>7660.2610000000004</v>
      </c>
      <c r="M580">
        <v>7474.7439999999997</v>
      </c>
      <c r="N580">
        <v>7473.3590000000004</v>
      </c>
      <c r="O580">
        <v>4854.3410000000003</v>
      </c>
      <c r="P580">
        <v>5437.5069999999996</v>
      </c>
      <c r="Q580">
        <v>7765.28</v>
      </c>
      <c r="R580">
        <v>8731.0259999999998</v>
      </c>
      <c r="S580">
        <v>8895.4940000000006</v>
      </c>
      <c r="T580">
        <v>10027.853999999999</v>
      </c>
      <c r="U580">
        <v>8140.4709999999995</v>
      </c>
      <c r="V580">
        <v>8988.7759999999998</v>
      </c>
      <c r="W580">
        <v>8790.8799999999992</v>
      </c>
      <c r="X580">
        <v>7549.64</v>
      </c>
      <c r="Y580">
        <v>7658.674</v>
      </c>
      <c r="Z580">
        <v>9003</v>
      </c>
      <c r="AA580">
        <v>9121.7489999999998</v>
      </c>
      <c r="AB580">
        <v>8632.3389999999999</v>
      </c>
      <c r="AC580">
        <v>9004.5239999999994</v>
      </c>
      <c r="AD580">
        <v>9701.7729999999992</v>
      </c>
      <c r="AE580">
        <v>11527.302</v>
      </c>
      <c r="AF580">
        <v>13158.279</v>
      </c>
      <c r="AG580">
        <v>11879.59</v>
      </c>
      <c r="AH580">
        <v>13405.669</v>
      </c>
      <c r="AI580">
        <v>12115.41</v>
      </c>
      <c r="AJ580">
        <v>11999.71</v>
      </c>
      <c r="AK580">
        <v>4915.9340000000002</v>
      </c>
      <c r="AL580">
        <v>4316.5720000000001</v>
      </c>
      <c r="AM580" t="str">
        <f>""</f>
        <v/>
      </c>
      <c r="AN580" t="str">
        <f>""</f>
        <v/>
      </c>
      <c r="AO580" t="str">
        <f>""</f>
        <v/>
      </c>
      <c r="AP580" t="str">
        <f>""</f>
        <v/>
      </c>
      <c r="AQ580" t="str">
        <f>""</f>
        <v/>
      </c>
      <c r="AR580" t="str">
        <f>""</f>
        <v/>
      </c>
      <c r="AS580" t="str">
        <f>""</f>
        <v/>
      </c>
      <c r="AT580" t="str">
        <f>""</f>
        <v/>
      </c>
      <c r="AU580" t="str">
        <f>""</f>
        <v/>
      </c>
      <c r="AV580" t="str">
        <f>""</f>
        <v/>
      </c>
      <c r="AW580" t="str">
        <f>""</f>
        <v/>
      </c>
      <c r="AX580" t="str">
        <f>""</f>
        <v/>
      </c>
      <c r="AY580" t="str">
        <f>""</f>
        <v/>
      </c>
      <c r="AZ580" t="str">
        <f>""</f>
        <v/>
      </c>
      <c r="BA580" t="str">
        <f>""</f>
        <v/>
      </c>
      <c r="BB580" t="str">
        <f>""</f>
        <v/>
      </c>
      <c r="BC580" t="str">
        <f>""</f>
        <v/>
      </c>
      <c r="BD580" t="str">
        <f>""</f>
        <v/>
      </c>
      <c r="BE580" t="str">
        <f>""</f>
        <v/>
      </c>
      <c r="BF580" t="str">
        <f>""</f>
        <v/>
      </c>
      <c r="BG580" t="str">
        <f>""</f>
        <v/>
      </c>
      <c r="BH580" t="str">
        <f>""</f>
        <v/>
      </c>
      <c r="BI580" t="str">
        <f>""</f>
        <v/>
      </c>
      <c r="BJ580" t="str">
        <f>""</f>
        <v/>
      </c>
      <c r="BK580" t="str">
        <f>""</f>
        <v/>
      </c>
      <c r="BL580" t="str">
        <f>""</f>
        <v/>
      </c>
      <c r="BM580" t="str">
        <f>""</f>
        <v/>
      </c>
      <c r="BN580" t="str">
        <f>""</f>
        <v/>
      </c>
      <c r="BO580" t="str">
        <f>""</f>
        <v/>
      </c>
      <c r="BP580" t="str">
        <f>""</f>
        <v/>
      </c>
      <c r="BQ580" t="str">
        <f>""</f>
        <v/>
      </c>
      <c r="BR580" t="str">
        <f>""</f>
        <v/>
      </c>
      <c r="BS580" t="str">
        <f>""</f>
        <v/>
      </c>
    </row>
    <row r="581" spans="1:71" x14ac:dyDescent="0.25">
      <c r="A581" t="str">
        <f>$A$168</f>
        <v xml:space="preserve">        M&amp;T Bank Corp</v>
      </c>
      <c r="B581" t="str">
        <f>$B$168</f>
        <v>MTB US Equity</v>
      </c>
      <c r="C581" t="str">
        <f>$C$168</f>
        <v>F0091</v>
      </c>
      <c r="D581" t="str">
        <f>$D$168</f>
        <v>FED_CONSUMER_LOANS_&amp;_LEASES_CONS</v>
      </c>
      <c r="E581" t="str">
        <f>$E$168</f>
        <v>Dynamic</v>
      </c>
      <c r="F581">
        <f ca="1">_xll.BDH($B$168,$C$168,$B$425,$B$426,CONCATENATE("Per=",$B$423),"Dts=H","Dir=H",CONCATENATE("Points=",$B$424),"Sort=R","Days=A","Fill=B",CONCATENATE("FX=", $B$422),"cols=33;rows=1")</f>
        <v>19576.696</v>
      </c>
      <c r="G581">
        <v>16141.504999999999</v>
      </c>
      <c r="H581">
        <v>15583.188</v>
      </c>
      <c r="I581">
        <v>14411.191999999999</v>
      </c>
      <c r="J581">
        <v>12583.272000000001</v>
      </c>
      <c r="K581">
        <v>10901.52</v>
      </c>
      <c r="L581">
        <v>9105.3310000000001</v>
      </c>
      <c r="M581">
        <v>7969.9830000000002</v>
      </c>
      <c r="N581">
        <v>6500.4790000000003</v>
      </c>
      <c r="O581">
        <v>5629.7380000000003</v>
      </c>
      <c r="P581">
        <v>4943.1790000000001</v>
      </c>
      <c r="Q581">
        <v>4152.5429999999997</v>
      </c>
      <c r="R581">
        <v>5224.1729999999998</v>
      </c>
      <c r="S581">
        <v>5336.4970000000003</v>
      </c>
      <c r="T581">
        <v>4925.3209999999999</v>
      </c>
      <c r="U581">
        <v>5203.43</v>
      </c>
      <c r="V581">
        <v>5292.4889999999996</v>
      </c>
      <c r="W581">
        <v>5772.87</v>
      </c>
      <c r="X581">
        <v>4454.0720000000001</v>
      </c>
      <c r="Y581">
        <v>5036.1809999999996</v>
      </c>
      <c r="Z581">
        <v>5713.07</v>
      </c>
      <c r="AA581">
        <v>5617.4620000000004</v>
      </c>
      <c r="AB581">
        <v>4177.6170000000002</v>
      </c>
      <c r="AC581">
        <v>3214.3739999999998</v>
      </c>
      <c r="AD581">
        <v>2427.3180000000002</v>
      </c>
      <c r="AE581">
        <v>1870.202</v>
      </c>
      <c r="AF581">
        <v>1756.529</v>
      </c>
      <c r="AG581">
        <v>1424.1869999999999</v>
      </c>
      <c r="AH581">
        <v>1615.6379999999999</v>
      </c>
      <c r="AI581">
        <v>1256.4839999999999</v>
      </c>
      <c r="AJ581">
        <v>944.38300000000004</v>
      </c>
      <c r="AK581">
        <v>638.923</v>
      </c>
      <c r="AL581">
        <v>525.61099999999999</v>
      </c>
      <c r="AM581" t="str">
        <f>""</f>
        <v/>
      </c>
      <c r="AN581" t="str">
        <f>""</f>
        <v/>
      </c>
      <c r="AO581" t="str">
        <f>""</f>
        <v/>
      </c>
      <c r="AP581" t="str">
        <f>""</f>
        <v/>
      </c>
      <c r="AQ581" t="str">
        <f>""</f>
        <v/>
      </c>
      <c r="AR581" t="str">
        <f>""</f>
        <v/>
      </c>
      <c r="AS581" t="str">
        <f>""</f>
        <v/>
      </c>
      <c r="AT581" t="str">
        <f>""</f>
        <v/>
      </c>
      <c r="AU581" t="str">
        <f>""</f>
        <v/>
      </c>
      <c r="AV581" t="str">
        <f>""</f>
        <v/>
      </c>
      <c r="AW581" t="str">
        <f>""</f>
        <v/>
      </c>
      <c r="AX581" t="str">
        <f>""</f>
        <v/>
      </c>
      <c r="AY581" t="str">
        <f>""</f>
        <v/>
      </c>
      <c r="AZ581" t="str">
        <f>""</f>
        <v/>
      </c>
      <c r="BA581" t="str">
        <f>""</f>
        <v/>
      </c>
      <c r="BB581" t="str">
        <f>""</f>
        <v/>
      </c>
      <c r="BC581" t="str">
        <f>""</f>
        <v/>
      </c>
      <c r="BD581" t="str">
        <f>""</f>
        <v/>
      </c>
      <c r="BE581" t="str">
        <f>""</f>
        <v/>
      </c>
      <c r="BF581" t="str">
        <f>""</f>
        <v/>
      </c>
      <c r="BG581" t="str">
        <f>""</f>
        <v/>
      </c>
      <c r="BH581" t="str">
        <f>""</f>
        <v/>
      </c>
      <c r="BI581" t="str">
        <f>""</f>
        <v/>
      </c>
      <c r="BJ581" t="str">
        <f>""</f>
        <v/>
      </c>
      <c r="BK581" t="str">
        <f>""</f>
        <v/>
      </c>
      <c r="BL581" t="str">
        <f>""</f>
        <v/>
      </c>
      <c r="BM581" t="str">
        <f>""</f>
        <v/>
      </c>
      <c r="BN581" t="str">
        <f>""</f>
        <v/>
      </c>
      <c r="BO581" t="str">
        <f>""</f>
        <v/>
      </c>
      <c r="BP581" t="str">
        <f>""</f>
        <v/>
      </c>
      <c r="BQ581" t="str">
        <f>""</f>
        <v/>
      </c>
      <c r="BR581" t="str">
        <f>""</f>
        <v/>
      </c>
      <c r="BS581" t="str">
        <f>""</f>
        <v/>
      </c>
    </row>
    <row r="582" spans="1:71" x14ac:dyDescent="0.25">
      <c r="A582" t="str">
        <f>$A$169</f>
        <v xml:space="preserve">        PNC Financial Services Group I</v>
      </c>
      <c r="B582" t="str">
        <f>$B$169</f>
        <v>PNC US Equity</v>
      </c>
      <c r="C582" t="str">
        <f>$C$169</f>
        <v>F0091</v>
      </c>
      <c r="D582" t="str">
        <f>$D$169</f>
        <v>FED_CONSUMER_LOANS_&amp;_LEASES_CONS</v>
      </c>
      <c r="E582" t="str">
        <f>$E$169</f>
        <v>Dynamic</v>
      </c>
      <c r="F582">
        <f ca="1">_xll.BDH($B$169,$C$169,$B$425,$B$426,CONCATENATE("Per=",$B$423),"Dts=H","Dir=H",CONCATENATE("Points=",$B$424),"Sort=R","Days=A","Fill=B",CONCATENATE("FX=", $B$422),"cols=33;rows=1")</f>
        <v>26917.386999999999</v>
      </c>
      <c r="G582">
        <v>27248.600999999999</v>
      </c>
      <c r="H582">
        <v>28137.191999999999</v>
      </c>
      <c r="I582">
        <v>30569.559000000001</v>
      </c>
      <c r="J582">
        <v>27137.172999999999</v>
      </c>
      <c r="K582">
        <v>31303.918000000001</v>
      </c>
      <c r="L582">
        <v>28244.774000000001</v>
      </c>
      <c r="M582">
        <v>26609.723000000002</v>
      </c>
      <c r="N582">
        <v>26602.742999999999</v>
      </c>
      <c r="O582">
        <v>25855.166000000001</v>
      </c>
      <c r="P582">
        <v>26647.733</v>
      </c>
      <c r="Q582">
        <v>26382.263999999999</v>
      </c>
      <c r="R582">
        <v>25108.159</v>
      </c>
      <c r="S582">
        <v>22509.131000000001</v>
      </c>
      <c r="T582">
        <v>20237.092000000001</v>
      </c>
      <c r="U582">
        <v>17196.655999999999</v>
      </c>
      <c r="V582">
        <v>13826.05</v>
      </c>
      <c r="W582">
        <v>5331.8919999999998</v>
      </c>
      <c r="X582">
        <v>3967.3359999999998</v>
      </c>
      <c r="Y582">
        <v>4228.38</v>
      </c>
      <c r="Z582">
        <v>3868.433</v>
      </c>
      <c r="AA582">
        <v>2553.837</v>
      </c>
      <c r="AB582">
        <v>2690.759</v>
      </c>
      <c r="AC582">
        <v>3359.748</v>
      </c>
      <c r="AD582">
        <v>3670.8589999999999</v>
      </c>
      <c r="AE582">
        <v>4441.7659999999996</v>
      </c>
      <c r="AF582">
        <v>10942.688</v>
      </c>
      <c r="AG582">
        <v>13746.334000000001</v>
      </c>
      <c r="AH582">
        <v>10021.629000000001</v>
      </c>
      <c r="AI582">
        <v>8525.9879999999994</v>
      </c>
      <c r="AJ582">
        <v>6326.393</v>
      </c>
      <c r="AK582">
        <v>5422.5219999999999</v>
      </c>
      <c r="AL582">
        <v>5396.3689999999997</v>
      </c>
      <c r="AM582" t="str">
        <f>""</f>
        <v/>
      </c>
      <c r="AN582" t="str">
        <f>""</f>
        <v/>
      </c>
      <c r="AO582" t="str">
        <f>""</f>
        <v/>
      </c>
      <c r="AP582" t="str">
        <f>""</f>
        <v/>
      </c>
      <c r="AQ582" t="str">
        <f>""</f>
        <v/>
      </c>
      <c r="AR582" t="str">
        <f>""</f>
        <v/>
      </c>
      <c r="AS582" t="str">
        <f>""</f>
        <v/>
      </c>
      <c r="AT582" t="str">
        <f>""</f>
        <v/>
      </c>
      <c r="AU582" t="str">
        <f>""</f>
        <v/>
      </c>
      <c r="AV582" t="str">
        <f>""</f>
        <v/>
      </c>
      <c r="AW582" t="str">
        <f>""</f>
        <v/>
      </c>
      <c r="AX582" t="str">
        <f>""</f>
        <v/>
      </c>
      <c r="AY582" t="str">
        <f>""</f>
        <v/>
      </c>
      <c r="AZ582" t="str">
        <f>""</f>
        <v/>
      </c>
      <c r="BA582" t="str">
        <f>""</f>
        <v/>
      </c>
      <c r="BB582" t="str">
        <f>""</f>
        <v/>
      </c>
      <c r="BC582" t="str">
        <f>""</f>
        <v/>
      </c>
      <c r="BD582" t="str">
        <f>""</f>
        <v/>
      </c>
      <c r="BE582" t="str">
        <f>""</f>
        <v/>
      </c>
      <c r="BF582" t="str">
        <f>""</f>
        <v/>
      </c>
      <c r="BG582" t="str">
        <f>""</f>
        <v/>
      </c>
      <c r="BH582" t="str">
        <f>""</f>
        <v/>
      </c>
      <c r="BI582" t="str">
        <f>""</f>
        <v/>
      </c>
      <c r="BJ582" t="str">
        <f>""</f>
        <v/>
      </c>
      <c r="BK582" t="str">
        <f>""</f>
        <v/>
      </c>
      <c r="BL582" t="str">
        <f>""</f>
        <v/>
      </c>
      <c r="BM582" t="str">
        <f>""</f>
        <v/>
      </c>
      <c r="BN582" t="str">
        <f>""</f>
        <v/>
      </c>
      <c r="BO582" t="str">
        <f>""</f>
        <v/>
      </c>
      <c r="BP582" t="str">
        <f>""</f>
        <v/>
      </c>
      <c r="BQ582" t="str">
        <f>""</f>
        <v/>
      </c>
      <c r="BR582" t="str">
        <f>""</f>
        <v/>
      </c>
      <c r="BS582" t="str">
        <f>""</f>
        <v/>
      </c>
    </row>
    <row r="583" spans="1:71" x14ac:dyDescent="0.25">
      <c r="A583" t="str">
        <f>$A$170</f>
        <v xml:space="preserve">        Regions Financial Corp</v>
      </c>
      <c r="B583" t="str">
        <f>$B$170</f>
        <v>RF US Equity</v>
      </c>
      <c r="C583" t="str">
        <f>$C$170</f>
        <v>F0091</v>
      </c>
      <c r="D583" t="str">
        <f>$D$170</f>
        <v>FED_CONSUMER_LOANS_&amp;_LEASES_CONS</v>
      </c>
      <c r="E583" t="str">
        <f>$E$170</f>
        <v>Dynamic</v>
      </c>
      <c r="F583">
        <f ca="1">_xll.BDH($B$170,$C$170,$B$425,$B$426,CONCATENATE("Per=",$B$423),"Dts=H","Dir=H",CONCATENATE("Points=",$B$424),"Sort=R","Days=A","Fill=B",CONCATENATE("FX=", $B$422),"cols=33;rows=1")</f>
        <v>7708</v>
      </c>
      <c r="G583">
        <v>7873</v>
      </c>
      <c r="H583">
        <v>7808</v>
      </c>
      <c r="I583">
        <v>7960</v>
      </c>
      <c r="J583">
        <v>5751</v>
      </c>
      <c r="K583">
        <v>7692</v>
      </c>
      <c r="L583">
        <v>7866.0119999999997</v>
      </c>
      <c r="M583">
        <v>7148.4189999999999</v>
      </c>
      <c r="N583">
        <v>7196.5129999999999</v>
      </c>
      <c r="O583">
        <v>6553.5209999999997</v>
      </c>
      <c r="P583">
        <v>5773.2190000000001</v>
      </c>
      <c r="Q583">
        <v>5128.4139999999998</v>
      </c>
      <c r="R583">
        <v>4368.143</v>
      </c>
      <c r="S583">
        <v>3985.444</v>
      </c>
      <c r="T583">
        <v>2703.3679999999999</v>
      </c>
      <c r="U583">
        <v>3792.576</v>
      </c>
      <c r="V583">
        <v>5151.4309999999996</v>
      </c>
      <c r="W583">
        <v>5787.6419999999998</v>
      </c>
      <c r="X583">
        <v>6371.9949999999999</v>
      </c>
      <c r="Y583">
        <v>3390.538</v>
      </c>
      <c r="Z583">
        <v>4064.1219999999998</v>
      </c>
      <c r="AM583" t="str">
        <f>""</f>
        <v/>
      </c>
      <c r="AN583" t="str">
        <f>""</f>
        <v/>
      </c>
      <c r="AO583" t="str">
        <f>""</f>
        <v/>
      </c>
      <c r="AP583" t="str">
        <f>""</f>
        <v/>
      </c>
      <c r="AQ583" t="str">
        <f>""</f>
        <v/>
      </c>
      <c r="AR583" t="str">
        <f>""</f>
        <v/>
      </c>
      <c r="AS583" t="str">
        <f>""</f>
        <v/>
      </c>
      <c r="AT583" t="str">
        <f>""</f>
        <v/>
      </c>
      <c r="AU583" t="str">
        <f>""</f>
        <v/>
      </c>
      <c r="AV583" t="str">
        <f>""</f>
        <v/>
      </c>
      <c r="AW583" t="str">
        <f>""</f>
        <v/>
      </c>
      <c r="AX583" t="str">
        <f>""</f>
        <v/>
      </c>
      <c r="AY583" t="str">
        <f>""</f>
        <v/>
      </c>
      <c r="AZ583" t="str">
        <f>""</f>
        <v/>
      </c>
      <c r="BA583" t="str">
        <f>""</f>
        <v/>
      </c>
      <c r="BB583" t="str">
        <f>""</f>
        <v/>
      </c>
      <c r="BC583" t="str">
        <f>""</f>
        <v/>
      </c>
      <c r="BD583" t="str">
        <f>""</f>
        <v/>
      </c>
      <c r="BE583" t="str">
        <f>""</f>
        <v/>
      </c>
      <c r="BF583" t="str">
        <f>""</f>
        <v/>
      </c>
      <c r="BG583" t="str">
        <f>""</f>
        <v/>
      </c>
      <c r="BH583" t="str">
        <f>""</f>
        <v/>
      </c>
      <c r="BI583" t="str">
        <f>""</f>
        <v/>
      </c>
      <c r="BJ583" t="str">
        <f>""</f>
        <v/>
      </c>
      <c r="BK583" t="str">
        <f>""</f>
        <v/>
      </c>
      <c r="BL583" t="str">
        <f>""</f>
        <v/>
      </c>
      <c r="BM583" t="str">
        <f>""</f>
        <v/>
      </c>
      <c r="BN583" t="str">
        <f>""</f>
        <v/>
      </c>
      <c r="BO583" t="str">
        <f>""</f>
        <v/>
      </c>
      <c r="BP583" t="str">
        <f>""</f>
        <v/>
      </c>
      <c r="BQ583" t="str">
        <f>""</f>
        <v/>
      </c>
      <c r="BR583" t="str">
        <f>""</f>
        <v/>
      </c>
      <c r="BS583" t="str">
        <f>""</f>
        <v/>
      </c>
    </row>
    <row r="584" spans="1:71" x14ac:dyDescent="0.25">
      <c r="A584" t="str">
        <f>$A$171</f>
        <v xml:space="preserve">        Truist Financial Corp</v>
      </c>
      <c r="B584" t="str">
        <f>$B$171</f>
        <v>TFC US Equity</v>
      </c>
      <c r="C584" t="str">
        <f>$C$171</f>
        <v>F0091</v>
      </c>
      <c r="D584" t="str">
        <f>$D$171</f>
        <v>FED_CONSUMER_LOANS_&amp;_LEASES_CONS</v>
      </c>
      <c r="E584" t="str">
        <f>$E$171</f>
        <v>Dynamic</v>
      </c>
      <c r="F584">
        <f ca="1">_xll.BDH($B$171,$C$171,$B$425,$B$426,CONCATENATE("Per=",$B$423),"Dts=H","Dir=H",CONCATENATE("Points=",$B$424),"Sort=R","Days=A","Fill=B",CONCATENATE("FX=", $B$422),"cols=33;rows=1")</f>
        <v>55037</v>
      </c>
      <c r="G584">
        <v>53982</v>
      </c>
      <c r="H584">
        <v>63225</v>
      </c>
      <c r="I584">
        <v>60232</v>
      </c>
      <c r="J584">
        <v>60113</v>
      </c>
      <c r="K584">
        <v>58636</v>
      </c>
      <c r="L584">
        <v>21842</v>
      </c>
      <c r="M584">
        <v>21076</v>
      </c>
      <c r="N584">
        <v>21828.941999999999</v>
      </c>
      <c r="O584">
        <v>20062.512999999999</v>
      </c>
      <c r="P584">
        <v>18657.503000000001</v>
      </c>
      <c r="Q584">
        <v>16508.792000000001</v>
      </c>
      <c r="R584">
        <v>14913.244000000001</v>
      </c>
      <c r="S584">
        <v>13987.009</v>
      </c>
      <c r="T584">
        <v>13107.119000000001</v>
      </c>
      <c r="U584">
        <v>11993.903</v>
      </c>
      <c r="V584">
        <v>11093.455</v>
      </c>
      <c r="W584">
        <v>10274.929</v>
      </c>
      <c r="X584">
        <v>9596.6219999999994</v>
      </c>
      <c r="Y584">
        <v>8804.3230000000003</v>
      </c>
      <c r="Z584">
        <v>8518.7729999999992</v>
      </c>
      <c r="AA584">
        <v>8335.4809999999998</v>
      </c>
      <c r="AB584">
        <v>5855.5240000000003</v>
      </c>
      <c r="AC584">
        <v>5495.6109999999999</v>
      </c>
      <c r="AD584">
        <v>4371.7049999999999</v>
      </c>
      <c r="AE584">
        <v>3251.55</v>
      </c>
      <c r="AF584">
        <v>2517.9720000000002</v>
      </c>
      <c r="AG584">
        <v>2454.0030000000002</v>
      </c>
      <c r="AH584">
        <v>1617.2550000000001</v>
      </c>
      <c r="AI584">
        <v>1540.251</v>
      </c>
      <c r="AJ584">
        <v>696.71400000000006</v>
      </c>
      <c r="AK584">
        <v>370.52300000000002</v>
      </c>
      <c r="AL584">
        <v>339.84699999999998</v>
      </c>
      <c r="AM584" t="str">
        <f>""</f>
        <v/>
      </c>
      <c r="AN584" t="str">
        <f>""</f>
        <v/>
      </c>
      <c r="AO584" t="str">
        <f>""</f>
        <v/>
      </c>
      <c r="AP584" t="str">
        <f>""</f>
        <v/>
      </c>
      <c r="AQ584" t="str">
        <f>""</f>
        <v/>
      </c>
      <c r="AR584" t="str">
        <f>""</f>
        <v/>
      </c>
      <c r="AS584" t="str">
        <f>""</f>
        <v/>
      </c>
      <c r="AT584" t="str">
        <f>""</f>
        <v/>
      </c>
      <c r="AU584" t="str">
        <f>""</f>
        <v/>
      </c>
      <c r="AV584" t="str">
        <f>""</f>
        <v/>
      </c>
      <c r="AW584" t="str">
        <f>""</f>
        <v/>
      </c>
      <c r="AX584" t="str">
        <f>""</f>
        <v/>
      </c>
      <c r="AY584" t="str">
        <f>""</f>
        <v/>
      </c>
      <c r="AZ584" t="str">
        <f>""</f>
        <v/>
      </c>
      <c r="BA584" t="str">
        <f>""</f>
        <v/>
      </c>
      <c r="BB584" t="str">
        <f>""</f>
        <v/>
      </c>
      <c r="BC584" t="str">
        <f>""</f>
        <v/>
      </c>
      <c r="BD584" t="str">
        <f>""</f>
        <v/>
      </c>
      <c r="BE584" t="str">
        <f>""</f>
        <v/>
      </c>
      <c r="BF584" t="str">
        <f>""</f>
        <v/>
      </c>
      <c r="BG584" t="str">
        <f>""</f>
        <v/>
      </c>
      <c r="BH584" t="str">
        <f>""</f>
        <v/>
      </c>
      <c r="BI584" t="str">
        <f>""</f>
        <v/>
      </c>
      <c r="BJ584" t="str">
        <f>""</f>
        <v/>
      </c>
      <c r="BK584" t="str">
        <f>""</f>
        <v/>
      </c>
      <c r="BL584" t="str">
        <f>""</f>
        <v/>
      </c>
      <c r="BM584" t="str">
        <f>""</f>
        <v/>
      </c>
      <c r="BN584" t="str">
        <f>""</f>
        <v/>
      </c>
      <c r="BO584" t="str">
        <f>""</f>
        <v/>
      </c>
      <c r="BP584" t="str">
        <f>""</f>
        <v/>
      </c>
      <c r="BQ584" t="str">
        <f>""</f>
        <v/>
      </c>
      <c r="BR584" t="str">
        <f>""</f>
        <v/>
      </c>
      <c r="BS584" t="str">
        <f>""</f>
        <v/>
      </c>
    </row>
    <row r="585" spans="1:71" x14ac:dyDescent="0.25">
      <c r="A585" t="str">
        <f>$A$172</f>
        <v xml:space="preserve">        US Bancorp</v>
      </c>
      <c r="B585" t="str">
        <f>$B$172</f>
        <v>USB US Equity</v>
      </c>
      <c r="C585" t="str">
        <f>$C$172</f>
        <v>F0091</v>
      </c>
      <c r="D585" t="str">
        <f>$D$172</f>
        <v>FED_CONSUMER_LOANS_&amp;_LEASES_CONS</v>
      </c>
      <c r="E585" t="str">
        <f>$E$172</f>
        <v>Dynamic</v>
      </c>
      <c r="F585">
        <f ca="1">_xll.BDH($B$172,$C$172,$B$425,$B$426,CONCATENATE("Per=",$B$423),"Dts=H","Dir=H",CONCATENATE("Points=",$B$424),"Sort=R","Days=A","Fill=B",CONCATENATE("FX=", $B$422),"cols=33;rows=1")</f>
        <v>59383</v>
      </c>
      <c r="G585">
        <v>60040</v>
      </c>
      <c r="H585">
        <v>68307</v>
      </c>
      <c r="I585">
        <v>75049</v>
      </c>
      <c r="J585">
        <v>66895</v>
      </c>
      <c r="K585">
        <v>66856</v>
      </c>
      <c r="L585">
        <v>63668</v>
      </c>
      <c r="M585">
        <v>63169</v>
      </c>
      <c r="N585">
        <v>59211</v>
      </c>
      <c r="O585">
        <v>55818</v>
      </c>
      <c r="P585">
        <v>51853</v>
      </c>
      <c r="Q585">
        <v>50252</v>
      </c>
      <c r="R585">
        <v>48094</v>
      </c>
      <c r="S585">
        <v>47522</v>
      </c>
      <c r="T585">
        <v>46264</v>
      </c>
      <c r="U585">
        <v>44846</v>
      </c>
      <c r="V585">
        <v>41604</v>
      </c>
      <c r="W585">
        <v>35760</v>
      </c>
      <c r="X585">
        <v>26368</v>
      </c>
      <c r="Y585">
        <v>23226</v>
      </c>
      <c r="Z585">
        <v>21024</v>
      </c>
      <c r="AA585">
        <v>19623</v>
      </c>
      <c r="AB585">
        <v>18284</v>
      </c>
      <c r="AC585">
        <v>17637</v>
      </c>
      <c r="AD585">
        <v>8468.518</v>
      </c>
      <c r="AE585">
        <v>8564.4060000000009</v>
      </c>
      <c r="AF585">
        <v>11242.486999999999</v>
      </c>
      <c r="AG585">
        <v>10758.132</v>
      </c>
      <c r="AH585">
        <v>6624.2629999999999</v>
      </c>
      <c r="AI585">
        <v>6095.0829999999996</v>
      </c>
      <c r="AM585" t="str">
        <f>""</f>
        <v/>
      </c>
      <c r="AN585" t="str">
        <f>""</f>
        <v/>
      </c>
      <c r="AO585" t="str">
        <f>""</f>
        <v/>
      </c>
      <c r="AP585" t="str">
        <f>""</f>
        <v/>
      </c>
      <c r="AQ585" t="str">
        <f>""</f>
        <v/>
      </c>
      <c r="AR585" t="str">
        <f>""</f>
        <v/>
      </c>
      <c r="AS585" t="str">
        <f>""</f>
        <v/>
      </c>
      <c r="AT585" t="str">
        <f>""</f>
        <v/>
      </c>
      <c r="AU585" t="str">
        <f>""</f>
        <v/>
      </c>
      <c r="AV585" t="str">
        <f>""</f>
        <v/>
      </c>
      <c r="AW585" t="str">
        <f>""</f>
        <v/>
      </c>
      <c r="AX585" t="str">
        <f>""</f>
        <v/>
      </c>
      <c r="AY585" t="str">
        <f>""</f>
        <v/>
      </c>
      <c r="AZ585" t="str">
        <f>""</f>
        <v/>
      </c>
      <c r="BA585" t="str">
        <f>""</f>
        <v/>
      </c>
      <c r="BB585" t="str">
        <f>""</f>
        <v/>
      </c>
      <c r="BC585" t="str">
        <f>""</f>
        <v/>
      </c>
      <c r="BD585" t="str">
        <f>""</f>
        <v/>
      </c>
      <c r="BE585" t="str">
        <f>""</f>
        <v/>
      </c>
      <c r="BF585" t="str">
        <f>""</f>
        <v/>
      </c>
      <c r="BG585" t="str">
        <f>""</f>
        <v/>
      </c>
      <c r="BH585" t="str">
        <f>""</f>
        <v/>
      </c>
      <c r="BI585" t="str">
        <f>""</f>
        <v/>
      </c>
      <c r="BJ585" t="str">
        <f>""</f>
        <v/>
      </c>
      <c r="BK585" t="str">
        <f>""</f>
        <v/>
      </c>
      <c r="BL585" t="str">
        <f>""</f>
        <v/>
      </c>
      <c r="BM585" t="str">
        <f>""</f>
        <v/>
      </c>
      <c r="BN585" t="str">
        <f>""</f>
        <v/>
      </c>
      <c r="BO585" t="str">
        <f>""</f>
        <v/>
      </c>
      <c r="BP585" t="str">
        <f>""</f>
        <v/>
      </c>
      <c r="BQ585" t="str">
        <f>""</f>
        <v/>
      </c>
      <c r="BR585" t="str">
        <f>""</f>
        <v/>
      </c>
      <c r="BS585" t="str">
        <f>""</f>
        <v/>
      </c>
    </row>
    <row r="586" spans="1:71" x14ac:dyDescent="0.25">
      <c r="A586" t="str">
        <f>$A$173</f>
        <v xml:space="preserve">        Wells Fargo &amp; Co</v>
      </c>
      <c r="B586" t="str">
        <f>$B$173</f>
        <v>WFC US Equity</v>
      </c>
      <c r="C586" t="str">
        <f>$C$173</f>
        <v>F0091</v>
      </c>
      <c r="D586" t="str">
        <f>$D$173</f>
        <v>FED_CONSUMER_LOANS_&amp;_LEASES_CONS</v>
      </c>
      <c r="E586" t="str">
        <f>$E$173</f>
        <v>Dynamic</v>
      </c>
      <c r="F586">
        <f ca="1">_xll.BDH($B$173,$C$173,$B$425,$B$426,CONCATENATE("Per=",$B$423),"Dts=H","Dir=H",CONCATENATE("Points=",$B$424),"Sort=R","Days=A","Fill=B",CONCATENATE("FX=", $B$422),"cols=33;rows=1")</f>
        <v>117109</v>
      </c>
      <c r="G586">
        <v>119667</v>
      </c>
      <c r="H586">
        <v>119445</v>
      </c>
      <c r="I586">
        <v>113060</v>
      </c>
      <c r="J586">
        <v>110592</v>
      </c>
      <c r="K586">
        <v>115332</v>
      </c>
      <c r="L586">
        <v>112489</v>
      </c>
      <c r="M586">
        <v>121843</v>
      </c>
      <c r="N586">
        <v>131572</v>
      </c>
      <c r="O586">
        <v>128236</v>
      </c>
      <c r="P586">
        <v>118453</v>
      </c>
      <c r="Q586">
        <v>115431</v>
      </c>
      <c r="R586">
        <v>107044</v>
      </c>
      <c r="S586">
        <v>103939</v>
      </c>
      <c r="T586">
        <v>105389</v>
      </c>
      <c r="U586">
        <v>114199</v>
      </c>
      <c r="V586">
        <v>118349</v>
      </c>
      <c r="W586">
        <v>77705</v>
      </c>
      <c r="X586">
        <v>70403</v>
      </c>
      <c r="Y586">
        <v>62007</v>
      </c>
      <c r="Z586">
        <v>55342</v>
      </c>
      <c r="AA586">
        <v>50112</v>
      </c>
      <c r="AB586">
        <v>41412</v>
      </c>
      <c r="AC586">
        <v>35883</v>
      </c>
      <c r="AD586">
        <v>26842.562000000002</v>
      </c>
      <c r="AE586">
        <v>18975.7</v>
      </c>
      <c r="AF586">
        <v>21533.386999999999</v>
      </c>
      <c r="AG586">
        <v>10571.361999999999</v>
      </c>
      <c r="AH586">
        <v>9530.6939999999995</v>
      </c>
      <c r="AI586">
        <v>10653.436</v>
      </c>
      <c r="AM586" t="str">
        <f>""</f>
        <v/>
      </c>
      <c r="AN586" t="str">
        <f>""</f>
        <v/>
      </c>
      <c r="AO586" t="str">
        <f>""</f>
        <v/>
      </c>
      <c r="AP586" t="str">
        <f>""</f>
        <v/>
      </c>
      <c r="AQ586" t="str">
        <f>""</f>
        <v/>
      </c>
      <c r="AR586" t="str">
        <f>""</f>
        <v/>
      </c>
      <c r="AS586" t="str">
        <f>""</f>
        <v/>
      </c>
      <c r="AT586" t="str">
        <f>""</f>
        <v/>
      </c>
      <c r="AU586" t="str">
        <f>""</f>
        <v/>
      </c>
      <c r="AV586" t="str">
        <f>""</f>
        <v/>
      </c>
      <c r="AW586" t="str">
        <f>""</f>
        <v/>
      </c>
      <c r="AX586" t="str">
        <f>""</f>
        <v/>
      </c>
      <c r="AY586" t="str">
        <f>""</f>
        <v/>
      </c>
      <c r="AZ586" t="str">
        <f>""</f>
        <v/>
      </c>
      <c r="BA586" t="str">
        <f>""</f>
        <v/>
      </c>
      <c r="BB586" t="str">
        <f>""</f>
        <v/>
      </c>
      <c r="BC586" t="str">
        <f>""</f>
        <v/>
      </c>
      <c r="BD586" t="str">
        <f>""</f>
        <v/>
      </c>
      <c r="BE586" t="str">
        <f>""</f>
        <v/>
      </c>
      <c r="BF586" t="str">
        <f>""</f>
        <v/>
      </c>
      <c r="BG586" t="str">
        <f>""</f>
        <v/>
      </c>
      <c r="BH586" t="str">
        <f>""</f>
        <v/>
      </c>
      <c r="BI586" t="str">
        <f>""</f>
        <v/>
      </c>
      <c r="BJ586" t="str">
        <f>""</f>
        <v/>
      </c>
      <c r="BK586" t="str">
        <f>""</f>
        <v/>
      </c>
      <c r="BL586" t="str">
        <f>""</f>
        <v/>
      </c>
      <c r="BM586" t="str">
        <f>""</f>
        <v/>
      </c>
      <c r="BN586" t="str">
        <f>""</f>
        <v/>
      </c>
      <c r="BO586" t="str">
        <f>""</f>
        <v/>
      </c>
      <c r="BP586" t="str">
        <f>""</f>
        <v/>
      </c>
      <c r="BQ586" t="str">
        <f>""</f>
        <v/>
      </c>
      <c r="BR586" t="str">
        <f>""</f>
        <v/>
      </c>
      <c r="BS586" t="str">
        <f>""</f>
        <v/>
      </c>
    </row>
    <row r="587" spans="1:71" x14ac:dyDescent="0.25">
      <c r="A587" t="str">
        <f>$A$174</f>
        <v xml:space="preserve">        Western Alliance Bancorp</v>
      </c>
      <c r="B587" t="str">
        <f>$B$174</f>
        <v>WAL US Equity</v>
      </c>
      <c r="C587" t="str">
        <f>$C$174</f>
        <v>F0091</v>
      </c>
      <c r="D587" t="str">
        <f>$D$174</f>
        <v>FED_CONSUMER_LOANS_&amp;_LEASES_CONS</v>
      </c>
      <c r="E587" t="str">
        <f>$E$174</f>
        <v>Dynamic</v>
      </c>
      <c r="F587">
        <f ca="1">_xll.BDH($B$174,$C$174,$B$425,$B$426,CONCATENATE("Per=",$B$423),"Dts=H","Dir=H",CONCATENATE("Points=",$B$424),"Sort=R","Days=A","Fill=B",CONCATENATE("FX=", $B$422),"cols=33;rows=1")</f>
        <v>23.867000000000001</v>
      </c>
      <c r="G587">
        <v>29.922999999999998</v>
      </c>
      <c r="H587">
        <v>33.292999999999999</v>
      </c>
      <c r="I587">
        <v>21.556999999999999</v>
      </c>
      <c r="J587">
        <v>10.427</v>
      </c>
      <c r="K587">
        <v>10.983000000000001</v>
      </c>
      <c r="L587">
        <v>14.355</v>
      </c>
      <c r="M587">
        <v>16.895</v>
      </c>
      <c r="N587">
        <v>13.021000000000001</v>
      </c>
      <c r="O587">
        <v>14.872999999999999</v>
      </c>
      <c r="P587">
        <v>15.49</v>
      </c>
      <c r="Q587">
        <v>21.957000000000001</v>
      </c>
      <c r="R587">
        <v>44.027999999999999</v>
      </c>
      <c r="S587">
        <v>57.253999999999998</v>
      </c>
      <c r="T587">
        <v>68.745999999999995</v>
      </c>
      <c r="U587">
        <v>80.179000000000002</v>
      </c>
      <c r="V587">
        <v>80.730999999999995</v>
      </c>
      <c r="W587">
        <v>43.517000000000003</v>
      </c>
      <c r="X587">
        <v>28.863</v>
      </c>
      <c r="Y587">
        <v>20.434000000000001</v>
      </c>
      <c r="Z587">
        <v>17.681999999999999</v>
      </c>
      <c r="AA587">
        <v>11.802</v>
      </c>
      <c r="AB587">
        <v>10.281000000000001</v>
      </c>
      <c r="AC587">
        <v>12.769</v>
      </c>
      <c r="AM587" t="str">
        <f>""</f>
        <v/>
      </c>
      <c r="AN587" t="str">
        <f>""</f>
        <v/>
      </c>
      <c r="AO587" t="str">
        <f>""</f>
        <v/>
      </c>
      <c r="AP587" t="str">
        <f>""</f>
        <v/>
      </c>
      <c r="AQ587" t="str">
        <f>""</f>
        <v/>
      </c>
      <c r="AR587" t="str">
        <f>""</f>
        <v/>
      </c>
      <c r="AS587" t="str">
        <f>""</f>
        <v/>
      </c>
      <c r="AT587" t="str">
        <f>""</f>
        <v/>
      </c>
      <c r="AU587" t="str">
        <f>""</f>
        <v/>
      </c>
      <c r="AV587" t="str">
        <f>""</f>
        <v/>
      </c>
      <c r="AW587" t="str">
        <f>""</f>
        <v/>
      </c>
      <c r="AX587" t="str">
        <f>""</f>
        <v/>
      </c>
      <c r="AY587" t="str">
        <f>""</f>
        <v/>
      </c>
      <c r="AZ587" t="str">
        <f>""</f>
        <v/>
      </c>
      <c r="BA587" t="str">
        <f>""</f>
        <v/>
      </c>
      <c r="BB587" t="str">
        <f>""</f>
        <v/>
      </c>
      <c r="BC587" t="str">
        <f>""</f>
        <v/>
      </c>
      <c r="BD587" t="str">
        <f>""</f>
        <v/>
      </c>
      <c r="BE587" t="str">
        <f>""</f>
        <v/>
      </c>
      <c r="BF587" t="str">
        <f>""</f>
        <v/>
      </c>
      <c r="BG587" t="str">
        <f>""</f>
        <v/>
      </c>
      <c r="BH587" t="str">
        <f>""</f>
        <v/>
      </c>
      <c r="BI587" t="str">
        <f>""</f>
        <v/>
      </c>
      <c r="BJ587" t="str">
        <f>""</f>
        <v/>
      </c>
      <c r="BK587" t="str">
        <f>""</f>
        <v/>
      </c>
      <c r="BL587" t="str">
        <f>""</f>
        <v/>
      </c>
      <c r="BM587" t="str">
        <f>""</f>
        <v/>
      </c>
      <c r="BN587" t="str">
        <f>""</f>
        <v/>
      </c>
      <c r="BO587" t="str">
        <f>""</f>
        <v/>
      </c>
      <c r="BP587" t="str">
        <f>""</f>
        <v/>
      </c>
      <c r="BQ587" t="str">
        <f>""</f>
        <v/>
      </c>
      <c r="BR587" t="str">
        <f>""</f>
        <v/>
      </c>
      <c r="BS587" t="str">
        <f>""</f>
        <v/>
      </c>
    </row>
    <row r="588" spans="1:71" x14ac:dyDescent="0.25">
      <c r="A588" t="str">
        <f>$A$175</f>
        <v xml:space="preserve">        Zions Bancorp NA</v>
      </c>
      <c r="B588" t="str">
        <f>$B$175</f>
        <v>ZION US Equity</v>
      </c>
      <c r="C588" t="str">
        <f>$C$175</f>
        <v>F0091</v>
      </c>
      <c r="D588" t="str">
        <f>$D$175</f>
        <v>FED_CONSUMER_LOANS_&amp;_LEASES_CONS</v>
      </c>
      <c r="E588" t="str">
        <f>$E$175</f>
        <v>Dynamic</v>
      </c>
      <c r="F588">
        <f ca="1">_xll.BDH($B$175,$C$175,$B$425,$B$426,CONCATENATE("Per=",$B$423),"Dts=H","Dir=H",CONCATENATE("Points=",$B$424),"Sort=R","Days=A","Fill=B",CONCATENATE("FX=", $B$422),"cols=33;rows=1")</f>
        <v>491.08300000000003</v>
      </c>
      <c r="G588">
        <v>521.68100000000004</v>
      </c>
      <c r="H588">
        <v>514.23299999999995</v>
      </c>
      <c r="I588">
        <v>439.06200000000001</v>
      </c>
      <c r="AM588" t="str">
        <f>""</f>
        <v/>
      </c>
      <c r="AN588" t="str">
        <f>""</f>
        <v/>
      </c>
      <c r="AO588" t="str">
        <f>""</f>
        <v/>
      </c>
      <c r="AP588" t="str">
        <f>""</f>
        <v/>
      </c>
      <c r="AQ588" t="str">
        <f>""</f>
        <v/>
      </c>
      <c r="AR588" t="str">
        <f>""</f>
        <v/>
      </c>
      <c r="AS588" t="str">
        <f>""</f>
        <v/>
      </c>
      <c r="AT588" t="str">
        <f>""</f>
        <v/>
      </c>
      <c r="AU588" t="str">
        <f>""</f>
        <v/>
      </c>
      <c r="AV588" t="str">
        <f>""</f>
        <v/>
      </c>
      <c r="AW588" t="str">
        <f>""</f>
        <v/>
      </c>
      <c r="AX588" t="str">
        <f>""</f>
        <v/>
      </c>
      <c r="AY588" t="str">
        <f>""</f>
        <v/>
      </c>
      <c r="AZ588" t="str">
        <f>""</f>
        <v/>
      </c>
      <c r="BA588" t="str">
        <f>""</f>
        <v/>
      </c>
      <c r="BB588" t="str">
        <f>""</f>
        <v/>
      </c>
      <c r="BC588" t="str">
        <f>""</f>
        <v/>
      </c>
      <c r="BD588" t="str">
        <f>""</f>
        <v/>
      </c>
      <c r="BE588" t="str">
        <f>""</f>
        <v/>
      </c>
      <c r="BF588" t="str">
        <f>""</f>
        <v/>
      </c>
      <c r="BG588" t="str">
        <f>""</f>
        <v/>
      </c>
      <c r="BH588" t="str">
        <f>""</f>
        <v/>
      </c>
      <c r="BI588" t="str">
        <f>""</f>
        <v/>
      </c>
      <c r="BJ588" t="str">
        <f>""</f>
        <v/>
      </c>
      <c r="BK588" t="str">
        <f>""</f>
        <v/>
      </c>
      <c r="BL588" t="str">
        <f>""</f>
        <v/>
      </c>
      <c r="BM588" t="str">
        <f>""</f>
        <v/>
      </c>
      <c r="BN588" t="str">
        <f>""</f>
        <v/>
      </c>
      <c r="BO588" t="str">
        <f>""</f>
        <v/>
      </c>
      <c r="BP588" t="str">
        <f>""</f>
        <v/>
      </c>
      <c r="BQ588" t="str">
        <f>""</f>
        <v/>
      </c>
      <c r="BR588" t="str">
        <f>""</f>
        <v/>
      </c>
      <c r="BS588" t="str">
        <f>""</f>
        <v/>
      </c>
    </row>
    <row r="589" spans="1:71" x14ac:dyDescent="0.25">
      <c r="A589" t="str">
        <f>$A$179</f>
        <v xml:space="preserve">        Bank of America Corp</v>
      </c>
      <c r="B589" t="str">
        <f>$B$179</f>
        <v>BAC US Equity</v>
      </c>
      <c r="C589" t="str">
        <f>$C$179</f>
        <v>F0109</v>
      </c>
      <c r="D589" t="str">
        <f>$D$179</f>
        <v>FED_RE_LNS_DOM_%_TOT_LNS_LEAS</v>
      </c>
      <c r="E589" t="str">
        <f>$E$179</f>
        <v>Dynamic</v>
      </c>
      <c r="F589">
        <f ca="1">_xll.BDH($B$179,$C$179,$B$425,$B$426,CONCATENATE("Per=",$B$423),"Dts=H","Dir=H",CONCATENATE("Points=",$B$424),"Sort=R","Days=A","Fill=B",CONCATENATE("FX=", $B$422),"cols=33;rows=1")</f>
        <v>28.6875</v>
      </c>
      <c r="G589">
        <v>30.509499999999999</v>
      </c>
      <c r="H589">
        <v>31.0428</v>
      </c>
      <c r="I589">
        <v>31.7393</v>
      </c>
      <c r="J589">
        <v>34.363599999999998</v>
      </c>
      <c r="K589">
        <v>34.650799999999997</v>
      </c>
      <c r="L589">
        <v>33.850299999999997</v>
      </c>
      <c r="M589">
        <v>33.990200000000002</v>
      </c>
      <c r="N589">
        <v>35.439</v>
      </c>
      <c r="O589">
        <v>36.826099999999997</v>
      </c>
      <c r="P589">
        <v>40.174599999999998</v>
      </c>
      <c r="Q589">
        <v>42.858499999999999</v>
      </c>
      <c r="R589">
        <v>45.687899999999999</v>
      </c>
      <c r="S589">
        <v>49.543500000000002</v>
      </c>
      <c r="T589">
        <v>51.528500000000001</v>
      </c>
      <c r="U589">
        <v>56.402999999999999</v>
      </c>
      <c r="V589">
        <v>55.571100000000001</v>
      </c>
      <c r="W589">
        <v>54.856000000000002</v>
      </c>
      <c r="X589">
        <v>44.879899999999999</v>
      </c>
      <c r="Y589">
        <v>43.837000000000003</v>
      </c>
      <c r="Z589">
        <v>45.285600000000002</v>
      </c>
      <c r="AA589">
        <v>45.832599999999999</v>
      </c>
      <c r="AB589">
        <v>41.45</v>
      </c>
      <c r="AC589">
        <v>31.3309</v>
      </c>
      <c r="AM589" t="str">
        <f>""</f>
        <v/>
      </c>
      <c r="AN589" t="str">
        <f>""</f>
        <v/>
      </c>
      <c r="AO589" t="str">
        <f>""</f>
        <v/>
      </c>
      <c r="AP589" t="str">
        <f>""</f>
        <v/>
      </c>
      <c r="AQ589" t="str">
        <f>""</f>
        <v/>
      </c>
      <c r="AR589" t="str">
        <f>""</f>
        <v/>
      </c>
      <c r="AS589" t="str">
        <f>""</f>
        <v/>
      </c>
      <c r="AT589" t="str">
        <f>""</f>
        <v/>
      </c>
      <c r="AU589" t="str">
        <f>""</f>
        <v/>
      </c>
      <c r="AV589" t="str">
        <f>""</f>
        <v/>
      </c>
      <c r="AW589" t="str">
        <f>""</f>
        <v/>
      </c>
      <c r="AX589" t="str">
        <f>""</f>
        <v/>
      </c>
      <c r="AY589" t="str">
        <f>""</f>
        <v/>
      </c>
      <c r="AZ589" t="str">
        <f>""</f>
        <v/>
      </c>
      <c r="BA589" t="str">
        <f>""</f>
        <v/>
      </c>
      <c r="BB589" t="str">
        <f>""</f>
        <v/>
      </c>
      <c r="BC589" t="str">
        <f>""</f>
        <v/>
      </c>
      <c r="BD589" t="str">
        <f>""</f>
        <v/>
      </c>
      <c r="BE589" t="str">
        <f>""</f>
        <v/>
      </c>
      <c r="BF589" t="str">
        <f>""</f>
        <v/>
      </c>
      <c r="BG589" t="str">
        <f>""</f>
        <v/>
      </c>
      <c r="BH589" t="str">
        <f>""</f>
        <v/>
      </c>
      <c r="BI589" t="str">
        <f>""</f>
        <v/>
      </c>
      <c r="BJ589" t="str">
        <f>""</f>
        <v/>
      </c>
      <c r="BK589" t="str">
        <f>""</f>
        <v/>
      </c>
      <c r="BL589" t="str">
        <f>""</f>
        <v/>
      </c>
      <c r="BM589" t="str">
        <f>""</f>
        <v/>
      </c>
      <c r="BN589" t="str">
        <f>""</f>
        <v/>
      </c>
      <c r="BO589" t="str">
        <f>""</f>
        <v/>
      </c>
      <c r="BP589" t="str">
        <f>""</f>
        <v/>
      </c>
      <c r="BQ589" t="str">
        <f>""</f>
        <v/>
      </c>
      <c r="BR589" t="str">
        <f>""</f>
        <v/>
      </c>
      <c r="BS589" t="str">
        <f>""</f>
        <v/>
      </c>
    </row>
    <row r="590" spans="1:71" x14ac:dyDescent="0.25">
      <c r="A590" t="str">
        <f>$A$180</f>
        <v xml:space="preserve">        Citigroup Inc</v>
      </c>
      <c r="B590" t="str">
        <f>$B$180</f>
        <v>C US Equity</v>
      </c>
      <c r="C590" t="str">
        <f>$C$180</f>
        <v>F0109</v>
      </c>
      <c r="D590" t="str">
        <f>$D$180</f>
        <v>FED_RE_LNS_DOM_%_TOT_LNS_LEAS</v>
      </c>
      <c r="E590" t="str">
        <f>$E$180</f>
        <v>Dynamic</v>
      </c>
      <c r="F590">
        <f ca="1">_xll.BDH($B$180,$C$180,$B$425,$B$426,CONCATENATE("Per=",$B$423),"Dts=H","Dir=H",CONCATENATE("Points=",$B$424),"Sort=R","Days=A","Fill=B",CONCATENATE("FX=", $B$422),"cols=33;rows=1")</f>
        <v>20.296199999999999</v>
      </c>
      <c r="G590">
        <v>19.916</v>
      </c>
      <c r="H590">
        <v>18.898199999999999</v>
      </c>
      <c r="I590">
        <v>17.016400000000001</v>
      </c>
      <c r="J590">
        <v>17.246500000000001</v>
      </c>
      <c r="K590">
        <v>16.143000000000001</v>
      </c>
      <c r="L590">
        <v>16.206800000000001</v>
      </c>
      <c r="M590">
        <v>16.226299999999998</v>
      </c>
      <c r="N590">
        <v>17.9541</v>
      </c>
      <c r="O590">
        <v>18.9026</v>
      </c>
      <c r="P590">
        <v>19.4941</v>
      </c>
      <c r="Q590">
        <v>20.258500000000002</v>
      </c>
      <c r="R590">
        <v>23.277699999999999</v>
      </c>
      <c r="S590">
        <v>24.677099999999999</v>
      </c>
      <c r="T590">
        <v>26.402699999999999</v>
      </c>
      <c r="U590">
        <v>34.087899999999998</v>
      </c>
      <c r="V590">
        <v>33.465800000000002</v>
      </c>
      <c r="W590">
        <v>30.677</v>
      </c>
      <c r="X590">
        <v>31.626799999999999</v>
      </c>
      <c r="Y590">
        <v>30.901199999999999</v>
      </c>
      <c r="Z590">
        <v>28.084800000000001</v>
      </c>
      <c r="AA590">
        <v>26.3215</v>
      </c>
      <c r="AB590">
        <v>26.186699999999998</v>
      </c>
      <c r="AC590">
        <v>19.841899999999999</v>
      </c>
      <c r="AM590" t="str">
        <f>""</f>
        <v/>
      </c>
      <c r="AN590" t="str">
        <f>""</f>
        <v/>
      </c>
      <c r="AO590" t="str">
        <f>""</f>
        <v/>
      </c>
      <c r="AP590" t="str">
        <f>""</f>
        <v/>
      </c>
      <c r="AQ590" t="str">
        <f>""</f>
        <v/>
      </c>
      <c r="AR590" t="str">
        <f>""</f>
        <v/>
      </c>
      <c r="AS590" t="str">
        <f>""</f>
        <v/>
      </c>
      <c r="AT590" t="str">
        <f>""</f>
        <v/>
      </c>
      <c r="AU590" t="str">
        <f>""</f>
        <v/>
      </c>
      <c r="AV590" t="str">
        <f>""</f>
        <v/>
      </c>
      <c r="AW590" t="str">
        <f>""</f>
        <v/>
      </c>
      <c r="AX590" t="str">
        <f>""</f>
        <v/>
      </c>
      <c r="AY590" t="str">
        <f>""</f>
        <v/>
      </c>
      <c r="AZ590" t="str">
        <f>""</f>
        <v/>
      </c>
      <c r="BA590" t="str">
        <f>""</f>
        <v/>
      </c>
      <c r="BB590" t="str">
        <f>""</f>
        <v/>
      </c>
      <c r="BC590" t="str">
        <f>""</f>
        <v/>
      </c>
      <c r="BD590" t="str">
        <f>""</f>
        <v/>
      </c>
      <c r="BE590" t="str">
        <f>""</f>
        <v/>
      </c>
      <c r="BF590" t="str">
        <f>""</f>
        <v/>
      </c>
      <c r="BG590" t="str">
        <f>""</f>
        <v/>
      </c>
      <c r="BH590" t="str">
        <f>""</f>
        <v/>
      </c>
      <c r="BI590" t="str">
        <f>""</f>
        <v/>
      </c>
      <c r="BJ590" t="str">
        <f>""</f>
        <v/>
      </c>
      <c r="BK590" t="str">
        <f>""</f>
        <v/>
      </c>
      <c r="BL590" t="str">
        <f>""</f>
        <v/>
      </c>
      <c r="BM590" t="str">
        <f>""</f>
        <v/>
      </c>
      <c r="BN590" t="str">
        <f>""</f>
        <v/>
      </c>
      <c r="BO590" t="str">
        <f>""</f>
        <v/>
      </c>
      <c r="BP590" t="str">
        <f>""</f>
        <v/>
      </c>
      <c r="BQ590" t="str">
        <f>""</f>
        <v/>
      </c>
      <c r="BR590" t="str">
        <f>""</f>
        <v/>
      </c>
      <c r="BS590" t="str">
        <f>""</f>
        <v/>
      </c>
    </row>
    <row r="591" spans="1:71" x14ac:dyDescent="0.25">
      <c r="A591" t="str">
        <f>$A$181</f>
        <v xml:space="preserve">        Citizens Financial Group Inc</v>
      </c>
      <c r="B591" t="str">
        <f>$B$181</f>
        <v>CFG US Equity</v>
      </c>
      <c r="C591" t="str">
        <f>$C$181</f>
        <v>F0109</v>
      </c>
      <c r="D591" t="str">
        <f>$D$181</f>
        <v>FED_RE_LNS_DOM_%_TOT_LNS_LEAS</v>
      </c>
      <c r="E591" t="str">
        <f>$E$181</f>
        <v>Dynamic</v>
      </c>
      <c r="F591">
        <f ca="1">_xll.BDH($B$181,$C$181,$B$425,$B$426,CONCATENATE("Per=",$B$423),"Dts=H","Dir=H",CONCATENATE("Points=",$B$424),"Sort=R","Days=A","Fill=B",CONCATENATE("FX=", $B$422),"cols=33;rows=1")</f>
        <v>57.083300000000001</v>
      </c>
      <c r="G591">
        <v>53.813899999999997</v>
      </c>
      <c r="H591">
        <v>48.621299999999998</v>
      </c>
      <c r="I591">
        <v>40.997399999999999</v>
      </c>
      <c r="J591">
        <v>41.892499999999998</v>
      </c>
      <c r="K591">
        <v>42.4255</v>
      </c>
      <c r="L591">
        <v>42.824100000000001</v>
      </c>
      <c r="M591">
        <v>42.9099</v>
      </c>
      <c r="N591">
        <v>42.136499999999998</v>
      </c>
      <c r="O591">
        <v>44.030999999999999</v>
      </c>
      <c r="P591">
        <v>45.756399999999999</v>
      </c>
      <c r="Q591">
        <v>49.3247</v>
      </c>
      <c r="R591">
        <v>52.505000000000003</v>
      </c>
      <c r="S591">
        <v>57.5379</v>
      </c>
      <c r="T591">
        <v>60.190100000000001</v>
      </c>
      <c r="U591">
        <v>60.480899999999998</v>
      </c>
      <c r="V591">
        <v>59.012300000000003</v>
      </c>
      <c r="W591">
        <v>59.0505</v>
      </c>
      <c r="X591">
        <v>51.115200000000002</v>
      </c>
      <c r="Y591">
        <v>51.379399999999997</v>
      </c>
      <c r="Z591">
        <v>48.4773</v>
      </c>
      <c r="AA591">
        <v>40.384399999999999</v>
      </c>
      <c r="AB591">
        <v>29.796099999999999</v>
      </c>
      <c r="AC591">
        <v>22.873200000000001</v>
      </c>
      <c r="AM591" t="str">
        <f>""</f>
        <v/>
      </c>
      <c r="AN591" t="str">
        <f>""</f>
        <v/>
      </c>
      <c r="AO591" t="str">
        <f>""</f>
        <v/>
      </c>
      <c r="AP591" t="str">
        <f>""</f>
        <v/>
      </c>
      <c r="AQ591" t="str">
        <f>""</f>
        <v/>
      </c>
      <c r="AR591" t="str">
        <f>""</f>
        <v/>
      </c>
      <c r="AS591" t="str">
        <f>""</f>
        <v/>
      </c>
      <c r="AT591" t="str">
        <f>""</f>
        <v/>
      </c>
      <c r="AU591" t="str">
        <f>""</f>
        <v/>
      </c>
      <c r="AV591" t="str">
        <f>""</f>
        <v/>
      </c>
      <c r="AW591" t="str">
        <f>""</f>
        <v/>
      </c>
      <c r="AX591" t="str">
        <f>""</f>
        <v/>
      </c>
      <c r="AY591" t="str">
        <f>""</f>
        <v/>
      </c>
      <c r="AZ591" t="str">
        <f>""</f>
        <v/>
      </c>
      <c r="BA591" t="str">
        <f>""</f>
        <v/>
      </c>
      <c r="BB591" t="str">
        <f>""</f>
        <v/>
      </c>
      <c r="BC591" t="str">
        <f>""</f>
        <v/>
      </c>
      <c r="BD591" t="str">
        <f>""</f>
        <v/>
      </c>
      <c r="BE591" t="str">
        <f>""</f>
        <v/>
      </c>
      <c r="BF591" t="str">
        <f>""</f>
        <v/>
      </c>
      <c r="BG591" t="str">
        <f>""</f>
        <v/>
      </c>
      <c r="BH591" t="str">
        <f>""</f>
        <v/>
      </c>
      <c r="BI591" t="str">
        <f>""</f>
        <v/>
      </c>
      <c r="BJ591" t="str">
        <f>""</f>
        <v/>
      </c>
      <c r="BK591" t="str">
        <f>""</f>
        <v/>
      </c>
      <c r="BL591" t="str">
        <f>""</f>
        <v/>
      </c>
      <c r="BM591" t="str">
        <f>""</f>
        <v/>
      </c>
      <c r="BN591" t="str">
        <f>""</f>
        <v/>
      </c>
      <c r="BO591" t="str">
        <f>""</f>
        <v/>
      </c>
      <c r="BP591" t="str">
        <f>""</f>
        <v/>
      </c>
      <c r="BQ591" t="str">
        <f>""</f>
        <v/>
      </c>
      <c r="BR591" t="str">
        <f>""</f>
        <v/>
      </c>
      <c r="BS591" t="str">
        <f>""</f>
        <v/>
      </c>
    </row>
    <row r="592" spans="1:71" x14ac:dyDescent="0.25">
      <c r="A592" t="str">
        <f>$A$182</f>
        <v xml:space="preserve">        Capital One Financial Corp</v>
      </c>
      <c r="B592" t="str">
        <f>$B$182</f>
        <v>COF US Equity</v>
      </c>
      <c r="C592" t="str">
        <f>$C$182</f>
        <v>F0109</v>
      </c>
      <c r="D592" t="str">
        <f>$D$182</f>
        <v>FED_RE_LNS_DOM_%_TOT_LNS_LEAS</v>
      </c>
      <c r="E592" t="str">
        <f>$E$182</f>
        <v>Dynamic</v>
      </c>
      <c r="F592">
        <f ca="1">_xll.BDH($B$182,$C$182,$B$425,$B$426,CONCATENATE("Per=",$B$423),"Dts=H","Dir=H",CONCATENATE("Points=",$B$424),"Sort=R","Days=A","Fill=B",CONCATENATE("FX=", $B$422),"cols=33;rows=1")</f>
        <v>8.0803999999999991</v>
      </c>
      <c r="G592">
        <v>9.0497999999999994</v>
      </c>
      <c r="H592">
        <v>9.7477</v>
      </c>
      <c r="I592">
        <v>11.3652</v>
      </c>
      <c r="J592">
        <v>12.6821</v>
      </c>
      <c r="K592">
        <v>11.7598</v>
      </c>
      <c r="L592">
        <v>12.562799999999999</v>
      </c>
      <c r="M592">
        <v>18.808800000000002</v>
      </c>
      <c r="N592">
        <v>21.377400000000002</v>
      </c>
      <c r="O592">
        <v>23.555099999999999</v>
      </c>
      <c r="P592">
        <v>25.9314</v>
      </c>
      <c r="Q592">
        <v>29.5395</v>
      </c>
      <c r="R592">
        <v>31.622800000000002</v>
      </c>
      <c r="S592">
        <v>22.701599999999999</v>
      </c>
      <c r="T592">
        <v>24.9026</v>
      </c>
      <c r="U592">
        <v>38.827599999999997</v>
      </c>
      <c r="V592">
        <v>30.4026</v>
      </c>
      <c r="W592">
        <v>31.1252</v>
      </c>
      <c r="X592">
        <v>26.916899999999998</v>
      </c>
      <c r="Y592">
        <v>10.1998</v>
      </c>
      <c r="Z592">
        <v>0.1036</v>
      </c>
      <c r="AM592" t="str">
        <f>""</f>
        <v/>
      </c>
      <c r="AN592" t="str">
        <f>""</f>
        <v/>
      </c>
      <c r="AO592" t="str">
        <f>""</f>
        <v/>
      </c>
      <c r="AP592" t="str">
        <f>""</f>
        <v/>
      </c>
      <c r="AQ592" t="str">
        <f>""</f>
        <v/>
      </c>
      <c r="AR592" t="str">
        <f>""</f>
        <v/>
      </c>
      <c r="AS592" t="str">
        <f>""</f>
        <v/>
      </c>
      <c r="AT592" t="str">
        <f>""</f>
        <v/>
      </c>
      <c r="AU592" t="str">
        <f>""</f>
        <v/>
      </c>
      <c r="AV592" t="str">
        <f>""</f>
        <v/>
      </c>
      <c r="AW592" t="str">
        <f>""</f>
        <v/>
      </c>
      <c r="AX592" t="str">
        <f>""</f>
        <v/>
      </c>
      <c r="AY592" t="str">
        <f>""</f>
        <v/>
      </c>
      <c r="AZ592" t="str">
        <f>""</f>
        <v/>
      </c>
      <c r="BA592" t="str">
        <f>""</f>
        <v/>
      </c>
      <c r="BB592" t="str">
        <f>""</f>
        <v/>
      </c>
      <c r="BC592" t="str">
        <f>""</f>
        <v/>
      </c>
      <c r="BD592" t="str">
        <f>""</f>
        <v/>
      </c>
      <c r="BE592" t="str">
        <f>""</f>
        <v/>
      </c>
      <c r="BF592" t="str">
        <f>""</f>
        <v/>
      </c>
      <c r="BG592" t="str">
        <f>""</f>
        <v/>
      </c>
      <c r="BH592" t="str">
        <f>""</f>
        <v/>
      </c>
      <c r="BI592" t="str">
        <f>""</f>
        <v/>
      </c>
      <c r="BJ592" t="str">
        <f>""</f>
        <v/>
      </c>
      <c r="BK592" t="str">
        <f>""</f>
        <v/>
      </c>
      <c r="BL592" t="str">
        <f>""</f>
        <v/>
      </c>
      <c r="BM592" t="str">
        <f>""</f>
        <v/>
      </c>
      <c r="BN592" t="str">
        <f>""</f>
        <v/>
      </c>
      <c r="BO592" t="str">
        <f>""</f>
        <v/>
      </c>
      <c r="BP592" t="str">
        <f>""</f>
        <v/>
      </c>
      <c r="BQ592" t="str">
        <f>""</f>
        <v/>
      </c>
      <c r="BR592" t="str">
        <f>""</f>
        <v/>
      </c>
      <c r="BS592" t="str">
        <f>""</f>
        <v/>
      </c>
    </row>
    <row r="593" spans="1:71" x14ac:dyDescent="0.25">
      <c r="A593" t="str">
        <f>$A$183</f>
        <v xml:space="preserve">        Comerica Inc</v>
      </c>
      <c r="B593" t="str">
        <f>$B$183</f>
        <v>CMA US Equity</v>
      </c>
      <c r="C593" t="str">
        <f>$C$183</f>
        <v>F0109</v>
      </c>
      <c r="D593" t="str">
        <f>$D$183</f>
        <v>FED_RE_LNS_DOM_%_TOT_LNS_LEAS</v>
      </c>
      <c r="E593" t="str">
        <f>$E$183</f>
        <v>Dynamic</v>
      </c>
      <c r="F593">
        <f ca="1">_xll.BDH($B$183,$C$183,$B$425,$B$426,CONCATENATE("Per=",$B$423),"Dts=H","Dir=H",CONCATENATE("Points=",$B$424),"Sort=R","Days=A","Fill=B",CONCATENATE("FX=", $B$422),"cols=33;rows=1")</f>
        <v>43.015900000000002</v>
      </c>
      <c r="G593">
        <v>42.454900000000002</v>
      </c>
      <c r="H593">
        <v>36.8444</v>
      </c>
      <c r="I593">
        <v>34.8887</v>
      </c>
      <c r="J593">
        <v>32.763500000000001</v>
      </c>
      <c r="K593">
        <v>32.3825</v>
      </c>
      <c r="L593">
        <v>31.340399999999999</v>
      </c>
      <c r="M593">
        <v>32.110999999999997</v>
      </c>
      <c r="N593">
        <v>31.6157</v>
      </c>
      <c r="O593">
        <v>29.718399999999999</v>
      </c>
      <c r="P593">
        <v>28.822800000000001</v>
      </c>
      <c r="Q593">
        <v>30.033799999999999</v>
      </c>
      <c r="R593">
        <v>29.7712</v>
      </c>
      <c r="S593">
        <v>34.5991</v>
      </c>
      <c r="T593">
        <v>38.188099999999999</v>
      </c>
      <c r="U593">
        <v>42.628999999999998</v>
      </c>
      <c r="V593">
        <v>43.048999999999999</v>
      </c>
      <c r="W593">
        <v>43.298900000000003</v>
      </c>
      <c r="X593">
        <v>7.2874999999999996</v>
      </c>
      <c r="Y593">
        <v>7.9405000000000001</v>
      </c>
      <c r="Z593">
        <v>7.8277999999999999</v>
      </c>
      <c r="AA593">
        <v>7.3718000000000004</v>
      </c>
      <c r="AB593">
        <v>6.6375999999999999</v>
      </c>
      <c r="AC593">
        <v>6.1990999999999996</v>
      </c>
      <c r="AM593" t="str">
        <f>""</f>
        <v/>
      </c>
      <c r="AN593" t="str">
        <f>""</f>
        <v/>
      </c>
      <c r="AO593" t="str">
        <f>""</f>
        <v/>
      </c>
      <c r="AP593" t="str">
        <f>""</f>
        <v/>
      </c>
      <c r="AQ593" t="str">
        <f>""</f>
        <v/>
      </c>
      <c r="AR593" t="str">
        <f>""</f>
        <v/>
      </c>
      <c r="AS593" t="str">
        <f>""</f>
        <v/>
      </c>
      <c r="AT593" t="str">
        <f>""</f>
        <v/>
      </c>
      <c r="AU593" t="str">
        <f>""</f>
        <v/>
      </c>
      <c r="AV593" t="str">
        <f>""</f>
        <v/>
      </c>
      <c r="AW593" t="str">
        <f>""</f>
        <v/>
      </c>
      <c r="AX593" t="str">
        <f>""</f>
        <v/>
      </c>
      <c r="AY593" t="str">
        <f>""</f>
        <v/>
      </c>
      <c r="AZ593" t="str">
        <f>""</f>
        <v/>
      </c>
      <c r="BA593" t="str">
        <f>""</f>
        <v/>
      </c>
      <c r="BB593" t="str">
        <f>""</f>
        <v/>
      </c>
      <c r="BC593" t="str">
        <f>""</f>
        <v/>
      </c>
      <c r="BD593" t="str">
        <f>""</f>
        <v/>
      </c>
      <c r="BE593" t="str">
        <f>""</f>
        <v/>
      </c>
      <c r="BF593" t="str">
        <f>""</f>
        <v/>
      </c>
      <c r="BG593" t="str">
        <f>""</f>
        <v/>
      </c>
      <c r="BH593" t="str">
        <f>""</f>
        <v/>
      </c>
      <c r="BI593" t="str">
        <f>""</f>
        <v/>
      </c>
      <c r="BJ593" t="str">
        <f>""</f>
        <v/>
      </c>
      <c r="BK593" t="str">
        <f>""</f>
        <v/>
      </c>
      <c r="BL593" t="str">
        <f>""</f>
        <v/>
      </c>
      <c r="BM593" t="str">
        <f>""</f>
        <v/>
      </c>
      <c r="BN593" t="str">
        <f>""</f>
        <v/>
      </c>
      <c r="BO593" t="str">
        <f>""</f>
        <v/>
      </c>
      <c r="BP593" t="str">
        <f>""</f>
        <v/>
      </c>
      <c r="BQ593" t="str">
        <f>""</f>
        <v/>
      </c>
      <c r="BR593" t="str">
        <f>""</f>
        <v/>
      </c>
      <c r="BS593" t="str">
        <f>""</f>
        <v/>
      </c>
    </row>
    <row r="594" spans="1:71" x14ac:dyDescent="0.25">
      <c r="A594" t="str">
        <f>$A$184</f>
        <v xml:space="preserve">        East West Bancorp Inc</v>
      </c>
      <c r="B594" t="str">
        <f>$B$184</f>
        <v>EWBC US Equity</v>
      </c>
      <c r="C594" t="str">
        <f>$C$184</f>
        <v>F0109</v>
      </c>
      <c r="D594" t="str">
        <f>$D$184</f>
        <v>FED_RE_LNS_DOM_%_TOT_LNS_LEAS</v>
      </c>
      <c r="E594" t="str">
        <f>$E$184</f>
        <v>Dynamic</v>
      </c>
      <c r="F594">
        <f ca="1">_xll.BDH($B$184,$C$184,$B$425,$B$426,CONCATENATE("Per=",$B$423),"Dts=H","Dir=H",CONCATENATE("Points=",$B$424),"Sort=R","Days=A","Fill=B",CONCATENATE("FX=", $B$422),"cols=33;rows=1")</f>
        <v>68.624399999999994</v>
      </c>
      <c r="G594">
        <v>69.364999999999995</v>
      </c>
      <c r="H594">
        <v>68.476900000000001</v>
      </c>
      <c r="I594">
        <v>65.798400000000001</v>
      </c>
      <c r="J594">
        <v>65.08</v>
      </c>
      <c r="K594">
        <v>66.077399999999997</v>
      </c>
      <c r="L594">
        <v>63.644599999999997</v>
      </c>
      <c r="M594">
        <v>64.108900000000006</v>
      </c>
      <c r="N594">
        <v>62.9726</v>
      </c>
      <c r="O594">
        <v>63.008400000000002</v>
      </c>
      <c r="P594">
        <v>62.191600000000001</v>
      </c>
      <c r="Q594">
        <v>61.769799999999996</v>
      </c>
      <c r="R594">
        <v>63.611699999999999</v>
      </c>
      <c r="S594">
        <v>66.652600000000007</v>
      </c>
      <c r="T594">
        <v>73.351500000000001</v>
      </c>
      <c r="U594">
        <v>77.590100000000007</v>
      </c>
      <c r="V594">
        <v>80.445499999999996</v>
      </c>
      <c r="W594">
        <v>78.840500000000006</v>
      </c>
      <c r="X594">
        <v>25.299600000000002</v>
      </c>
      <c r="Y594">
        <v>28.428799999999999</v>
      </c>
      <c r="Z594">
        <v>31.4436</v>
      </c>
      <c r="AA594">
        <v>32.9938</v>
      </c>
      <c r="AB594">
        <v>35.1877</v>
      </c>
      <c r="AC594">
        <v>34.530999999999999</v>
      </c>
      <c r="AM594" t="str">
        <f>""</f>
        <v/>
      </c>
      <c r="AN594" t="str">
        <f>""</f>
        <v/>
      </c>
      <c r="AO594" t="str">
        <f>""</f>
        <v/>
      </c>
      <c r="AP594" t="str">
        <f>""</f>
        <v/>
      </c>
      <c r="AQ594" t="str">
        <f>""</f>
        <v/>
      </c>
      <c r="AR594" t="str">
        <f>""</f>
        <v/>
      </c>
      <c r="AS594" t="str">
        <f>""</f>
        <v/>
      </c>
      <c r="AT594" t="str">
        <f>""</f>
        <v/>
      </c>
      <c r="AU594" t="str">
        <f>""</f>
        <v/>
      </c>
      <c r="AV594" t="str">
        <f>""</f>
        <v/>
      </c>
      <c r="AW594" t="str">
        <f>""</f>
        <v/>
      </c>
      <c r="AX594" t="str">
        <f>""</f>
        <v/>
      </c>
      <c r="AY594" t="str">
        <f>""</f>
        <v/>
      </c>
      <c r="AZ594" t="str">
        <f>""</f>
        <v/>
      </c>
      <c r="BA594" t="str">
        <f>""</f>
        <v/>
      </c>
      <c r="BB594" t="str">
        <f>""</f>
        <v/>
      </c>
      <c r="BC594" t="str">
        <f>""</f>
        <v/>
      </c>
      <c r="BD594" t="str">
        <f>""</f>
        <v/>
      </c>
      <c r="BE594" t="str">
        <f>""</f>
        <v/>
      </c>
      <c r="BF594" t="str">
        <f>""</f>
        <v/>
      </c>
      <c r="BG594" t="str">
        <f>""</f>
        <v/>
      </c>
      <c r="BH594" t="str">
        <f>""</f>
        <v/>
      </c>
      <c r="BI594" t="str">
        <f>""</f>
        <v/>
      </c>
      <c r="BJ594" t="str">
        <f>""</f>
        <v/>
      </c>
      <c r="BK594" t="str">
        <f>""</f>
        <v/>
      </c>
      <c r="BL594" t="str">
        <f>""</f>
        <v/>
      </c>
      <c r="BM594" t="str">
        <f>""</f>
        <v/>
      </c>
      <c r="BN594" t="str">
        <f>""</f>
        <v/>
      </c>
      <c r="BO594" t="str">
        <f>""</f>
        <v/>
      </c>
      <c r="BP594" t="str">
        <f>""</f>
        <v/>
      </c>
      <c r="BQ594" t="str">
        <f>""</f>
        <v/>
      </c>
      <c r="BR594" t="str">
        <f>""</f>
        <v/>
      </c>
      <c r="BS594" t="str">
        <f>""</f>
        <v/>
      </c>
    </row>
    <row r="595" spans="1:71" x14ac:dyDescent="0.25">
      <c r="A595" t="str">
        <f>$A$185</f>
        <v xml:space="preserve">        Fifth Third Bancorp</v>
      </c>
      <c r="B595" t="str">
        <f>$B$185</f>
        <v>FITB US Equity</v>
      </c>
      <c r="C595" t="str">
        <f>$C$185</f>
        <v>F0109</v>
      </c>
      <c r="D595" t="str">
        <f>$D$185</f>
        <v>FED_RE_LNS_DOM_%_TOT_LNS_LEAS</v>
      </c>
      <c r="E595" t="str">
        <f>$E$185</f>
        <v>Dynamic</v>
      </c>
      <c r="F595">
        <f ca="1">_xll.BDH($B$185,$C$185,$B$425,$B$426,CONCATENATE("Per=",$B$423),"Dts=H","Dir=H",CONCATENATE("Points=",$B$424),"Sort=R","Days=A","Fill=B",CONCATENATE("FX=", $B$422),"cols=33;rows=1")</f>
        <v>32.095599999999997</v>
      </c>
      <c r="G595">
        <v>31.421099999999999</v>
      </c>
      <c r="H595">
        <v>30.644400000000001</v>
      </c>
      <c r="I595">
        <v>33.435699999999997</v>
      </c>
      <c r="J595">
        <v>35.868499999999997</v>
      </c>
      <c r="K595">
        <v>35.102699999999999</v>
      </c>
      <c r="L595">
        <v>34.517600000000002</v>
      </c>
      <c r="M595">
        <v>36.045299999999997</v>
      </c>
      <c r="N595">
        <v>36.514800000000001</v>
      </c>
      <c r="O595">
        <v>34.747500000000002</v>
      </c>
      <c r="P595">
        <v>34.613199999999999</v>
      </c>
      <c r="Q595">
        <v>35.6511</v>
      </c>
      <c r="R595">
        <v>39.579700000000003</v>
      </c>
      <c r="S595">
        <v>43.6038</v>
      </c>
      <c r="T595">
        <v>46.627000000000002</v>
      </c>
      <c r="U595">
        <v>50.567399999999999</v>
      </c>
      <c r="V595">
        <v>50.859299999999998</v>
      </c>
      <c r="W595">
        <v>51.662999999999997</v>
      </c>
      <c r="X595">
        <v>29.845300000000002</v>
      </c>
      <c r="Y595">
        <v>29.599399999999999</v>
      </c>
      <c r="Z595">
        <v>31.456099999999999</v>
      </c>
      <c r="AA595">
        <v>28.379799999999999</v>
      </c>
      <c r="AB595">
        <v>32.5809</v>
      </c>
      <c r="AC595">
        <v>34.348700000000001</v>
      </c>
      <c r="AM595" t="str">
        <f>""</f>
        <v/>
      </c>
      <c r="AN595" t="str">
        <f>""</f>
        <v/>
      </c>
      <c r="AO595" t="str">
        <f>""</f>
        <v/>
      </c>
      <c r="AP595" t="str">
        <f>""</f>
        <v/>
      </c>
      <c r="AQ595" t="str">
        <f>""</f>
        <v/>
      </c>
      <c r="AR595" t="str">
        <f>""</f>
        <v/>
      </c>
      <c r="AS595" t="str">
        <f>""</f>
        <v/>
      </c>
      <c r="AT595" t="str">
        <f>""</f>
        <v/>
      </c>
      <c r="AU595" t="str">
        <f>""</f>
        <v/>
      </c>
      <c r="AV595" t="str">
        <f>""</f>
        <v/>
      </c>
      <c r="AW595" t="str">
        <f>""</f>
        <v/>
      </c>
      <c r="AX595" t="str">
        <f>""</f>
        <v/>
      </c>
      <c r="AY595" t="str">
        <f>""</f>
        <v/>
      </c>
      <c r="AZ595" t="str">
        <f>""</f>
        <v/>
      </c>
      <c r="BA595" t="str">
        <f>""</f>
        <v/>
      </c>
      <c r="BB595" t="str">
        <f>""</f>
        <v/>
      </c>
      <c r="BC595" t="str">
        <f>""</f>
        <v/>
      </c>
      <c r="BD595" t="str">
        <f>""</f>
        <v/>
      </c>
      <c r="BE595" t="str">
        <f>""</f>
        <v/>
      </c>
      <c r="BF595" t="str">
        <f>""</f>
        <v/>
      </c>
      <c r="BG595" t="str">
        <f>""</f>
        <v/>
      </c>
      <c r="BH595" t="str">
        <f>""</f>
        <v/>
      </c>
      <c r="BI595" t="str">
        <f>""</f>
        <v/>
      </c>
      <c r="BJ595" t="str">
        <f>""</f>
        <v/>
      </c>
      <c r="BK595" t="str">
        <f>""</f>
        <v/>
      </c>
      <c r="BL595" t="str">
        <f>""</f>
        <v/>
      </c>
      <c r="BM595" t="str">
        <f>""</f>
        <v/>
      </c>
      <c r="BN595" t="str">
        <f>""</f>
        <v/>
      </c>
      <c r="BO595" t="str">
        <f>""</f>
        <v/>
      </c>
      <c r="BP595" t="str">
        <f>""</f>
        <v/>
      </c>
      <c r="BQ595" t="str">
        <f>""</f>
        <v/>
      </c>
      <c r="BR595" t="str">
        <f>""</f>
        <v/>
      </c>
      <c r="BS595" t="str">
        <f>""</f>
        <v/>
      </c>
    </row>
    <row r="596" spans="1:71" x14ac:dyDescent="0.25">
      <c r="A596" t="str">
        <f>$A$186</f>
        <v xml:space="preserve">        First Citizens BancShares Inc/</v>
      </c>
      <c r="B596" t="str">
        <f>$B$186</f>
        <v>FCNCA US Equity</v>
      </c>
      <c r="C596" t="str">
        <f>$C$186</f>
        <v>F0109</v>
      </c>
      <c r="D596" t="str">
        <f>$D$186</f>
        <v>FED_RE_LNS_DOM_%_TOT_LNS_LEAS</v>
      </c>
      <c r="E596" t="str">
        <f>$E$186</f>
        <v>Dynamic</v>
      </c>
      <c r="F596">
        <f ca="1">_xll.BDH($B$186,$C$186,$B$425,$B$426,CONCATENATE("Per=",$B$423),"Dts=H","Dir=H",CONCATENATE("Points=",$B$424),"Sort=R","Days=A","Fill=B",CONCATENATE("FX=", $B$422),"cols=33;rows=1")</f>
        <v>45.558500000000002</v>
      </c>
      <c r="G596">
        <v>44.507399999999997</v>
      </c>
      <c r="H596">
        <v>59.892200000000003</v>
      </c>
      <c r="I596">
        <v>75.093800000000002</v>
      </c>
      <c r="J596">
        <v>71.948099999999997</v>
      </c>
      <c r="K596">
        <v>77.532799999999995</v>
      </c>
      <c r="L596">
        <v>76.705200000000005</v>
      </c>
      <c r="M596">
        <v>76.747299999999996</v>
      </c>
      <c r="N596">
        <v>76.180899999999994</v>
      </c>
      <c r="O596">
        <v>77.074299999999994</v>
      </c>
      <c r="P596">
        <v>78.413200000000003</v>
      </c>
      <c r="Q596">
        <v>84.4953</v>
      </c>
      <c r="R596">
        <v>80.075999999999993</v>
      </c>
      <c r="S596">
        <v>79.678600000000003</v>
      </c>
      <c r="T596">
        <v>77.243700000000004</v>
      </c>
      <c r="U596">
        <v>73.715599999999995</v>
      </c>
      <c r="V596">
        <v>69.524900000000002</v>
      </c>
      <c r="W596">
        <v>68.062700000000007</v>
      </c>
      <c r="X596">
        <v>24.579799999999999</v>
      </c>
      <c r="Y596">
        <v>26.528500000000001</v>
      </c>
      <c r="Z596">
        <v>30.631599999999999</v>
      </c>
      <c r="AA596">
        <v>32.765799999999999</v>
      </c>
      <c r="AB596">
        <v>34.452500000000001</v>
      </c>
      <c r="AC596">
        <v>34.7254</v>
      </c>
      <c r="AM596" t="str">
        <f>""</f>
        <v/>
      </c>
      <c r="AN596" t="str">
        <f>""</f>
        <v/>
      </c>
      <c r="AO596" t="str">
        <f>""</f>
        <v/>
      </c>
      <c r="AP596" t="str">
        <f>""</f>
        <v/>
      </c>
      <c r="AQ596" t="str">
        <f>""</f>
        <v/>
      </c>
      <c r="AR596" t="str">
        <f>""</f>
        <v/>
      </c>
      <c r="AS596" t="str">
        <f>""</f>
        <v/>
      </c>
      <c r="AT596" t="str">
        <f>""</f>
        <v/>
      </c>
      <c r="AU596" t="str">
        <f>""</f>
        <v/>
      </c>
      <c r="AV596" t="str">
        <f>""</f>
        <v/>
      </c>
      <c r="AW596" t="str">
        <f>""</f>
        <v/>
      </c>
      <c r="AX596" t="str">
        <f>""</f>
        <v/>
      </c>
      <c r="AY596" t="str">
        <f>""</f>
        <v/>
      </c>
      <c r="AZ596" t="str">
        <f>""</f>
        <v/>
      </c>
      <c r="BA596" t="str">
        <f>""</f>
        <v/>
      </c>
      <c r="BB596" t="str">
        <f>""</f>
        <v/>
      </c>
      <c r="BC596" t="str">
        <f>""</f>
        <v/>
      </c>
      <c r="BD596" t="str">
        <f>""</f>
        <v/>
      </c>
      <c r="BE596" t="str">
        <f>""</f>
        <v/>
      </c>
      <c r="BF596" t="str">
        <f>""</f>
        <v/>
      </c>
      <c r="BG596" t="str">
        <f>""</f>
        <v/>
      </c>
      <c r="BH596" t="str">
        <f>""</f>
        <v/>
      </c>
      <c r="BI596" t="str">
        <f>""</f>
        <v/>
      </c>
      <c r="BJ596" t="str">
        <f>""</f>
        <v/>
      </c>
      <c r="BK596" t="str">
        <f>""</f>
        <v/>
      </c>
      <c r="BL596" t="str">
        <f>""</f>
        <v/>
      </c>
      <c r="BM596" t="str">
        <f>""</f>
        <v/>
      </c>
      <c r="BN596" t="str">
        <f>""</f>
        <v/>
      </c>
      <c r="BO596" t="str">
        <f>""</f>
        <v/>
      </c>
      <c r="BP596" t="str">
        <f>""</f>
        <v/>
      </c>
      <c r="BQ596" t="str">
        <f>""</f>
        <v/>
      </c>
      <c r="BR596" t="str">
        <f>""</f>
        <v/>
      </c>
      <c r="BS596" t="str">
        <f>""</f>
        <v/>
      </c>
    </row>
    <row r="597" spans="1:71" x14ac:dyDescent="0.25">
      <c r="A597" t="str">
        <f>$A$187</f>
        <v xml:space="preserve">        Flagstar Financial Inc</v>
      </c>
      <c r="B597" t="str">
        <f>$B$187</f>
        <v>FLG US Equity</v>
      </c>
      <c r="C597" t="str">
        <f>$C$187</f>
        <v>F0109</v>
      </c>
      <c r="D597" t="str">
        <f>$D$187</f>
        <v>FED_RE_LNS_DOM_%_TOT_LNS_LEAS</v>
      </c>
      <c r="E597" t="str">
        <f>$E$187</f>
        <v>Dynamic</v>
      </c>
      <c r="F597">
        <f ca="1">_xll.BDH($B$187,$C$187,$B$425,$B$426,CONCATENATE("Per=",$B$423),"Dts=H","Dir=H",CONCATENATE("Points=",$B$424),"Sort=R","Days=A","Fill=B",CONCATENATE("FX=", $B$422),"cols=33;rows=1")</f>
        <v>77.391000000000005</v>
      </c>
      <c r="G597">
        <v>68.883700000000005</v>
      </c>
      <c r="H597">
        <v>80.550700000000006</v>
      </c>
      <c r="I597">
        <v>91.165999999999997</v>
      </c>
      <c r="J597">
        <v>91.687200000000004</v>
      </c>
      <c r="K597">
        <v>92.728300000000004</v>
      </c>
      <c r="L597">
        <v>94.008399999999995</v>
      </c>
      <c r="M597">
        <v>94.643600000000006</v>
      </c>
      <c r="N597">
        <v>95.134799999999998</v>
      </c>
      <c r="O597">
        <v>96.154700000000005</v>
      </c>
      <c r="P597">
        <v>96.382900000000006</v>
      </c>
      <c r="Q597">
        <v>97.4114</v>
      </c>
      <c r="R597">
        <v>97.972899999999996</v>
      </c>
      <c r="S597">
        <v>97.727800000000002</v>
      </c>
      <c r="T597">
        <v>97.406599999999997</v>
      </c>
      <c r="U597">
        <v>97.56</v>
      </c>
      <c r="V597">
        <v>96.587599999999995</v>
      </c>
      <c r="W597">
        <v>96.066800000000001</v>
      </c>
      <c r="X597">
        <v>75.072999999999993</v>
      </c>
      <c r="Y597">
        <v>77.052899999999994</v>
      </c>
      <c r="Z597">
        <v>77.260900000000007</v>
      </c>
      <c r="AA597">
        <v>78.446899999999999</v>
      </c>
      <c r="AB597">
        <v>86.665400000000005</v>
      </c>
      <c r="AC597">
        <v>86.373699999999999</v>
      </c>
      <c r="AM597" t="str">
        <f>""</f>
        <v/>
      </c>
      <c r="AN597" t="str">
        <f>""</f>
        <v/>
      </c>
      <c r="AO597" t="str">
        <f>""</f>
        <v/>
      </c>
      <c r="AP597" t="str">
        <f>""</f>
        <v/>
      </c>
      <c r="AQ597" t="str">
        <f>""</f>
        <v/>
      </c>
      <c r="AR597" t="str">
        <f>""</f>
        <v/>
      </c>
      <c r="AS597" t="str">
        <f>""</f>
        <v/>
      </c>
      <c r="AT597" t="str">
        <f>""</f>
        <v/>
      </c>
      <c r="AU597" t="str">
        <f>""</f>
        <v/>
      </c>
      <c r="AV597" t="str">
        <f>""</f>
        <v/>
      </c>
      <c r="AW597" t="str">
        <f>""</f>
        <v/>
      </c>
      <c r="AX597" t="str">
        <f>""</f>
        <v/>
      </c>
      <c r="AY597" t="str">
        <f>""</f>
        <v/>
      </c>
      <c r="AZ597" t="str">
        <f>""</f>
        <v/>
      </c>
      <c r="BA597" t="str">
        <f>""</f>
        <v/>
      </c>
      <c r="BB597" t="str">
        <f>""</f>
        <v/>
      </c>
      <c r="BC597" t="str">
        <f>""</f>
        <v/>
      </c>
      <c r="BD597" t="str">
        <f>""</f>
        <v/>
      </c>
      <c r="BE597" t="str">
        <f>""</f>
        <v/>
      </c>
      <c r="BF597" t="str">
        <f>""</f>
        <v/>
      </c>
      <c r="BG597" t="str">
        <f>""</f>
        <v/>
      </c>
      <c r="BH597" t="str">
        <f>""</f>
        <v/>
      </c>
      <c r="BI597" t="str">
        <f>""</f>
        <v/>
      </c>
      <c r="BJ597" t="str">
        <f>""</f>
        <v/>
      </c>
      <c r="BK597" t="str">
        <f>""</f>
        <v/>
      </c>
      <c r="BL597" t="str">
        <f>""</f>
        <v/>
      </c>
      <c r="BM597" t="str">
        <f>""</f>
        <v/>
      </c>
      <c r="BN597" t="str">
        <f>""</f>
        <v/>
      </c>
      <c r="BO597" t="str">
        <f>""</f>
        <v/>
      </c>
      <c r="BP597" t="str">
        <f>""</f>
        <v/>
      </c>
      <c r="BQ597" t="str">
        <f>""</f>
        <v/>
      </c>
      <c r="BR597" t="str">
        <f>""</f>
        <v/>
      </c>
      <c r="BS597" t="str">
        <f>""</f>
        <v/>
      </c>
    </row>
    <row r="598" spans="1:71" x14ac:dyDescent="0.25">
      <c r="A598" t="str">
        <f>$A$188</f>
        <v xml:space="preserve">        Huntington Bancshares Inc/OH</v>
      </c>
      <c r="B598" t="str">
        <f>$B$188</f>
        <v>HBAN US Equity</v>
      </c>
      <c r="C598" t="str">
        <f>$C$188</f>
        <v>F0109</v>
      </c>
      <c r="D598" t="str">
        <f>$D$188</f>
        <v>FED_RE_LNS_DOM_%_TOT_LNS_LEAS</v>
      </c>
      <c r="E598" t="str">
        <f>$E$188</f>
        <v>Dynamic</v>
      </c>
      <c r="F598">
        <f ca="1">_xll.BDH($B$188,$C$188,$B$425,$B$426,CONCATENATE("Per=",$B$423),"Dts=H","Dir=H",CONCATENATE("Points=",$B$424),"Sort=R","Days=A","Fill=B",CONCATENATE("FX=", $B$422),"cols=33;rows=1")</f>
        <v>40.922499999999999</v>
      </c>
      <c r="G598">
        <v>43.5944</v>
      </c>
      <c r="H598">
        <v>44.007899999999999</v>
      </c>
      <c r="I598">
        <v>44.716900000000003</v>
      </c>
      <c r="J598">
        <v>39.122399999999999</v>
      </c>
      <c r="K598">
        <v>40.5383</v>
      </c>
      <c r="L598">
        <v>41.044800000000002</v>
      </c>
      <c r="M598">
        <v>42.531300000000002</v>
      </c>
      <c r="N598">
        <v>44.1447</v>
      </c>
      <c r="O598">
        <v>44.494199999999999</v>
      </c>
      <c r="P598">
        <v>47.695</v>
      </c>
      <c r="Q598">
        <v>50.565800000000003</v>
      </c>
      <c r="R598">
        <v>53.1342</v>
      </c>
      <c r="S598">
        <v>55.903700000000001</v>
      </c>
      <c r="T598">
        <v>58.658900000000003</v>
      </c>
      <c r="U598">
        <v>64.578900000000004</v>
      </c>
      <c r="V598">
        <v>62.596600000000002</v>
      </c>
      <c r="W598">
        <v>63.700400000000002</v>
      </c>
      <c r="X598">
        <v>38.621400000000001</v>
      </c>
      <c r="Y598">
        <v>38.897300000000001</v>
      </c>
      <c r="Z598">
        <v>38.8005</v>
      </c>
      <c r="AA598">
        <v>31.1403</v>
      </c>
      <c r="AB598">
        <v>30.16</v>
      </c>
      <c r="AC598">
        <v>29.410699999999999</v>
      </c>
      <c r="AM598" t="str">
        <f>""</f>
        <v/>
      </c>
      <c r="AN598" t="str">
        <f>""</f>
        <v/>
      </c>
      <c r="AO598" t="str">
        <f>""</f>
        <v/>
      </c>
      <c r="AP598" t="str">
        <f>""</f>
        <v/>
      </c>
      <c r="AQ598" t="str">
        <f>""</f>
        <v/>
      </c>
      <c r="AR598" t="str">
        <f>""</f>
        <v/>
      </c>
      <c r="AS598" t="str">
        <f>""</f>
        <v/>
      </c>
      <c r="AT598" t="str">
        <f>""</f>
        <v/>
      </c>
      <c r="AU598" t="str">
        <f>""</f>
        <v/>
      </c>
      <c r="AV598" t="str">
        <f>""</f>
        <v/>
      </c>
      <c r="AW598" t="str">
        <f>""</f>
        <v/>
      </c>
      <c r="AX598" t="str">
        <f>""</f>
        <v/>
      </c>
      <c r="AY598" t="str">
        <f>""</f>
        <v/>
      </c>
      <c r="AZ598" t="str">
        <f>""</f>
        <v/>
      </c>
      <c r="BA598" t="str">
        <f>""</f>
        <v/>
      </c>
      <c r="BB598" t="str">
        <f>""</f>
        <v/>
      </c>
      <c r="BC598" t="str">
        <f>""</f>
        <v/>
      </c>
      <c r="BD598" t="str">
        <f>""</f>
        <v/>
      </c>
      <c r="BE598" t="str">
        <f>""</f>
        <v/>
      </c>
      <c r="BF598" t="str">
        <f>""</f>
        <v/>
      </c>
      <c r="BG598" t="str">
        <f>""</f>
        <v/>
      </c>
      <c r="BH598" t="str">
        <f>""</f>
        <v/>
      </c>
      <c r="BI598" t="str">
        <f>""</f>
        <v/>
      </c>
      <c r="BJ598" t="str">
        <f>""</f>
        <v/>
      </c>
      <c r="BK598" t="str">
        <f>""</f>
        <v/>
      </c>
      <c r="BL598" t="str">
        <f>""</f>
        <v/>
      </c>
      <c r="BM598" t="str">
        <f>""</f>
        <v/>
      </c>
      <c r="BN598" t="str">
        <f>""</f>
        <v/>
      </c>
      <c r="BO598" t="str">
        <f>""</f>
        <v/>
      </c>
      <c r="BP598" t="str">
        <f>""</f>
        <v/>
      </c>
      <c r="BQ598" t="str">
        <f>""</f>
        <v/>
      </c>
      <c r="BR598" t="str">
        <f>""</f>
        <v/>
      </c>
      <c r="BS598" t="str">
        <f>""</f>
        <v/>
      </c>
    </row>
    <row r="599" spans="1:71" x14ac:dyDescent="0.25">
      <c r="A599" t="str">
        <f>$A$189</f>
        <v xml:space="preserve">        JPMorgan Chase &amp; Co</v>
      </c>
      <c r="B599" t="str">
        <f>$B$189</f>
        <v>JPM US Equity</v>
      </c>
      <c r="C599" t="str">
        <f>$C$189</f>
        <v>F0109</v>
      </c>
      <c r="D599" t="str">
        <f>$D$189</f>
        <v>FED_RE_LNS_DOM_%_TOT_LNS_LEAS</v>
      </c>
      <c r="E599" t="str">
        <f>$E$189</f>
        <v>Dynamic</v>
      </c>
      <c r="F599">
        <f ca="1">_xll.BDH($B$189,$C$189,$B$425,$B$426,CONCATENATE("Per=",$B$423),"Dts=H","Dir=H",CONCATENATE("Points=",$B$424),"Sort=R","Days=A","Fill=B",CONCATENATE("FX=", $B$422),"cols=33;rows=1")</f>
        <v>35.106099999999998</v>
      </c>
      <c r="G599">
        <v>36.767600000000002</v>
      </c>
      <c r="H599">
        <v>32.043799999999997</v>
      </c>
      <c r="I599">
        <v>33.1828</v>
      </c>
      <c r="J599">
        <v>34.603900000000003</v>
      </c>
      <c r="K599">
        <v>37.231900000000003</v>
      </c>
      <c r="L599">
        <v>39.677900000000001</v>
      </c>
      <c r="M599">
        <v>41.494199999999999</v>
      </c>
      <c r="N599">
        <v>41.326599999999999</v>
      </c>
      <c r="O599">
        <v>40.943899999999999</v>
      </c>
      <c r="P599">
        <v>37.256900000000002</v>
      </c>
      <c r="Q599">
        <v>37.167400000000001</v>
      </c>
      <c r="R599">
        <v>37.477800000000002</v>
      </c>
      <c r="S599">
        <v>39.692</v>
      </c>
      <c r="T599">
        <v>42.625300000000003</v>
      </c>
      <c r="U599">
        <v>51.286200000000001</v>
      </c>
      <c r="V599">
        <v>48.142600000000002</v>
      </c>
      <c r="W599">
        <v>35.6282</v>
      </c>
      <c r="X599">
        <v>33.296999999999997</v>
      </c>
      <c r="Y599">
        <v>32.969200000000001</v>
      </c>
      <c r="Z599">
        <v>30.957799999999999</v>
      </c>
      <c r="AA599">
        <v>33.363999999999997</v>
      </c>
      <c r="AB599">
        <v>29.384599999999999</v>
      </c>
      <c r="AC599">
        <v>27.3095</v>
      </c>
      <c r="AM599" t="str">
        <f>""</f>
        <v/>
      </c>
      <c r="AN599" t="str">
        <f>""</f>
        <v/>
      </c>
      <c r="AO599" t="str">
        <f>""</f>
        <v/>
      </c>
      <c r="AP599" t="str">
        <f>""</f>
        <v/>
      </c>
      <c r="AQ599" t="str">
        <f>""</f>
        <v/>
      </c>
      <c r="AR599" t="str">
        <f>""</f>
        <v/>
      </c>
      <c r="AS599" t="str">
        <f>""</f>
        <v/>
      </c>
      <c r="AT599" t="str">
        <f>""</f>
        <v/>
      </c>
      <c r="AU599" t="str">
        <f>""</f>
        <v/>
      </c>
      <c r="AV599" t="str">
        <f>""</f>
        <v/>
      </c>
      <c r="AW599" t="str">
        <f>""</f>
        <v/>
      </c>
      <c r="AX599" t="str">
        <f>""</f>
        <v/>
      </c>
      <c r="AY599" t="str">
        <f>""</f>
        <v/>
      </c>
      <c r="AZ599" t="str">
        <f>""</f>
        <v/>
      </c>
      <c r="BA599" t="str">
        <f>""</f>
        <v/>
      </c>
      <c r="BB599" t="str">
        <f>""</f>
        <v/>
      </c>
      <c r="BC599" t="str">
        <f>""</f>
        <v/>
      </c>
      <c r="BD599" t="str">
        <f>""</f>
        <v/>
      </c>
      <c r="BE599" t="str">
        <f>""</f>
        <v/>
      </c>
      <c r="BF599" t="str">
        <f>""</f>
        <v/>
      </c>
      <c r="BG599" t="str">
        <f>""</f>
        <v/>
      </c>
      <c r="BH599" t="str">
        <f>""</f>
        <v/>
      </c>
      <c r="BI599" t="str">
        <f>""</f>
        <v/>
      </c>
      <c r="BJ599" t="str">
        <f>""</f>
        <v/>
      </c>
      <c r="BK599" t="str">
        <f>""</f>
        <v/>
      </c>
      <c r="BL599" t="str">
        <f>""</f>
        <v/>
      </c>
      <c r="BM599" t="str">
        <f>""</f>
        <v/>
      </c>
      <c r="BN599" t="str">
        <f>""</f>
        <v/>
      </c>
      <c r="BO599" t="str">
        <f>""</f>
        <v/>
      </c>
      <c r="BP599" t="str">
        <f>""</f>
        <v/>
      </c>
      <c r="BQ599" t="str">
        <f>""</f>
        <v/>
      </c>
      <c r="BR599" t="str">
        <f>""</f>
        <v/>
      </c>
      <c r="BS599" t="str">
        <f>""</f>
        <v/>
      </c>
    </row>
    <row r="600" spans="1:71" x14ac:dyDescent="0.25">
      <c r="A600" t="str">
        <f>$A$190</f>
        <v xml:space="preserve">        KeyCorp</v>
      </c>
      <c r="B600" t="str">
        <f>$B$190</f>
        <v>KEY US Equity</v>
      </c>
      <c r="C600" t="str">
        <f>$C$190</f>
        <v>F0109</v>
      </c>
      <c r="D600" t="str">
        <f>$D$190</f>
        <v>FED_RE_LNS_DOM_%_TOT_LNS_LEAS</v>
      </c>
      <c r="E600" t="str">
        <f>$E$190</f>
        <v>Dynamic</v>
      </c>
      <c r="F600">
        <f ca="1">_xll.BDH($B$190,$C$190,$B$425,$B$426,CONCATENATE("Per=",$B$423),"Dts=H","Dir=H",CONCATENATE("Points=",$B$424),"Sort=R","Days=A","Fill=B",CONCATENATE("FX=", $B$422),"cols=33;rows=1")</f>
        <v>41.015500000000003</v>
      </c>
      <c r="G600">
        <v>41.245800000000003</v>
      </c>
      <c r="H600">
        <v>40.304299999999998</v>
      </c>
      <c r="I600">
        <v>39.709400000000002</v>
      </c>
      <c r="J600">
        <v>33.445799999999998</v>
      </c>
      <c r="K600">
        <v>34.3416</v>
      </c>
      <c r="L600">
        <v>36.541200000000003</v>
      </c>
      <c r="M600">
        <v>38.834600000000002</v>
      </c>
      <c r="N600">
        <v>41.417900000000003</v>
      </c>
      <c r="O600">
        <v>35.497399999999999</v>
      </c>
      <c r="P600">
        <v>37.512300000000003</v>
      </c>
      <c r="Q600">
        <v>36.930799999999998</v>
      </c>
      <c r="R600">
        <v>37.011800000000001</v>
      </c>
      <c r="S600">
        <v>38.770499999999998</v>
      </c>
      <c r="T600">
        <v>41.893000000000001</v>
      </c>
      <c r="U600">
        <v>44.7682</v>
      </c>
      <c r="V600">
        <v>41.446100000000001</v>
      </c>
      <c r="W600">
        <v>41.747900000000001</v>
      </c>
      <c r="X600">
        <v>19.1675</v>
      </c>
      <c r="Y600">
        <v>22.506399999999999</v>
      </c>
      <c r="Z600">
        <v>23.7729</v>
      </c>
      <c r="AA600">
        <v>27.45</v>
      </c>
      <c r="AB600">
        <v>26.435199999999998</v>
      </c>
      <c r="AC600">
        <v>22.272300000000001</v>
      </c>
      <c r="AM600" t="str">
        <f>""</f>
        <v/>
      </c>
      <c r="AN600" t="str">
        <f>""</f>
        <v/>
      </c>
      <c r="AO600" t="str">
        <f>""</f>
        <v/>
      </c>
      <c r="AP600" t="str">
        <f>""</f>
        <v/>
      </c>
      <c r="AQ600" t="str">
        <f>""</f>
        <v/>
      </c>
      <c r="AR600" t="str">
        <f>""</f>
        <v/>
      </c>
      <c r="AS600" t="str">
        <f>""</f>
        <v/>
      </c>
      <c r="AT600" t="str">
        <f>""</f>
        <v/>
      </c>
      <c r="AU600" t="str">
        <f>""</f>
        <v/>
      </c>
      <c r="AV600" t="str">
        <f>""</f>
        <v/>
      </c>
      <c r="AW600" t="str">
        <f>""</f>
        <v/>
      </c>
      <c r="AX600" t="str">
        <f>""</f>
        <v/>
      </c>
      <c r="AY600" t="str">
        <f>""</f>
        <v/>
      </c>
      <c r="AZ600" t="str">
        <f>""</f>
        <v/>
      </c>
      <c r="BA600" t="str">
        <f>""</f>
        <v/>
      </c>
      <c r="BB600" t="str">
        <f>""</f>
        <v/>
      </c>
      <c r="BC600" t="str">
        <f>""</f>
        <v/>
      </c>
      <c r="BD600" t="str">
        <f>""</f>
        <v/>
      </c>
      <c r="BE600" t="str">
        <f>""</f>
        <v/>
      </c>
      <c r="BF600" t="str">
        <f>""</f>
        <v/>
      </c>
      <c r="BG600" t="str">
        <f>""</f>
        <v/>
      </c>
      <c r="BH600" t="str">
        <f>""</f>
        <v/>
      </c>
      <c r="BI600" t="str">
        <f>""</f>
        <v/>
      </c>
      <c r="BJ600" t="str">
        <f>""</f>
        <v/>
      </c>
      <c r="BK600" t="str">
        <f>""</f>
        <v/>
      </c>
      <c r="BL600" t="str">
        <f>""</f>
        <v/>
      </c>
      <c r="BM600" t="str">
        <f>""</f>
        <v/>
      </c>
      <c r="BN600" t="str">
        <f>""</f>
        <v/>
      </c>
      <c r="BO600" t="str">
        <f>""</f>
        <v/>
      </c>
      <c r="BP600" t="str">
        <f>""</f>
        <v/>
      </c>
      <c r="BQ600" t="str">
        <f>""</f>
        <v/>
      </c>
      <c r="BR600" t="str">
        <f>""</f>
        <v/>
      </c>
      <c r="BS600" t="str">
        <f>""</f>
        <v/>
      </c>
    </row>
    <row r="601" spans="1:71" x14ac:dyDescent="0.25">
      <c r="A601" t="str">
        <f>$A$191</f>
        <v xml:space="preserve">        M&amp;T Bank Corp</v>
      </c>
      <c r="B601" t="str">
        <f>$B$191</f>
        <v>MTB US Equity</v>
      </c>
      <c r="C601" t="str">
        <f>$C$191</f>
        <v>F0109</v>
      </c>
      <c r="D601" t="str">
        <f>$D$191</f>
        <v>FED_RE_LNS_DOM_%_TOT_LNS_LEAS</v>
      </c>
      <c r="E601" t="str">
        <f>$E$191</f>
        <v>Dynamic</v>
      </c>
      <c r="F601">
        <f ca="1">_xll.BDH($B$191,$C$191,$B$425,$B$426,CONCATENATE("Per=",$B$423),"Dts=H","Dir=H",CONCATENATE("Points=",$B$424),"Sort=R","Days=A","Fill=B",CONCATENATE("FX=", $B$422),"cols=33;rows=1")</f>
        <v>47.3551</v>
      </c>
      <c r="G601">
        <v>51.825299999999999</v>
      </c>
      <c r="H601">
        <v>55.640300000000003</v>
      </c>
      <c r="I601">
        <v>58.609900000000003</v>
      </c>
      <c r="J601">
        <v>59.165300000000002</v>
      </c>
      <c r="K601">
        <v>61.745800000000003</v>
      </c>
      <c r="L601">
        <v>63.703000000000003</v>
      </c>
      <c r="M601">
        <v>66.170900000000003</v>
      </c>
      <c r="N601">
        <v>67.877899999999997</v>
      </c>
      <c r="O601">
        <v>70.156400000000005</v>
      </c>
      <c r="P601">
        <v>63.162599999999998</v>
      </c>
      <c r="Q601">
        <v>64.263000000000005</v>
      </c>
      <c r="R601">
        <v>65.345799999999997</v>
      </c>
      <c r="S601">
        <v>64.808099999999996</v>
      </c>
      <c r="T601">
        <v>64.593599999999995</v>
      </c>
      <c r="U601">
        <v>63.835000000000001</v>
      </c>
      <c r="V601">
        <v>59.869</v>
      </c>
      <c r="W601">
        <v>60.402299999999997</v>
      </c>
      <c r="X601">
        <v>29.754100000000001</v>
      </c>
      <c r="Y601">
        <v>28.231400000000001</v>
      </c>
      <c r="Z601">
        <v>27.506499999999999</v>
      </c>
      <c r="AA601">
        <v>27.537500000000001</v>
      </c>
      <c r="AB601">
        <v>29.586099999999998</v>
      </c>
      <c r="AC601">
        <v>34.391500000000001</v>
      </c>
      <c r="AM601" t="str">
        <f>""</f>
        <v/>
      </c>
      <c r="AN601" t="str">
        <f>""</f>
        <v/>
      </c>
      <c r="AO601" t="str">
        <f>""</f>
        <v/>
      </c>
      <c r="AP601" t="str">
        <f>""</f>
        <v/>
      </c>
      <c r="AQ601" t="str">
        <f>""</f>
        <v/>
      </c>
      <c r="AR601" t="str">
        <f>""</f>
        <v/>
      </c>
      <c r="AS601" t="str">
        <f>""</f>
        <v/>
      </c>
      <c r="AT601" t="str">
        <f>""</f>
        <v/>
      </c>
      <c r="AU601" t="str">
        <f>""</f>
        <v/>
      </c>
      <c r="AV601" t="str">
        <f>""</f>
        <v/>
      </c>
      <c r="AW601" t="str">
        <f>""</f>
        <v/>
      </c>
      <c r="AX601" t="str">
        <f>""</f>
        <v/>
      </c>
      <c r="AY601" t="str">
        <f>""</f>
        <v/>
      </c>
      <c r="AZ601" t="str">
        <f>""</f>
        <v/>
      </c>
      <c r="BA601" t="str">
        <f>""</f>
        <v/>
      </c>
      <c r="BB601" t="str">
        <f>""</f>
        <v/>
      </c>
      <c r="BC601" t="str">
        <f>""</f>
        <v/>
      </c>
      <c r="BD601" t="str">
        <f>""</f>
        <v/>
      </c>
      <c r="BE601" t="str">
        <f>""</f>
        <v/>
      </c>
      <c r="BF601" t="str">
        <f>""</f>
        <v/>
      </c>
      <c r="BG601" t="str">
        <f>""</f>
        <v/>
      </c>
      <c r="BH601" t="str">
        <f>""</f>
        <v/>
      </c>
      <c r="BI601" t="str">
        <f>""</f>
        <v/>
      </c>
      <c r="BJ601" t="str">
        <f>""</f>
        <v/>
      </c>
      <c r="BK601" t="str">
        <f>""</f>
        <v/>
      </c>
      <c r="BL601" t="str">
        <f>""</f>
        <v/>
      </c>
      <c r="BM601" t="str">
        <f>""</f>
        <v/>
      </c>
      <c r="BN601" t="str">
        <f>""</f>
        <v/>
      </c>
      <c r="BO601" t="str">
        <f>""</f>
        <v/>
      </c>
      <c r="BP601" t="str">
        <f>""</f>
        <v/>
      </c>
      <c r="BQ601" t="str">
        <f>""</f>
        <v/>
      </c>
      <c r="BR601" t="str">
        <f>""</f>
        <v/>
      </c>
      <c r="BS601" t="str">
        <f>""</f>
        <v/>
      </c>
    </row>
    <row r="602" spans="1:71" x14ac:dyDescent="0.25">
      <c r="A602" t="str">
        <f>$A$192</f>
        <v xml:space="preserve">        PNC Financial Services Group I</v>
      </c>
      <c r="B602" t="str">
        <f>$B$192</f>
        <v>PNC US Equity</v>
      </c>
      <c r="C602" t="str">
        <f>$C$192</f>
        <v>F0109</v>
      </c>
      <c r="D602" t="str">
        <f>$D$192</f>
        <v>FED_RE_LNS_DOM_%_TOT_LNS_LEAS</v>
      </c>
      <c r="E602" t="str">
        <f>$E$192</f>
        <v>Dynamic</v>
      </c>
      <c r="F602">
        <f ca="1">_xll.BDH($B$192,$C$192,$B$425,$B$426,CONCATENATE("Per=",$B$423),"Dts=H","Dir=H",CONCATENATE("Points=",$B$424),"Sort=R","Days=A","Fill=B",CONCATENATE("FX=", $B$422),"cols=33;rows=1")</f>
        <v>36.535200000000003</v>
      </c>
      <c r="G602">
        <v>37.008699999999997</v>
      </c>
      <c r="H602">
        <v>36.444299999999998</v>
      </c>
      <c r="I602">
        <v>38.119900000000001</v>
      </c>
      <c r="J602">
        <v>34.408499999999997</v>
      </c>
      <c r="K602">
        <v>34.530500000000004</v>
      </c>
      <c r="L602">
        <v>35.258499999999998</v>
      </c>
      <c r="M602">
        <v>37.225299999999997</v>
      </c>
      <c r="N602">
        <v>39.250300000000003</v>
      </c>
      <c r="O602">
        <v>39.9009</v>
      </c>
      <c r="P602">
        <v>40.536900000000003</v>
      </c>
      <c r="Q602">
        <v>43.179299999999998</v>
      </c>
      <c r="R602">
        <v>44.677100000000003</v>
      </c>
      <c r="S602">
        <v>47.037300000000002</v>
      </c>
      <c r="T602">
        <v>52.2029</v>
      </c>
      <c r="U602">
        <v>56.411999999999999</v>
      </c>
      <c r="V602">
        <v>55.377600000000001</v>
      </c>
      <c r="W602">
        <v>55.162799999999997</v>
      </c>
      <c r="X602">
        <v>39.729599999999998</v>
      </c>
      <c r="Y602">
        <v>42.4251</v>
      </c>
      <c r="Z602">
        <v>40.002699999999997</v>
      </c>
      <c r="AA602">
        <v>36.909100000000002</v>
      </c>
      <c r="AB602">
        <v>33.650300000000001</v>
      </c>
      <c r="AC602">
        <v>33.350299999999997</v>
      </c>
      <c r="AM602" t="str">
        <f>""</f>
        <v/>
      </c>
      <c r="AN602" t="str">
        <f>""</f>
        <v/>
      </c>
      <c r="AO602" t="str">
        <f>""</f>
        <v/>
      </c>
      <c r="AP602" t="str">
        <f>""</f>
        <v/>
      </c>
      <c r="AQ602" t="str">
        <f>""</f>
        <v/>
      </c>
      <c r="AR602" t="str">
        <f>""</f>
        <v/>
      </c>
      <c r="AS602" t="str">
        <f>""</f>
        <v/>
      </c>
      <c r="AT602" t="str">
        <f>""</f>
        <v/>
      </c>
      <c r="AU602" t="str">
        <f>""</f>
        <v/>
      </c>
      <c r="AV602" t="str">
        <f>""</f>
        <v/>
      </c>
      <c r="AW602" t="str">
        <f>""</f>
        <v/>
      </c>
      <c r="AX602" t="str">
        <f>""</f>
        <v/>
      </c>
      <c r="AY602" t="str">
        <f>""</f>
        <v/>
      </c>
      <c r="AZ602" t="str">
        <f>""</f>
        <v/>
      </c>
      <c r="BA602" t="str">
        <f>""</f>
        <v/>
      </c>
      <c r="BB602" t="str">
        <f>""</f>
        <v/>
      </c>
      <c r="BC602" t="str">
        <f>""</f>
        <v/>
      </c>
      <c r="BD602" t="str">
        <f>""</f>
        <v/>
      </c>
      <c r="BE602" t="str">
        <f>""</f>
        <v/>
      </c>
      <c r="BF602" t="str">
        <f>""</f>
        <v/>
      </c>
      <c r="BG602" t="str">
        <f>""</f>
        <v/>
      </c>
      <c r="BH602" t="str">
        <f>""</f>
        <v/>
      </c>
      <c r="BI602" t="str">
        <f>""</f>
        <v/>
      </c>
      <c r="BJ602" t="str">
        <f>""</f>
        <v/>
      </c>
      <c r="BK602" t="str">
        <f>""</f>
        <v/>
      </c>
      <c r="BL602" t="str">
        <f>""</f>
        <v/>
      </c>
      <c r="BM602" t="str">
        <f>""</f>
        <v/>
      </c>
      <c r="BN602" t="str">
        <f>""</f>
        <v/>
      </c>
      <c r="BO602" t="str">
        <f>""</f>
        <v/>
      </c>
      <c r="BP602" t="str">
        <f>""</f>
        <v/>
      </c>
      <c r="BQ602" t="str">
        <f>""</f>
        <v/>
      </c>
      <c r="BR602" t="str">
        <f>""</f>
        <v/>
      </c>
      <c r="BS602" t="str">
        <f>""</f>
        <v/>
      </c>
    </row>
    <row r="603" spans="1:71" x14ac:dyDescent="0.25">
      <c r="A603" t="str">
        <f>$A$193</f>
        <v xml:space="preserve">        Regions Financial Corp</v>
      </c>
      <c r="B603" t="str">
        <f>$B$193</f>
        <v>RF US Equity</v>
      </c>
      <c r="C603" t="str">
        <f>$C$193</f>
        <v>F0109</v>
      </c>
      <c r="D603" t="str">
        <f>$D$193</f>
        <v>FED_RE_LNS_DOM_%_TOT_LNS_LEAS</v>
      </c>
      <c r="E603" t="str">
        <f>$E$193</f>
        <v>Dynamic</v>
      </c>
      <c r="F603">
        <f ca="1">_xll.BDH($B$193,$C$193,$B$425,$B$426,CONCATENATE("Per=",$B$423),"Dts=H","Dir=H",CONCATENATE("Points=",$B$424),"Sort=R","Days=A","Fill=B",CONCATENATE("FX=", $B$422),"cols=33;rows=1")</f>
        <v>41.646099999999997</v>
      </c>
      <c r="G603">
        <v>41.180799999999998</v>
      </c>
      <c r="H603">
        <v>40.338200000000001</v>
      </c>
      <c r="I603">
        <v>42.475299999999997</v>
      </c>
      <c r="J603">
        <v>44.906199999999998</v>
      </c>
      <c r="K603">
        <v>43.9557</v>
      </c>
      <c r="L603">
        <v>44.192500000000003</v>
      </c>
      <c r="M603">
        <v>46.688699999999997</v>
      </c>
      <c r="N603">
        <v>48.3889</v>
      </c>
      <c r="O603">
        <v>48.525500000000001</v>
      </c>
      <c r="P603">
        <v>50.6128</v>
      </c>
      <c r="Q603">
        <v>54.447699999999998</v>
      </c>
      <c r="R603">
        <v>59.209499999999998</v>
      </c>
      <c r="S603">
        <v>64.360799999999998</v>
      </c>
      <c r="T603">
        <v>70.459100000000007</v>
      </c>
      <c r="U603">
        <v>66.887299999999996</v>
      </c>
      <c r="V603">
        <v>65.38</v>
      </c>
      <c r="W603">
        <v>66.646500000000003</v>
      </c>
      <c r="X603">
        <v>36.498399999999997</v>
      </c>
      <c r="Y603">
        <v>34.827300000000001</v>
      </c>
      <c r="Z603">
        <v>34.970100000000002</v>
      </c>
      <c r="AM603" t="str">
        <f>""</f>
        <v/>
      </c>
      <c r="AN603" t="str">
        <f>""</f>
        <v/>
      </c>
      <c r="AO603" t="str">
        <f>""</f>
        <v/>
      </c>
      <c r="AP603" t="str">
        <f>""</f>
        <v/>
      </c>
      <c r="AQ603" t="str">
        <f>""</f>
        <v/>
      </c>
      <c r="AR603" t="str">
        <f>""</f>
        <v/>
      </c>
      <c r="AS603" t="str">
        <f>""</f>
        <v/>
      </c>
      <c r="AT603" t="str">
        <f>""</f>
        <v/>
      </c>
      <c r="AU603" t="str">
        <f>""</f>
        <v/>
      </c>
      <c r="AV603" t="str">
        <f>""</f>
        <v/>
      </c>
      <c r="AW603" t="str">
        <f>""</f>
        <v/>
      </c>
      <c r="AX603" t="str">
        <f>""</f>
        <v/>
      </c>
      <c r="AY603" t="str">
        <f>""</f>
        <v/>
      </c>
      <c r="AZ603" t="str">
        <f>""</f>
        <v/>
      </c>
      <c r="BA603" t="str">
        <f>""</f>
        <v/>
      </c>
      <c r="BB603" t="str">
        <f>""</f>
        <v/>
      </c>
      <c r="BC603" t="str">
        <f>""</f>
        <v/>
      </c>
      <c r="BD603" t="str">
        <f>""</f>
        <v/>
      </c>
      <c r="BE603" t="str">
        <f>""</f>
        <v/>
      </c>
      <c r="BF603" t="str">
        <f>""</f>
        <v/>
      </c>
      <c r="BG603" t="str">
        <f>""</f>
        <v/>
      </c>
      <c r="BH603" t="str">
        <f>""</f>
        <v/>
      </c>
      <c r="BI603" t="str">
        <f>""</f>
        <v/>
      </c>
      <c r="BJ603" t="str">
        <f>""</f>
        <v/>
      </c>
      <c r="BK603" t="str">
        <f>""</f>
        <v/>
      </c>
      <c r="BL603" t="str">
        <f>""</f>
        <v/>
      </c>
      <c r="BM603" t="str">
        <f>""</f>
        <v/>
      </c>
      <c r="BN603" t="str">
        <f>""</f>
        <v/>
      </c>
      <c r="BO603" t="str">
        <f>""</f>
        <v/>
      </c>
      <c r="BP603" t="str">
        <f>""</f>
        <v/>
      </c>
      <c r="BQ603" t="str">
        <f>""</f>
        <v/>
      </c>
      <c r="BR603" t="str">
        <f>""</f>
        <v/>
      </c>
      <c r="BS603" t="str">
        <f>""</f>
        <v/>
      </c>
    </row>
    <row r="604" spans="1:71" x14ac:dyDescent="0.25">
      <c r="A604" t="str">
        <f>$A$194</f>
        <v xml:space="preserve">        Truist Financial Corp</v>
      </c>
      <c r="B604" t="str">
        <f>$B$194</f>
        <v>TFC US Equity</v>
      </c>
      <c r="C604" t="str">
        <f>$C$194</f>
        <v>F0109</v>
      </c>
      <c r="D604" t="str">
        <f>$D$194</f>
        <v>FED_RE_LNS_DOM_%_TOT_LNS_LEAS</v>
      </c>
      <c r="E604" t="str">
        <f>$E$194</f>
        <v>Dynamic</v>
      </c>
      <c r="F604">
        <f ca="1">_xll.BDH($B$194,$C$194,$B$425,$B$426,CONCATENATE("Per=",$B$423),"Dts=H","Dir=H",CONCATENATE("Points=",$B$424),"Sort=R","Days=A","Fill=B",CONCATENATE("FX=", $B$422),"cols=33;rows=1")</f>
        <v>37.925899999999999</v>
      </c>
      <c r="G604">
        <v>38.026299999999999</v>
      </c>
      <c r="H604">
        <v>37.457500000000003</v>
      </c>
      <c r="I604">
        <v>39.790399999999998</v>
      </c>
      <c r="J604">
        <v>40.364899999999999</v>
      </c>
      <c r="K604">
        <v>43.5839</v>
      </c>
      <c r="L604">
        <v>51.882300000000001</v>
      </c>
      <c r="M604">
        <v>53.134700000000002</v>
      </c>
      <c r="N604">
        <v>54.745699999999999</v>
      </c>
      <c r="O604">
        <v>56.194800000000001</v>
      </c>
      <c r="P604">
        <v>57.3934</v>
      </c>
      <c r="Q604">
        <v>60.8992</v>
      </c>
      <c r="R604">
        <v>63.719200000000001</v>
      </c>
      <c r="S604">
        <v>64.989800000000002</v>
      </c>
      <c r="T604">
        <v>67.182000000000002</v>
      </c>
      <c r="U604">
        <v>69.275700000000001</v>
      </c>
      <c r="V604">
        <v>69.037700000000001</v>
      </c>
      <c r="W604">
        <v>70.792599999999993</v>
      </c>
      <c r="X604">
        <v>36.240299999999998</v>
      </c>
      <c r="Y604">
        <v>38.000900000000001</v>
      </c>
      <c r="Z604">
        <v>38.141199999999998</v>
      </c>
      <c r="AA604">
        <v>38.092500000000001</v>
      </c>
      <c r="AB604">
        <v>37.684399999999997</v>
      </c>
      <c r="AC604">
        <v>36.379800000000003</v>
      </c>
      <c r="AM604" t="str">
        <f>""</f>
        <v/>
      </c>
      <c r="AN604" t="str">
        <f>""</f>
        <v/>
      </c>
      <c r="AO604" t="str">
        <f>""</f>
        <v/>
      </c>
      <c r="AP604" t="str">
        <f>""</f>
        <v/>
      </c>
      <c r="AQ604" t="str">
        <f>""</f>
        <v/>
      </c>
      <c r="AR604" t="str">
        <f>""</f>
        <v/>
      </c>
      <c r="AS604" t="str">
        <f>""</f>
        <v/>
      </c>
      <c r="AT604" t="str">
        <f>""</f>
        <v/>
      </c>
      <c r="AU604" t="str">
        <f>""</f>
        <v/>
      </c>
      <c r="AV604" t="str">
        <f>""</f>
        <v/>
      </c>
      <c r="AW604" t="str">
        <f>""</f>
        <v/>
      </c>
      <c r="AX604" t="str">
        <f>""</f>
        <v/>
      </c>
      <c r="AY604" t="str">
        <f>""</f>
        <v/>
      </c>
      <c r="AZ604" t="str">
        <f>""</f>
        <v/>
      </c>
      <c r="BA604" t="str">
        <f>""</f>
        <v/>
      </c>
      <c r="BB604" t="str">
        <f>""</f>
        <v/>
      </c>
      <c r="BC604" t="str">
        <f>""</f>
        <v/>
      </c>
      <c r="BD604" t="str">
        <f>""</f>
        <v/>
      </c>
      <c r="BE604" t="str">
        <f>""</f>
        <v/>
      </c>
      <c r="BF604" t="str">
        <f>""</f>
        <v/>
      </c>
      <c r="BG604" t="str">
        <f>""</f>
        <v/>
      </c>
      <c r="BH604" t="str">
        <f>""</f>
        <v/>
      </c>
      <c r="BI604" t="str">
        <f>""</f>
        <v/>
      </c>
      <c r="BJ604" t="str">
        <f>""</f>
        <v/>
      </c>
      <c r="BK604" t="str">
        <f>""</f>
        <v/>
      </c>
      <c r="BL604" t="str">
        <f>""</f>
        <v/>
      </c>
      <c r="BM604" t="str">
        <f>""</f>
        <v/>
      </c>
      <c r="BN604" t="str">
        <f>""</f>
        <v/>
      </c>
      <c r="BO604" t="str">
        <f>""</f>
        <v/>
      </c>
      <c r="BP604" t="str">
        <f>""</f>
        <v/>
      </c>
      <c r="BQ604" t="str">
        <f>""</f>
        <v/>
      </c>
      <c r="BR604" t="str">
        <f>""</f>
        <v/>
      </c>
      <c r="BS604" t="str">
        <f>""</f>
        <v/>
      </c>
    </row>
    <row r="605" spans="1:71" x14ac:dyDescent="0.25">
      <c r="A605" t="str">
        <f>$A$195</f>
        <v xml:space="preserve">        US Bancorp</v>
      </c>
      <c r="B605" t="str">
        <f>$B$195</f>
        <v>USB US Equity</v>
      </c>
      <c r="C605" t="str">
        <f>$C$195</f>
        <v>F0109</v>
      </c>
      <c r="D605" t="str">
        <f>$D$195</f>
        <v>FED_RE_LNS_DOM_%_TOT_LNS_LEAS</v>
      </c>
      <c r="E605" t="str">
        <f>$E$195</f>
        <v>Dynamic</v>
      </c>
      <c r="F605">
        <f ca="1">_xll.BDH($B$195,$C$195,$B$425,$B$426,CONCATENATE("Per=",$B$423),"Dts=H","Dir=H",CONCATENATE("Points=",$B$424),"Sort=R","Days=A","Fill=B",CONCATENATE("FX=", $B$422),"cols=33;rows=1")</f>
        <v>47.5608</v>
      </c>
      <c r="G605">
        <v>48.461799999999997</v>
      </c>
      <c r="H605">
        <v>47.279699999999998</v>
      </c>
      <c r="I605">
        <v>40.970199999999998</v>
      </c>
      <c r="J605">
        <v>44.0212</v>
      </c>
      <c r="K605">
        <v>42.788699999999999</v>
      </c>
      <c r="L605">
        <v>41.7624</v>
      </c>
      <c r="M605">
        <v>42.502899999999997</v>
      </c>
      <c r="N605">
        <v>44.052399999999999</v>
      </c>
      <c r="O605">
        <v>44.1496</v>
      </c>
      <c r="P605">
        <v>46.322400000000002</v>
      </c>
      <c r="Q605">
        <v>48.002299999999998</v>
      </c>
      <c r="R605">
        <v>49.015500000000003</v>
      </c>
      <c r="S605">
        <v>50.111699999999999</v>
      </c>
      <c r="T605">
        <v>51.707700000000003</v>
      </c>
      <c r="U605">
        <v>49.811799999999998</v>
      </c>
      <c r="V605">
        <v>45.528100000000002</v>
      </c>
      <c r="W605">
        <v>44.200299999999999</v>
      </c>
      <c r="X605">
        <v>28.020499999999998</v>
      </c>
      <c r="Y605">
        <v>28.864000000000001</v>
      </c>
      <c r="Z605">
        <v>27.0457</v>
      </c>
      <c r="AA605">
        <v>26.068000000000001</v>
      </c>
      <c r="AB605">
        <v>25.468</v>
      </c>
      <c r="AC605">
        <v>21.8537</v>
      </c>
      <c r="AM605" t="str">
        <f>""</f>
        <v/>
      </c>
      <c r="AN605" t="str">
        <f>""</f>
        <v/>
      </c>
      <c r="AO605" t="str">
        <f>""</f>
        <v/>
      </c>
      <c r="AP605" t="str">
        <f>""</f>
        <v/>
      </c>
      <c r="AQ605" t="str">
        <f>""</f>
        <v/>
      </c>
      <c r="AR605" t="str">
        <f>""</f>
        <v/>
      </c>
      <c r="AS605" t="str">
        <f>""</f>
        <v/>
      </c>
      <c r="AT605" t="str">
        <f>""</f>
        <v/>
      </c>
      <c r="AU605" t="str">
        <f>""</f>
        <v/>
      </c>
      <c r="AV605" t="str">
        <f>""</f>
        <v/>
      </c>
      <c r="AW605" t="str">
        <f>""</f>
        <v/>
      </c>
      <c r="AX605" t="str">
        <f>""</f>
        <v/>
      </c>
      <c r="AY605" t="str">
        <f>""</f>
        <v/>
      </c>
      <c r="AZ605" t="str">
        <f>""</f>
        <v/>
      </c>
      <c r="BA605" t="str">
        <f>""</f>
        <v/>
      </c>
      <c r="BB605" t="str">
        <f>""</f>
        <v/>
      </c>
      <c r="BC605" t="str">
        <f>""</f>
        <v/>
      </c>
      <c r="BD605" t="str">
        <f>""</f>
        <v/>
      </c>
      <c r="BE605" t="str">
        <f>""</f>
        <v/>
      </c>
      <c r="BF605" t="str">
        <f>""</f>
        <v/>
      </c>
      <c r="BG605" t="str">
        <f>""</f>
        <v/>
      </c>
      <c r="BH605" t="str">
        <f>""</f>
        <v/>
      </c>
      <c r="BI605" t="str">
        <f>""</f>
        <v/>
      </c>
      <c r="BJ605" t="str">
        <f>""</f>
        <v/>
      </c>
      <c r="BK605" t="str">
        <f>""</f>
        <v/>
      </c>
      <c r="BL605" t="str">
        <f>""</f>
        <v/>
      </c>
      <c r="BM605" t="str">
        <f>""</f>
        <v/>
      </c>
      <c r="BN605" t="str">
        <f>""</f>
        <v/>
      </c>
      <c r="BO605" t="str">
        <f>""</f>
        <v/>
      </c>
      <c r="BP605" t="str">
        <f>""</f>
        <v/>
      </c>
      <c r="BQ605" t="str">
        <f>""</f>
        <v/>
      </c>
      <c r="BR605" t="str">
        <f>""</f>
        <v/>
      </c>
      <c r="BS605" t="str">
        <f>""</f>
        <v/>
      </c>
    </row>
    <row r="606" spans="1:71" x14ac:dyDescent="0.25">
      <c r="A606" t="str">
        <f>$A$196</f>
        <v xml:space="preserve">        Wells Fargo &amp; Co</v>
      </c>
      <c r="B606" t="str">
        <f>$B$196</f>
        <v>WFC US Equity</v>
      </c>
      <c r="C606" t="str">
        <f>$C$196</f>
        <v>F0109</v>
      </c>
      <c r="D606" t="str">
        <f>$D$196</f>
        <v>FED_RE_LNS_DOM_%_TOT_LNS_LEAS</v>
      </c>
      <c r="E606" t="str">
        <f>$E$196</f>
        <v>Dynamic</v>
      </c>
      <c r="F606">
        <f ca="1">_xll.BDH($B$196,$C$196,$B$425,$B$426,CONCATENATE("Per=",$B$423),"Dts=H","Dir=H",CONCATENATE("Points=",$B$424),"Sort=R","Days=A","Fill=B",CONCATENATE("FX=", $B$422),"cols=33;rows=1")</f>
        <v>41.219700000000003</v>
      </c>
      <c r="G606">
        <v>42.512999999999998</v>
      </c>
      <c r="H606">
        <v>43.126399999999997</v>
      </c>
      <c r="I606">
        <v>44.871099999999998</v>
      </c>
      <c r="J606">
        <v>48.796300000000002</v>
      </c>
      <c r="K606">
        <v>48.119900000000001</v>
      </c>
      <c r="L606">
        <v>48.450800000000001</v>
      </c>
      <c r="M606">
        <v>49.926699999999997</v>
      </c>
      <c r="N606">
        <v>50.244500000000002</v>
      </c>
      <c r="O606">
        <v>51.809600000000003</v>
      </c>
      <c r="P606">
        <v>53.626800000000003</v>
      </c>
      <c r="Q606">
        <v>55.444099999999999</v>
      </c>
      <c r="R606">
        <v>58.752400000000002</v>
      </c>
      <c r="S606">
        <v>59.531100000000002</v>
      </c>
      <c r="T606">
        <v>61.918100000000003</v>
      </c>
      <c r="U606">
        <v>61.157800000000002</v>
      </c>
      <c r="V606">
        <v>57.954700000000003</v>
      </c>
      <c r="W606">
        <v>55.887900000000002</v>
      </c>
      <c r="X606">
        <v>44.901000000000003</v>
      </c>
      <c r="Y606">
        <v>51.563899999999997</v>
      </c>
      <c r="Z606">
        <v>53.201999999999998</v>
      </c>
      <c r="AA606">
        <v>52.6145</v>
      </c>
      <c r="AB606">
        <v>49.7102</v>
      </c>
      <c r="AC606">
        <v>40.7515</v>
      </c>
      <c r="AM606" t="str">
        <f>""</f>
        <v/>
      </c>
      <c r="AN606" t="str">
        <f>""</f>
        <v/>
      </c>
      <c r="AO606" t="str">
        <f>""</f>
        <v/>
      </c>
      <c r="AP606" t="str">
        <f>""</f>
        <v/>
      </c>
      <c r="AQ606" t="str">
        <f>""</f>
        <v/>
      </c>
      <c r="AR606" t="str">
        <f>""</f>
        <v/>
      </c>
      <c r="AS606" t="str">
        <f>""</f>
        <v/>
      </c>
      <c r="AT606" t="str">
        <f>""</f>
        <v/>
      </c>
      <c r="AU606" t="str">
        <f>""</f>
        <v/>
      </c>
      <c r="AV606" t="str">
        <f>""</f>
        <v/>
      </c>
      <c r="AW606" t="str">
        <f>""</f>
        <v/>
      </c>
      <c r="AX606" t="str">
        <f>""</f>
        <v/>
      </c>
      <c r="AY606" t="str">
        <f>""</f>
        <v/>
      </c>
      <c r="AZ606" t="str">
        <f>""</f>
        <v/>
      </c>
      <c r="BA606" t="str">
        <f>""</f>
        <v/>
      </c>
      <c r="BB606" t="str">
        <f>""</f>
        <v/>
      </c>
      <c r="BC606" t="str">
        <f>""</f>
        <v/>
      </c>
      <c r="BD606" t="str">
        <f>""</f>
        <v/>
      </c>
      <c r="BE606" t="str">
        <f>""</f>
        <v/>
      </c>
      <c r="BF606" t="str">
        <f>""</f>
        <v/>
      </c>
      <c r="BG606" t="str">
        <f>""</f>
        <v/>
      </c>
      <c r="BH606" t="str">
        <f>""</f>
        <v/>
      </c>
      <c r="BI606" t="str">
        <f>""</f>
        <v/>
      </c>
      <c r="BJ606" t="str">
        <f>""</f>
        <v/>
      </c>
      <c r="BK606" t="str">
        <f>""</f>
        <v/>
      </c>
      <c r="BL606" t="str">
        <f>""</f>
        <v/>
      </c>
      <c r="BM606" t="str">
        <f>""</f>
        <v/>
      </c>
      <c r="BN606" t="str">
        <f>""</f>
        <v/>
      </c>
      <c r="BO606" t="str">
        <f>""</f>
        <v/>
      </c>
      <c r="BP606" t="str">
        <f>""</f>
        <v/>
      </c>
      <c r="BQ606" t="str">
        <f>""</f>
        <v/>
      </c>
      <c r="BR606" t="str">
        <f>""</f>
        <v/>
      </c>
      <c r="BS606" t="str">
        <f>""</f>
        <v/>
      </c>
    </row>
    <row r="607" spans="1:71" x14ac:dyDescent="0.25">
      <c r="A607" t="str">
        <f>$A$197</f>
        <v xml:space="preserve">        Western Alliance Bancorp</v>
      </c>
      <c r="B607" t="str">
        <f>$B$197</f>
        <v>WAL US Equity</v>
      </c>
      <c r="C607" t="str">
        <f>$C$197</f>
        <v>F0109</v>
      </c>
      <c r="D607" t="str">
        <f>$D$197</f>
        <v>FED_RE_LNS_DOM_%_TOT_LNS_LEAS</v>
      </c>
      <c r="E607" t="str">
        <f>$E$197</f>
        <v>Dynamic</v>
      </c>
      <c r="F607">
        <f ca="1">_xll.BDH($B$197,$C$197,$B$425,$B$426,CONCATENATE("Per=",$B$423),"Dts=H","Dir=H",CONCATENATE("Points=",$B$424),"Sort=R","Days=A","Fill=B",CONCATENATE("FX=", $B$422),"cols=33;rows=1")</f>
        <v>58.447200000000002</v>
      </c>
      <c r="G607">
        <v>62.561100000000003</v>
      </c>
      <c r="H607">
        <v>60.74</v>
      </c>
      <c r="I607">
        <v>58.409300000000002</v>
      </c>
      <c r="J607">
        <v>45.708399999999997</v>
      </c>
      <c r="K607">
        <v>53.6631</v>
      </c>
      <c r="L607">
        <v>53.981299999999997</v>
      </c>
      <c r="M607">
        <v>52.173499999999997</v>
      </c>
      <c r="N607">
        <v>53.336100000000002</v>
      </c>
      <c r="O607">
        <v>50.2104</v>
      </c>
      <c r="P607">
        <v>57.190399999999997</v>
      </c>
      <c r="Q607">
        <v>62.793599999999998</v>
      </c>
      <c r="R607">
        <v>64.819199999999995</v>
      </c>
      <c r="S607">
        <v>70.565100000000001</v>
      </c>
      <c r="T607">
        <v>76.306299999999993</v>
      </c>
      <c r="U607">
        <v>78.604100000000003</v>
      </c>
      <c r="V607">
        <v>77.334800000000001</v>
      </c>
      <c r="W607">
        <v>77.274299999999997</v>
      </c>
      <c r="X607">
        <v>13.883599999999999</v>
      </c>
      <c r="Y607">
        <v>16.608799999999999</v>
      </c>
      <c r="Z607">
        <v>11.2288</v>
      </c>
      <c r="AA607">
        <v>7.7240000000000002</v>
      </c>
      <c r="AB607">
        <v>5.6261000000000001</v>
      </c>
      <c r="AC607">
        <v>4.4329000000000001</v>
      </c>
      <c r="AM607" t="str">
        <f>""</f>
        <v/>
      </c>
      <c r="AN607" t="str">
        <f>""</f>
        <v/>
      </c>
      <c r="AO607" t="str">
        <f>""</f>
        <v/>
      </c>
      <c r="AP607" t="str">
        <f>""</f>
        <v/>
      </c>
      <c r="AQ607" t="str">
        <f>""</f>
        <v/>
      </c>
      <c r="AR607" t="str">
        <f>""</f>
        <v/>
      </c>
      <c r="AS607" t="str">
        <f>""</f>
        <v/>
      </c>
      <c r="AT607" t="str">
        <f>""</f>
        <v/>
      </c>
      <c r="AU607" t="str">
        <f>""</f>
        <v/>
      </c>
      <c r="AV607" t="str">
        <f>""</f>
        <v/>
      </c>
      <c r="AW607" t="str">
        <f>""</f>
        <v/>
      </c>
      <c r="AX607" t="str">
        <f>""</f>
        <v/>
      </c>
      <c r="AY607" t="str">
        <f>""</f>
        <v/>
      </c>
      <c r="AZ607" t="str">
        <f>""</f>
        <v/>
      </c>
      <c r="BA607" t="str">
        <f>""</f>
        <v/>
      </c>
      <c r="BB607" t="str">
        <f>""</f>
        <v/>
      </c>
      <c r="BC607" t="str">
        <f>""</f>
        <v/>
      </c>
      <c r="BD607" t="str">
        <f>""</f>
        <v/>
      </c>
      <c r="BE607" t="str">
        <f>""</f>
        <v/>
      </c>
      <c r="BF607" t="str">
        <f>""</f>
        <v/>
      </c>
      <c r="BG607" t="str">
        <f>""</f>
        <v/>
      </c>
      <c r="BH607" t="str">
        <f>""</f>
        <v/>
      </c>
      <c r="BI607" t="str">
        <f>""</f>
        <v/>
      </c>
      <c r="BJ607" t="str">
        <f>""</f>
        <v/>
      </c>
      <c r="BK607" t="str">
        <f>""</f>
        <v/>
      </c>
      <c r="BL607" t="str">
        <f>""</f>
        <v/>
      </c>
      <c r="BM607" t="str">
        <f>""</f>
        <v/>
      </c>
      <c r="BN607" t="str">
        <f>""</f>
        <v/>
      </c>
      <c r="BO607" t="str">
        <f>""</f>
        <v/>
      </c>
      <c r="BP607" t="str">
        <f>""</f>
        <v/>
      </c>
      <c r="BQ607" t="str">
        <f>""</f>
        <v/>
      </c>
      <c r="BR607" t="str">
        <f>""</f>
        <v/>
      </c>
      <c r="BS607" t="str">
        <f>""</f>
        <v/>
      </c>
    </row>
    <row r="608" spans="1:71" x14ac:dyDescent="0.25">
      <c r="A608" t="str">
        <f>$A$198</f>
        <v xml:space="preserve">        Zions Bancorp NA</v>
      </c>
      <c r="B608" t="str">
        <f>$B$198</f>
        <v>ZION US Equity</v>
      </c>
      <c r="C608" t="str">
        <f>$C$198</f>
        <v>F0109</v>
      </c>
      <c r="D608" t="str">
        <f>$D$198</f>
        <v>FED_RE_LNS_DOM_%_TOT_LNS_LEAS</v>
      </c>
      <c r="E608" t="str">
        <f>$E$198</f>
        <v>Dynamic</v>
      </c>
      <c r="F608" t="str">
        <f ca="1">_xll.BDH($B$198,$C$198,$B$425,$B$426,CONCATENATE("Per=",$B$423),"Dts=H","Dir=H",CONCATENATE("Points=",$B$424),"Sort=R","Days=A","Fill=B",CONCATENATE("FX=", $B$422) )</f>
        <v/>
      </c>
      <c r="AM608" t="str">
        <f>""</f>
        <v/>
      </c>
      <c r="AN608" t="str">
        <f>""</f>
        <v/>
      </c>
      <c r="AO608" t="str">
        <f>""</f>
        <v/>
      </c>
      <c r="AP608" t="str">
        <f>""</f>
        <v/>
      </c>
      <c r="AQ608" t="str">
        <f>""</f>
        <v/>
      </c>
      <c r="AR608" t="str">
        <f>""</f>
        <v/>
      </c>
      <c r="AS608" t="str">
        <f>""</f>
        <v/>
      </c>
      <c r="AT608" t="str">
        <f>""</f>
        <v/>
      </c>
      <c r="AU608" t="str">
        <f>""</f>
        <v/>
      </c>
      <c r="AV608" t="str">
        <f>""</f>
        <v/>
      </c>
      <c r="AW608" t="str">
        <f>""</f>
        <v/>
      </c>
      <c r="AX608" t="str">
        <f>""</f>
        <v/>
      </c>
      <c r="AY608" t="str">
        <f>""</f>
        <v/>
      </c>
      <c r="AZ608" t="str">
        <f>""</f>
        <v/>
      </c>
      <c r="BA608" t="str">
        <f>""</f>
        <v/>
      </c>
      <c r="BB608" t="str">
        <f>""</f>
        <v/>
      </c>
      <c r="BC608" t="str">
        <f>""</f>
        <v/>
      </c>
      <c r="BD608" t="str">
        <f>""</f>
        <v/>
      </c>
      <c r="BE608" t="str">
        <f>""</f>
        <v/>
      </c>
      <c r="BF608" t="str">
        <f>""</f>
        <v/>
      </c>
      <c r="BG608" t="str">
        <f>""</f>
        <v/>
      </c>
      <c r="BH608" t="str">
        <f>""</f>
        <v/>
      </c>
      <c r="BI608" t="str">
        <f>""</f>
        <v/>
      </c>
      <c r="BJ608" t="str">
        <f>""</f>
        <v/>
      </c>
      <c r="BK608" t="str">
        <f>""</f>
        <v/>
      </c>
      <c r="BL608" t="str">
        <f>""</f>
        <v/>
      </c>
      <c r="BM608" t="str">
        <f>""</f>
        <v/>
      </c>
      <c r="BN608" t="str">
        <f>""</f>
        <v/>
      </c>
      <c r="BO608" t="str">
        <f>""</f>
        <v/>
      </c>
      <c r="BP608" t="str">
        <f>""</f>
        <v/>
      </c>
      <c r="BQ608" t="str">
        <f>""</f>
        <v/>
      </c>
      <c r="BR608" t="str">
        <f>""</f>
        <v/>
      </c>
      <c r="BS608" t="str">
        <f>""</f>
        <v/>
      </c>
    </row>
    <row r="609" spans="1:71" x14ac:dyDescent="0.25">
      <c r="A609" t="str">
        <f>$A$201</f>
        <v xml:space="preserve">        Bank of America Corp</v>
      </c>
      <c r="B609" t="str">
        <f>$B$201</f>
        <v>BAC US Equity</v>
      </c>
      <c r="C609" t="str">
        <f>$C$201</f>
        <v>F0115</v>
      </c>
      <c r="D609" t="str">
        <f>$D$201</f>
        <v>FED_C&amp;I_LNS_CONS_%_TOT_LNS_LEAS</v>
      </c>
      <c r="E609" t="str">
        <f>$E$201</f>
        <v>Dynamic</v>
      </c>
      <c r="F609">
        <f ca="1">_xll.BDH($B$201,$C$201,$B$425,$B$426,CONCATENATE("Per=",$B$423),"Dts=H","Dir=H",CONCATENATE("Points=",$B$424),"Sort=R","Days=A","Fill=B",CONCATENATE("FX=", $B$422),"cols=33;rows=1")</f>
        <v>28.7424</v>
      </c>
      <c r="G609">
        <v>28.9788</v>
      </c>
      <c r="H609">
        <v>30.441500000000001</v>
      </c>
      <c r="I609">
        <v>28.684100000000001</v>
      </c>
      <c r="J609">
        <v>29.9146</v>
      </c>
      <c r="K609">
        <v>28.918299999999999</v>
      </c>
      <c r="L609">
        <v>28.528199999999998</v>
      </c>
      <c r="M609">
        <v>27.3782</v>
      </c>
      <c r="N609">
        <v>26.686800000000002</v>
      </c>
      <c r="O609">
        <v>25.223500000000001</v>
      </c>
      <c r="P609">
        <v>23.496300000000002</v>
      </c>
      <c r="Q609">
        <v>23.933700000000002</v>
      </c>
      <c r="R609">
        <v>21.770399999999999</v>
      </c>
      <c r="S609">
        <v>19.124500000000001</v>
      </c>
      <c r="T609">
        <v>15.8857</v>
      </c>
      <c r="U609">
        <v>17.2333</v>
      </c>
      <c r="V609">
        <v>19.655000000000001</v>
      </c>
      <c r="W609">
        <v>19.468900000000001</v>
      </c>
      <c r="X609">
        <v>17.3032</v>
      </c>
      <c r="Y609">
        <v>19.153099999999998</v>
      </c>
      <c r="Z609">
        <v>17.866</v>
      </c>
      <c r="AA609">
        <v>18.558199999999999</v>
      </c>
      <c r="AB609">
        <v>23.811599999999999</v>
      </c>
      <c r="AC609">
        <v>30.796299999999999</v>
      </c>
      <c r="AM609" t="str">
        <f>""</f>
        <v/>
      </c>
      <c r="AN609" t="str">
        <f>""</f>
        <v/>
      </c>
      <c r="AO609" t="str">
        <f>""</f>
        <v/>
      </c>
      <c r="AP609" t="str">
        <f>""</f>
        <v/>
      </c>
      <c r="AQ609" t="str">
        <f>""</f>
        <v/>
      </c>
      <c r="AR609" t="str">
        <f>""</f>
        <v/>
      </c>
      <c r="AS609" t="str">
        <f>""</f>
        <v/>
      </c>
      <c r="AT609" t="str">
        <f>""</f>
        <v/>
      </c>
      <c r="AU609" t="str">
        <f>""</f>
        <v/>
      </c>
      <c r="AV609" t="str">
        <f>""</f>
        <v/>
      </c>
      <c r="AW609" t="str">
        <f>""</f>
        <v/>
      </c>
      <c r="AX609" t="str">
        <f>""</f>
        <v/>
      </c>
      <c r="AY609" t="str">
        <f>""</f>
        <v/>
      </c>
      <c r="AZ609" t="str">
        <f>""</f>
        <v/>
      </c>
      <c r="BA609" t="str">
        <f>""</f>
        <v/>
      </c>
      <c r="BB609" t="str">
        <f>""</f>
        <v/>
      </c>
      <c r="BC609" t="str">
        <f>""</f>
        <v/>
      </c>
      <c r="BD609" t="str">
        <f>""</f>
        <v/>
      </c>
      <c r="BE609" t="str">
        <f>""</f>
        <v/>
      </c>
      <c r="BF609" t="str">
        <f>""</f>
        <v/>
      </c>
      <c r="BG609" t="str">
        <f>""</f>
        <v/>
      </c>
      <c r="BH609" t="str">
        <f>""</f>
        <v/>
      </c>
      <c r="BI609" t="str">
        <f>""</f>
        <v/>
      </c>
      <c r="BJ609" t="str">
        <f>""</f>
        <v/>
      </c>
      <c r="BK609" t="str">
        <f>""</f>
        <v/>
      </c>
      <c r="BL609" t="str">
        <f>""</f>
        <v/>
      </c>
      <c r="BM609" t="str">
        <f>""</f>
        <v/>
      </c>
      <c r="BN609" t="str">
        <f>""</f>
        <v/>
      </c>
      <c r="BO609" t="str">
        <f>""</f>
        <v/>
      </c>
      <c r="BP609" t="str">
        <f>""</f>
        <v/>
      </c>
      <c r="BQ609" t="str">
        <f>""</f>
        <v/>
      </c>
      <c r="BR609" t="str">
        <f>""</f>
        <v/>
      </c>
      <c r="BS609" t="str">
        <f>""</f>
        <v/>
      </c>
    </row>
    <row r="610" spans="1:71" x14ac:dyDescent="0.25">
      <c r="A610" t="str">
        <f>$A$202</f>
        <v xml:space="preserve">        Citigroup Inc</v>
      </c>
      <c r="B610" t="str">
        <f>$B$202</f>
        <v>C US Equity</v>
      </c>
      <c r="C610" t="str">
        <f>$C$202</f>
        <v>F0115</v>
      </c>
      <c r="D610" t="str">
        <f>$D$202</f>
        <v>FED_C&amp;I_LNS_CONS_%_TOT_LNS_LEAS</v>
      </c>
      <c r="E610" t="str">
        <f>$E$202</f>
        <v>Dynamic</v>
      </c>
      <c r="F610">
        <f ca="1">_xll.BDH($B$202,$C$202,$B$425,$B$426,CONCATENATE("Per=",$B$423),"Dts=H","Dir=H",CONCATENATE("Points=",$B$424),"Sort=R","Days=A","Fill=B",CONCATENATE("FX=", $B$422),"cols=33;rows=1")</f>
        <v>22.315799999999999</v>
      </c>
      <c r="G610">
        <v>23.1981</v>
      </c>
      <c r="H610">
        <v>23.137599999999999</v>
      </c>
      <c r="I610">
        <v>22.5717</v>
      </c>
      <c r="J610">
        <v>24.126200000000001</v>
      </c>
      <c r="K610">
        <v>24.6325</v>
      </c>
      <c r="L610">
        <v>25.422799999999999</v>
      </c>
      <c r="M610">
        <v>25.3721</v>
      </c>
      <c r="N610">
        <v>24.121300000000002</v>
      </c>
      <c r="O610">
        <v>24.535299999999999</v>
      </c>
      <c r="P610">
        <v>22.959900000000001</v>
      </c>
      <c r="Q610">
        <v>22.159400000000002</v>
      </c>
      <c r="R610">
        <v>20.790299999999998</v>
      </c>
      <c r="S610">
        <v>19.0989</v>
      </c>
      <c r="T610">
        <v>16.427499999999998</v>
      </c>
      <c r="U610">
        <v>18.706600000000002</v>
      </c>
      <c r="V610">
        <v>20.7867</v>
      </c>
      <c r="W610">
        <v>23.7133</v>
      </c>
      <c r="X610">
        <v>22.009599999999999</v>
      </c>
      <c r="Y610">
        <v>20.587299999999999</v>
      </c>
      <c r="Z610">
        <v>19.561900000000001</v>
      </c>
      <c r="AA610">
        <v>18.9648</v>
      </c>
      <c r="AB610">
        <v>22.273800000000001</v>
      </c>
      <c r="AC610">
        <v>27.1158</v>
      </c>
      <c r="AM610" t="str">
        <f>""</f>
        <v/>
      </c>
      <c r="AN610" t="str">
        <f>""</f>
        <v/>
      </c>
      <c r="AO610" t="str">
        <f>""</f>
        <v/>
      </c>
      <c r="AP610" t="str">
        <f>""</f>
        <v/>
      </c>
      <c r="AQ610" t="str">
        <f>""</f>
        <v/>
      </c>
      <c r="AR610" t="str">
        <f>""</f>
        <v/>
      </c>
      <c r="AS610" t="str">
        <f>""</f>
        <v/>
      </c>
      <c r="AT610" t="str">
        <f>""</f>
        <v/>
      </c>
      <c r="AU610" t="str">
        <f>""</f>
        <v/>
      </c>
      <c r="AV610" t="str">
        <f>""</f>
        <v/>
      </c>
      <c r="AW610" t="str">
        <f>""</f>
        <v/>
      </c>
      <c r="AX610" t="str">
        <f>""</f>
        <v/>
      </c>
      <c r="AY610" t="str">
        <f>""</f>
        <v/>
      </c>
      <c r="AZ610" t="str">
        <f>""</f>
        <v/>
      </c>
      <c r="BA610" t="str">
        <f>""</f>
        <v/>
      </c>
      <c r="BB610" t="str">
        <f>""</f>
        <v/>
      </c>
      <c r="BC610" t="str">
        <f>""</f>
        <v/>
      </c>
      <c r="BD610" t="str">
        <f>""</f>
        <v/>
      </c>
      <c r="BE610" t="str">
        <f>""</f>
        <v/>
      </c>
      <c r="BF610" t="str">
        <f>""</f>
        <v/>
      </c>
      <c r="BG610" t="str">
        <f>""</f>
        <v/>
      </c>
      <c r="BH610" t="str">
        <f>""</f>
        <v/>
      </c>
      <c r="BI610" t="str">
        <f>""</f>
        <v/>
      </c>
      <c r="BJ610" t="str">
        <f>""</f>
        <v/>
      </c>
      <c r="BK610" t="str">
        <f>""</f>
        <v/>
      </c>
      <c r="BL610" t="str">
        <f>""</f>
        <v/>
      </c>
      <c r="BM610" t="str">
        <f>""</f>
        <v/>
      </c>
      <c r="BN610" t="str">
        <f>""</f>
        <v/>
      </c>
      <c r="BO610" t="str">
        <f>""</f>
        <v/>
      </c>
      <c r="BP610" t="str">
        <f>""</f>
        <v/>
      </c>
      <c r="BQ610" t="str">
        <f>""</f>
        <v/>
      </c>
      <c r="BR610" t="str">
        <f>""</f>
        <v/>
      </c>
      <c r="BS610" t="str">
        <f>""</f>
        <v/>
      </c>
    </row>
    <row r="611" spans="1:71" x14ac:dyDescent="0.25">
      <c r="A611" t="str">
        <f>$A$203</f>
        <v xml:space="preserve">        Citizens Financial Group Inc</v>
      </c>
      <c r="B611" t="str">
        <f>$B$203</f>
        <v>CFG US Equity</v>
      </c>
      <c r="C611" t="str">
        <f>$C$203</f>
        <v>F0115</v>
      </c>
      <c r="D611" t="str">
        <f>$D$203</f>
        <v>FED_C&amp;I_LNS_CONS_%_TOT_LNS_LEAS</v>
      </c>
      <c r="E611" t="str">
        <f>$E$203</f>
        <v>Dynamic</v>
      </c>
      <c r="F611">
        <f ca="1">_xll.BDH($B$203,$C$203,$B$425,$B$426,CONCATENATE("Per=",$B$423),"Dts=H","Dir=H",CONCATENATE("Points=",$B$424),"Sort=R","Days=A","Fill=B",CONCATENATE("FX=", $B$422),"cols=33;rows=1")</f>
        <v>18.436</v>
      </c>
      <c r="G611">
        <v>26.706</v>
      </c>
      <c r="H611">
        <v>29.755099999999999</v>
      </c>
      <c r="I611">
        <v>31.320799999999998</v>
      </c>
      <c r="J611">
        <v>31.126100000000001</v>
      </c>
      <c r="K611">
        <v>29.878699999999998</v>
      </c>
      <c r="L611">
        <v>30.549900000000001</v>
      </c>
      <c r="M611">
        <v>28.787600000000001</v>
      </c>
      <c r="N611">
        <v>29.3581</v>
      </c>
      <c r="O611">
        <v>27.4222</v>
      </c>
      <c r="P611">
        <v>26.9605</v>
      </c>
      <c r="Q611">
        <v>26.513500000000001</v>
      </c>
      <c r="R611">
        <v>24.7285</v>
      </c>
      <c r="S611">
        <v>21.658899999999999</v>
      </c>
      <c r="T611">
        <v>17.762899999999998</v>
      </c>
      <c r="U611">
        <v>15.7692</v>
      </c>
      <c r="V611">
        <v>17.4985</v>
      </c>
      <c r="W611">
        <v>18.289000000000001</v>
      </c>
      <c r="X611">
        <v>15.311999999999999</v>
      </c>
      <c r="Y611">
        <v>12.011200000000001</v>
      </c>
      <c r="Z611">
        <v>12.1403</v>
      </c>
      <c r="AA611">
        <v>19.9755</v>
      </c>
      <c r="AB611">
        <v>26.082000000000001</v>
      </c>
      <c r="AC611">
        <v>32.860900000000001</v>
      </c>
      <c r="AM611" t="str">
        <f>""</f>
        <v/>
      </c>
      <c r="AN611" t="str">
        <f>""</f>
        <v/>
      </c>
      <c r="AO611" t="str">
        <f>""</f>
        <v/>
      </c>
      <c r="AP611" t="str">
        <f>""</f>
        <v/>
      </c>
      <c r="AQ611" t="str">
        <f>""</f>
        <v/>
      </c>
      <c r="AR611" t="str">
        <f>""</f>
        <v/>
      </c>
      <c r="AS611" t="str">
        <f>""</f>
        <v/>
      </c>
      <c r="AT611" t="str">
        <f>""</f>
        <v/>
      </c>
      <c r="AU611" t="str">
        <f>""</f>
        <v/>
      </c>
      <c r="AV611" t="str">
        <f>""</f>
        <v/>
      </c>
      <c r="AW611" t="str">
        <f>""</f>
        <v/>
      </c>
      <c r="AX611" t="str">
        <f>""</f>
        <v/>
      </c>
      <c r="AY611" t="str">
        <f>""</f>
        <v/>
      </c>
      <c r="AZ611" t="str">
        <f>""</f>
        <v/>
      </c>
      <c r="BA611" t="str">
        <f>""</f>
        <v/>
      </c>
      <c r="BB611" t="str">
        <f>""</f>
        <v/>
      </c>
      <c r="BC611" t="str">
        <f>""</f>
        <v/>
      </c>
      <c r="BD611" t="str">
        <f>""</f>
        <v/>
      </c>
      <c r="BE611" t="str">
        <f>""</f>
        <v/>
      </c>
      <c r="BF611" t="str">
        <f>""</f>
        <v/>
      </c>
      <c r="BG611" t="str">
        <f>""</f>
        <v/>
      </c>
      <c r="BH611" t="str">
        <f>""</f>
        <v/>
      </c>
      <c r="BI611" t="str">
        <f>""</f>
        <v/>
      </c>
      <c r="BJ611" t="str">
        <f>""</f>
        <v/>
      </c>
      <c r="BK611" t="str">
        <f>""</f>
        <v/>
      </c>
      <c r="BL611" t="str">
        <f>""</f>
        <v/>
      </c>
      <c r="BM611" t="str">
        <f>""</f>
        <v/>
      </c>
      <c r="BN611" t="str">
        <f>""</f>
        <v/>
      </c>
      <c r="BO611" t="str">
        <f>""</f>
        <v/>
      </c>
      <c r="BP611" t="str">
        <f>""</f>
        <v/>
      </c>
      <c r="BQ611" t="str">
        <f>""</f>
        <v/>
      </c>
      <c r="BR611" t="str">
        <f>""</f>
        <v/>
      </c>
      <c r="BS611" t="str">
        <f>""</f>
        <v/>
      </c>
    </row>
    <row r="612" spans="1:71" x14ac:dyDescent="0.25">
      <c r="A612" t="str">
        <f>$A$204</f>
        <v xml:space="preserve">        Capital One Financial Corp</v>
      </c>
      <c r="B612" t="str">
        <f>$B$204</f>
        <v>COF US Equity</v>
      </c>
      <c r="C612" t="str">
        <f>$C$204</f>
        <v>F0115</v>
      </c>
      <c r="D612" t="str">
        <f>$D$204</f>
        <v>FED_C&amp;I_LNS_CONS_%_TOT_LNS_LEAS</v>
      </c>
      <c r="E612" t="str">
        <f>$E$204</f>
        <v>Dynamic</v>
      </c>
      <c r="F612">
        <f ca="1">_xll.BDH($B$204,$C$204,$B$425,$B$426,CONCATENATE("Per=",$B$423),"Dts=H","Dir=H",CONCATENATE("Points=",$B$424),"Sort=R","Days=A","Fill=B",CONCATENATE("FX=", $B$422),"cols=33;rows=1")</f>
        <v>13.732900000000001</v>
      </c>
      <c r="G612">
        <v>14.3908</v>
      </c>
      <c r="H612">
        <v>15.2263</v>
      </c>
      <c r="I612">
        <v>14.3095</v>
      </c>
      <c r="J612">
        <v>13.8245</v>
      </c>
      <c r="K612">
        <v>14.0299</v>
      </c>
      <c r="L612">
        <v>13.6921</v>
      </c>
      <c r="M612">
        <v>11.389099999999999</v>
      </c>
      <c r="N612">
        <v>11.940899999999999</v>
      </c>
      <c r="O612">
        <v>11.611499999999999</v>
      </c>
      <c r="P612">
        <v>10.604699999999999</v>
      </c>
      <c r="Q612">
        <v>9.6920999999999999</v>
      </c>
      <c r="R612">
        <v>8.7522000000000002</v>
      </c>
      <c r="S612">
        <v>12.717000000000001</v>
      </c>
      <c r="T612">
        <v>12.664400000000001</v>
      </c>
      <c r="U612">
        <v>13.726599999999999</v>
      </c>
      <c r="V612">
        <v>15.3772</v>
      </c>
      <c r="W612">
        <v>15.956899999999999</v>
      </c>
      <c r="X612">
        <v>10.6538</v>
      </c>
      <c r="Y612">
        <v>9.3643000000000001</v>
      </c>
      <c r="Z612">
        <v>6.9448999999999996</v>
      </c>
      <c r="AM612" t="str">
        <f>""</f>
        <v/>
      </c>
      <c r="AN612" t="str">
        <f>""</f>
        <v/>
      </c>
      <c r="AO612" t="str">
        <f>""</f>
        <v/>
      </c>
      <c r="AP612" t="str">
        <f>""</f>
        <v/>
      </c>
      <c r="AQ612" t="str">
        <f>""</f>
        <v/>
      </c>
      <c r="AR612" t="str">
        <f>""</f>
        <v/>
      </c>
      <c r="AS612" t="str">
        <f>""</f>
        <v/>
      </c>
      <c r="AT612" t="str">
        <f>""</f>
        <v/>
      </c>
      <c r="AU612" t="str">
        <f>""</f>
        <v/>
      </c>
      <c r="AV612" t="str">
        <f>""</f>
        <v/>
      </c>
      <c r="AW612" t="str">
        <f>""</f>
        <v/>
      </c>
      <c r="AX612" t="str">
        <f>""</f>
        <v/>
      </c>
      <c r="AY612" t="str">
        <f>""</f>
        <v/>
      </c>
      <c r="AZ612" t="str">
        <f>""</f>
        <v/>
      </c>
      <c r="BA612" t="str">
        <f>""</f>
        <v/>
      </c>
      <c r="BB612" t="str">
        <f>""</f>
        <v/>
      </c>
      <c r="BC612" t="str">
        <f>""</f>
        <v/>
      </c>
      <c r="BD612" t="str">
        <f>""</f>
        <v/>
      </c>
      <c r="BE612" t="str">
        <f>""</f>
        <v/>
      </c>
      <c r="BF612" t="str">
        <f>""</f>
        <v/>
      </c>
      <c r="BG612" t="str">
        <f>""</f>
        <v/>
      </c>
      <c r="BH612" t="str">
        <f>""</f>
        <v/>
      </c>
      <c r="BI612" t="str">
        <f>""</f>
        <v/>
      </c>
      <c r="BJ612" t="str">
        <f>""</f>
        <v/>
      </c>
      <c r="BK612" t="str">
        <f>""</f>
        <v/>
      </c>
      <c r="BL612" t="str">
        <f>""</f>
        <v/>
      </c>
      <c r="BM612" t="str">
        <f>""</f>
        <v/>
      </c>
      <c r="BN612" t="str">
        <f>""</f>
        <v/>
      </c>
      <c r="BO612" t="str">
        <f>""</f>
        <v/>
      </c>
      <c r="BP612" t="str">
        <f>""</f>
        <v/>
      </c>
      <c r="BQ612" t="str">
        <f>""</f>
        <v/>
      </c>
      <c r="BR612" t="str">
        <f>""</f>
        <v/>
      </c>
      <c r="BS612" t="str">
        <f>""</f>
        <v/>
      </c>
    </row>
    <row r="613" spans="1:71" x14ac:dyDescent="0.25">
      <c r="A613" t="str">
        <f>$A$205</f>
        <v xml:space="preserve">        Comerica Inc</v>
      </c>
      <c r="B613" t="str">
        <f>$B$205</f>
        <v>CMA US Equity</v>
      </c>
      <c r="C613" t="str">
        <f>$C$205</f>
        <v>F0115</v>
      </c>
      <c r="D613" t="str">
        <f>$D$205</f>
        <v>FED_C&amp;I_LNS_CONS_%_TOT_LNS_LEAS</v>
      </c>
      <c r="E613" t="str">
        <f>$E$205</f>
        <v>Dynamic</v>
      </c>
      <c r="F613">
        <f ca="1">_xll.BDH($B$205,$C$205,$B$425,$B$426,CONCATENATE("Per=",$B$423),"Dts=H","Dir=H",CONCATENATE("Points=",$B$424),"Sort=R","Days=A","Fill=B",CONCATENATE("FX=", $B$422),"cols=33;rows=1")</f>
        <v>48.179600000000001</v>
      </c>
      <c r="G613">
        <v>47.318800000000003</v>
      </c>
      <c r="H613">
        <v>47.972999999999999</v>
      </c>
      <c r="I613">
        <v>46.529800000000002</v>
      </c>
      <c r="J613">
        <v>48.359299999999998</v>
      </c>
      <c r="K613">
        <v>51.377600000000001</v>
      </c>
      <c r="L613">
        <v>53.9009</v>
      </c>
      <c r="M613">
        <v>54.820900000000002</v>
      </c>
      <c r="N613">
        <v>54.2637</v>
      </c>
      <c r="O613">
        <v>55.887900000000002</v>
      </c>
      <c r="P613">
        <v>58.976999999999997</v>
      </c>
      <c r="Q613">
        <v>58.584400000000002</v>
      </c>
      <c r="R613">
        <v>56.613999999999997</v>
      </c>
      <c r="S613">
        <v>54.785499999999999</v>
      </c>
      <c r="T613">
        <v>52.788600000000002</v>
      </c>
      <c r="U613">
        <v>48.730200000000004</v>
      </c>
      <c r="V613">
        <v>48.38</v>
      </c>
      <c r="W613">
        <v>48.634900000000002</v>
      </c>
      <c r="X613">
        <v>49.356900000000003</v>
      </c>
      <c r="Y613">
        <v>48.433300000000003</v>
      </c>
      <c r="Z613">
        <v>53.960500000000003</v>
      </c>
      <c r="AA613">
        <v>55.277999999999999</v>
      </c>
      <c r="AB613">
        <v>57.240499999999997</v>
      </c>
      <c r="AC613">
        <v>59.205199999999998</v>
      </c>
      <c r="AM613" t="str">
        <f>""</f>
        <v/>
      </c>
      <c r="AN613" t="str">
        <f>""</f>
        <v/>
      </c>
      <c r="AO613" t="str">
        <f>""</f>
        <v/>
      </c>
      <c r="AP613" t="str">
        <f>""</f>
        <v/>
      </c>
      <c r="AQ613" t="str">
        <f>""</f>
        <v/>
      </c>
      <c r="AR613" t="str">
        <f>""</f>
        <v/>
      </c>
      <c r="AS613" t="str">
        <f>""</f>
        <v/>
      </c>
      <c r="AT613" t="str">
        <f>""</f>
        <v/>
      </c>
      <c r="AU613" t="str">
        <f>""</f>
        <v/>
      </c>
      <c r="AV613" t="str">
        <f>""</f>
        <v/>
      </c>
      <c r="AW613" t="str">
        <f>""</f>
        <v/>
      </c>
      <c r="AX613" t="str">
        <f>""</f>
        <v/>
      </c>
      <c r="AY613" t="str">
        <f>""</f>
        <v/>
      </c>
      <c r="AZ613" t="str">
        <f>""</f>
        <v/>
      </c>
      <c r="BA613" t="str">
        <f>""</f>
        <v/>
      </c>
      <c r="BB613" t="str">
        <f>""</f>
        <v/>
      </c>
      <c r="BC613" t="str">
        <f>""</f>
        <v/>
      </c>
      <c r="BD613" t="str">
        <f>""</f>
        <v/>
      </c>
      <c r="BE613" t="str">
        <f>""</f>
        <v/>
      </c>
      <c r="BF613" t="str">
        <f>""</f>
        <v/>
      </c>
      <c r="BG613" t="str">
        <f>""</f>
        <v/>
      </c>
      <c r="BH613" t="str">
        <f>""</f>
        <v/>
      </c>
      <c r="BI613" t="str">
        <f>""</f>
        <v/>
      </c>
      <c r="BJ613" t="str">
        <f>""</f>
        <v/>
      </c>
      <c r="BK613" t="str">
        <f>""</f>
        <v/>
      </c>
      <c r="BL613" t="str">
        <f>""</f>
        <v/>
      </c>
      <c r="BM613" t="str">
        <f>""</f>
        <v/>
      </c>
      <c r="BN613" t="str">
        <f>""</f>
        <v/>
      </c>
      <c r="BO613" t="str">
        <f>""</f>
        <v/>
      </c>
      <c r="BP613" t="str">
        <f>""</f>
        <v/>
      </c>
      <c r="BQ613" t="str">
        <f>""</f>
        <v/>
      </c>
      <c r="BR613" t="str">
        <f>""</f>
        <v/>
      </c>
      <c r="BS613" t="str">
        <f>""</f>
        <v/>
      </c>
    </row>
    <row r="614" spans="1:71" x14ac:dyDescent="0.25">
      <c r="A614" t="str">
        <f>$A$206</f>
        <v xml:space="preserve">        East West Bancorp Inc</v>
      </c>
      <c r="B614" t="str">
        <f>$B$206</f>
        <v>EWBC US Equity</v>
      </c>
      <c r="C614" t="str">
        <f>$C$206</f>
        <v>F0115</v>
      </c>
      <c r="D614" t="str">
        <f>$D$206</f>
        <v>FED_C&amp;I_LNS_CONS_%_TOT_LNS_LEAS</v>
      </c>
      <c r="E614" t="str">
        <f>$E$206</f>
        <v>Dynamic</v>
      </c>
      <c r="F614">
        <f ca="1">_xll.BDH($B$206,$C$206,$B$425,$B$426,CONCATENATE("Per=",$B$423),"Dts=H","Dir=H",CONCATENATE("Points=",$B$424),"Sort=R","Days=A","Fill=B",CONCATENATE("FX=", $B$422),"cols=33;rows=1")</f>
        <v>19.482299999999999</v>
      </c>
      <c r="G614">
        <v>19.606300000000001</v>
      </c>
      <c r="H614">
        <v>20.504799999999999</v>
      </c>
      <c r="I614">
        <v>22.8414</v>
      </c>
      <c r="J614">
        <v>26.8599</v>
      </c>
      <c r="K614">
        <v>28.024999999999999</v>
      </c>
      <c r="L614">
        <v>29.259799999999998</v>
      </c>
      <c r="M614">
        <v>29.9087</v>
      </c>
      <c r="N614">
        <v>30.697399999999998</v>
      </c>
      <c r="O614">
        <v>31.558599999999998</v>
      </c>
      <c r="P614">
        <v>32.345999999999997</v>
      </c>
      <c r="Q614">
        <v>30.556000000000001</v>
      </c>
      <c r="R614">
        <v>31.471699999999998</v>
      </c>
      <c r="S614">
        <v>25.865600000000001</v>
      </c>
      <c r="T614">
        <v>21.030100000000001</v>
      </c>
      <c r="U614">
        <v>18.3156</v>
      </c>
      <c r="V614">
        <v>18.847100000000001</v>
      </c>
      <c r="W614">
        <v>20.418399999999998</v>
      </c>
      <c r="X614">
        <v>14.9078</v>
      </c>
      <c r="Y614">
        <v>12.784700000000001</v>
      </c>
      <c r="Z614">
        <v>11.455399999999999</v>
      </c>
      <c r="AA614">
        <v>12.9544</v>
      </c>
      <c r="AB614">
        <v>14.0618</v>
      </c>
      <c r="AC614">
        <v>16.4436</v>
      </c>
      <c r="AM614" t="str">
        <f>""</f>
        <v/>
      </c>
      <c r="AN614" t="str">
        <f>""</f>
        <v/>
      </c>
      <c r="AO614" t="str">
        <f>""</f>
        <v/>
      </c>
      <c r="AP614" t="str">
        <f>""</f>
        <v/>
      </c>
      <c r="AQ614" t="str">
        <f>""</f>
        <v/>
      </c>
      <c r="AR614" t="str">
        <f>""</f>
        <v/>
      </c>
      <c r="AS614" t="str">
        <f>""</f>
        <v/>
      </c>
      <c r="AT614" t="str">
        <f>""</f>
        <v/>
      </c>
      <c r="AU614" t="str">
        <f>""</f>
        <v/>
      </c>
      <c r="AV614" t="str">
        <f>""</f>
        <v/>
      </c>
      <c r="AW614" t="str">
        <f>""</f>
        <v/>
      </c>
      <c r="AX614" t="str">
        <f>""</f>
        <v/>
      </c>
      <c r="AY614" t="str">
        <f>""</f>
        <v/>
      </c>
      <c r="AZ614" t="str">
        <f>""</f>
        <v/>
      </c>
      <c r="BA614" t="str">
        <f>""</f>
        <v/>
      </c>
      <c r="BB614" t="str">
        <f>""</f>
        <v/>
      </c>
      <c r="BC614" t="str">
        <f>""</f>
        <v/>
      </c>
      <c r="BD614" t="str">
        <f>""</f>
        <v/>
      </c>
      <c r="BE614" t="str">
        <f>""</f>
        <v/>
      </c>
      <c r="BF614" t="str">
        <f>""</f>
        <v/>
      </c>
      <c r="BG614" t="str">
        <f>""</f>
        <v/>
      </c>
      <c r="BH614" t="str">
        <f>""</f>
        <v/>
      </c>
      <c r="BI614" t="str">
        <f>""</f>
        <v/>
      </c>
      <c r="BJ614" t="str">
        <f>""</f>
        <v/>
      </c>
      <c r="BK614" t="str">
        <f>""</f>
        <v/>
      </c>
      <c r="BL614" t="str">
        <f>""</f>
        <v/>
      </c>
      <c r="BM614" t="str">
        <f>""</f>
        <v/>
      </c>
      <c r="BN614" t="str">
        <f>""</f>
        <v/>
      </c>
      <c r="BO614" t="str">
        <f>""</f>
        <v/>
      </c>
      <c r="BP614" t="str">
        <f>""</f>
        <v/>
      </c>
      <c r="BQ614" t="str">
        <f>""</f>
        <v/>
      </c>
      <c r="BR614" t="str">
        <f>""</f>
        <v/>
      </c>
      <c r="BS614" t="str">
        <f>""</f>
        <v/>
      </c>
    </row>
    <row r="615" spans="1:71" x14ac:dyDescent="0.25">
      <c r="A615" t="str">
        <f>$A$207</f>
        <v xml:space="preserve">        Fifth Third Bancorp</v>
      </c>
      <c r="B615" t="str">
        <f>$B$207</f>
        <v>FITB US Equity</v>
      </c>
      <c r="C615" t="str">
        <f>$C$207</f>
        <v>F0115</v>
      </c>
      <c r="D615" t="str">
        <f>$D$207</f>
        <v>FED_C&amp;I_LNS_CONS_%_TOT_LNS_LEAS</v>
      </c>
      <c r="E615" t="str">
        <f>$E$207</f>
        <v>Dynamic</v>
      </c>
      <c r="F615">
        <f ca="1">_xll.BDH($B$207,$C$207,$B$425,$B$426,CONCATENATE("Per=",$B$423),"Dts=H","Dir=H",CONCATENATE("Points=",$B$424),"Sort=R","Days=A","Fill=B",CONCATENATE("FX=", $B$422),"cols=33;rows=1")</f>
        <v>36.262300000000003</v>
      </c>
      <c r="G615">
        <v>38.144100000000002</v>
      </c>
      <c r="H615">
        <v>39.999699999999997</v>
      </c>
      <c r="I615">
        <v>37.353200000000001</v>
      </c>
      <c r="J615">
        <v>39.685899999999997</v>
      </c>
      <c r="K615">
        <v>41.202399999999997</v>
      </c>
      <c r="L615">
        <v>39.880800000000001</v>
      </c>
      <c r="M615">
        <v>39.031700000000001</v>
      </c>
      <c r="N615">
        <v>38.672699999999999</v>
      </c>
      <c r="O615">
        <v>38.570799999999998</v>
      </c>
      <c r="P615">
        <v>37.738399999999999</v>
      </c>
      <c r="Q615">
        <v>37.231000000000002</v>
      </c>
      <c r="R615">
        <v>34.871400000000001</v>
      </c>
      <c r="S615">
        <v>30.477900000000002</v>
      </c>
      <c r="T615">
        <v>28.070399999999999</v>
      </c>
      <c r="U615">
        <v>27.967500000000001</v>
      </c>
      <c r="V615">
        <v>29.336300000000001</v>
      </c>
      <c r="W615">
        <v>25.7181</v>
      </c>
      <c r="X615">
        <v>21.441800000000001</v>
      </c>
      <c r="Y615">
        <v>29.2483</v>
      </c>
      <c r="Z615">
        <v>27.585899999999999</v>
      </c>
      <c r="AA615">
        <v>24.614000000000001</v>
      </c>
      <c r="AB615">
        <v>22.880299999999998</v>
      </c>
      <c r="AC615">
        <v>21.239000000000001</v>
      </c>
      <c r="AM615" t="str">
        <f>""</f>
        <v/>
      </c>
      <c r="AN615" t="str">
        <f>""</f>
        <v/>
      </c>
      <c r="AO615" t="str">
        <f>""</f>
        <v/>
      </c>
      <c r="AP615" t="str">
        <f>""</f>
        <v/>
      </c>
      <c r="AQ615" t="str">
        <f>""</f>
        <v/>
      </c>
      <c r="AR615" t="str">
        <f>""</f>
        <v/>
      </c>
      <c r="AS615" t="str">
        <f>""</f>
        <v/>
      </c>
      <c r="AT615" t="str">
        <f>""</f>
        <v/>
      </c>
      <c r="AU615" t="str">
        <f>""</f>
        <v/>
      </c>
      <c r="AV615" t="str">
        <f>""</f>
        <v/>
      </c>
      <c r="AW615" t="str">
        <f>""</f>
        <v/>
      </c>
      <c r="AX615" t="str">
        <f>""</f>
        <v/>
      </c>
      <c r="AY615" t="str">
        <f>""</f>
        <v/>
      </c>
      <c r="AZ615" t="str">
        <f>""</f>
        <v/>
      </c>
      <c r="BA615" t="str">
        <f>""</f>
        <v/>
      </c>
      <c r="BB615" t="str">
        <f>""</f>
        <v/>
      </c>
      <c r="BC615" t="str">
        <f>""</f>
        <v/>
      </c>
      <c r="BD615" t="str">
        <f>""</f>
        <v/>
      </c>
      <c r="BE615" t="str">
        <f>""</f>
        <v/>
      </c>
      <c r="BF615" t="str">
        <f>""</f>
        <v/>
      </c>
      <c r="BG615" t="str">
        <f>""</f>
        <v/>
      </c>
      <c r="BH615" t="str">
        <f>""</f>
        <v/>
      </c>
      <c r="BI615" t="str">
        <f>""</f>
        <v/>
      </c>
      <c r="BJ615" t="str">
        <f>""</f>
        <v/>
      </c>
      <c r="BK615" t="str">
        <f>""</f>
        <v/>
      </c>
      <c r="BL615" t="str">
        <f>""</f>
        <v/>
      </c>
      <c r="BM615" t="str">
        <f>""</f>
        <v/>
      </c>
      <c r="BN615" t="str">
        <f>""</f>
        <v/>
      </c>
      <c r="BO615" t="str">
        <f>""</f>
        <v/>
      </c>
      <c r="BP615" t="str">
        <f>""</f>
        <v/>
      </c>
      <c r="BQ615" t="str">
        <f>""</f>
        <v/>
      </c>
      <c r="BR615" t="str">
        <f>""</f>
        <v/>
      </c>
      <c r="BS615" t="str">
        <f>""</f>
        <v/>
      </c>
    </row>
    <row r="616" spans="1:71" x14ac:dyDescent="0.25">
      <c r="A616" t="str">
        <f>$A$208</f>
        <v xml:space="preserve">        First Citizens BancShares Inc/</v>
      </c>
      <c r="B616" t="str">
        <f>$B$208</f>
        <v>FCNCA US Equity</v>
      </c>
      <c r="C616" t="str">
        <f>$C$208</f>
        <v>F0115</v>
      </c>
      <c r="D616" t="str">
        <f>$D$208</f>
        <v>FED_C&amp;I_LNS_CONS_%_TOT_LNS_LEAS</v>
      </c>
      <c r="E616" t="str">
        <f>$E$208</f>
        <v>Dynamic</v>
      </c>
      <c r="F616">
        <f ca="1">_xll.BDH($B$208,$C$208,$B$425,$B$426,CONCATENATE("Per=",$B$423),"Dts=H","Dir=H",CONCATENATE("Points=",$B$424),"Sort=R","Days=A","Fill=B",CONCATENATE("FX=", $B$422),"cols=33;rows=1")</f>
        <v>26.7471</v>
      </c>
      <c r="G616">
        <v>28.341799999999999</v>
      </c>
      <c r="H616">
        <v>27.769400000000001</v>
      </c>
      <c r="I616">
        <v>15.278499999999999</v>
      </c>
      <c r="J616">
        <v>18.7287</v>
      </c>
      <c r="K616">
        <v>11.958500000000001</v>
      </c>
      <c r="L616">
        <v>11.2148</v>
      </c>
      <c r="M616">
        <v>9.7388999999999992</v>
      </c>
      <c r="N616">
        <v>9.9412000000000003</v>
      </c>
      <c r="O616">
        <v>9.7202000000000002</v>
      </c>
      <c r="P616">
        <v>8.7655999999999992</v>
      </c>
      <c r="Q616">
        <v>7.3324999999999996</v>
      </c>
      <c r="R616">
        <v>12.6305</v>
      </c>
      <c r="S616">
        <v>12.525499999999999</v>
      </c>
      <c r="T616">
        <v>13.259399999999999</v>
      </c>
      <c r="U616">
        <v>13.4277</v>
      </c>
      <c r="V616">
        <v>14.4717</v>
      </c>
      <c r="W616">
        <v>13.5946</v>
      </c>
      <c r="X616">
        <v>12.459099999999999</v>
      </c>
      <c r="Y616">
        <v>10.8607</v>
      </c>
      <c r="Z616">
        <v>9.6273999999999997</v>
      </c>
      <c r="AA616">
        <v>10.3568</v>
      </c>
      <c r="AB616">
        <v>11.2498</v>
      </c>
      <c r="AC616">
        <v>11.8719</v>
      </c>
      <c r="AM616" t="str">
        <f>""</f>
        <v/>
      </c>
      <c r="AN616" t="str">
        <f>""</f>
        <v/>
      </c>
      <c r="AO616" t="str">
        <f>""</f>
        <v/>
      </c>
      <c r="AP616" t="str">
        <f>""</f>
        <v/>
      </c>
      <c r="AQ616" t="str">
        <f>""</f>
        <v/>
      </c>
      <c r="AR616" t="str">
        <f>""</f>
        <v/>
      </c>
      <c r="AS616" t="str">
        <f>""</f>
        <v/>
      </c>
      <c r="AT616" t="str">
        <f>""</f>
        <v/>
      </c>
      <c r="AU616" t="str">
        <f>""</f>
        <v/>
      </c>
      <c r="AV616" t="str">
        <f>""</f>
        <v/>
      </c>
      <c r="AW616" t="str">
        <f>""</f>
        <v/>
      </c>
      <c r="AX616" t="str">
        <f>""</f>
        <v/>
      </c>
      <c r="AY616" t="str">
        <f>""</f>
        <v/>
      </c>
      <c r="AZ616" t="str">
        <f>""</f>
        <v/>
      </c>
      <c r="BA616" t="str">
        <f>""</f>
        <v/>
      </c>
      <c r="BB616" t="str">
        <f>""</f>
        <v/>
      </c>
      <c r="BC616" t="str">
        <f>""</f>
        <v/>
      </c>
      <c r="BD616" t="str">
        <f>""</f>
        <v/>
      </c>
      <c r="BE616" t="str">
        <f>""</f>
        <v/>
      </c>
      <c r="BF616" t="str">
        <f>""</f>
        <v/>
      </c>
      <c r="BG616" t="str">
        <f>""</f>
        <v/>
      </c>
      <c r="BH616" t="str">
        <f>""</f>
        <v/>
      </c>
      <c r="BI616" t="str">
        <f>""</f>
        <v/>
      </c>
      <c r="BJ616" t="str">
        <f>""</f>
        <v/>
      </c>
      <c r="BK616" t="str">
        <f>""</f>
        <v/>
      </c>
      <c r="BL616" t="str">
        <f>""</f>
        <v/>
      </c>
      <c r="BM616" t="str">
        <f>""</f>
        <v/>
      </c>
      <c r="BN616" t="str">
        <f>""</f>
        <v/>
      </c>
      <c r="BO616" t="str">
        <f>""</f>
        <v/>
      </c>
      <c r="BP616" t="str">
        <f>""</f>
        <v/>
      </c>
      <c r="BQ616" t="str">
        <f>""</f>
        <v/>
      </c>
      <c r="BR616" t="str">
        <f>""</f>
        <v/>
      </c>
      <c r="BS616" t="str">
        <f>""</f>
        <v/>
      </c>
    </row>
    <row r="617" spans="1:71" x14ac:dyDescent="0.25">
      <c r="A617" t="str">
        <f>$A$209</f>
        <v xml:space="preserve">        Flagstar Financial Inc</v>
      </c>
      <c r="B617" t="str">
        <f>$B$209</f>
        <v>FLG US Equity</v>
      </c>
      <c r="C617" t="str">
        <f>$C$209</f>
        <v>F0115</v>
      </c>
      <c r="D617" t="str">
        <f>$D$209</f>
        <v>FED_C&amp;I_LNS_CONS_%_TOT_LNS_LEAS</v>
      </c>
      <c r="E617" t="str">
        <f>$E$209</f>
        <v>Dynamic</v>
      </c>
      <c r="F617">
        <f ca="1">_xll.BDH($B$209,$C$209,$B$425,$B$426,CONCATENATE("Per=",$B$423),"Dts=H","Dir=H",CONCATENATE("Points=",$B$424),"Sort=R","Days=A","Fill=B",CONCATENATE("FX=", $B$422),"cols=33;rows=1")</f>
        <v>13.542199999999999</v>
      </c>
      <c r="G617">
        <v>14.1455</v>
      </c>
      <c r="H617">
        <v>7.2971000000000004</v>
      </c>
      <c r="I617">
        <v>4.4663000000000004</v>
      </c>
      <c r="J617">
        <v>4.1886999999999999</v>
      </c>
      <c r="K617">
        <v>4.1646000000000001</v>
      </c>
      <c r="L617">
        <v>4.2466999999999997</v>
      </c>
      <c r="M617">
        <v>3.5823999999999998</v>
      </c>
      <c r="N617">
        <v>3.3936000000000002</v>
      </c>
      <c r="O617">
        <v>2.8384</v>
      </c>
      <c r="P617">
        <v>2.9731999999999998</v>
      </c>
      <c r="Q617">
        <v>2.2107999999999999</v>
      </c>
      <c r="R617">
        <v>1.9500999999999999</v>
      </c>
      <c r="S617">
        <v>2.1663999999999999</v>
      </c>
      <c r="T617">
        <v>2.4371999999999998</v>
      </c>
      <c r="U617">
        <v>2.3014000000000001</v>
      </c>
      <c r="V617">
        <v>3.2130999999999998</v>
      </c>
      <c r="W617">
        <v>3.4674999999999998</v>
      </c>
      <c r="X617">
        <v>3.2673999999999999</v>
      </c>
      <c r="Y617">
        <v>0.95989999999999998</v>
      </c>
      <c r="Z617">
        <v>0.66549999999999998</v>
      </c>
      <c r="AA617">
        <v>0.62360000000000004</v>
      </c>
      <c r="AB617">
        <v>1.0946</v>
      </c>
      <c r="AC617">
        <v>2.06E-2</v>
      </c>
      <c r="AM617" t="str">
        <f>""</f>
        <v/>
      </c>
      <c r="AN617" t="str">
        <f>""</f>
        <v/>
      </c>
      <c r="AO617" t="str">
        <f>""</f>
        <v/>
      </c>
      <c r="AP617" t="str">
        <f>""</f>
        <v/>
      </c>
      <c r="AQ617" t="str">
        <f>""</f>
        <v/>
      </c>
      <c r="AR617" t="str">
        <f>""</f>
        <v/>
      </c>
      <c r="AS617" t="str">
        <f>""</f>
        <v/>
      </c>
      <c r="AT617" t="str">
        <f>""</f>
        <v/>
      </c>
      <c r="AU617" t="str">
        <f>""</f>
        <v/>
      </c>
      <c r="AV617" t="str">
        <f>""</f>
        <v/>
      </c>
      <c r="AW617" t="str">
        <f>""</f>
        <v/>
      </c>
      <c r="AX617" t="str">
        <f>""</f>
        <v/>
      </c>
      <c r="AY617" t="str">
        <f>""</f>
        <v/>
      </c>
      <c r="AZ617" t="str">
        <f>""</f>
        <v/>
      </c>
      <c r="BA617" t="str">
        <f>""</f>
        <v/>
      </c>
      <c r="BB617" t="str">
        <f>""</f>
        <v/>
      </c>
      <c r="BC617" t="str">
        <f>""</f>
        <v/>
      </c>
      <c r="BD617" t="str">
        <f>""</f>
        <v/>
      </c>
      <c r="BE617" t="str">
        <f>""</f>
        <v/>
      </c>
      <c r="BF617" t="str">
        <f>""</f>
        <v/>
      </c>
      <c r="BG617" t="str">
        <f>""</f>
        <v/>
      </c>
      <c r="BH617" t="str">
        <f>""</f>
        <v/>
      </c>
      <c r="BI617" t="str">
        <f>""</f>
        <v/>
      </c>
      <c r="BJ617" t="str">
        <f>""</f>
        <v/>
      </c>
      <c r="BK617" t="str">
        <f>""</f>
        <v/>
      </c>
      <c r="BL617" t="str">
        <f>""</f>
        <v/>
      </c>
      <c r="BM617" t="str">
        <f>""</f>
        <v/>
      </c>
      <c r="BN617" t="str">
        <f>""</f>
        <v/>
      </c>
      <c r="BO617" t="str">
        <f>""</f>
        <v/>
      </c>
      <c r="BP617" t="str">
        <f>""</f>
        <v/>
      </c>
      <c r="BQ617" t="str">
        <f>""</f>
        <v/>
      </c>
      <c r="BR617" t="str">
        <f>""</f>
        <v/>
      </c>
      <c r="BS617" t="str">
        <f>""</f>
        <v/>
      </c>
    </row>
    <row r="618" spans="1:71" x14ac:dyDescent="0.25">
      <c r="A618" t="str">
        <f>$A$210</f>
        <v xml:space="preserve">        Huntington Bancshares Inc/OH</v>
      </c>
      <c r="B618" t="str">
        <f>$B$210</f>
        <v>HBAN US Equity</v>
      </c>
      <c r="C618" t="str">
        <f>$C$210</f>
        <v>F0115</v>
      </c>
      <c r="D618" t="str">
        <f>$D$210</f>
        <v>FED_C&amp;I_LNS_CONS_%_TOT_LNS_LEAS</v>
      </c>
      <c r="E618" t="str">
        <f>$E$210</f>
        <v>Dynamic</v>
      </c>
      <c r="F618">
        <f ca="1">_xll.BDH($B$210,$C$210,$B$425,$B$426,CONCATENATE("Per=",$B$423),"Dts=H","Dir=H",CONCATENATE("Points=",$B$424),"Sort=R","Days=A","Fill=B",CONCATENATE("FX=", $B$422),"cols=33;rows=1")</f>
        <v>28.684799999999999</v>
      </c>
      <c r="G618">
        <v>28.567299999999999</v>
      </c>
      <c r="H618">
        <v>27.238299999999999</v>
      </c>
      <c r="I618">
        <v>28.644100000000002</v>
      </c>
      <c r="J618">
        <v>31.867100000000001</v>
      </c>
      <c r="K618">
        <v>29.7013</v>
      </c>
      <c r="L618">
        <v>29.857199999999999</v>
      </c>
      <c r="M618">
        <v>28.205500000000001</v>
      </c>
      <c r="N618">
        <v>28.639199999999999</v>
      </c>
      <c r="O618">
        <v>28.210799999999999</v>
      </c>
      <c r="P618">
        <v>26.8917</v>
      </c>
      <c r="Q618">
        <v>27.473400000000002</v>
      </c>
      <c r="R618">
        <v>27.820799999999998</v>
      </c>
      <c r="S618">
        <v>24.4375</v>
      </c>
      <c r="T618">
        <v>21.4894</v>
      </c>
      <c r="U618">
        <v>19.553799999999999</v>
      </c>
      <c r="V618">
        <v>17.9971</v>
      </c>
      <c r="W618">
        <v>16.258299999999998</v>
      </c>
      <c r="X618">
        <v>16.2348</v>
      </c>
      <c r="Y618">
        <v>15.420500000000001</v>
      </c>
      <c r="Z618">
        <v>15.930999999999999</v>
      </c>
      <c r="AA618">
        <v>18.371600000000001</v>
      </c>
      <c r="AB618">
        <v>21.3001</v>
      </c>
      <c r="AC618">
        <v>26.095400000000001</v>
      </c>
      <c r="AM618" t="str">
        <f>""</f>
        <v/>
      </c>
      <c r="AN618" t="str">
        <f>""</f>
        <v/>
      </c>
      <c r="AO618" t="str">
        <f>""</f>
        <v/>
      </c>
      <c r="AP618" t="str">
        <f>""</f>
        <v/>
      </c>
      <c r="AQ618" t="str">
        <f>""</f>
        <v/>
      </c>
      <c r="AR618" t="str">
        <f>""</f>
        <v/>
      </c>
      <c r="AS618" t="str">
        <f>""</f>
        <v/>
      </c>
      <c r="AT618" t="str">
        <f>""</f>
        <v/>
      </c>
      <c r="AU618" t="str">
        <f>""</f>
        <v/>
      </c>
      <c r="AV618" t="str">
        <f>""</f>
        <v/>
      </c>
      <c r="AW618" t="str">
        <f>""</f>
        <v/>
      </c>
      <c r="AX618" t="str">
        <f>""</f>
        <v/>
      </c>
      <c r="AY618" t="str">
        <f>""</f>
        <v/>
      </c>
      <c r="AZ618" t="str">
        <f>""</f>
        <v/>
      </c>
      <c r="BA618" t="str">
        <f>""</f>
        <v/>
      </c>
      <c r="BB618" t="str">
        <f>""</f>
        <v/>
      </c>
      <c r="BC618" t="str">
        <f>""</f>
        <v/>
      </c>
      <c r="BD618" t="str">
        <f>""</f>
        <v/>
      </c>
      <c r="BE618" t="str">
        <f>""</f>
        <v/>
      </c>
      <c r="BF618" t="str">
        <f>""</f>
        <v/>
      </c>
      <c r="BG618" t="str">
        <f>""</f>
        <v/>
      </c>
      <c r="BH618" t="str">
        <f>""</f>
        <v/>
      </c>
      <c r="BI618" t="str">
        <f>""</f>
        <v/>
      </c>
      <c r="BJ618" t="str">
        <f>""</f>
        <v/>
      </c>
      <c r="BK618" t="str">
        <f>""</f>
        <v/>
      </c>
      <c r="BL618" t="str">
        <f>""</f>
        <v/>
      </c>
      <c r="BM618" t="str">
        <f>""</f>
        <v/>
      </c>
      <c r="BN618" t="str">
        <f>""</f>
        <v/>
      </c>
      <c r="BO618" t="str">
        <f>""</f>
        <v/>
      </c>
      <c r="BP618" t="str">
        <f>""</f>
        <v/>
      </c>
      <c r="BQ618" t="str">
        <f>""</f>
        <v/>
      </c>
      <c r="BR618" t="str">
        <f>""</f>
        <v/>
      </c>
      <c r="BS618" t="str">
        <f>""</f>
        <v/>
      </c>
    </row>
    <row r="619" spans="1:71" x14ac:dyDescent="0.25">
      <c r="A619" t="str">
        <f>$A$211</f>
        <v xml:space="preserve">        JPMorgan Chase &amp; Co</v>
      </c>
      <c r="B619" t="str">
        <f>$B$211</f>
        <v>JPM US Equity</v>
      </c>
      <c r="C619" t="str">
        <f>$C$211</f>
        <v>F0115</v>
      </c>
      <c r="D619" t="str">
        <f>$D$211</f>
        <v>FED_C&amp;I_LNS_CONS_%_TOT_LNS_LEAS</v>
      </c>
      <c r="E619" t="str">
        <f>$E$211</f>
        <v>Dynamic</v>
      </c>
      <c r="F619">
        <f ca="1">_xll.BDH($B$211,$C$211,$B$425,$B$426,CONCATENATE("Per=",$B$423),"Dts=H","Dir=H",CONCATENATE("Points=",$B$424),"Sort=R","Days=A","Fill=B",CONCATENATE("FX=", $B$422),"cols=33;rows=1")</f>
        <v>14.9511</v>
      </c>
      <c r="G619">
        <v>14.834099999999999</v>
      </c>
      <c r="H619">
        <v>17.141500000000001</v>
      </c>
      <c r="I619">
        <v>16.187999999999999</v>
      </c>
      <c r="J619">
        <v>18.320900000000002</v>
      </c>
      <c r="K619">
        <v>17.124700000000001</v>
      </c>
      <c r="L619">
        <v>18.497399999999999</v>
      </c>
      <c r="M619">
        <v>17.1389</v>
      </c>
      <c r="N619">
        <v>17.440899999999999</v>
      </c>
      <c r="O619">
        <v>16.751300000000001</v>
      </c>
      <c r="P619">
        <v>16.821300000000001</v>
      </c>
      <c r="Q619">
        <v>17.135999999999999</v>
      </c>
      <c r="R619">
        <v>18.4587</v>
      </c>
      <c r="S619">
        <v>16.566600000000001</v>
      </c>
      <c r="T619">
        <v>13.4998</v>
      </c>
      <c r="U619">
        <v>16.0242</v>
      </c>
      <c r="V619">
        <v>19.868600000000001</v>
      </c>
      <c r="W619">
        <v>25.371500000000001</v>
      </c>
      <c r="X619">
        <v>21.310500000000001</v>
      </c>
      <c r="Y619">
        <v>21.3432</v>
      </c>
      <c r="Z619">
        <v>16.382000000000001</v>
      </c>
      <c r="AA619">
        <v>20.730899999999998</v>
      </c>
      <c r="AB619">
        <v>24.220199999999998</v>
      </c>
      <c r="AC619">
        <v>28.6159</v>
      </c>
      <c r="AM619" t="str">
        <f>""</f>
        <v/>
      </c>
      <c r="AN619" t="str">
        <f>""</f>
        <v/>
      </c>
      <c r="AO619" t="str">
        <f>""</f>
        <v/>
      </c>
      <c r="AP619" t="str">
        <f>""</f>
        <v/>
      </c>
      <c r="AQ619" t="str">
        <f>""</f>
        <v/>
      </c>
      <c r="AR619" t="str">
        <f>""</f>
        <v/>
      </c>
      <c r="AS619" t="str">
        <f>""</f>
        <v/>
      </c>
      <c r="AT619" t="str">
        <f>""</f>
        <v/>
      </c>
      <c r="AU619" t="str">
        <f>""</f>
        <v/>
      </c>
      <c r="AV619" t="str">
        <f>""</f>
        <v/>
      </c>
      <c r="AW619" t="str">
        <f>""</f>
        <v/>
      </c>
      <c r="AX619" t="str">
        <f>""</f>
        <v/>
      </c>
      <c r="AY619" t="str">
        <f>""</f>
        <v/>
      </c>
      <c r="AZ619" t="str">
        <f>""</f>
        <v/>
      </c>
      <c r="BA619" t="str">
        <f>""</f>
        <v/>
      </c>
      <c r="BB619" t="str">
        <f>""</f>
        <v/>
      </c>
      <c r="BC619" t="str">
        <f>""</f>
        <v/>
      </c>
      <c r="BD619" t="str">
        <f>""</f>
        <v/>
      </c>
      <c r="BE619" t="str">
        <f>""</f>
        <v/>
      </c>
      <c r="BF619" t="str">
        <f>""</f>
        <v/>
      </c>
      <c r="BG619" t="str">
        <f>""</f>
        <v/>
      </c>
      <c r="BH619" t="str">
        <f>""</f>
        <v/>
      </c>
      <c r="BI619" t="str">
        <f>""</f>
        <v/>
      </c>
      <c r="BJ619" t="str">
        <f>""</f>
        <v/>
      </c>
      <c r="BK619" t="str">
        <f>""</f>
        <v/>
      </c>
      <c r="BL619" t="str">
        <f>""</f>
        <v/>
      </c>
      <c r="BM619" t="str">
        <f>""</f>
        <v/>
      </c>
      <c r="BN619" t="str">
        <f>""</f>
        <v/>
      </c>
      <c r="BO619" t="str">
        <f>""</f>
        <v/>
      </c>
      <c r="BP619" t="str">
        <f>""</f>
        <v/>
      </c>
      <c r="BQ619" t="str">
        <f>""</f>
        <v/>
      </c>
      <c r="BR619" t="str">
        <f>""</f>
        <v/>
      </c>
      <c r="BS619" t="str">
        <f>""</f>
        <v/>
      </c>
    </row>
    <row r="620" spans="1:71" x14ac:dyDescent="0.25">
      <c r="A620" t="str">
        <f>$A$212</f>
        <v xml:space="preserve">        KeyCorp</v>
      </c>
      <c r="B620" t="str">
        <f>$B$212</f>
        <v>KEY US Equity</v>
      </c>
      <c r="C620" t="str">
        <f>$C$212</f>
        <v>F0115</v>
      </c>
      <c r="D620" t="str">
        <f>$D$212</f>
        <v>FED_C&amp;I_LNS_CONS_%_TOT_LNS_LEAS</v>
      </c>
      <c r="E620" t="str">
        <f>$E$212</f>
        <v>Dynamic</v>
      </c>
      <c r="F620">
        <f ca="1">_xll.BDH($B$212,$C$212,$B$425,$B$426,CONCATENATE("Per=",$B$423),"Dts=H","Dir=H",CONCATENATE("Points=",$B$424),"Sort=R","Days=A","Fill=B",CONCATENATE("FX=", $B$422),"cols=33;rows=1")</f>
        <v>28.374300000000002</v>
      </c>
      <c r="G620">
        <v>38.448999999999998</v>
      </c>
      <c r="H620">
        <v>39.584099999999999</v>
      </c>
      <c r="I620">
        <v>38.945399999999999</v>
      </c>
      <c r="J620">
        <v>41.030900000000003</v>
      </c>
      <c r="K620">
        <v>39.111199999999997</v>
      </c>
      <c r="L620">
        <v>38.956400000000002</v>
      </c>
      <c r="M620">
        <v>36.200899999999997</v>
      </c>
      <c r="N620">
        <v>35.293500000000002</v>
      </c>
      <c r="O620">
        <v>38.214799999999997</v>
      </c>
      <c r="P620">
        <v>36.2483</v>
      </c>
      <c r="Q620">
        <v>33.082599999999999</v>
      </c>
      <c r="R620">
        <v>30.8947</v>
      </c>
      <c r="S620">
        <v>26.922799999999999</v>
      </c>
      <c r="T620">
        <v>22.946999999999999</v>
      </c>
      <c r="U620">
        <v>24.491399999999999</v>
      </c>
      <c r="V620">
        <v>28.434000000000001</v>
      </c>
      <c r="W620">
        <v>27.769600000000001</v>
      </c>
      <c r="X620">
        <v>27.3797</v>
      </c>
      <c r="Y620">
        <v>28.666699999999999</v>
      </c>
      <c r="Z620">
        <v>25.712299999999999</v>
      </c>
      <c r="AA620">
        <v>25.229500000000002</v>
      </c>
      <c r="AB620">
        <v>26.244599999999998</v>
      </c>
      <c r="AC620">
        <v>26.828099999999999</v>
      </c>
      <c r="AM620" t="str">
        <f>""</f>
        <v/>
      </c>
      <c r="AN620" t="str">
        <f>""</f>
        <v/>
      </c>
      <c r="AO620" t="str">
        <f>""</f>
        <v/>
      </c>
      <c r="AP620" t="str">
        <f>""</f>
        <v/>
      </c>
      <c r="AQ620" t="str">
        <f>""</f>
        <v/>
      </c>
      <c r="AR620" t="str">
        <f>""</f>
        <v/>
      </c>
      <c r="AS620" t="str">
        <f>""</f>
        <v/>
      </c>
      <c r="AT620" t="str">
        <f>""</f>
        <v/>
      </c>
      <c r="AU620" t="str">
        <f>""</f>
        <v/>
      </c>
      <c r="AV620" t="str">
        <f>""</f>
        <v/>
      </c>
      <c r="AW620" t="str">
        <f>""</f>
        <v/>
      </c>
      <c r="AX620" t="str">
        <f>""</f>
        <v/>
      </c>
      <c r="AY620" t="str">
        <f>""</f>
        <v/>
      </c>
      <c r="AZ620" t="str">
        <f>""</f>
        <v/>
      </c>
      <c r="BA620" t="str">
        <f>""</f>
        <v/>
      </c>
      <c r="BB620" t="str">
        <f>""</f>
        <v/>
      </c>
      <c r="BC620" t="str">
        <f>""</f>
        <v/>
      </c>
      <c r="BD620" t="str">
        <f>""</f>
        <v/>
      </c>
      <c r="BE620" t="str">
        <f>""</f>
        <v/>
      </c>
      <c r="BF620" t="str">
        <f>""</f>
        <v/>
      </c>
      <c r="BG620" t="str">
        <f>""</f>
        <v/>
      </c>
      <c r="BH620" t="str">
        <f>""</f>
        <v/>
      </c>
      <c r="BI620" t="str">
        <f>""</f>
        <v/>
      </c>
      <c r="BJ620" t="str">
        <f>""</f>
        <v/>
      </c>
      <c r="BK620" t="str">
        <f>""</f>
        <v/>
      </c>
      <c r="BL620" t="str">
        <f>""</f>
        <v/>
      </c>
      <c r="BM620" t="str">
        <f>""</f>
        <v/>
      </c>
      <c r="BN620" t="str">
        <f>""</f>
        <v/>
      </c>
      <c r="BO620" t="str">
        <f>""</f>
        <v/>
      </c>
      <c r="BP620" t="str">
        <f>""</f>
        <v/>
      </c>
      <c r="BQ620" t="str">
        <f>""</f>
        <v/>
      </c>
      <c r="BR620" t="str">
        <f>""</f>
        <v/>
      </c>
      <c r="BS620" t="str">
        <f>""</f>
        <v/>
      </c>
    </row>
    <row r="621" spans="1:71" x14ac:dyDescent="0.25">
      <c r="A621" t="str">
        <f>$A$213</f>
        <v xml:space="preserve">        M&amp;T Bank Corp</v>
      </c>
      <c r="B621" t="str">
        <f>$B$213</f>
        <v>MTB US Equity</v>
      </c>
      <c r="C621" t="str">
        <f>$C$213</f>
        <v>F0115</v>
      </c>
      <c r="D621" t="str">
        <f>$D$213</f>
        <v>FED_C&amp;I_LNS_CONS_%_TOT_LNS_LEAS</v>
      </c>
      <c r="E621" t="str">
        <f>$E$213</f>
        <v>Dynamic</v>
      </c>
      <c r="F621">
        <f ca="1">_xll.BDH($B$213,$C$213,$B$425,$B$426,CONCATENATE("Per=",$B$423),"Dts=H","Dir=H",CONCATENATE("Points=",$B$424),"Sort=R","Days=A","Fill=B",CONCATENATE("FX=", $B$422),"cols=33;rows=1")</f>
        <v>25.224499999999999</v>
      </c>
      <c r="G621">
        <v>24.037199999999999</v>
      </c>
      <c r="H621">
        <v>22.8782</v>
      </c>
      <c r="I621">
        <v>19.450900000000001</v>
      </c>
      <c r="J621">
        <v>22.764700000000001</v>
      </c>
      <c r="K621">
        <v>21.0183</v>
      </c>
      <c r="L621">
        <v>20.582599999999999</v>
      </c>
      <c r="M621">
        <v>19.315799999999999</v>
      </c>
      <c r="N621">
        <v>19.6648</v>
      </c>
      <c r="O621">
        <v>19.014099999999999</v>
      </c>
      <c r="P621">
        <v>23.877800000000001</v>
      </c>
      <c r="Q621">
        <v>23.824300000000001</v>
      </c>
      <c r="R621">
        <v>21.459700000000002</v>
      </c>
      <c r="S621">
        <v>21.258700000000001</v>
      </c>
      <c r="T621">
        <v>20.476500000000001</v>
      </c>
      <c r="U621">
        <v>20.0426</v>
      </c>
      <c r="V621">
        <v>22.7807</v>
      </c>
      <c r="W621">
        <v>22.142399999999999</v>
      </c>
      <c r="X621">
        <v>22.894600000000001</v>
      </c>
      <c r="Y621">
        <v>22.464600000000001</v>
      </c>
      <c r="Z621">
        <v>21.110700000000001</v>
      </c>
      <c r="AA621">
        <v>21.327200000000001</v>
      </c>
      <c r="AB621">
        <v>18.872</v>
      </c>
      <c r="AC621">
        <v>18.585100000000001</v>
      </c>
      <c r="AM621" t="str">
        <f>""</f>
        <v/>
      </c>
      <c r="AN621" t="str">
        <f>""</f>
        <v/>
      </c>
      <c r="AO621" t="str">
        <f>""</f>
        <v/>
      </c>
      <c r="AP621" t="str">
        <f>""</f>
        <v/>
      </c>
      <c r="AQ621" t="str">
        <f>""</f>
        <v/>
      </c>
      <c r="AR621" t="str">
        <f>""</f>
        <v/>
      </c>
      <c r="AS621" t="str">
        <f>""</f>
        <v/>
      </c>
      <c r="AT621" t="str">
        <f>""</f>
        <v/>
      </c>
      <c r="AU621" t="str">
        <f>""</f>
        <v/>
      </c>
      <c r="AV621" t="str">
        <f>""</f>
        <v/>
      </c>
      <c r="AW621" t="str">
        <f>""</f>
        <v/>
      </c>
      <c r="AX621" t="str">
        <f>""</f>
        <v/>
      </c>
      <c r="AY621" t="str">
        <f>""</f>
        <v/>
      </c>
      <c r="AZ621" t="str">
        <f>""</f>
        <v/>
      </c>
      <c r="BA621" t="str">
        <f>""</f>
        <v/>
      </c>
      <c r="BB621" t="str">
        <f>""</f>
        <v/>
      </c>
      <c r="BC621" t="str">
        <f>""</f>
        <v/>
      </c>
      <c r="BD621" t="str">
        <f>""</f>
        <v/>
      </c>
      <c r="BE621" t="str">
        <f>""</f>
        <v/>
      </c>
      <c r="BF621" t="str">
        <f>""</f>
        <v/>
      </c>
      <c r="BG621" t="str">
        <f>""</f>
        <v/>
      </c>
      <c r="BH621" t="str">
        <f>""</f>
        <v/>
      </c>
      <c r="BI621" t="str">
        <f>""</f>
        <v/>
      </c>
      <c r="BJ621" t="str">
        <f>""</f>
        <v/>
      </c>
      <c r="BK621" t="str">
        <f>""</f>
        <v/>
      </c>
      <c r="BL621" t="str">
        <f>""</f>
        <v/>
      </c>
      <c r="BM621" t="str">
        <f>""</f>
        <v/>
      </c>
      <c r="BN621" t="str">
        <f>""</f>
        <v/>
      </c>
      <c r="BO621" t="str">
        <f>""</f>
        <v/>
      </c>
      <c r="BP621" t="str">
        <f>""</f>
        <v/>
      </c>
      <c r="BQ621" t="str">
        <f>""</f>
        <v/>
      </c>
      <c r="BR621" t="str">
        <f>""</f>
        <v/>
      </c>
      <c r="BS621" t="str">
        <f>""</f>
        <v/>
      </c>
    </row>
    <row r="622" spans="1:71" x14ac:dyDescent="0.25">
      <c r="A622" t="str">
        <f>$A$214</f>
        <v xml:space="preserve">        PNC Financial Services Group I</v>
      </c>
      <c r="B622" t="str">
        <f>$B$214</f>
        <v>PNC US Equity</v>
      </c>
      <c r="C622" t="str">
        <f>$C$214</f>
        <v>F0115</v>
      </c>
      <c r="D622" t="str">
        <f>$D$214</f>
        <v>FED_C&amp;I_LNS_CONS_%_TOT_LNS_LEAS</v>
      </c>
      <c r="E622" t="str">
        <f>$E$214</f>
        <v>Dynamic</v>
      </c>
      <c r="F622">
        <f ca="1">_xll.BDH($B$214,$C$214,$B$425,$B$426,CONCATENATE("Per=",$B$423),"Dts=H","Dir=H",CONCATENATE("Points=",$B$424),"Sort=R","Days=A","Fill=B",CONCATENATE("FX=", $B$422),"cols=33;rows=1")</f>
        <v>40.338200000000001</v>
      </c>
      <c r="G622">
        <v>39.096899999999998</v>
      </c>
      <c r="H622">
        <v>40.456499999999998</v>
      </c>
      <c r="I622">
        <v>36.619799999999998</v>
      </c>
      <c r="J622">
        <v>39.207799999999999</v>
      </c>
      <c r="K622">
        <v>38.705399999999997</v>
      </c>
      <c r="L622">
        <v>37.752499999999998</v>
      </c>
      <c r="M622">
        <v>34.695900000000002</v>
      </c>
      <c r="N622">
        <v>33.098199999999999</v>
      </c>
      <c r="O622">
        <v>32.000399999999999</v>
      </c>
      <c r="P622">
        <v>31.5686</v>
      </c>
      <c r="Q622">
        <v>29.6418</v>
      </c>
      <c r="R622">
        <v>29.189299999999999</v>
      </c>
      <c r="S622">
        <v>28.874700000000001</v>
      </c>
      <c r="T622">
        <v>26.685300000000002</v>
      </c>
      <c r="U622">
        <v>25.918900000000001</v>
      </c>
      <c r="V622">
        <v>29.542400000000001</v>
      </c>
      <c r="W622">
        <v>29.547499999999999</v>
      </c>
      <c r="X622">
        <v>31.9772</v>
      </c>
      <c r="Y622">
        <v>28.8415</v>
      </c>
      <c r="Z622">
        <v>32.072099999999999</v>
      </c>
      <c r="AA622">
        <v>33.284100000000002</v>
      </c>
      <c r="AB622">
        <v>34.3155</v>
      </c>
      <c r="AC622">
        <v>34.682899999999997</v>
      </c>
      <c r="AM622" t="str">
        <f>""</f>
        <v/>
      </c>
      <c r="AN622" t="str">
        <f>""</f>
        <v/>
      </c>
      <c r="AO622" t="str">
        <f>""</f>
        <v/>
      </c>
      <c r="AP622" t="str">
        <f>""</f>
        <v/>
      </c>
      <c r="AQ622" t="str">
        <f>""</f>
        <v/>
      </c>
      <c r="AR622" t="str">
        <f>""</f>
        <v/>
      </c>
      <c r="AS622" t="str">
        <f>""</f>
        <v/>
      </c>
      <c r="AT622" t="str">
        <f>""</f>
        <v/>
      </c>
      <c r="AU622" t="str">
        <f>""</f>
        <v/>
      </c>
      <c r="AV622" t="str">
        <f>""</f>
        <v/>
      </c>
      <c r="AW622" t="str">
        <f>""</f>
        <v/>
      </c>
      <c r="AX622" t="str">
        <f>""</f>
        <v/>
      </c>
      <c r="AY622" t="str">
        <f>""</f>
        <v/>
      </c>
      <c r="AZ622" t="str">
        <f>""</f>
        <v/>
      </c>
      <c r="BA622" t="str">
        <f>""</f>
        <v/>
      </c>
      <c r="BB622" t="str">
        <f>""</f>
        <v/>
      </c>
      <c r="BC622" t="str">
        <f>""</f>
        <v/>
      </c>
      <c r="BD622" t="str">
        <f>""</f>
        <v/>
      </c>
      <c r="BE622" t="str">
        <f>""</f>
        <v/>
      </c>
      <c r="BF622" t="str">
        <f>""</f>
        <v/>
      </c>
      <c r="BG622" t="str">
        <f>""</f>
        <v/>
      </c>
      <c r="BH622" t="str">
        <f>""</f>
        <v/>
      </c>
      <c r="BI622" t="str">
        <f>""</f>
        <v/>
      </c>
      <c r="BJ622" t="str">
        <f>""</f>
        <v/>
      </c>
      <c r="BK622" t="str">
        <f>""</f>
        <v/>
      </c>
      <c r="BL622" t="str">
        <f>""</f>
        <v/>
      </c>
      <c r="BM622" t="str">
        <f>""</f>
        <v/>
      </c>
      <c r="BN622" t="str">
        <f>""</f>
        <v/>
      </c>
      <c r="BO622" t="str">
        <f>""</f>
        <v/>
      </c>
      <c r="BP622" t="str">
        <f>""</f>
        <v/>
      </c>
      <c r="BQ622" t="str">
        <f>""</f>
        <v/>
      </c>
      <c r="BR622" t="str">
        <f>""</f>
        <v/>
      </c>
      <c r="BS622" t="str">
        <f>""</f>
        <v/>
      </c>
    </row>
    <row r="623" spans="1:71" x14ac:dyDescent="0.25">
      <c r="A623" t="str">
        <f>$A$215</f>
        <v xml:space="preserve">        Regions Financial Corp</v>
      </c>
      <c r="B623" t="str">
        <f>$B$215</f>
        <v>RF US Equity</v>
      </c>
      <c r="C623" t="str">
        <f>$C$215</f>
        <v>F0115</v>
      </c>
      <c r="D623" t="str">
        <f>$D$215</f>
        <v>FED_C&amp;I_LNS_CONS_%_TOT_LNS_LEAS</v>
      </c>
      <c r="E623" t="str">
        <f>$E$215</f>
        <v>Dynamic</v>
      </c>
      <c r="F623">
        <f ca="1">_xll.BDH($B$215,$C$215,$B$425,$B$426,CONCATENATE("Per=",$B$423),"Dts=H","Dir=H",CONCATENATE("Points=",$B$424),"Sort=R","Days=A","Fill=B",CONCATENATE("FX=", $B$422),"cols=33;rows=1")</f>
        <v>27.744900000000001</v>
      </c>
      <c r="G623">
        <v>32.284700000000001</v>
      </c>
      <c r="H623">
        <v>33.662100000000002</v>
      </c>
      <c r="I623">
        <v>31.835899999999999</v>
      </c>
      <c r="J623">
        <v>31.5899</v>
      </c>
      <c r="K623">
        <v>29.5383</v>
      </c>
      <c r="L623">
        <v>29.1663</v>
      </c>
      <c r="M623">
        <v>27.841000000000001</v>
      </c>
      <c r="N623">
        <v>27.550599999999999</v>
      </c>
      <c r="O623">
        <v>29.566800000000001</v>
      </c>
      <c r="P623">
        <v>29.577300000000001</v>
      </c>
      <c r="Q623">
        <v>27.063800000000001</v>
      </c>
      <c r="R623">
        <v>24.702200000000001</v>
      </c>
      <c r="S623">
        <v>21.413</v>
      </c>
      <c r="T623">
        <v>17.819299999999998</v>
      </c>
      <c r="U623">
        <v>14.7445</v>
      </c>
      <c r="V623">
        <v>16.729600000000001</v>
      </c>
      <c r="W623">
        <v>16.3581</v>
      </c>
      <c r="X623">
        <v>15.5421</v>
      </c>
      <c r="Y623">
        <v>16.1694</v>
      </c>
      <c r="Z623">
        <v>16.991499999999998</v>
      </c>
      <c r="AM623" t="str">
        <f>""</f>
        <v/>
      </c>
      <c r="AN623" t="str">
        <f>""</f>
        <v/>
      </c>
      <c r="AO623" t="str">
        <f>""</f>
        <v/>
      </c>
      <c r="AP623" t="str">
        <f>""</f>
        <v/>
      </c>
      <c r="AQ623" t="str">
        <f>""</f>
        <v/>
      </c>
      <c r="AR623" t="str">
        <f>""</f>
        <v/>
      </c>
      <c r="AS623" t="str">
        <f>""</f>
        <v/>
      </c>
      <c r="AT623" t="str">
        <f>""</f>
        <v/>
      </c>
      <c r="AU623" t="str">
        <f>""</f>
        <v/>
      </c>
      <c r="AV623" t="str">
        <f>""</f>
        <v/>
      </c>
      <c r="AW623" t="str">
        <f>""</f>
        <v/>
      </c>
      <c r="AX623" t="str">
        <f>""</f>
        <v/>
      </c>
      <c r="AY623" t="str">
        <f>""</f>
        <v/>
      </c>
      <c r="AZ623" t="str">
        <f>""</f>
        <v/>
      </c>
      <c r="BA623" t="str">
        <f>""</f>
        <v/>
      </c>
      <c r="BB623" t="str">
        <f>""</f>
        <v/>
      </c>
      <c r="BC623" t="str">
        <f>""</f>
        <v/>
      </c>
      <c r="BD623" t="str">
        <f>""</f>
        <v/>
      </c>
      <c r="BE623" t="str">
        <f>""</f>
        <v/>
      </c>
      <c r="BF623" t="str">
        <f>""</f>
        <v/>
      </c>
      <c r="BG623" t="str">
        <f>""</f>
        <v/>
      </c>
      <c r="BH623" t="str">
        <f>""</f>
        <v/>
      </c>
      <c r="BI623" t="str">
        <f>""</f>
        <v/>
      </c>
      <c r="BJ623" t="str">
        <f>""</f>
        <v/>
      </c>
      <c r="BK623" t="str">
        <f>""</f>
        <v/>
      </c>
      <c r="BL623" t="str">
        <f>""</f>
        <v/>
      </c>
      <c r="BM623" t="str">
        <f>""</f>
        <v/>
      </c>
      <c r="BN623" t="str">
        <f>""</f>
        <v/>
      </c>
      <c r="BO623" t="str">
        <f>""</f>
        <v/>
      </c>
      <c r="BP623" t="str">
        <f>""</f>
        <v/>
      </c>
      <c r="BQ623" t="str">
        <f>""</f>
        <v/>
      </c>
      <c r="BR623" t="str">
        <f>""</f>
        <v/>
      </c>
      <c r="BS623" t="str">
        <f>""</f>
        <v/>
      </c>
    </row>
    <row r="624" spans="1:71" x14ac:dyDescent="0.25">
      <c r="A624" t="str">
        <f>$A$216</f>
        <v xml:space="preserve">        Truist Financial Corp</v>
      </c>
      <c r="B624" t="str">
        <f>$B$216</f>
        <v>TFC US Equity</v>
      </c>
      <c r="C624" t="str">
        <f>$C$216</f>
        <v>F0115</v>
      </c>
      <c r="D624" t="str">
        <f>$D$216</f>
        <v>FED_C&amp;I_LNS_CONS_%_TOT_LNS_LEAS</v>
      </c>
      <c r="E624" t="str">
        <f>$E$216</f>
        <v>Dynamic</v>
      </c>
      <c r="F624">
        <f ca="1">_xll.BDH($B$216,$C$216,$B$425,$B$426,CONCATENATE("Per=",$B$423),"Dts=H","Dir=H",CONCATENATE("Points=",$B$424),"Sort=R","Days=A","Fill=B",CONCATENATE("FX=", $B$422),"cols=33;rows=1")</f>
        <v>23.7332</v>
      </c>
      <c r="G624">
        <v>27.084900000000001</v>
      </c>
      <c r="H624">
        <v>26.257100000000001</v>
      </c>
      <c r="I624">
        <v>22.988900000000001</v>
      </c>
      <c r="J624">
        <v>24.303000000000001</v>
      </c>
      <c r="K624">
        <v>23.658200000000001</v>
      </c>
      <c r="L624">
        <v>20.389900000000001</v>
      </c>
      <c r="M624">
        <v>18.850100000000001</v>
      </c>
      <c r="N624">
        <v>18.165900000000001</v>
      </c>
      <c r="O624">
        <v>17.304500000000001</v>
      </c>
      <c r="P624">
        <v>15.8606</v>
      </c>
      <c r="Q624">
        <v>14.697100000000001</v>
      </c>
      <c r="R624">
        <v>13.836399999999999</v>
      </c>
      <c r="S624">
        <v>13.588800000000001</v>
      </c>
      <c r="T624">
        <v>12.732200000000001</v>
      </c>
      <c r="U624">
        <v>13.5124</v>
      </c>
      <c r="V624">
        <v>14.7639</v>
      </c>
      <c r="W624">
        <v>13.4725</v>
      </c>
      <c r="X624">
        <v>10.961</v>
      </c>
      <c r="Y624">
        <v>10.851000000000001</v>
      </c>
      <c r="Z624">
        <v>11.117800000000001</v>
      </c>
      <c r="AA624">
        <v>11.4933</v>
      </c>
      <c r="AB624">
        <v>12.867900000000001</v>
      </c>
      <c r="AC624">
        <v>13.545999999999999</v>
      </c>
      <c r="AM624" t="str">
        <f>""</f>
        <v/>
      </c>
      <c r="AN624" t="str">
        <f>""</f>
        <v/>
      </c>
      <c r="AO624" t="str">
        <f>""</f>
        <v/>
      </c>
      <c r="AP624" t="str">
        <f>""</f>
        <v/>
      </c>
      <c r="AQ624" t="str">
        <f>""</f>
        <v/>
      </c>
      <c r="AR624" t="str">
        <f>""</f>
        <v/>
      </c>
      <c r="AS624" t="str">
        <f>""</f>
        <v/>
      </c>
      <c r="AT624" t="str">
        <f>""</f>
        <v/>
      </c>
      <c r="AU624" t="str">
        <f>""</f>
        <v/>
      </c>
      <c r="AV624" t="str">
        <f>""</f>
        <v/>
      </c>
      <c r="AW624" t="str">
        <f>""</f>
        <v/>
      </c>
      <c r="AX624" t="str">
        <f>""</f>
        <v/>
      </c>
      <c r="AY624" t="str">
        <f>""</f>
        <v/>
      </c>
      <c r="AZ624" t="str">
        <f>""</f>
        <v/>
      </c>
      <c r="BA624" t="str">
        <f>""</f>
        <v/>
      </c>
      <c r="BB624" t="str">
        <f>""</f>
        <v/>
      </c>
      <c r="BC624" t="str">
        <f>""</f>
        <v/>
      </c>
      <c r="BD624" t="str">
        <f>""</f>
        <v/>
      </c>
      <c r="BE624" t="str">
        <f>""</f>
        <v/>
      </c>
      <c r="BF624" t="str">
        <f>""</f>
        <v/>
      </c>
      <c r="BG624" t="str">
        <f>""</f>
        <v/>
      </c>
      <c r="BH624" t="str">
        <f>""</f>
        <v/>
      </c>
      <c r="BI624" t="str">
        <f>""</f>
        <v/>
      </c>
      <c r="BJ624" t="str">
        <f>""</f>
        <v/>
      </c>
      <c r="BK624" t="str">
        <f>""</f>
        <v/>
      </c>
      <c r="BL624" t="str">
        <f>""</f>
        <v/>
      </c>
      <c r="BM624" t="str">
        <f>""</f>
        <v/>
      </c>
      <c r="BN624" t="str">
        <f>""</f>
        <v/>
      </c>
      <c r="BO624" t="str">
        <f>""</f>
        <v/>
      </c>
      <c r="BP624" t="str">
        <f>""</f>
        <v/>
      </c>
      <c r="BQ624" t="str">
        <f>""</f>
        <v/>
      </c>
      <c r="BR624" t="str">
        <f>""</f>
        <v/>
      </c>
      <c r="BS624" t="str">
        <f>""</f>
        <v/>
      </c>
    </row>
    <row r="625" spans="1:71" x14ac:dyDescent="0.25">
      <c r="A625" t="str">
        <f>$A$217</f>
        <v xml:space="preserve">        US Bancorp</v>
      </c>
      <c r="B625" t="str">
        <f>$B$217</f>
        <v>USB US Equity</v>
      </c>
      <c r="C625" t="str">
        <f>$C$217</f>
        <v>F0115</v>
      </c>
      <c r="D625" t="str">
        <f>$D$217</f>
        <v>FED_C&amp;I_LNS_CONS_%_TOT_LNS_LEAS</v>
      </c>
      <c r="E625" t="str">
        <f>$E$217</f>
        <v>Dynamic</v>
      </c>
      <c r="F625">
        <f ca="1">_xll.BDH($B$217,$C$217,$B$425,$B$426,CONCATENATE("Per=",$B$423),"Dts=H","Dir=H",CONCATENATE("Points=",$B$424),"Sort=R","Days=A","Fill=B",CONCATENATE("FX=", $B$422),"cols=33;rows=1")</f>
        <v>25.020099999999999</v>
      </c>
      <c r="G625">
        <v>25.998000000000001</v>
      </c>
      <c r="H625">
        <v>26.3262</v>
      </c>
      <c r="I625">
        <v>25.456299999999999</v>
      </c>
      <c r="J625">
        <v>24.9556</v>
      </c>
      <c r="K625">
        <v>26.102499999999999</v>
      </c>
      <c r="L625">
        <v>27.147500000000001</v>
      </c>
      <c r="M625">
        <v>25.518999999999998</v>
      </c>
      <c r="N625">
        <v>24.916899999999998</v>
      </c>
      <c r="O625">
        <v>25.271000000000001</v>
      </c>
      <c r="P625">
        <v>24.074999999999999</v>
      </c>
      <c r="Q625">
        <v>22.0428</v>
      </c>
      <c r="R625">
        <v>21.010300000000001</v>
      </c>
      <c r="S625">
        <v>19.419499999999999</v>
      </c>
      <c r="T625">
        <v>17.610900000000001</v>
      </c>
      <c r="U625">
        <v>18.0352</v>
      </c>
      <c r="V625">
        <v>22.311800000000002</v>
      </c>
      <c r="W625">
        <v>23.534800000000001</v>
      </c>
      <c r="X625">
        <v>22.813300000000002</v>
      </c>
      <c r="Y625">
        <v>22.432099999999998</v>
      </c>
      <c r="Z625">
        <v>22.858799999999999</v>
      </c>
      <c r="AA625">
        <v>23.068000000000001</v>
      </c>
      <c r="AB625">
        <v>24.3643</v>
      </c>
      <c r="AC625">
        <v>29.249700000000001</v>
      </c>
      <c r="AM625" t="str">
        <f>""</f>
        <v/>
      </c>
      <c r="AN625" t="str">
        <f>""</f>
        <v/>
      </c>
      <c r="AO625" t="str">
        <f>""</f>
        <v/>
      </c>
      <c r="AP625" t="str">
        <f>""</f>
        <v/>
      </c>
      <c r="AQ625" t="str">
        <f>""</f>
        <v/>
      </c>
      <c r="AR625" t="str">
        <f>""</f>
        <v/>
      </c>
      <c r="AS625" t="str">
        <f>""</f>
        <v/>
      </c>
      <c r="AT625" t="str">
        <f>""</f>
        <v/>
      </c>
      <c r="AU625" t="str">
        <f>""</f>
        <v/>
      </c>
      <c r="AV625" t="str">
        <f>""</f>
        <v/>
      </c>
      <c r="AW625" t="str">
        <f>""</f>
        <v/>
      </c>
      <c r="AX625" t="str">
        <f>""</f>
        <v/>
      </c>
      <c r="AY625" t="str">
        <f>""</f>
        <v/>
      </c>
      <c r="AZ625" t="str">
        <f>""</f>
        <v/>
      </c>
      <c r="BA625" t="str">
        <f>""</f>
        <v/>
      </c>
      <c r="BB625" t="str">
        <f>""</f>
        <v/>
      </c>
      <c r="BC625" t="str">
        <f>""</f>
        <v/>
      </c>
      <c r="BD625" t="str">
        <f>""</f>
        <v/>
      </c>
      <c r="BE625" t="str">
        <f>""</f>
        <v/>
      </c>
      <c r="BF625" t="str">
        <f>""</f>
        <v/>
      </c>
      <c r="BG625" t="str">
        <f>""</f>
        <v/>
      </c>
      <c r="BH625" t="str">
        <f>""</f>
        <v/>
      </c>
      <c r="BI625" t="str">
        <f>""</f>
        <v/>
      </c>
      <c r="BJ625" t="str">
        <f>""</f>
        <v/>
      </c>
      <c r="BK625" t="str">
        <f>""</f>
        <v/>
      </c>
      <c r="BL625" t="str">
        <f>""</f>
        <v/>
      </c>
      <c r="BM625" t="str">
        <f>""</f>
        <v/>
      </c>
      <c r="BN625" t="str">
        <f>""</f>
        <v/>
      </c>
      <c r="BO625" t="str">
        <f>""</f>
        <v/>
      </c>
      <c r="BP625" t="str">
        <f>""</f>
        <v/>
      </c>
      <c r="BQ625" t="str">
        <f>""</f>
        <v/>
      </c>
      <c r="BR625" t="str">
        <f>""</f>
        <v/>
      </c>
      <c r="BS625" t="str">
        <f>""</f>
        <v/>
      </c>
    </row>
    <row r="626" spans="1:71" x14ac:dyDescent="0.25">
      <c r="A626" t="str">
        <f>$A$218</f>
        <v xml:space="preserve">        Wells Fargo &amp; Co</v>
      </c>
      <c r="B626" t="str">
        <f>$B$218</f>
        <v>WFC US Equity</v>
      </c>
      <c r="C626" t="str">
        <f>$C$218</f>
        <v>F0115</v>
      </c>
      <c r="D626" t="str">
        <f>$D$218</f>
        <v>FED_C&amp;I_LNS_CONS_%_TOT_LNS_LEAS</v>
      </c>
      <c r="E626" t="str">
        <f>$E$218</f>
        <v>Dynamic</v>
      </c>
      <c r="F626">
        <f ca="1">_xll.BDH($B$218,$C$218,$B$425,$B$426,CONCATENATE("Per=",$B$423),"Dts=H","Dir=H",CONCATENATE("Points=",$B$424),"Sort=R","Days=A","Fill=B",CONCATENATE("FX=", $B$422),"cols=33;rows=1")</f>
        <v>20.410599999999999</v>
      </c>
      <c r="G626">
        <v>20.4224</v>
      </c>
      <c r="H626">
        <v>20.2821</v>
      </c>
      <c r="I626">
        <v>18.3461</v>
      </c>
      <c r="J626">
        <v>17.5928</v>
      </c>
      <c r="K626">
        <v>19.136199999999999</v>
      </c>
      <c r="L626">
        <v>20.071100000000001</v>
      </c>
      <c r="M626">
        <v>19.083500000000001</v>
      </c>
      <c r="N626">
        <v>18.765899999999998</v>
      </c>
      <c r="O626">
        <v>17.732800000000001</v>
      </c>
      <c r="P626">
        <v>18.280200000000001</v>
      </c>
      <c r="Q626">
        <v>18.1845</v>
      </c>
      <c r="R626">
        <v>18.528099999999998</v>
      </c>
      <c r="S626">
        <v>18.052199999999999</v>
      </c>
      <c r="T626">
        <v>15.6912</v>
      </c>
      <c r="U626">
        <v>17.249300000000002</v>
      </c>
      <c r="V626">
        <v>20.7547</v>
      </c>
      <c r="W626">
        <v>19.382999999999999</v>
      </c>
      <c r="X626">
        <v>17.142099999999999</v>
      </c>
      <c r="Y626">
        <v>14.866300000000001</v>
      </c>
      <c r="Z626">
        <v>14.294499999999999</v>
      </c>
      <c r="AA626">
        <v>14.619300000000001</v>
      </c>
      <c r="AB626">
        <v>15.9185</v>
      </c>
      <c r="AC626">
        <v>19.9057</v>
      </c>
      <c r="AM626" t="str">
        <f>""</f>
        <v/>
      </c>
      <c r="AN626" t="str">
        <f>""</f>
        <v/>
      </c>
      <c r="AO626" t="str">
        <f>""</f>
        <v/>
      </c>
      <c r="AP626" t="str">
        <f>""</f>
        <v/>
      </c>
      <c r="AQ626" t="str">
        <f>""</f>
        <v/>
      </c>
      <c r="AR626" t="str">
        <f>""</f>
        <v/>
      </c>
      <c r="AS626" t="str">
        <f>""</f>
        <v/>
      </c>
      <c r="AT626" t="str">
        <f>""</f>
        <v/>
      </c>
      <c r="AU626" t="str">
        <f>""</f>
        <v/>
      </c>
      <c r="AV626" t="str">
        <f>""</f>
        <v/>
      </c>
      <c r="AW626" t="str">
        <f>""</f>
        <v/>
      </c>
      <c r="AX626" t="str">
        <f>""</f>
        <v/>
      </c>
      <c r="AY626" t="str">
        <f>""</f>
        <v/>
      </c>
      <c r="AZ626" t="str">
        <f>""</f>
        <v/>
      </c>
      <c r="BA626" t="str">
        <f>""</f>
        <v/>
      </c>
      <c r="BB626" t="str">
        <f>""</f>
        <v/>
      </c>
      <c r="BC626" t="str">
        <f>""</f>
        <v/>
      </c>
      <c r="BD626" t="str">
        <f>""</f>
        <v/>
      </c>
      <c r="BE626" t="str">
        <f>""</f>
        <v/>
      </c>
      <c r="BF626" t="str">
        <f>""</f>
        <v/>
      </c>
      <c r="BG626" t="str">
        <f>""</f>
        <v/>
      </c>
      <c r="BH626" t="str">
        <f>""</f>
        <v/>
      </c>
      <c r="BI626" t="str">
        <f>""</f>
        <v/>
      </c>
      <c r="BJ626" t="str">
        <f>""</f>
        <v/>
      </c>
      <c r="BK626" t="str">
        <f>""</f>
        <v/>
      </c>
      <c r="BL626" t="str">
        <f>""</f>
        <v/>
      </c>
      <c r="BM626" t="str">
        <f>""</f>
        <v/>
      </c>
      <c r="BN626" t="str">
        <f>""</f>
        <v/>
      </c>
      <c r="BO626" t="str">
        <f>""</f>
        <v/>
      </c>
      <c r="BP626" t="str">
        <f>""</f>
        <v/>
      </c>
      <c r="BQ626" t="str">
        <f>""</f>
        <v/>
      </c>
      <c r="BR626" t="str">
        <f>""</f>
        <v/>
      </c>
      <c r="BS626" t="str">
        <f>""</f>
        <v/>
      </c>
    </row>
    <row r="627" spans="1:71" x14ac:dyDescent="0.25">
      <c r="A627" t="str">
        <f>$A$219</f>
        <v xml:space="preserve">        Western Alliance Bancorp</v>
      </c>
      <c r="B627" t="str">
        <f>$B$219</f>
        <v>WAL US Equity</v>
      </c>
      <c r="C627" t="str">
        <f>$C$219</f>
        <v>F0115</v>
      </c>
      <c r="D627" t="str">
        <f>$D$219</f>
        <v>FED_C&amp;I_LNS_CONS_%_TOT_LNS_LEAS</v>
      </c>
      <c r="E627" t="str">
        <f>$E$219</f>
        <v>Dynamic</v>
      </c>
      <c r="F627">
        <f ca="1">_xll.BDH($B$219,$C$219,$B$425,$B$426,CONCATENATE("Per=",$B$423),"Dts=H","Dir=H",CONCATENATE("Points=",$B$424),"Sort=R","Days=A","Fill=B",CONCATENATE("FX=", $B$422),"cols=33;rows=1")</f>
        <v>17.807099999999998</v>
      </c>
      <c r="G627">
        <v>17.058399999999999</v>
      </c>
      <c r="H627">
        <v>22.355699999999999</v>
      </c>
      <c r="I627">
        <v>24.295400000000001</v>
      </c>
      <c r="J627">
        <v>28.225200000000001</v>
      </c>
      <c r="K627">
        <v>24.720700000000001</v>
      </c>
      <c r="L627">
        <v>24.6096</v>
      </c>
      <c r="M627">
        <v>26.586200000000002</v>
      </c>
      <c r="N627">
        <v>25.5777</v>
      </c>
      <c r="O627">
        <v>28.656600000000001</v>
      </c>
      <c r="P627">
        <v>22.888500000000001</v>
      </c>
      <c r="Q627">
        <v>19.174199999999999</v>
      </c>
      <c r="R627">
        <v>18.250299999999999</v>
      </c>
      <c r="S627">
        <v>17.0715</v>
      </c>
      <c r="T627">
        <v>16.422599999999999</v>
      </c>
      <c r="U627">
        <v>16.268799999999999</v>
      </c>
      <c r="V627">
        <v>19.445499999999999</v>
      </c>
      <c r="W627">
        <v>19.979700000000001</v>
      </c>
      <c r="X627">
        <v>20.705300000000001</v>
      </c>
      <c r="Y627">
        <v>18.850200000000001</v>
      </c>
      <c r="Z627">
        <v>20.124700000000001</v>
      </c>
      <c r="AA627">
        <v>21.613199999999999</v>
      </c>
      <c r="AB627">
        <v>20.206800000000001</v>
      </c>
      <c r="AC627">
        <v>20.869</v>
      </c>
      <c r="AM627" t="str">
        <f>""</f>
        <v/>
      </c>
      <c r="AN627" t="str">
        <f>""</f>
        <v/>
      </c>
      <c r="AO627" t="str">
        <f>""</f>
        <v/>
      </c>
      <c r="AP627" t="str">
        <f>""</f>
        <v/>
      </c>
      <c r="AQ627" t="str">
        <f>""</f>
        <v/>
      </c>
      <c r="AR627" t="str">
        <f>""</f>
        <v/>
      </c>
      <c r="AS627" t="str">
        <f>""</f>
        <v/>
      </c>
      <c r="AT627" t="str">
        <f>""</f>
        <v/>
      </c>
      <c r="AU627" t="str">
        <f>""</f>
        <v/>
      </c>
      <c r="AV627" t="str">
        <f>""</f>
        <v/>
      </c>
      <c r="AW627" t="str">
        <f>""</f>
        <v/>
      </c>
      <c r="AX627" t="str">
        <f>""</f>
        <v/>
      </c>
      <c r="AY627" t="str">
        <f>""</f>
        <v/>
      </c>
      <c r="AZ627" t="str">
        <f>""</f>
        <v/>
      </c>
      <c r="BA627" t="str">
        <f>""</f>
        <v/>
      </c>
      <c r="BB627" t="str">
        <f>""</f>
        <v/>
      </c>
      <c r="BC627" t="str">
        <f>""</f>
        <v/>
      </c>
      <c r="BD627" t="str">
        <f>""</f>
        <v/>
      </c>
      <c r="BE627" t="str">
        <f>""</f>
        <v/>
      </c>
      <c r="BF627" t="str">
        <f>""</f>
        <v/>
      </c>
      <c r="BG627" t="str">
        <f>""</f>
        <v/>
      </c>
      <c r="BH627" t="str">
        <f>""</f>
        <v/>
      </c>
      <c r="BI627" t="str">
        <f>""</f>
        <v/>
      </c>
      <c r="BJ627" t="str">
        <f>""</f>
        <v/>
      </c>
      <c r="BK627" t="str">
        <f>""</f>
        <v/>
      </c>
      <c r="BL627" t="str">
        <f>""</f>
        <v/>
      </c>
      <c r="BM627" t="str">
        <f>""</f>
        <v/>
      </c>
      <c r="BN627" t="str">
        <f>""</f>
        <v/>
      </c>
      <c r="BO627" t="str">
        <f>""</f>
        <v/>
      </c>
      <c r="BP627" t="str">
        <f>""</f>
        <v/>
      </c>
      <c r="BQ627" t="str">
        <f>""</f>
        <v/>
      </c>
      <c r="BR627" t="str">
        <f>""</f>
        <v/>
      </c>
      <c r="BS627" t="str">
        <f>""</f>
        <v/>
      </c>
    </row>
    <row r="628" spans="1:71" x14ac:dyDescent="0.25">
      <c r="A628" t="str">
        <f>$A$220</f>
        <v xml:space="preserve">        Zions Bancorp NA</v>
      </c>
      <c r="B628" t="str">
        <f>$B$220</f>
        <v>ZION US Equity</v>
      </c>
      <c r="C628" t="str">
        <f>$C$220</f>
        <v>F0115</v>
      </c>
      <c r="D628" t="str">
        <f>$D$220</f>
        <v>FED_C&amp;I_LNS_CONS_%_TOT_LNS_LEAS</v>
      </c>
      <c r="E628" t="str">
        <f>$E$220</f>
        <v>Dynamic</v>
      </c>
      <c r="F628" t="str">
        <f ca="1">_xll.BDH($B$220,$C$220,$B$425,$B$426,CONCATENATE("Per=",$B$423),"Dts=H","Dir=H",CONCATENATE("Points=",$B$424),"Sort=R","Days=A","Fill=B",CONCATENATE("FX=", $B$422) )</f>
        <v/>
      </c>
      <c r="AM628" t="str">
        <f>""</f>
        <v/>
      </c>
      <c r="AN628" t="str">
        <f>""</f>
        <v/>
      </c>
      <c r="AO628" t="str">
        <f>""</f>
        <v/>
      </c>
      <c r="AP628" t="str">
        <f>""</f>
        <v/>
      </c>
      <c r="AQ628" t="str">
        <f>""</f>
        <v/>
      </c>
      <c r="AR628" t="str">
        <f>""</f>
        <v/>
      </c>
      <c r="AS628" t="str">
        <f>""</f>
        <v/>
      </c>
      <c r="AT628" t="str">
        <f>""</f>
        <v/>
      </c>
      <c r="AU628" t="str">
        <f>""</f>
        <v/>
      </c>
      <c r="AV628" t="str">
        <f>""</f>
        <v/>
      </c>
      <c r="AW628" t="str">
        <f>""</f>
        <v/>
      </c>
      <c r="AX628" t="str">
        <f>""</f>
        <v/>
      </c>
      <c r="AY628" t="str">
        <f>""</f>
        <v/>
      </c>
      <c r="AZ628" t="str">
        <f>""</f>
        <v/>
      </c>
      <c r="BA628" t="str">
        <f>""</f>
        <v/>
      </c>
      <c r="BB628" t="str">
        <f>""</f>
        <v/>
      </c>
      <c r="BC628" t="str">
        <f>""</f>
        <v/>
      </c>
      <c r="BD628" t="str">
        <f>""</f>
        <v/>
      </c>
      <c r="BE628" t="str">
        <f>""</f>
        <v/>
      </c>
      <c r="BF628" t="str">
        <f>""</f>
        <v/>
      </c>
      <c r="BG628" t="str">
        <f>""</f>
        <v/>
      </c>
      <c r="BH628" t="str">
        <f>""</f>
        <v/>
      </c>
      <c r="BI628" t="str">
        <f>""</f>
        <v/>
      </c>
      <c r="BJ628" t="str">
        <f>""</f>
        <v/>
      </c>
      <c r="BK628" t="str">
        <f>""</f>
        <v/>
      </c>
      <c r="BL628" t="str">
        <f>""</f>
        <v/>
      </c>
      <c r="BM628" t="str">
        <f>""</f>
        <v/>
      </c>
      <c r="BN628" t="str">
        <f>""</f>
        <v/>
      </c>
      <c r="BO628" t="str">
        <f>""</f>
        <v/>
      </c>
      <c r="BP628" t="str">
        <f>""</f>
        <v/>
      </c>
      <c r="BQ628" t="str">
        <f>""</f>
        <v/>
      </c>
      <c r="BR628" t="str">
        <f>""</f>
        <v/>
      </c>
      <c r="BS628" t="str">
        <f>""</f>
        <v/>
      </c>
    </row>
    <row r="629" spans="1:71" x14ac:dyDescent="0.25">
      <c r="A629" t="str">
        <f>$A$222</f>
        <v xml:space="preserve">    Bank of America Corp</v>
      </c>
      <c r="B629" t="str">
        <f>$B$222</f>
        <v>BAC US Equity</v>
      </c>
      <c r="C629" t="str">
        <f>$C$222</f>
        <v>F0116</v>
      </c>
      <c r="D629" t="str">
        <f>$D$222</f>
        <v>FED_OTHER_LEASES_%_TOT_LNS_LEAS</v>
      </c>
      <c r="E629" t="str">
        <f>$E$222</f>
        <v>Dynamic</v>
      </c>
      <c r="F629">
        <f ca="1">_xll.BDH($B$222,$C$222,$B$425,$B$426,CONCATENATE("Per=",$B$423),"Dts=H","Dir=H",CONCATENATE("Points=",$B$424),"Sort=R","Days=A","Fill=B",CONCATENATE("FX=", $B$422),"cols=33;rows=1")</f>
        <v>1.3660000000000001</v>
      </c>
      <c r="G629">
        <v>1.3596999999999999</v>
      </c>
      <c r="H629">
        <v>1.276</v>
      </c>
      <c r="I629">
        <v>1.4346000000000001</v>
      </c>
      <c r="J629">
        <v>1.7267999999999999</v>
      </c>
      <c r="K629">
        <v>1.9433</v>
      </c>
      <c r="L629">
        <v>2.3157999999999999</v>
      </c>
      <c r="M629">
        <v>2.2450000000000001</v>
      </c>
      <c r="N629">
        <v>2.3694999999999999</v>
      </c>
      <c r="O629">
        <v>2.3163999999999998</v>
      </c>
      <c r="P629">
        <v>2.1492</v>
      </c>
      <c r="Q629">
        <v>1.9241999999999999</v>
      </c>
      <c r="R629">
        <v>1.885</v>
      </c>
      <c r="S629">
        <v>1.8292999999999999</v>
      </c>
      <c r="T629">
        <v>1.8156000000000001</v>
      </c>
      <c r="U629">
        <v>1.9338</v>
      </c>
      <c r="V629">
        <v>1.9194</v>
      </c>
      <c r="W629">
        <v>2.2776999999999998</v>
      </c>
      <c r="AM629" t="str">
        <f>""</f>
        <v/>
      </c>
      <c r="AN629" t="str">
        <f>""</f>
        <v/>
      </c>
      <c r="AO629" t="str">
        <f>""</f>
        <v/>
      </c>
      <c r="AP629" t="str">
        <f>""</f>
        <v/>
      </c>
      <c r="AQ629" t="str">
        <f>""</f>
        <v/>
      </c>
      <c r="AR629" t="str">
        <f>""</f>
        <v/>
      </c>
      <c r="AS629" t="str">
        <f>""</f>
        <v/>
      </c>
      <c r="AT629" t="str">
        <f>""</f>
        <v/>
      </c>
      <c r="AU629" t="str">
        <f>""</f>
        <v/>
      </c>
      <c r="AV629" t="str">
        <f>""</f>
        <v/>
      </c>
      <c r="AW629" t="str">
        <f>""</f>
        <v/>
      </c>
      <c r="AX629" t="str">
        <f>""</f>
        <v/>
      </c>
      <c r="AY629" t="str">
        <f>""</f>
        <v/>
      </c>
      <c r="AZ629" t="str">
        <f>""</f>
        <v/>
      </c>
      <c r="BA629" t="str">
        <f>""</f>
        <v/>
      </c>
      <c r="BB629" t="str">
        <f>""</f>
        <v/>
      </c>
      <c r="BC629" t="str">
        <f>""</f>
        <v/>
      </c>
      <c r="BD629" t="str">
        <f>""</f>
        <v/>
      </c>
      <c r="BE629" t="str">
        <f>""</f>
        <v/>
      </c>
      <c r="BF629" t="str">
        <f>""</f>
        <v/>
      </c>
      <c r="BG629" t="str">
        <f>""</f>
        <v/>
      </c>
      <c r="BH629" t="str">
        <f>""</f>
        <v/>
      </c>
      <c r="BI629" t="str">
        <f>""</f>
        <v/>
      </c>
      <c r="BJ629" t="str">
        <f>""</f>
        <v/>
      </c>
      <c r="BK629" t="str">
        <f>""</f>
        <v/>
      </c>
      <c r="BL629" t="str">
        <f>""</f>
        <v/>
      </c>
      <c r="BM629" t="str">
        <f>""</f>
        <v/>
      </c>
      <c r="BN629" t="str">
        <f>""</f>
        <v/>
      </c>
      <c r="BO629" t="str">
        <f>""</f>
        <v/>
      </c>
      <c r="BP629" t="str">
        <f>""</f>
        <v/>
      </c>
      <c r="BQ629" t="str">
        <f>""</f>
        <v/>
      </c>
      <c r="BR629" t="str">
        <f>""</f>
        <v/>
      </c>
      <c r="BS629" t="str">
        <f>""</f>
        <v/>
      </c>
    </row>
    <row r="630" spans="1:71" x14ac:dyDescent="0.25">
      <c r="A630" t="str">
        <f>$A$223</f>
        <v xml:space="preserve">    Citigroup Inc</v>
      </c>
      <c r="B630" t="str">
        <f>$B$223</f>
        <v>C US Equity</v>
      </c>
      <c r="C630" t="str">
        <f>$C$223</f>
        <v>F0116</v>
      </c>
      <c r="D630" t="str">
        <f>$D$223</f>
        <v>FED_OTHER_LEASES_%_TOT_LNS_LEAS</v>
      </c>
      <c r="E630" t="str">
        <f>$E$223</f>
        <v>Dynamic</v>
      </c>
      <c r="F630">
        <f ca="1">_xll.BDH($B$223,$C$223,$B$425,$B$426,CONCATENATE("Per=",$B$423),"Dts=H","Dir=H",CONCATENATE("Points=",$B$424),"Sort=R","Days=A","Fill=B",CONCATENATE("FX=", $B$422),"cols=33;rows=1")</f>
        <v>3.8800000000000001E-2</v>
      </c>
      <c r="G630">
        <v>3.9399999999999998E-2</v>
      </c>
      <c r="H630">
        <v>5.1999999999999998E-2</v>
      </c>
      <c r="I630">
        <v>6.4699999999999994E-2</v>
      </c>
      <c r="J630">
        <v>0.1061</v>
      </c>
      <c r="K630">
        <v>0.19270000000000001</v>
      </c>
      <c r="L630">
        <v>0.22550000000000001</v>
      </c>
      <c r="M630">
        <v>0.25190000000000001</v>
      </c>
      <c r="N630">
        <v>0.28820000000000001</v>
      </c>
      <c r="O630">
        <v>0.38169999999999998</v>
      </c>
      <c r="P630">
        <v>0.41199999999999998</v>
      </c>
      <c r="Q630">
        <v>0.43319999999999997</v>
      </c>
      <c r="R630">
        <v>0.4138</v>
      </c>
      <c r="S630">
        <v>0.3745</v>
      </c>
      <c r="T630">
        <v>0.37590000000000001</v>
      </c>
      <c r="U630">
        <v>0.45090000000000002</v>
      </c>
      <c r="V630">
        <v>0.4753</v>
      </c>
      <c r="W630">
        <v>0.91200000000000003</v>
      </c>
      <c r="AM630" t="str">
        <f>""</f>
        <v/>
      </c>
      <c r="AN630" t="str">
        <f>""</f>
        <v/>
      </c>
      <c r="AO630" t="str">
        <f>""</f>
        <v/>
      </c>
      <c r="AP630" t="str">
        <f>""</f>
        <v/>
      </c>
      <c r="AQ630" t="str">
        <f>""</f>
        <v/>
      </c>
      <c r="AR630" t="str">
        <f>""</f>
        <v/>
      </c>
      <c r="AS630" t="str">
        <f>""</f>
        <v/>
      </c>
      <c r="AT630" t="str">
        <f>""</f>
        <v/>
      </c>
      <c r="AU630" t="str">
        <f>""</f>
        <v/>
      </c>
      <c r="AV630" t="str">
        <f>""</f>
        <v/>
      </c>
      <c r="AW630" t="str">
        <f>""</f>
        <v/>
      </c>
      <c r="AX630" t="str">
        <f>""</f>
        <v/>
      </c>
      <c r="AY630" t="str">
        <f>""</f>
        <v/>
      </c>
      <c r="AZ630" t="str">
        <f>""</f>
        <v/>
      </c>
      <c r="BA630" t="str">
        <f>""</f>
        <v/>
      </c>
      <c r="BB630" t="str">
        <f>""</f>
        <v/>
      </c>
      <c r="BC630" t="str">
        <f>""</f>
        <v/>
      </c>
      <c r="BD630" t="str">
        <f>""</f>
        <v/>
      </c>
      <c r="BE630" t="str">
        <f>""</f>
        <v/>
      </c>
      <c r="BF630" t="str">
        <f>""</f>
        <v/>
      </c>
      <c r="BG630" t="str">
        <f>""</f>
        <v/>
      </c>
      <c r="BH630" t="str">
        <f>""</f>
        <v/>
      </c>
      <c r="BI630" t="str">
        <f>""</f>
        <v/>
      </c>
      <c r="BJ630" t="str">
        <f>""</f>
        <v/>
      </c>
      <c r="BK630" t="str">
        <f>""</f>
        <v/>
      </c>
      <c r="BL630" t="str">
        <f>""</f>
        <v/>
      </c>
      <c r="BM630" t="str">
        <f>""</f>
        <v/>
      </c>
      <c r="BN630" t="str">
        <f>""</f>
        <v/>
      </c>
      <c r="BO630" t="str">
        <f>""</f>
        <v/>
      </c>
      <c r="BP630" t="str">
        <f>""</f>
        <v/>
      </c>
      <c r="BQ630" t="str">
        <f>""</f>
        <v/>
      </c>
      <c r="BR630" t="str">
        <f>""</f>
        <v/>
      </c>
      <c r="BS630" t="str">
        <f>""</f>
        <v/>
      </c>
    </row>
    <row r="631" spans="1:71" x14ac:dyDescent="0.25">
      <c r="A631" t="str">
        <f>$A$224</f>
        <v xml:space="preserve">    Citizens Financial Group Inc</v>
      </c>
      <c r="B631" t="str">
        <f>$B$224</f>
        <v>CFG US Equity</v>
      </c>
      <c r="C631" t="str">
        <f>$C$224</f>
        <v>F0116</v>
      </c>
      <c r="D631" t="str">
        <f>$D$224</f>
        <v>FED_OTHER_LEASES_%_TOT_LNS_LEAS</v>
      </c>
      <c r="E631" t="str">
        <f>$E$224</f>
        <v>Dynamic</v>
      </c>
      <c r="F631">
        <f ca="1">_xll.BDH($B$224,$C$224,$B$425,$B$426,CONCATENATE("Per=",$B$423),"Dts=H","Dir=H",CONCATENATE("Points=",$B$424),"Sort=R","Days=A","Fill=B",CONCATENATE("FX=", $B$422),"cols=33;rows=1")</f>
        <v>0.73219999999999996</v>
      </c>
      <c r="G631">
        <v>0.78110000000000002</v>
      </c>
      <c r="H631">
        <v>0.93579999999999997</v>
      </c>
      <c r="I631">
        <v>1.2049000000000001</v>
      </c>
      <c r="J631">
        <v>1.5350999999999999</v>
      </c>
      <c r="K631">
        <v>2.0741000000000001</v>
      </c>
      <c r="L631">
        <v>2.4641000000000002</v>
      </c>
      <c r="M631">
        <v>2.8452000000000002</v>
      </c>
      <c r="N631">
        <v>3.5331000000000001</v>
      </c>
      <c r="O631">
        <v>4.0833000000000004</v>
      </c>
      <c r="P631">
        <v>4.3499999999999996</v>
      </c>
      <c r="Q631">
        <v>4.4176000000000002</v>
      </c>
      <c r="R631">
        <v>3.9293999999999998</v>
      </c>
      <c r="S631">
        <v>3.6295999999999999</v>
      </c>
      <c r="T631">
        <v>3.0762999999999998</v>
      </c>
      <c r="U631">
        <v>3.0419</v>
      </c>
      <c r="V631">
        <v>2.7143000000000002</v>
      </c>
      <c r="W631">
        <v>2.4039000000000001</v>
      </c>
      <c r="AM631" t="str">
        <f>""</f>
        <v/>
      </c>
      <c r="AN631" t="str">
        <f>""</f>
        <v/>
      </c>
      <c r="AO631" t="str">
        <f>""</f>
        <v/>
      </c>
      <c r="AP631" t="str">
        <f>""</f>
        <v/>
      </c>
      <c r="AQ631" t="str">
        <f>""</f>
        <v/>
      </c>
      <c r="AR631" t="str">
        <f>""</f>
        <v/>
      </c>
      <c r="AS631" t="str">
        <f>""</f>
        <v/>
      </c>
      <c r="AT631" t="str">
        <f>""</f>
        <v/>
      </c>
      <c r="AU631" t="str">
        <f>""</f>
        <v/>
      </c>
      <c r="AV631" t="str">
        <f>""</f>
        <v/>
      </c>
      <c r="AW631" t="str">
        <f>""</f>
        <v/>
      </c>
      <c r="AX631" t="str">
        <f>""</f>
        <v/>
      </c>
      <c r="AY631" t="str">
        <f>""</f>
        <v/>
      </c>
      <c r="AZ631" t="str">
        <f>""</f>
        <v/>
      </c>
      <c r="BA631" t="str">
        <f>""</f>
        <v/>
      </c>
      <c r="BB631" t="str">
        <f>""</f>
        <v/>
      </c>
      <c r="BC631" t="str">
        <f>""</f>
        <v/>
      </c>
      <c r="BD631" t="str">
        <f>""</f>
        <v/>
      </c>
      <c r="BE631" t="str">
        <f>""</f>
        <v/>
      </c>
      <c r="BF631" t="str">
        <f>""</f>
        <v/>
      </c>
      <c r="BG631" t="str">
        <f>""</f>
        <v/>
      </c>
      <c r="BH631" t="str">
        <f>""</f>
        <v/>
      </c>
      <c r="BI631" t="str">
        <f>""</f>
        <v/>
      </c>
      <c r="BJ631" t="str">
        <f>""</f>
        <v/>
      </c>
      <c r="BK631" t="str">
        <f>""</f>
        <v/>
      </c>
      <c r="BL631" t="str">
        <f>""</f>
        <v/>
      </c>
      <c r="BM631" t="str">
        <f>""</f>
        <v/>
      </c>
      <c r="BN631" t="str">
        <f>""</f>
        <v/>
      </c>
      <c r="BO631" t="str">
        <f>""</f>
        <v/>
      </c>
      <c r="BP631" t="str">
        <f>""</f>
        <v/>
      </c>
      <c r="BQ631" t="str">
        <f>""</f>
        <v/>
      </c>
      <c r="BR631" t="str">
        <f>""</f>
        <v/>
      </c>
      <c r="BS631" t="str">
        <f>""</f>
        <v/>
      </c>
    </row>
    <row r="632" spans="1:71" x14ac:dyDescent="0.25">
      <c r="A632" t="str">
        <f>$A$225</f>
        <v xml:space="preserve">    Capital One Financial Corp</v>
      </c>
      <c r="B632" t="str">
        <f>$B$225</f>
        <v>COF US Equity</v>
      </c>
      <c r="C632" t="str">
        <f>$C$225</f>
        <v>F0116</v>
      </c>
      <c r="D632" t="str">
        <f>$D$225</f>
        <v>FED_OTHER_LEASES_%_TOT_LNS_LEAS</v>
      </c>
      <c r="E632" t="str">
        <f>$E$225</f>
        <v>Dynamic</v>
      </c>
      <c r="F632">
        <f ca="1">_xll.BDH($B$225,$C$225,$B$425,$B$426,CONCATENATE("Per=",$B$423),"Dts=H","Dir=H",CONCATENATE("Points=",$B$424),"Sort=R","Days=A","Fill=B",CONCATENATE("FX=", $B$422),"cols=33;rows=1")</f>
        <v>0</v>
      </c>
      <c r="G632">
        <v>0</v>
      </c>
      <c r="H632">
        <v>0</v>
      </c>
      <c r="I632">
        <v>0</v>
      </c>
      <c r="J632">
        <v>1.3599999999999999E-2</v>
      </c>
      <c r="K632">
        <v>1.52E-2</v>
      </c>
      <c r="L632">
        <v>3.9600000000000003E-2</v>
      </c>
      <c r="M632">
        <v>4.5999999999999999E-2</v>
      </c>
      <c r="N632">
        <v>9.4600000000000004E-2</v>
      </c>
      <c r="O632">
        <v>0.25430000000000003</v>
      </c>
      <c r="P632">
        <v>0.26340000000000002</v>
      </c>
      <c r="Q632">
        <v>0.2641</v>
      </c>
      <c r="R632">
        <v>0.95199999999999996</v>
      </c>
      <c r="S632">
        <v>1.1465000000000001</v>
      </c>
      <c r="T632">
        <v>1.0825</v>
      </c>
      <c r="U632">
        <v>1.0774999999999999</v>
      </c>
      <c r="V632">
        <v>0.16500000000000001</v>
      </c>
      <c r="W632">
        <v>0.16850000000000001</v>
      </c>
      <c r="AM632" t="str">
        <f>""</f>
        <v/>
      </c>
      <c r="AN632" t="str">
        <f>""</f>
        <v/>
      </c>
      <c r="AO632" t="str">
        <f>""</f>
        <v/>
      </c>
      <c r="AP632" t="str">
        <f>""</f>
        <v/>
      </c>
      <c r="AQ632" t="str">
        <f>""</f>
        <v/>
      </c>
      <c r="AR632" t="str">
        <f>""</f>
        <v/>
      </c>
      <c r="AS632" t="str">
        <f>""</f>
        <v/>
      </c>
      <c r="AT632" t="str">
        <f>""</f>
        <v/>
      </c>
      <c r="AU632" t="str">
        <f>""</f>
        <v/>
      </c>
      <c r="AV632" t="str">
        <f>""</f>
        <v/>
      </c>
      <c r="AW632" t="str">
        <f>""</f>
        <v/>
      </c>
      <c r="AX632" t="str">
        <f>""</f>
        <v/>
      </c>
      <c r="AY632" t="str">
        <f>""</f>
        <v/>
      </c>
      <c r="AZ632" t="str">
        <f>""</f>
        <v/>
      </c>
      <c r="BA632" t="str">
        <f>""</f>
        <v/>
      </c>
      <c r="BB632" t="str">
        <f>""</f>
        <v/>
      </c>
      <c r="BC632" t="str">
        <f>""</f>
        <v/>
      </c>
      <c r="BD632" t="str">
        <f>""</f>
        <v/>
      </c>
      <c r="BE632" t="str">
        <f>""</f>
        <v/>
      </c>
      <c r="BF632" t="str">
        <f>""</f>
        <v/>
      </c>
      <c r="BG632" t="str">
        <f>""</f>
        <v/>
      </c>
      <c r="BH632" t="str">
        <f>""</f>
        <v/>
      </c>
      <c r="BI632" t="str">
        <f>""</f>
        <v/>
      </c>
      <c r="BJ632" t="str">
        <f>""</f>
        <v/>
      </c>
      <c r="BK632" t="str">
        <f>""</f>
        <v/>
      </c>
      <c r="BL632" t="str">
        <f>""</f>
        <v/>
      </c>
      <c r="BM632" t="str">
        <f>""</f>
        <v/>
      </c>
      <c r="BN632" t="str">
        <f>""</f>
        <v/>
      </c>
      <c r="BO632" t="str">
        <f>""</f>
        <v/>
      </c>
      <c r="BP632" t="str">
        <f>""</f>
        <v/>
      </c>
      <c r="BQ632" t="str">
        <f>""</f>
        <v/>
      </c>
      <c r="BR632" t="str">
        <f>""</f>
        <v/>
      </c>
      <c r="BS632" t="str">
        <f>""</f>
        <v/>
      </c>
    </row>
    <row r="633" spans="1:71" x14ac:dyDescent="0.25">
      <c r="A633" t="str">
        <f>$A$226</f>
        <v xml:space="preserve">    Comerica Inc</v>
      </c>
      <c r="B633" t="str">
        <f>$B$226</f>
        <v>CMA US Equity</v>
      </c>
      <c r="C633" t="str">
        <f>$C$226</f>
        <v>F0116</v>
      </c>
      <c r="D633" t="str">
        <f>$D$226</f>
        <v>FED_OTHER_LEASES_%_TOT_LNS_LEAS</v>
      </c>
      <c r="E633" t="str">
        <f>$E$226</f>
        <v>Dynamic</v>
      </c>
      <c r="F633">
        <f ca="1">_xll.BDH($B$226,$C$226,$B$425,$B$426,CONCATENATE("Per=",$B$423),"Dts=H","Dir=H",CONCATENATE("Points=",$B$424),"Sort=R","Days=A","Fill=B",CONCATENATE("FX=", $B$422),"cols=33;rows=1")</f>
        <v>1.4224000000000001</v>
      </c>
      <c r="G633">
        <v>1.5283</v>
      </c>
      <c r="H633">
        <v>1.4343999999999999</v>
      </c>
      <c r="I633">
        <v>1.2862</v>
      </c>
      <c r="J633">
        <v>1.1357999999999999</v>
      </c>
      <c r="K633">
        <v>1.1672</v>
      </c>
      <c r="L633">
        <v>1.0105999999999999</v>
      </c>
      <c r="M633">
        <v>0.9526</v>
      </c>
      <c r="N633">
        <v>1.1645000000000001</v>
      </c>
      <c r="O633">
        <v>1.4733000000000001</v>
      </c>
      <c r="P633">
        <v>1.6567000000000001</v>
      </c>
      <c r="Q633">
        <v>1.8587</v>
      </c>
      <c r="R633">
        <v>1.8656999999999999</v>
      </c>
      <c r="S633">
        <v>2.1191</v>
      </c>
      <c r="T633">
        <v>2.5065</v>
      </c>
      <c r="U633">
        <v>2.6989000000000001</v>
      </c>
      <c r="V633">
        <v>2.6581999999999999</v>
      </c>
      <c r="W633">
        <v>2.6505000000000001</v>
      </c>
      <c r="AM633" t="str">
        <f>""</f>
        <v/>
      </c>
      <c r="AN633" t="str">
        <f>""</f>
        <v/>
      </c>
      <c r="AO633" t="str">
        <f>""</f>
        <v/>
      </c>
      <c r="AP633" t="str">
        <f>""</f>
        <v/>
      </c>
      <c r="AQ633" t="str">
        <f>""</f>
        <v/>
      </c>
      <c r="AR633" t="str">
        <f>""</f>
        <v/>
      </c>
      <c r="AS633" t="str">
        <f>""</f>
        <v/>
      </c>
      <c r="AT633" t="str">
        <f>""</f>
        <v/>
      </c>
      <c r="AU633" t="str">
        <f>""</f>
        <v/>
      </c>
      <c r="AV633" t="str">
        <f>""</f>
        <v/>
      </c>
      <c r="AW633" t="str">
        <f>""</f>
        <v/>
      </c>
      <c r="AX633" t="str">
        <f>""</f>
        <v/>
      </c>
      <c r="AY633" t="str">
        <f>""</f>
        <v/>
      </c>
      <c r="AZ633" t="str">
        <f>""</f>
        <v/>
      </c>
      <c r="BA633" t="str">
        <f>""</f>
        <v/>
      </c>
      <c r="BB633" t="str">
        <f>""</f>
        <v/>
      </c>
      <c r="BC633" t="str">
        <f>""</f>
        <v/>
      </c>
      <c r="BD633" t="str">
        <f>""</f>
        <v/>
      </c>
      <c r="BE633" t="str">
        <f>""</f>
        <v/>
      </c>
      <c r="BF633" t="str">
        <f>""</f>
        <v/>
      </c>
      <c r="BG633" t="str">
        <f>""</f>
        <v/>
      </c>
      <c r="BH633" t="str">
        <f>""</f>
        <v/>
      </c>
      <c r="BI633" t="str">
        <f>""</f>
        <v/>
      </c>
      <c r="BJ633" t="str">
        <f>""</f>
        <v/>
      </c>
      <c r="BK633" t="str">
        <f>""</f>
        <v/>
      </c>
      <c r="BL633" t="str">
        <f>""</f>
        <v/>
      </c>
      <c r="BM633" t="str">
        <f>""</f>
        <v/>
      </c>
      <c r="BN633" t="str">
        <f>""</f>
        <v/>
      </c>
      <c r="BO633" t="str">
        <f>""</f>
        <v/>
      </c>
      <c r="BP633" t="str">
        <f>""</f>
        <v/>
      </c>
      <c r="BQ633" t="str">
        <f>""</f>
        <v/>
      </c>
      <c r="BR633" t="str">
        <f>""</f>
        <v/>
      </c>
      <c r="BS633" t="str">
        <f>""</f>
        <v/>
      </c>
    </row>
    <row r="634" spans="1:71" x14ac:dyDescent="0.25">
      <c r="A634" t="str">
        <f>$A$227</f>
        <v xml:space="preserve">    East West Bancorp Inc</v>
      </c>
      <c r="B634" t="str">
        <f>$B$227</f>
        <v>EWBC US Equity</v>
      </c>
      <c r="C634" t="str">
        <f>$C$227</f>
        <v>F0116</v>
      </c>
      <c r="D634" t="str">
        <f>$D$227</f>
        <v>FED_OTHER_LEASES_%_TOT_LNS_LEAS</v>
      </c>
      <c r="E634" t="str">
        <f>$E$227</f>
        <v>Dynamic</v>
      </c>
      <c r="F634">
        <f ca="1">_xll.BDH($B$227,$C$227,$B$425,$B$426,CONCATENATE("Per=",$B$423),"Dts=H","Dir=H",CONCATENATE("Points=",$B$424),"Sort=R","Days=A","Fill=B",CONCATENATE("FX=", $B$422),"cols=33;rows=1")</f>
        <v>7.9200000000000007E-2</v>
      </c>
      <c r="G634">
        <v>0.11169999999999999</v>
      </c>
      <c r="H634">
        <v>0.15110000000000001</v>
      </c>
      <c r="I634">
        <v>0.29409999999999997</v>
      </c>
      <c r="J634">
        <v>0.38080000000000003</v>
      </c>
      <c r="K634">
        <v>0.40629999999999999</v>
      </c>
      <c r="L634">
        <v>0.49320000000000003</v>
      </c>
      <c r="M634">
        <v>0.50700000000000001</v>
      </c>
      <c r="N634">
        <v>0.253</v>
      </c>
      <c r="O634">
        <v>8.0299999999999996E-2</v>
      </c>
      <c r="P634">
        <v>0</v>
      </c>
      <c r="Q634">
        <v>0</v>
      </c>
      <c r="R634">
        <v>3.8E-3</v>
      </c>
      <c r="S634">
        <v>8.3999999999999995E-3</v>
      </c>
      <c r="T634">
        <v>0.20630000000000001</v>
      </c>
      <c r="U634">
        <v>0</v>
      </c>
      <c r="V634">
        <v>0</v>
      </c>
      <c r="W634">
        <v>0</v>
      </c>
      <c r="AM634" t="str">
        <f>""</f>
        <v/>
      </c>
      <c r="AN634" t="str">
        <f>""</f>
        <v/>
      </c>
      <c r="AO634" t="str">
        <f>""</f>
        <v/>
      </c>
      <c r="AP634" t="str">
        <f>""</f>
        <v/>
      </c>
      <c r="AQ634" t="str">
        <f>""</f>
        <v/>
      </c>
      <c r="AR634" t="str">
        <f>""</f>
        <v/>
      </c>
      <c r="AS634" t="str">
        <f>""</f>
        <v/>
      </c>
      <c r="AT634" t="str">
        <f>""</f>
        <v/>
      </c>
      <c r="AU634" t="str">
        <f>""</f>
        <v/>
      </c>
      <c r="AV634" t="str">
        <f>""</f>
        <v/>
      </c>
      <c r="AW634" t="str">
        <f>""</f>
        <v/>
      </c>
      <c r="AX634" t="str">
        <f>""</f>
        <v/>
      </c>
      <c r="AY634" t="str">
        <f>""</f>
        <v/>
      </c>
      <c r="AZ634" t="str">
        <f>""</f>
        <v/>
      </c>
      <c r="BA634" t="str">
        <f>""</f>
        <v/>
      </c>
      <c r="BB634" t="str">
        <f>""</f>
        <v/>
      </c>
      <c r="BC634" t="str">
        <f>""</f>
        <v/>
      </c>
      <c r="BD634" t="str">
        <f>""</f>
        <v/>
      </c>
      <c r="BE634" t="str">
        <f>""</f>
        <v/>
      </c>
      <c r="BF634" t="str">
        <f>""</f>
        <v/>
      </c>
      <c r="BG634" t="str">
        <f>""</f>
        <v/>
      </c>
      <c r="BH634" t="str">
        <f>""</f>
        <v/>
      </c>
      <c r="BI634" t="str">
        <f>""</f>
        <v/>
      </c>
      <c r="BJ634" t="str">
        <f>""</f>
        <v/>
      </c>
      <c r="BK634" t="str">
        <f>""</f>
        <v/>
      </c>
      <c r="BL634" t="str">
        <f>""</f>
        <v/>
      </c>
      <c r="BM634" t="str">
        <f>""</f>
        <v/>
      </c>
      <c r="BN634" t="str">
        <f>""</f>
        <v/>
      </c>
      <c r="BO634" t="str">
        <f>""</f>
        <v/>
      </c>
      <c r="BP634" t="str">
        <f>""</f>
        <v/>
      </c>
      <c r="BQ634" t="str">
        <f>""</f>
        <v/>
      </c>
      <c r="BR634" t="str">
        <f>""</f>
        <v/>
      </c>
      <c r="BS634" t="str">
        <f>""</f>
        <v/>
      </c>
    </row>
    <row r="635" spans="1:71" x14ac:dyDescent="0.25">
      <c r="A635" t="str">
        <f>$A$228</f>
        <v xml:space="preserve">    Fifth Third Bancorp</v>
      </c>
      <c r="B635" t="str">
        <f>$B$228</f>
        <v>FITB US Equity</v>
      </c>
      <c r="C635" t="str">
        <f>$C$228</f>
        <v>F0116</v>
      </c>
      <c r="D635" t="str">
        <f>$D$228</f>
        <v>FED_OTHER_LEASES_%_TOT_LNS_LEAS</v>
      </c>
      <c r="E635" t="str">
        <f>$E$228</f>
        <v>Dynamic</v>
      </c>
      <c r="F635">
        <f ca="1">_xll.BDH($B$228,$C$228,$B$425,$B$426,CONCATENATE("Per=",$B$423),"Dts=H","Dir=H",CONCATENATE("Points=",$B$424),"Sort=R","Days=A","Fill=B",CONCATENATE("FX=", $B$422),"cols=33;rows=1")</f>
        <v>2.6455000000000002</v>
      </c>
      <c r="G635">
        <v>2.1953999999999998</v>
      </c>
      <c r="H635">
        <v>2.2078000000000002</v>
      </c>
      <c r="I635">
        <v>2.6362999999999999</v>
      </c>
      <c r="J635">
        <v>2.5615999999999999</v>
      </c>
      <c r="K635">
        <v>3.0310000000000001</v>
      </c>
      <c r="L635">
        <v>3.7555999999999998</v>
      </c>
      <c r="M635">
        <v>4.3997000000000002</v>
      </c>
      <c r="N635">
        <v>4.2803000000000004</v>
      </c>
      <c r="O635">
        <v>4.1235999999999997</v>
      </c>
      <c r="P635">
        <v>4.0728999999999997</v>
      </c>
      <c r="Q635">
        <v>4.0480999999999998</v>
      </c>
      <c r="R635">
        <v>4.0002000000000004</v>
      </c>
      <c r="S635">
        <v>4.2054999999999998</v>
      </c>
      <c r="T635">
        <v>4.2384000000000004</v>
      </c>
      <c r="U635">
        <v>4.4832000000000001</v>
      </c>
      <c r="V635">
        <v>4.2826000000000004</v>
      </c>
      <c r="W635">
        <v>4.4185999999999996</v>
      </c>
      <c r="AM635" t="str">
        <f>""</f>
        <v/>
      </c>
      <c r="AN635" t="str">
        <f>""</f>
        <v/>
      </c>
      <c r="AO635" t="str">
        <f>""</f>
        <v/>
      </c>
      <c r="AP635" t="str">
        <f>""</f>
        <v/>
      </c>
      <c r="AQ635" t="str">
        <f>""</f>
        <v/>
      </c>
      <c r="AR635" t="str">
        <f>""</f>
        <v/>
      </c>
      <c r="AS635" t="str">
        <f>""</f>
        <v/>
      </c>
      <c r="AT635" t="str">
        <f>""</f>
        <v/>
      </c>
      <c r="AU635" t="str">
        <f>""</f>
        <v/>
      </c>
      <c r="AV635" t="str">
        <f>""</f>
        <v/>
      </c>
      <c r="AW635" t="str">
        <f>""</f>
        <v/>
      </c>
      <c r="AX635" t="str">
        <f>""</f>
        <v/>
      </c>
      <c r="AY635" t="str">
        <f>""</f>
        <v/>
      </c>
      <c r="AZ635" t="str">
        <f>""</f>
        <v/>
      </c>
      <c r="BA635" t="str">
        <f>""</f>
        <v/>
      </c>
      <c r="BB635" t="str">
        <f>""</f>
        <v/>
      </c>
      <c r="BC635" t="str">
        <f>""</f>
        <v/>
      </c>
      <c r="BD635" t="str">
        <f>""</f>
        <v/>
      </c>
      <c r="BE635" t="str">
        <f>""</f>
        <v/>
      </c>
      <c r="BF635" t="str">
        <f>""</f>
        <v/>
      </c>
      <c r="BG635" t="str">
        <f>""</f>
        <v/>
      </c>
      <c r="BH635" t="str">
        <f>""</f>
        <v/>
      </c>
      <c r="BI635" t="str">
        <f>""</f>
        <v/>
      </c>
      <c r="BJ635" t="str">
        <f>""</f>
        <v/>
      </c>
      <c r="BK635" t="str">
        <f>""</f>
        <v/>
      </c>
      <c r="BL635" t="str">
        <f>""</f>
        <v/>
      </c>
      <c r="BM635" t="str">
        <f>""</f>
        <v/>
      </c>
      <c r="BN635" t="str">
        <f>""</f>
        <v/>
      </c>
      <c r="BO635" t="str">
        <f>""</f>
        <v/>
      </c>
      <c r="BP635" t="str">
        <f>""</f>
        <v/>
      </c>
      <c r="BQ635" t="str">
        <f>""</f>
        <v/>
      </c>
      <c r="BR635" t="str">
        <f>""</f>
        <v/>
      </c>
      <c r="BS635" t="str">
        <f>""</f>
        <v/>
      </c>
    </row>
    <row r="636" spans="1:71" x14ac:dyDescent="0.25">
      <c r="A636" t="str">
        <f>$A$229</f>
        <v xml:space="preserve">    First Citizens BancShares Inc/</v>
      </c>
      <c r="B636" t="str">
        <f>$B$229</f>
        <v>FCNCA US Equity</v>
      </c>
      <c r="C636" t="str">
        <f>$C$229</f>
        <v>F0116</v>
      </c>
      <c r="D636" t="str">
        <f>$D$229</f>
        <v>FED_OTHER_LEASES_%_TOT_LNS_LEAS</v>
      </c>
      <c r="E636" t="str">
        <f>$E$229</f>
        <v>Dynamic</v>
      </c>
      <c r="F636">
        <f ca="1">_xll.BDH($B$229,$C$229,$B$425,$B$426,CONCATENATE("Per=",$B$423),"Dts=H","Dir=H",CONCATENATE("Points=",$B$424),"Sort=R","Days=A","Fill=B",CONCATENATE("FX=", $B$422),"cols=33;rows=1")</f>
        <v>1.4355</v>
      </c>
      <c r="G636">
        <v>1.5404</v>
      </c>
      <c r="H636">
        <v>3.0710000000000002</v>
      </c>
      <c r="I636">
        <v>0.83379999999999999</v>
      </c>
      <c r="J636">
        <v>1.0161</v>
      </c>
      <c r="K636">
        <v>1.5093000000000001</v>
      </c>
      <c r="L636">
        <v>2.3260999999999998</v>
      </c>
      <c r="M636">
        <v>3.7837999999999998</v>
      </c>
      <c r="N636">
        <v>3.7881</v>
      </c>
      <c r="O636">
        <v>3.5998999999999999</v>
      </c>
      <c r="P636">
        <v>3.0367000000000002</v>
      </c>
      <c r="Q636">
        <v>2.8963000000000001</v>
      </c>
      <c r="R636">
        <v>2.4546000000000001</v>
      </c>
      <c r="S636">
        <v>2.2294</v>
      </c>
      <c r="T636">
        <v>2.2191000000000001</v>
      </c>
      <c r="U636">
        <v>2.5666000000000002</v>
      </c>
      <c r="V636">
        <v>3.0200999999999998</v>
      </c>
      <c r="W636">
        <v>3.1065999999999998</v>
      </c>
      <c r="AM636" t="str">
        <f>""</f>
        <v/>
      </c>
      <c r="AN636" t="str">
        <f>""</f>
        <v/>
      </c>
      <c r="AO636" t="str">
        <f>""</f>
        <v/>
      </c>
      <c r="AP636" t="str">
        <f>""</f>
        <v/>
      </c>
      <c r="AQ636" t="str">
        <f>""</f>
        <v/>
      </c>
      <c r="AR636" t="str">
        <f>""</f>
        <v/>
      </c>
      <c r="AS636" t="str">
        <f>""</f>
        <v/>
      </c>
      <c r="AT636" t="str">
        <f>""</f>
        <v/>
      </c>
      <c r="AU636" t="str">
        <f>""</f>
        <v/>
      </c>
      <c r="AV636" t="str">
        <f>""</f>
        <v/>
      </c>
      <c r="AW636" t="str">
        <f>""</f>
        <v/>
      </c>
      <c r="AX636" t="str">
        <f>""</f>
        <v/>
      </c>
      <c r="AY636" t="str">
        <f>""</f>
        <v/>
      </c>
      <c r="AZ636" t="str">
        <f>""</f>
        <v/>
      </c>
      <c r="BA636" t="str">
        <f>""</f>
        <v/>
      </c>
      <c r="BB636" t="str">
        <f>""</f>
        <v/>
      </c>
      <c r="BC636" t="str">
        <f>""</f>
        <v/>
      </c>
      <c r="BD636" t="str">
        <f>""</f>
        <v/>
      </c>
      <c r="BE636" t="str">
        <f>""</f>
        <v/>
      </c>
      <c r="BF636" t="str">
        <f>""</f>
        <v/>
      </c>
      <c r="BG636" t="str">
        <f>""</f>
        <v/>
      </c>
      <c r="BH636" t="str">
        <f>""</f>
        <v/>
      </c>
      <c r="BI636" t="str">
        <f>""</f>
        <v/>
      </c>
      <c r="BJ636" t="str">
        <f>""</f>
        <v/>
      </c>
      <c r="BK636" t="str">
        <f>""</f>
        <v/>
      </c>
      <c r="BL636" t="str">
        <f>""</f>
        <v/>
      </c>
      <c r="BM636" t="str">
        <f>""</f>
        <v/>
      </c>
      <c r="BN636" t="str">
        <f>""</f>
        <v/>
      </c>
      <c r="BO636" t="str">
        <f>""</f>
        <v/>
      </c>
      <c r="BP636" t="str">
        <f>""</f>
        <v/>
      </c>
      <c r="BQ636" t="str">
        <f>""</f>
        <v/>
      </c>
      <c r="BR636" t="str">
        <f>""</f>
        <v/>
      </c>
      <c r="BS636" t="str">
        <f>""</f>
        <v/>
      </c>
    </row>
    <row r="637" spans="1:71" x14ac:dyDescent="0.25">
      <c r="A637" t="str">
        <f>$A$230</f>
        <v xml:space="preserve">    Flagstar Financial Inc</v>
      </c>
      <c r="B637" t="str">
        <f>$B$230</f>
        <v>FLG US Equity</v>
      </c>
      <c r="C637" t="str">
        <f>$C$230</f>
        <v>F0116</v>
      </c>
      <c r="D637" t="str">
        <f>$D$230</f>
        <v>FED_OTHER_LEASES_%_TOT_LNS_LEAS</v>
      </c>
      <c r="E637" t="str">
        <f>$E$230</f>
        <v>Dynamic</v>
      </c>
      <c r="F637">
        <f ca="1">_xll.BDH($B$230,$C$230,$B$425,$B$426,CONCATENATE("Per=",$B$423),"Dts=H","Dir=H",CONCATENATE("Points=",$B$424),"Sort=R","Days=A","Fill=B",CONCATENATE("FX=", $B$422),"cols=33;rows=1")</f>
        <v>3.0596000000000001</v>
      </c>
      <c r="G637">
        <v>3.7181999999999999</v>
      </c>
      <c r="H637">
        <v>2.3948</v>
      </c>
      <c r="I637">
        <v>3.9257</v>
      </c>
      <c r="J637">
        <v>4.1087999999999996</v>
      </c>
      <c r="K637">
        <v>3.0876999999999999</v>
      </c>
      <c r="L637">
        <v>1.7230000000000001</v>
      </c>
      <c r="M637">
        <v>1.7516</v>
      </c>
      <c r="N637">
        <v>1.44</v>
      </c>
      <c r="O637">
        <v>0.96740000000000004</v>
      </c>
      <c r="P637">
        <v>0.58989999999999998</v>
      </c>
      <c r="Q637">
        <v>0.3105</v>
      </c>
      <c r="R637">
        <v>0</v>
      </c>
      <c r="S637">
        <v>2.9999999999999997E-4</v>
      </c>
      <c r="T637">
        <v>8.0000000000000004E-4</v>
      </c>
      <c r="U637">
        <v>2.3E-3</v>
      </c>
      <c r="V637">
        <v>6.4999999999999997E-3</v>
      </c>
      <c r="W637">
        <v>2.1299999999999999E-2</v>
      </c>
      <c r="AM637" t="str">
        <f>""</f>
        <v/>
      </c>
      <c r="AN637" t="str">
        <f>""</f>
        <v/>
      </c>
      <c r="AO637" t="str">
        <f>""</f>
        <v/>
      </c>
      <c r="AP637" t="str">
        <f>""</f>
        <v/>
      </c>
      <c r="AQ637" t="str">
        <f>""</f>
        <v/>
      </c>
      <c r="AR637" t="str">
        <f>""</f>
        <v/>
      </c>
      <c r="AS637" t="str">
        <f>""</f>
        <v/>
      </c>
      <c r="AT637" t="str">
        <f>""</f>
        <v/>
      </c>
      <c r="AU637" t="str">
        <f>""</f>
        <v/>
      </c>
      <c r="AV637" t="str">
        <f>""</f>
        <v/>
      </c>
      <c r="AW637" t="str">
        <f>""</f>
        <v/>
      </c>
      <c r="AX637" t="str">
        <f>""</f>
        <v/>
      </c>
      <c r="AY637" t="str">
        <f>""</f>
        <v/>
      </c>
      <c r="AZ637" t="str">
        <f>""</f>
        <v/>
      </c>
      <c r="BA637" t="str">
        <f>""</f>
        <v/>
      </c>
      <c r="BB637" t="str">
        <f>""</f>
        <v/>
      </c>
      <c r="BC637" t="str">
        <f>""</f>
        <v/>
      </c>
      <c r="BD637" t="str">
        <f>""</f>
        <v/>
      </c>
      <c r="BE637" t="str">
        <f>""</f>
        <v/>
      </c>
      <c r="BF637" t="str">
        <f>""</f>
        <v/>
      </c>
      <c r="BG637" t="str">
        <f>""</f>
        <v/>
      </c>
      <c r="BH637" t="str">
        <f>""</f>
        <v/>
      </c>
      <c r="BI637" t="str">
        <f>""</f>
        <v/>
      </c>
      <c r="BJ637" t="str">
        <f>""</f>
        <v/>
      </c>
      <c r="BK637" t="str">
        <f>""</f>
        <v/>
      </c>
      <c r="BL637" t="str">
        <f>""</f>
        <v/>
      </c>
      <c r="BM637" t="str">
        <f>""</f>
        <v/>
      </c>
      <c r="BN637" t="str">
        <f>""</f>
        <v/>
      </c>
      <c r="BO637" t="str">
        <f>""</f>
        <v/>
      </c>
      <c r="BP637" t="str">
        <f>""</f>
        <v/>
      </c>
      <c r="BQ637" t="str">
        <f>""</f>
        <v/>
      </c>
      <c r="BR637" t="str">
        <f>""</f>
        <v/>
      </c>
      <c r="BS637" t="str">
        <f>""</f>
        <v/>
      </c>
    </row>
    <row r="638" spans="1:71" x14ac:dyDescent="0.25">
      <c r="A638" t="str">
        <f>$A$231</f>
        <v xml:space="preserve">    Huntington Bancshares Inc/OH</v>
      </c>
      <c r="B638" t="str">
        <f>$B$231</f>
        <v>HBAN US Equity</v>
      </c>
      <c r="C638" t="str">
        <f>$C$231</f>
        <v>F0116</v>
      </c>
      <c r="D638" t="str">
        <f>$D$231</f>
        <v>FED_OTHER_LEASES_%_TOT_LNS_LEAS</v>
      </c>
      <c r="E638" t="str">
        <f>$E$231</f>
        <v>Dynamic</v>
      </c>
      <c r="F638">
        <f ca="1">_xll.BDH($B$231,$C$231,$B$425,$B$426,CONCATENATE("Per=",$B$423),"Dts=H","Dir=H",CONCATENATE("Points=",$B$424),"Sort=R","Days=A","Fill=B",CONCATENATE("FX=", $B$422),"cols=33;rows=1")</f>
        <v>4.1772999999999998</v>
      </c>
      <c r="G638">
        <v>4.2624000000000004</v>
      </c>
      <c r="H638">
        <v>4.2450999999999999</v>
      </c>
      <c r="I638">
        <v>4.6036000000000001</v>
      </c>
      <c r="J638">
        <v>2.8517999999999999</v>
      </c>
      <c r="K638">
        <v>3.2709999999999999</v>
      </c>
      <c r="L638">
        <v>3.0369000000000002</v>
      </c>
      <c r="M638">
        <v>3.2221000000000002</v>
      </c>
      <c r="N638">
        <v>3.5634000000000001</v>
      </c>
      <c r="O638">
        <v>3.8372999999999999</v>
      </c>
      <c r="P638">
        <v>2.9203000000000001</v>
      </c>
      <c r="Q638">
        <v>3.8774999999999999</v>
      </c>
      <c r="R638">
        <v>4.0243000000000002</v>
      </c>
      <c r="S638">
        <v>2.706</v>
      </c>
      <c r="T638">
        <v>1.8865000000000001</v>
      </c>
      <c r="U638">
        <v>2.3727</v>
      </c>
      <c r="V638">
        <v>2.5032000000000001</v>
      </c>
      <c r="W638">
        <v>2.4068000000000001</v>
      </c>
      <c r="AM638" t="str">
        <f>""</f>
        <v/>
      </c>
      <c r="AN638" t="str">
        <f>""</f>
        <v/>
      </c>
      <c r="AO638" t="str">
        <f>""</f>
        <v/>
      </c>
      <c r="AP638" t="str">
        <f>""</f>
        <v/>
      </c>
      <c r="AQ638" t="str">
        <f>""</f>
        <v/>
      </c>
      <c r="AR638" t="str">
        <f>""</f>
        <v/>
      </c>
      <c r="AS638" t="str">
        <f>""</f>
        <v/>
      </c>
      <c r="AT638" t="str">
        <f>""</f>
        <v/>
      </c>
      <c r="AU638" t="str">
        <f>""</f>
        <v/>
      </c>
      <c r="AV638" t="str">
        <f>""</f>
        <v/>
      </c>
      <c r="AW638" t="str">
        <f>""</f>
        <v/>
      </c>
      <c r="AX638" t="str">
        <f>""</f>
        <v/>
      </c>
      <c r="AY638" t="str">
        <f>""</f>
        <v/>
      </c>
      <c r="AZ638" t="str">
        <f>""</f>
        <v/>
      </c>
      <c r="BA638" t="str">
        <f>""</f>
        <v/>
      </c>
      <c r="BB638" t="str">
        <f>""</f>
        <v/>
      </c>
      <c r="BC638" t="str">
        <f>""</f>
        <v/>
      </c>
      <c r="BD638" t="str">
        <f>""</f>
        <v/>
      </c>
      <c r="BE638" t="str">
        <f>""</f>
        <v/>
      </c>
      <c r="BF638" t="str">
        <f>""</f>
        <v/>
      </c>
      <c r="BG638" t="str">
        <f>""</f>
        <v/>
      </c>
      <c r="BH638" t="str">
        <f>""</f>
        <v/>
      </c>
      <c r="BI638" t="str">
        <f>""</f>
        <v/>
      </c>
      <c r="BJ638" t="str">
        <f>""</f>
        <v/>
      </c>
      <c r="BK638" t="str">
        <f>""</f>
        <v/>
      </c>
      <c r="BL638" t="str">
        <f>""</f>
        <v/>
      </c>
      <c r="BM638" t="str">
        <f>""</f>
        <v/>
      </c>
      <c r="BN638" t="str">
        <f>""</f>
        <v/>
      </c>
      <c r="BO638" t="str">
        <f>""</f>
        <v/>
      </c>
      <c r="BP638" t="str">
        <f>""</f>
        <v/>
      </c>
      <c r="BQ638" t="str">
        <f>""</f>
        <v/>
      </c>
      <c r="BR638" t="str">
        <f>""</f>
        <v/>
      </c>
      <c r="BS638" t="str">
        <f>""</f>
        <v/>
      </c>
    </row>
    <row r="639" spans="1:71" x14ac:dyDescent="0.25">
      <c r="A639" t="str">
        <f>$A$232</f>
        <v xml:space="preserve">    JPMorgan Chase &amp; Co</v>
      </c>
      <c r="B639" t="str">
        <f>$B$232</f>
        <v>JPM US Equity</v>
      </c>
      <c r="C639" t="str">
        <f>$C$232</f>
        <v>F0116</v>
      </c>
      <c r="D639" t="str">
        <f>$D$232</f>
        <v>FED_OTHER_LEASES_%_TOT_LNS_LEAS</v>
      </c>
      <c r="E639" t="str">
        <f>$E$232</f>
        <v>Dynamic</v>
      </c>
      <c r="F639">
        <f ca="1">_xll.BDH($B$232,$C$232,$B$425,$B$426,CONCATENATE("Per=",$B$423),"Dts=H","Dir=H",CONCATENATE("Points=",$B$424),"Sort=R","Days=A","Fill=B",CONCATENATE("FX=", $B$422),"cols=33;rows=1")</f>
        <v>1.29E-2</v>
      </c>
      <c r="G639">
        <v>1.9400000000000001E-2</v>
      </c>
      <c r="H639">
        <v>1.09E-2</v>
      </c>
      <c r="I639">
        <v>2.06E-2</v>
      </c>
      <c r="J639">
        <v>3.5499999999999997E-2</v>
      </c>
      <c r="K639">
        <v>6.6000000000000003E-2</v>
      </c>
      <c r="L639">
        <v>3.7499999999999999E-2</v>
      </c>
      <c r="M639">
        <v>4.5600000000000002E-2</v>
      </c>
      <c r="N639">
        <v>6.4799999999999996E-2</v>
      </c>
      <c r="O639">
        <v>8.7900000000000006E-2</v>
      </c>
      <c r="P639">
        <v>0.1152</v>
      </c>
      <c r="Q639">
        <v>0.15620000000000001</v>
      </c>
      <c r="R639">
        <v>0.21659999999999999</v>
      </c>
      <c r="S639">
        <v>0.25190000000000001</v>
      </c>
      <c r="T639">
        <v>0.32450000000000001</v>
      </c>
      <c r="U639">
        <v>0.37880000000000003</v>
      </c>
      <c r="V639">
        <v>0.38119999999999998</v>
      </c>
      <c r="W639">
        <v>0.65649999999999997</v>
      </c>
      <c r="AM639" t="str">
        <f>""</f>
        <v/>
      </c>
      <c r="AN639" t="str">
        <f>""</f>
        <v/>
      </c>
      <c r="AO639" t="str">
        <f>""</f>
        <v/>
      </c>
      <c r="AP639" t="str">
        <f>""</f>
        <v/>
      </c>
      <c r="AQ639" t="str">
        <f>""</f>
        <v/>
      </c>
      <c r="AR639" t="str">
        <f>""</f>
        <v/>
      </c>
      <c r="AS639" t="str">
        <f>""</f>
        <v/>
      </c>
      <c r="AT639" t="str">
        <f>""</f>
        <v/>
      </c>
      <c r="AU639" t="str">
        <f>""</f>
        <v/>
      </c>
      <c r="AV639" t="str">
        <f>""</f>
        <v/>
      </c>
      <c r="AW639" t="str">
        <f>""</f>
        <v/>
      </c>
      <c r="AX639" t="str">
        <f>""</f>
        <v/>
      </c>
      <c r="AY639" t="str">
        <f>""</f>
        <v/>
      </c>
      <c r="AZ639" t="str">
        <f>""</f>
        <v/>
      </c>
      <c r="BA639" t="str">
        <f>""</f>
        <v/>
      </c>
      <c r="BB639" t="str">
        <f>""</f>
        <v/>
      </c>
      <c r="BC639" t="str">
        <f>""</f>
        <v/>
      </c>
      <c r="BD639" t="str">
        <f>""</f>
        <v/>
      </c>
      <c r="BE639" t="str">
        <f>""</f>
        <v/>
      </c>
      <c r="BF639" t="str">
        <f>""</f>
        <v/>
      </c>
      <c r="BG639" t="str">
        <f>""</f>
        <v/>
      </c>
      <c r="BH639" t="str">
        <f>""</f>
        <v/>
      </c>
      <c r="BI639" t="str">
        <f>""</f>
        <v/>
      </c>
      <c r="BJ639" t="str">
        <f>""</f>
        <v/>
      </c>
      <c r="BK639" t="str">
        <f>""</f>
        <v/>
      </c>
      <c r="BL639" t="str">
        <f>""</f>
        <v/>
      </c>
      <c r="BM639" t="str">
        <f>""</f>
        <v/>
      </c>
      <c r="BN639" t="str">
        <f>""</f>
        <v/>
      </c>
      <c r="BO639" t="str">
        <f>""</f>
        <v/>
      </c>
      <c r="BP639" t="str">
        <f>""</f>
        <v/>
      </c>
      <c r="BQ639" t="str">
        <f>""</f>
        <v/>
      </c>
      <c r="BR639" t="str">
        <f>""</f>
        <v/>
      </c>
      <c r="BS639" t="str">
        <f>""</f>
        <v/>
      </c>
    </row>
    <row r="640" spans="1:71" x14ac:dyDescent="0.25">
      <c r="A640" t="str">
        <f>$A$233</f>
        <v xml:space="preserve">    KeyCorp</v>
      </c>
      <c r="B640" t="str">
        <f>$B$233</f>
        <v>KEY US Equity</v>
      </c>
      <c r="C640" t="str">
        <f>$C$233</f>
        <v>F0116</v>
      </c>
      <c r="D640" t="str">
        <f>$D$233</f>
        <v>FED_OTHER_LEASES_%_TOT_LNS_LEAS</v>
      </c>
      <c r="E640" t="str">
        <f>$E$233</f>
        <v>Dynamic</v>
      </c>
      <c r="F640">
        <f ca="1">_xll.BDH($B$233,$C$233,$B$425,$B$426,CONCATENATE("Per=",$B$423),"Dts=H","Dir=H",CONCATENATE("Points=",$B$424),"Sort=R","Days=A","Fill=B",CONCATENATE("FX=", $B$422),"cols=33;rows=1")</f>
        <v>2.5977000000000001</v>
      </c>
      <c r="G640">
        <v>3.1057999999999999</v>
      </c>
      <c r="H640">
        <v>3.2875000000000001</v>
      </c>
      <c r="I640">
        <v>3.8713000000000002</v>
      </c>
      <c r="J640">
        <v>4.2511999999999999</v>
      </c>
      <c r="K640">
        <v>4.8430999999999997</v>
      </c>
      <c r="L640">
        <v>5.0151000000000003</v>
      </c>
      <c r="M640">
        <v>5.4286000000000003</v>
      </c>
      <c r="N640">
        <v>5.2782</v>
      </c>
      <c r="O640">
        <v>6.4678000000000004</v>
      </c>
      <c r="P640">
        <v>7.0640999999999998</v>
      </c>
      <c r="Q640">
        <v>7.6574</v>
      </c>
      <c r="R640">
        <v>8.3992000000000004</v>
      </c>
      <c r="S640">
        <v>10.8124</v>
      </c>
      <c r="T640">
        <v>11.358599999999999</v>
      </c>
      <c r="U640">
        <v>11.8528</v>
      </c>
      <c r="V640">
        <v>11.6676</v>
      </c>
      <c r="W640">
        <v>13.4694</v>
      </c>
      <c r="AM640" t="str">
        <f>""</f>
        <v/>
      </c>
      <c r="AN640" t="str">
        <f>""</f>
        <v/>
      </c>
      <c r="AO640" t="str">
        <f>""</f>
        <v/>
      </c>
      <c r="AP640" t="str">
        <f>""</f>
        <v/>
      </c>
      <c r="AQ640" t="str">
        <f>""</f>
        <v/>
      </c>
      <c r="AR640" t="str">
        <f>""</f>
        <v/>
      </c>
      <c r="AS640" t="str">
        <f>""</f>
        <v/>
      </c>
      <c r="AT640" t="str">
        <f>""</f>
        <v/>
      </c>
      <c r="AU640" t="str">
        <f>""</f>
        <v/>
      </c>
      <c r="AV640" t="str">
        <f>""</f>
        <v/>
      </c>
      <c r="AW640" t="str">
        <f>""</f>
        <v/>
      </c>
      <c r="AX640" t="str">
        <f>""</f>
        <v/>
      </c>
      <c r="AY640" t="str">
        <f>""</f>
        <v/>
      </c>
      <c r="AZ640" t="str">
        <f>""</f>
        <v/>
      </c>
      <c r="BA640" t="str">
        <f>""</f>
        <v/>
      </c>
      <c r="BB640" t="str">
        <f>""</f>
        <v/>
      </c>
      <c r="BC640" t="str">
        <f>""</f>
        <v/>
      </c>
      <c r="BD640" t="str">
        <f>""</f>
        <v/>
      </c>
      <c r="BE640" t="str">
        <f>""</f>
        <v/>
      </c>
      <c r="BF640" t="str">
        <f>""</f>
        <v/>
      </c>
      <c r="BG640" t="str">
        <f>""</f>
        <v/>
      </c>
      <c r="BH640" t="str">
        <f>""</f>
        <v/>
      </c>
      <c r="BI640" t="str">
        <f>""</f>
        <v/>
      </c>
      <c r="BJ640" t="str">
        <f>""</f>
        <v/>
      </c>
      <c r="BK640" t="str">
        <f>""</f>
        <v/>
      </c>
      <c r="BL640" t="str">
        <f>""</f>
        <v/>
      </c>
      <c r="BM640" t="str">
        <f>""</f>
        <v/>
      </c>
      <c r="BN640" t="str">
        <f>""</f>
        <v/>
      </c>
      <c r="BO640" t="str">
        <f>""</f>
        <v/>
      </c>
      <c r="BP640" t="str">
        <f>""</f>
        <v/>
      </c>
      <c r="BQ640" t="str">
        <f>""</f>
        <v/>
      </c>
      <c r="BR640" t="str">
        <f>""</f>
        <v/>
      </c>
      <c r="BS640" t="str">
        <f>""</f>
        <v/>
      </c>
    </row>
    <row r="641" spans="1:71" x14ac:dyDescent="0.25">
      <c r="A641" t="str">
        <f>$A$234</f>
        <v xml:space="preserve">    M&amp;T Bank Corp</v>
      </c>
      <c r="B641" t="str">
        <f>$B$234</f>
        <v>MTB US Equity</v>
      </c>
      <c r="C641" t="str">
        <f>$C$234</f>
        <v>F0116</v>
      </c>
      <c r="D641" t="str">
        <f>$D$234</f>
        <v>FED_OTHER_LEASES_%_TOT_LNS_LEAS</v>
      </c>
      <c r="E641" t="str">
        <f>$E$234</f>
        <v>Dynamic</v>
      </c>
      <c r="F641">
        <f ca="1">_xll.BDH($B$234,$C$234,$B$425,$B$426,CONCATENATE("Per=",$B$423),"Dts=H","Dir=H",CONCATENATE("Points=",$B$424),"Sort=R","Days=A","Fill=B",CONCATENATE("FX=", $B$422),"cols=33;rows=1")</f>
        <v>2.0203000000000002</v>
      </c>
      <c r="G641">
        <v>1.9014</v>
      </c>
      <c r="H641">
        <v>1.8347</v>
      </c>
      <c r="I641">
        <v>1.0792999999999999</v>
      </c>
      <c r="J641">
        <v>1.1516999999999999</v>
      </c>
      <c r="K641">
        <v>1.401</v>
      </c>
      <c r="L641">
        <v>1.4273</v>
      </c>
      <c r="M641">
        <v>1.4541999999999999</v>
      </c>
      <c r="N641">
        <v>1.4014</v>
      </c>
      <c r="O641">
        <v>1.3818999999999999</v>
      </c>
      <c r="P641">
        <v>1.784</v>
      </c>
      <c r="Q641">
        <v>1.9316</v>
      </c>
      <c r="R641">
        <v>1.9350000000000001</v>
      </c>
      <c r="S641">
        <v>2.2048999999999999</v>
      </c>
      <c r="T641">
        <v>2.6959</v>
      </c>
      <c r="U641">
        <v>3.0390999999999999</v>
      </c>
      <c r="V641">
        <v>2.9167000000000001</v>
      </c>
      <c r="W641">
        <v>2.819</v>
      </c>
      <c r="AM641" t="str">
        <f>""</f>
        <v/>
      </c>
      <c r="AN641" t="str">
        <f>""</f>
        <v/>
      </c>
      <c r="AO641" t="str">
        <f>""</f>
        <v/>
      </c>
      <c r="AP641" t="str">
        <f>""</f>
        <v/>
      </c>
      <c r="AQ641" t="str">
        <f>""</f>
        <v/>
      </c>
      <c r="AR641" t="str">
        <f>""</f>
        <v/>
      </c>
      <c r="AS641" t="str">
        <f>""</f>
        <v/>
      </c>
      <c r="AT641" t="str">
        <f>""</f>
        <v/>
      </c>
      <c r="AU641" t="str">
        <f>""</f>
        <v/>
      </c>
      <c r="AV641" t="str">
        <f>""</f>
        <v/>
      </c>
      <c r="AW641" t="str">
        <f>""</f>
        <v/>
      </c>
      <c r="AX641" t="str">
        <f>""</f>
        <v/>
      </c>
      <c r="AY641" t="str">
        <f>""</f>
        <v/>
      </c>
      <c r="AZ641" t="str">
        <f>""</f>
        <v/>
      </c>
      <c r="BA641" t="str">
        <f>""</f>
        <v/>
      </c>
      <c r="BB641" t="str">
        <f>""</f>
        <v/>
      </c>
      <c r="BC641" t="str">
        <f>""</f>
        <v/>
      </c>
      <c r="BD641" t="str">
        <f>""</f>
        <v/>
      </c>
      <c r="BE641" t="str">
        <f>""</f>
        <v/>
      </c>
      <c r="BF641" t="str">
        <f>""</f>
        <v/>
      </c>
      <c r="BG641" t="str">
        <f>""</f>
        <v/>
      </c>
      <c r="BH641" t="str">
        <f>""</f>
        <v/>
      </c>
      <c r="BI641" t="str">
        <f>""</f>
        <v/>
      </c>
      <c r="BJ641" t="str">
        <f>""</f>
        <v/>
      </c>
      <c r="BK641" t="str">
        <f>""</f>
        <v/>
      </c>
      <c r="BL641" t="str">
        <f>""</f>
        <v/>
      </c>
      <c r="BM641" t="str">
        <f>""</f>
        <v/>
      </c>
      <c r="BN641" t="str">
        <f>""</f>
        <v/>
      </c>
      <c r="BO641" t="str">
        <f>""</f>
        <v/>
      </c>
      <c r="BP641" t="str">
        <f>""</f>
        <v/>
      </c>
      <c r="BQ641" t="str">
        <f>""</f>
        <v/>
      </c>
      <c r="BR641" t="str">
        <f>""</f>
        <v/>
      </c>
      <c r="BS641" t="str">
        <f>""</f>
        <v/>
      </c>
    </row>
    <row r="642" spans="1:71" x14ac:dyDescent="0.25">
      <c r="A642" t="str">
        <f>$A$235</f>
        <v xml:space="preserve">    PNC Financial Services Group I</v>
      </c>
      <c r="B642" t="str">
        <f>$B$235</f>
        <v>PNC US Equity</v>
      </c>
      <c r="C642" t="str">
        <f>$C$235</f>
        <v>F0116</v>
      </c>
      <c r="D642" t="str">
        <f>$D$235</f>
        <v>FED_OTHER_LEASES_%_TOT_LNS_LEAS</v>
      </c>
      <c r="E642" t="str">
        <f>$E$235</f>
        <v>Dynamic</v>
      </c>
      <c r="F642">
        <f ca="1">_xll.BDH($B$235,$C$235,$B$425,$B$426,CONCATENATE("Per=",$B$423),"Dts=H","Dir=H",CONCATENATE("Points=",$B$424),"Sort=R","Days=A","Fill=B",CONCATENATE("FX=", $B$422),"cols=33;rows=1")</f>
        <v>2.1621999999999999</v>
      </c>
      <c r="G642">
        <v>2.0514000000000001</v>
      </c>
      <c r="H642">
        <v>2.0047999999999999</v>
      </c>
      <c r="I642">
        <v>2.1173000000000002</v>
      </c>
      <c r="J642">
        <v>2.6501000000000001</v>
      </c>
      <c r="K642">
        <v>2.9788000000000001</v>
      </c>
      <c r="L642">
        <v>3.2164000000000001</v>
      </c>
      <c r="M642">
        <v>3.5619999999999998</v>
      </c>
      <c r="N642">
        <v>3.5560999999999998</v>
      </c>
      <c r="O642">
        <v>3.5848</v>
      </c>
      <c r="P642">
        <v>3.7071000000000001</v>
      </c>
      <c r="Q642">
        <v>3.8085</v>
      </c>
      <c r="R642">
        <v>3.8136000000000001</v>
      </c>
      <c r="S642">
        <v>3.9205000000000001</v>
      </c>
      <c r="T642">
        <v>3.8714</v>
      </c>
      <c r="U642">
        <v>3.6080999999999999</v>
      </c>
      <c r="V642">
        <v>3.4363000000000001</v>
      </c>
      <c r="W642">
        <v>3.0726</v>
      </c>
      <c r="AM642" t="str">
        <f>""</f>
        <v/>
      </c>
      <c r="AN642" t="str">
        <f>""</f>
        <v/>
      </c>
      <c r="AO642" t="str">
        <f>""</f>
        <v/>
      </c>
      <c r="AP642" t="str">
        <f>""</f>
        <v/>
      </c>
      <c r="AQ642" t="str">
        <f>""</f>
        <v/>
      </c>
      <c r="AR642" t="str">
        <f>""</f>
        <v/>
      </c>
      <c r="AS642" t="str">
        <f>""</f>
        <v/>
      </c>
      <c r="AT642" t="str">
        <f>""</f>
        <v/>
      </c>
      <c r="AU642" t="str">
        <f>""</f>
        <v/>
      </c>
      <c r="AV642" t="str">
        <f>""</f>
        <v/>
      </c>
      <c r="AW642" t="str">
        <f>""</f>
        <v/>
      </c>
      <c r="AX642" t="str">
        <f>""</f>
        <v/>
      </c>
      <c r="AY642" t="str">
        <f>""</f>
        <v/>
      </c>
      <c r="AZ642" t="str">
        <f>""</f>
        <v/>
      </c>
      <c r="BA642" t="str">
        <f>""</f>
        <v/>
      </c>
      <c r="BB642" t="str">
        <f>""</f>
        <v/>
      </c>
      <c r="BC642" t="str">
        <f>""</f>
        <v/>
      </c>
      <c r="BD642" t="str">
        <f>""</f>
        <v/>
      </c>
      <c r="BE642" t="str">
        <f>""</f>
        <v/>
      </c>
      <c r="BF642" t="str">
        <f>""</f>
        <v/>
      </c>
      <c r="BG642" t="str">
        <f>""</f>
        <v/>
      </c>
      <c r="BH642" t="str">
        <f>""</f>
        <v/>
      </c>
      <c r="BI642" t="str">
        <f>""</f>
        <v/>
      </c>
      <c r="BJ642" t="str">
        <f>""</f>
        <v/>
      </c>
      <c r="BK642" t="str">
        <f>""</f>
        <v/>
      </c>
      <c r="BL642" t="str">
        <f>""</f>
        <v/>
      </c>
      <c r="BM642" t="str">
        <f>""</f>
        <v/>
      </c>
      <c r="BN642" t="str">
        <f>""</f>
        <v/>
      </c>
      <c r="BO642" t="str">
        <f>""</f>
        <v/>
      </c>
      <c r="BP642" t="str">
        <f>""</f>
        <v/>
      </c>
      <c r="BQ642" t="str">
        <f>""</f>
        <v/>
      </c>
      <c r="BR642" t="str">
        <f>""</f>
        <v/>
      </c>
      <c r="BS642" t="str">
        <f>""</f>
        <v/>
      </c>
    </row>
    <row r="643" spans="1:71" x14ac:dyDescent="0.25">
      <c r="A643" t="str">
        <f>$A$236</f>
        <v xml:space="preserve">    Regions Financial Corp</v>
      </c>
      <c r="B643" t="str">
        <f>$B$236</f>
        <v>RF US Equity</v>
      </c>
      <c r="C643" t="str">
        <f>$C$236</f>
        <v>F0116</v>
      </c>
      <c r="D643" t="str">
        <f>$D$236</f>
        <v>FED_OTHER_LEASES_%_TOT_LNS_LEAS</v>
      </c>
      <c r="E643" t="str">
        <f>$E$236</f>
        <v>Dynamic</v>
      </c>
      <c r="F643">
        <f ca="1">_xll.BDH($B$236,$C$236,$B$425,$B$426,CONCATENATE("Per=",$B$423),"Dts=H","Dir=H",CONCATENATE("Points=",$B$424),"Sort=R","Days=A","Fill=B",CONCATENATE("FX=", $B$422),"cols=33;rows=1")</f>
        <v>1.7614000000000001</v>
      </c>
      <c r="G643">
        <v>1.7222999999999999</v>
      </c>
      <c r="H643">
        <v>1.6014999999999999</v>
      </c>
      <c r="I643">
        <v>1.6998</v>
      </c>
      <c r="J643">
        <v>1.8322000000000001</v>
      </c>
      <c r="K643">
        <v>1.6244000000000001</v>
      </c>
      <c r="L643">
        <v>1.4913000000000001</v>
      </c>
      <c r="M643">
        <v>1.4392</v>
      </c>
      <c r="N643">
        <v>1.2432000000000001</v>
      </c>
      <c r="O643">
        <v>1.2216</v>
      </c>
      <c r="P643">
        <v>2.3188</v>
      </c>
      <c r="Q643">
        <v>2.371</v>
      </c>
      <c r="R643">
        <v>2.1597</v>
      </c>
      <c r="S643">
        <v>1.9947999999999999</v>
      </c>
      <c r="T643">
        <v>2.173</v>
      </c>
      <c r="U643">
        <v>2.3386999999999998</v>
      </c>
      <c r="V643">
        <v>2.0594999999999999</v>
      </c>
      <c r="W643">
        <v>2.2467000000000001</v>
      </c>
      <c r="AM643" t="str">
        <f>""</f>
        <v/>
      </c>
      <c r="AN643" t="str">
        <f>""</f>
        <v/>
      </c>
      <c r="AO643" t="str">
        <f>""</f>
        <v/>
      </c>
      <c r="AP643" t="str">
        <f>""</f>
        <v/>
      </c>
      <c r="AQ643" t="str">
        <f>""</f>
        <v/>
      </c>
      <c r="AR643" t="str">
        <f>""</f>
        <v/>
      </c>
      <c r="AS643" t="str">
        <f>""</f>
        <v/>
      </c>
      <c r="AT643" t="str">
        <f>""</f>
        <v/>
      </c>
      <c r="AU643" t="str">
        <f>""</f>
        <v/>
      </c>
      <c r="AV643" t="str">
        <f>""</f>
        <v/>
      </c>
      <c r="AW643" t="str">
        <f>""</f>
        <v/>
      </c>
      <c r="AX643" t="str">
        <f>""</f>
        <v/>
      </c>
      <c r="AY643" t="str">
        <f>""</f>
        <v/>
      </c>
      <c r="AZ643" t="str">
        <f>""</f>
        <v/>
      </c>
      <c r="BA643" t="str">
        <f>""</f>
        <v/>
      </c>
      <c r="BB643" t="str">
        <f>""</f>
        <v/>
      </c>
      <c r="BC643" t="str">
        <f>""</f>
        <v/>
      </c>
      <c r="BD643" t="str">
        <f>""</f>
        <v/>
      </c>
      <c r="BE643" t="str">
        <f>""</f>
        <v/>
      </c>
      <c r="BF643" t="str">
        <f>""</f>
        <v/>
      </c>
      <c r="BG643" t="str">
        <f>""</f>
        <v/>
      </c>
      <c r="BH643" t="str">
        <f>""</f>
        <v/>
      </c>
      <c r="BI643" t="str">
        <f>""</f>
        <v/>
      </c>
      <c r="BJ643" t="str">
        <f>""</f>
        <v/>
      </c>
      <c r="BK643" t="str">
        <f>""</f>
        <v/>
      </c>
      <c r="BL643" t="str">
        <f>""</f>
        <v/>
      </c>
      <c r="BM643" t="str">
        <f>""</f>
        <v/>
      </c>
      <c r="BN643" t="str">
        <f>""</f>
        <v/>
      </c>
      <c r="BO643" t="str">
        <f>""</f>
        <v/>
      </c>
      <c r="BP643" t="str">
        <f>""</f>
        <v/>
      </c>
      <c r="BQ643" t="str">
        <f>""</f>
        <v/>
      </c>
      <c r="BR643" t="str">
        <f>""</f>
        <v/>
      </c>
      <c r="BS643" t="str">
        <f>""</f>
        <v/>
      </c>
    </row>
    <row r="644" spans="1:71" x14ac:dyDescent="0.25">
      <c r="A644" t="str">
        <f>$A$237</f>
        <v xml:space="preserve">    Truist Financial Corp</v>
      </c>
      <c r="B644" t="str">
        <f>$B$237</f>
        <v>TFC US Equity</v>
      </c>
      <c r="C644" t="str">
        <f>$C$237</f>
        <v>F0116</v>
      </c>
      <c r="D644" t="str">
        <f>$D$237</f>
        <v>FED_OTHER_LEASES_%_TOT_LNS_LEAS</v>
      </c>
      <c r="E644" t="str">
        <f>$E$237</f>
        <v>Dynamic</v>
      </c>
      <c r="F644">
        <f ca="1">_xll.BDH($B$237,$C$237,$B$425,$B$426,CONCATENATE("Per=",$B$423),"Dts=H","Dir=H",CONCATENATE("Points=",$B$424),"Sort=R","Days=A","Fill=B",CONCATENATE("FX=", $B$422),"cols=33;rows=1")</f>
        <v>0.76680000000000004</v>
      </c>
      <c r="G644">
        <v>0.91400000000000003</v>
      </c>
      <c r="H644">
        <v>0.99780000000000002</v>
      </c>
      <c r="I644">
        <v>1.6620999999999999</v>
      </c>
      <c r="J644">
        <v>1.7826</v>
      </c>
      <c r="K644">
        <v>2.0122</v>
      </c>
      <c r="L644">
        <v>1.3452999999999999</v>
      </c>
      <c r="M644">
        <v>1.3198000000000001</v>
      </c>
      <c r="N644">
        <v>1.1554</v>
      </c>
      <c r="O644">
        <v>1.1114999999999999</v>
      </c>
      <c r="P644">
        <v>0.92290000000000005</v>
      </c>
      <c r="Q644">
        <v>0.96079999999999999</v>
      </c>
      <c r="R644">
        <v>0.94110000000000005</v>
      </c>
      <c r="S644">
        <v>0.95920000000000005</v>
      </c>
      <c r="T644">
        <v>1.0793999999999999</v>
      </c>
      <c r="U644">
        <v>1.0278</v>
      </c>
      <c r="V644">
        <v>1.3318000000000001</v>
      </c>
      <c r="W644">
        <v>1.7998000000000001</v>
      </c>
      <c r="AM644" t="str">
        <f>""</f>
        <v/>
      </c>
      <c r="AN644" t="str">
        <f>""</f>
        <v/>
      </c>
      <c r="AO644" t="str">
        <f>""</f>
        <v/>
      </c>
      <c r="AP644" t="str">
        <f>""</f>
        <v/>
      </c>
      <c r="AQ644" t="str">
        <f>""</f>
        <v/>
      </c>
      <c r="AR644" t="str">
        <f>""</f>
        <v/>
      </c>
      <c r="AS644" t="str">
        <f>""</f>
        <v/>
      </c>
      <c r="AT644" t="str">
        <f>""</f>
        <v/>
      </c>
      <c r="AU644" t="str">
        <f>""</f>
        <v/>
      </c>
      <c r="AV644" t="str">
        <f>""</f>
        <v/>
      </c>
      <c r="AW644" t="str">
        <f>""</f>
        <v/>
      </c>
      <c r="AX644" t="str">
        <f>""</f>
        <v/>
      </c>
      <c r="AY644" t="str">
        <f>""</f>
        <v/>
      </c>
      <c r="AZ644" t="str">
        <f>""</f>
        <v/>
      </c>
      <c r="BA644" t="str">
        <f>""</f>
        <v/>
      </c>
      <c r="BB644" t="str">
        <f>""</f>
        <v/>
      </c>
      <c r="BC644" t="str">
        <f>""</f>
        <v/>
      </c>
      <c r="BD644" t="str">
        <f>""</f>
        <v/>
      </c>
      <c r="BE644" t="str">
        <f>""</f>
        <v/>
      </c>
      <c r="BF644" t="str">
        <f>""</f>
        <v/>
      </c>
      <c r="BG644" t="str">
        <f>""</f>
        <v/>
      </c>
      <c r="BH644" t="str">
        <f>""</f>
        <v/>
      </c>
      <c r="BI644" t="str">
        <f>""</f>
        <v/>
      </c>
      <c r="BJ644" t="str">
        <f>""</f>
        <v/>
      </c>
      <c r="BK644" t="str">
        <f>""</f>
        <v/>
      </c>
      <c r="BL644" t="str">
        <f>""</f>
        <v/>
      </c>
      <c r="BM644" t="str">
        <f>""</f>
        <v/>
      </c>
      <c r="BN644" t="str">
        <f>""</f>
        <v/>
      </c>
      <c r="BO644" t="str">
        <f>""</f>
        <v/>
      </c>
      <c r="BP644" t="str">
        <f>""</f>
        <v/>
      </c>
      <c r="BQ644" t="str">
        <f>""</f>
        <v/>
      </c>
      <c r="BR644" t="str">
        <f>""</f>
        <v/>
      </c>
      <c r="BS644" t="str">
        <f>""</f>
        <v/>
      </c>
    </row>
    <row r="645" spans="1:71" x14ac:dyDescent="0.25">
      <c r="A645" t="str">
        <f>$A$238</f>
        <v xml:space="preserve">    US Bancorp</v>
      </c>
      <c r="B645" t="str">
        <f>$B$238</f>
        <v>USB US Equity</v>
      </c>
      <c r="C645" t="str">
        <f>$C$238</f>
        <v>F0116</v>
      </c>
      <c r="D645" t="str">
        <f>$D$238</f>
        <v>FED_OTHER_LEASES_%_TOT_LNS_LEAS</v>
      </c>
      <c r="E645" t="str">
        <f>$E$238</f>
        <v>Dynamic</v>
      </c>
      <c r="F645">
        <f ca="1">_xll.BDH($B$238,$C$238,$B$425,$B$426,CONCATENATE("Per=",$B$423),"Dts=H","Dir=H",CONCATENATE("Points=",$B$424),"Sort=R","Days=A","Fill=B",CONCATENATE("FX=", $B$422),"cols=33;rows=1")</f>
        <v>1.1062000000000001</v>
      </c>
      <c r="G645">
        <v>1.1182000000000001</v>
      </c>
      <c r="H645">
        <v>1.1702999999999999</v>
      </c>
      <c r="I645">
        <v>1.5982000000000001</v>
      </c>
      <c r="J645">
        <v>1.8129</v>
      </c>
      <c r="K645">
        <v>1.8877999999999999</v>
      </c>
      <c r="L645">
        <v>1.9375</v>
      </c>
      <c r="M645">
        <v>1.9776</v>
      </c>
      <c r="N645">
        <v>1.9688000000000001</v>
      </c>
      <c r="O645">
        <v>2.0099</v>
      </c>
      <c r="P645">
        <v>2.1398000000000001</v>
      </c>
      <c r="Q645">
        <v>2.2250000000000001</v>
      </c>
      <c r="R645">
        <v>2.3832</v>
      </c>
      <c r="S645">
        <v>2.7576000000000001</v>
      </c>
      <c r="T645">
        <v>3.0283000000000002</v>
      </c>
      <c r="U645">
        <v>3.3418999999999999</v>
      </c>
      <c r="V645">
        <v>3.6452</v>
      </c>
      <c r="W645">
        <v>3.9344999999999999</v>
      </c>
      <c r="AM645" t="str">
        <f>""</f>
        <v/>
      </c>
      <c r="AN645" t="str">
        <f>""</f>
        <v/>
      </c>
      <c r="AO645" t="str">
        <f>""</f>
        <v/>
      </c>
      <c r="AP645" t="str">
        <f>""</f>
        <v/>
      </c>
      <c r="AQ645" t="str">
        <f>""</f>
        <v/>
      </c>
      <c r="AR645" t="str">
        <f>""</f>
        <v/>
      </c>
      <c r="AS645" t="str">
        <f>""</f>
        <v/>
      </c>
      <c r="AT645" t="str">
        <f>""</f>
        <v/>
      </c>
      <c r="AU645" t="str">
        <f>""</f>
        <v/>
      </c>
      <c r="AV645" t="str">
        <f>""</f>
        <v/>
      </c>
      <c r="AW645" t="str">
        <f>""</f>
        <v/>
      </c>
      <c r="AX645" t="str">
        <f>""</f>
        <v/>
      </c>
      <c r="AY645" t="str">
        <f>""</f>
        <v/>
      </c>
      <c r="AZ645" t="str">
        <f>""</f>
        <v/>
      </c>
      <c r="BA645" t="str">
        <f>""</f>
        <v/>
      </c>
      <c r="BB645" t="str">
        <f>""</f>
        <v/>
      </c>
      <c r="BC645" t="str">
        <f>""</f>
        <v/>
      </c>
      <c r="BD645" t="str">
        <f>""</f>
        <v/>
      </c>
      <c r="BE645" t="str">
        <f>""</f>
        <v/>
      </c>
      <c r="BF645" t="str">
        <f>""</f>
        <v/>
      </c>
      <c r="BG645" t="str">
        <f>""</f>
        <v/>
      </c>
      <c r="BH645" t="str">
        <f>""</f>
        <v/>
      </c>
      <c r="BI645" t="str">
        <f>""</f>
        <v/>
      </c>
      <c r="BJ645" t="str">
        <f>""</f>
        <v/>
      </c>
      <c r="BK645" t="str">
        <f>""</f>
        <v/>
      </c>
      <c r="BL645" t="str">
        <f>""</f>
        <v/>
      </c>
      <c r="BM645" t="str">
        <f>""</f>
        <v/>
      </c>
      <c r="BN645" t="str">
        <f>""</f>
        <v/>
      </c>
      <c r="BO645" t="str">
        <f>""</f>
        <v/>
      </c>
      <c r="BP645" t="str">
        <f>""</f>
        <v/>
      </c>
      <c r="BQ645" t="str">
        <f>""</f>
        <v/>
      </c>
      <c r="BR645" t="str">
        <f>""</f>
        <v/>
      </c>
      <c r="BS645" t="str">
        <f>""</f>
        <v/>
      </c>
    </row>
    <row r="646" spans="1:71" x14ac:dyDescent="0.25">
      <c r="A646" t="str">
        <f>$A$239</f>
        <v xml:space="preserve">    Wells Fargo &amp; Co</v>
      </c>
      <c r="B646" t="str">
        <f>$B$239</f>
        <v>WFC US Equity</v>
      </c>
      <c r="C646" t="str">
        <f>$C$239</f>
        <v>F0116</v>
      </c>
      <c r="D646" t="str">
        <f>$D$239</f>
        <v>FED_OTHER_LEASES_%_TOT_LNS_LEAS</v>
      </c>
      <c r="E646" t="str">
        <f>$E$239</f>
        <v>Dynamic</v>
      </c>
      <c r="F646">
        <f ca="1">_xll.BDH($B$239,$C$239,$B$425,$B$426,CONCATENATE("Per=",$B$423),"Dts=H","Dir=H",CONCATENATE("Points=",$B$424),"Sort=R","Days=A","Fill=B",CONCATENATE("FX=", $B$422),"cols=33;rows=1")</f>
        <v>1.7929999999999999</v>
      </c>
      <c r="G646">
        <v>1.7475000000000001</v>
      </c>
      <c r="H646">
        <v>1.5507</v>
      </c>
      <c r="I646">
        <v>1.6229</v>
      </c>
      <c r="J646">
        <v>1.8009999999999999</v>
      </c>
      <c r="K646">
        <v>2.0179</v>
      </c>
      <c r="L646">
        <v>2.0413000000000001</v>
      </c>
      <c r="M646">
        <v>1.9925999999999999</v>
      </c>
      <c r="N646">
        <v>1.9508000000000001</v>
      </c>
      <c r="O646">
        <v>1.327</v>
      </c>
      <c r="P646">
        <v>1.4017999999999999</v>
      </c>
      <c r="Q646">
        <v>1.4728000000000001</v>
      </c>
      <c r="R646">
        <v>1.5109999999999999</v>
      </c>
      <c r="S646">
        <v>1.6223000000000001</v>
      </c>
      <c r="T646">
        <v>1.6153999999999999</v>
      </c>
      <c r="U646">
        <v>1.6921999999999999</v>
      </c>
      <c r="V646">
        <v>1.7361</v>
      </c>
      <c r="W646">
        <v>1.5269999999999999</v>
      </c>
      <c r="AM646" t="str">
        <f>""</f>
        <v/>
      </c>
      <c r="AN646" t="str">
        <f>""</f>
        <v/>
      </c>
      <c r="AO646" t="str">
        <f>""</f>
        <v/>
      </c>
      <c r="AP646" t="str">
        <f>""</f>
        <v/>
      </c>
      <c r="AQ646" t="str">
        <f>""</f>
        <v/>
      </c>
      <c r="AR646" t="str">
        <f>""</f>
        <v/>
      </c>
      <c r="AS646" t="str">
        <f>""</f>
        <v/>
      </c>
      <c r="AT646" t="str">
        <f>""</f>
        <v/>
      </c>
      <c r="AU646" t="str">
        <f>""</f>
        <v/>
      </c>
      <c r="AV646" t="str">
        <f>""</f>
        <v/>
      </c>
      <c r="AW646" t="str">
        <f>""</f>
        <v/>
      </c>
      <c r="AX646" t="str">
        <f>""</f>
        <v/>
      </c>
      <c r="AY646" t="str">
        <f>""</f>
        <v/>
      </c>
      <c r="AZ646" t="str">
        <f>""</f>
        <v/>
      </c>
      <c r="BA646" t="str">
        <f>""</f>
        <v/>
      </c>
      <c r="BB646" t="str">
        <f>""</f>
        <v/>
      </c>
      <c r="BC646" t="str">
        <f>""</f>
        <v/>
      </c>
      <c r="BD646" t="str">
        <f>""</f>
        <v/>
      </c>
      <c r="BE646" t="str">
        <f>""</f>
        <v/>
      </c>
      <c r="BF646" t="str">
        <f>""</f>
        <v/>
      </c>
      <c r="BG646" t="str">
        <f>""</f>
        <v/>
      </c>
      <c r="BH646" t="str">
        <f>""</f>
        <v/>
      </c>
      <c r="BI646" t="str">
        <f>""</f>
        <v/>
      </c>
      <c r="BJ646" t="str">
        <f>""</f>
        <v/>
      </c>
      <c r="BK646" t="str">
        <f>""</f>
        <v/>
      </c>
      <c r="BL646" t="str">
        <f>""</f>
        <v/>
      </c>
      <c r="BM646" t="str">
        <f>""</f>
        <v/>
      </c>
      <c r="BN646" t="str">
        <f>""</f>
        <v/>
      </c>
      <c r="BO646" t="str">
        <f>""</f>
        <v/>
      </c>
      <c r="BP646" t="str">
        <f>""</f>
        <v/>
      </c>
      <c r="BQ646" t="str">
        <f>""</f>
        <v/>
      </c>
      <c r="BR646" t="str">
        <f>""</f>
        <v/>
      </c>
      <c r="BS646" t="str">
        <f>""</f>
        <v/>
      </c>
    </row>
    <row r="647" spans="1:71" x14ac:dyDescent="0.25">
      <c r="A647" t="str">
        <f>$A$240</f>
        <v xml:space="preserve">    Western Alliance Bancorp</v>
      </c>
      <c r="B647" t="str">
        <f>$B$240</f>
        <v>WAL US Equity</v>
      </c>
      <c r="C647" t="str">
        <f>$C$240</f>
        <v>F0116</v>
      </c>
      <c r="D647" t="str">
        <f>$D$240</f>
        <v>FED_OTHER_LEASES_%_TOT_LNS_LEAS</v>
      </c>
      <c r="E647" t="str">
        <f>$E$240</f>
        <v>Dynamic</v>
      </c>
      <c r="F647">
        <f ca="1">_xll.BDH($B$240,$C$240,$B$425,$B$426,CONCATENATE("Per=",$B$423),"Dts=H","Dir=H",CONCATENATE("Points=",$B$424),"Sort=R","Days=A","Fill=B",CONCATENATE("FX=", $B$422),"cols=33;rows=1")</f>
        <v>0.17380000000000001</v>
      </c>
      <c r="G647">
        <v>0.28220000000000001</v>
      </c>
      <c r="H647">
        <v>0.40050000000000002</v>
      </c>
      <c r="I647">
        <v>0.33279999999999998</v>
      </c>
      <c r="J647">
        <v>0.60860000000000003</v>
      </c>
      <c r="K647">
        <v>0.66080000000000005</v>
      </c>
      <c r="L647">
        <v>0.4007</v>
      </c>
      <c r="M647">
        <v>0.43640000000000001</v>
      </c>
      <c r="N647">
        <v>0.76290000000000002</v>
      </c>
      <c r="O647">
        <v>1.3333999999999999</v>
      </c>
      <c r="P647">
        <v>2.4485999999999999</v>
      </c>
      <c r="Q647">
        <v>3.4647000000000001</v>
      </c>
      <c r="R647">
        <v>5.0521000000000003</v>
      </c>
      <c r="S647">
        <v>4.5220000000000002</v>
      </c>
      <c r="T647">
        <v>4.4733999999999998</v>
      </c>
      <c r="U647">
        <v>2.69</v>
      </c>
      <c r="V647">
        <v>0.6794</v>
      </c>
      <c r="W647">
        <v>0.73560000000000003</v>
      </c>
      <c r="AM647" t="str">
        <f>""</f>
        <v/>
      </c>
      <c r="AN647" t="str">
        <f>""</f>
        <v/>
      </c>
      <c r="AO647" t="str">
        <f>""</f>
        <v/>
      </c>
      <c r="AP647" t="str">
        <f>""</f>
        <v/>
      </c>
      <c r="AQ647" t="str">
        <f>""</f>
        <v/>
      </c>
      <c r="AR647" t="str">
        <f>""</f>
        <v/>
      </c>
      <c r="AS647" t="str">
        <f>""</f>
        <v/>
      </c>
      <c r="AT647" t="str">
        <f>""</f>
        <v/>
      </c>
      <c r="AU647" t="str">
        <f>""</f>
        <v/>
      </c>
      <c r="AV647" t="str">
        <f>""</f>
        <v/>
      </c>
      <c r="AW647" t="str">
        <f>""</f>
        <v/>
      </c>
      <c r="AX647" t="str">
        <f>""</f>
        <v/>
      </c>
      <c r="AY647" t="str">
        <f>""</f>
        <v/>
      </c>
      <c r="AZ647" t="str">
        <f>""</f>
        <v/>
      </c>
      <c r="BA647" t="str">
        <f>""</f>
        <v/>
      </c>
      <c r="BB647" t="str">
        <f>""</f>
        <v/>
      </c>
      <c r="BC647" t="str">
        <f>""</f>
        <v/>
      </c>
      <c r="BD647" t="str">
        <f>""</f>
        <v/>
      </c>
      <c r="BE647" t="str">
        <f>""</f>
        <v/>
      </c>
      <c r="BF647" t="str">
        <f>""</f>
        <v/>
      </c>
      <c r="BG647" t="str">
        <f>""</f>
        <v/>
      </c>
      <c r="BH647" t="str">
        <f>""</f>
        <v/>
      </c>
      <c r="BI647" t="str">
        <f>""</f>
        <v/>
      </c>
      <c r="BJ647" t="str">
        <f>""</f>
        <v/>
      </c>
      <c r="BK647" t="str">
        <f>""</f>
        <v/>
      </c>
      <c r="BL647" t="str">
        <f>""</f>
        <v/>
      </c>
      <c r="BM647" t="str">
        <f>""</f>
        <v/>
      </c>
      <c r="BN647" t="str">
        <f>""</f>
        <v/>
      </c>
      <c r="BO647" t="str">
        <f>""</f>
        <v/>
      </c>
      <c r="BP647" t="str">
        <f>""</f>
        <v/>
      </c>
      <c r="BQ647" t="str">
        <f>""</f>
        <v/>
      </c>
      <c r="BR647" t="str">
        <f>""</f>
        <v/>
      </c>
      <c r="BS647" t="str">
        <f>""</f>
        <v/>
      </c>
    </row>
    <row r="648" spans="1:71" x14ac:dyDescent="0.25">
      <c r="A648" t="str">
        <f>$A$241</f>
        <v xml:space="preserve">    Zions Bancorp NA</v>
      </c>
      <c r="B648" t="str">
        <f>$B$241</f>
        <v>ZION US Equity</v>
      </c>
      <c r="C648" t="str">
        <f>$C$241</f>
        <v>F0116</v>
      </c>
      <c r="D648" t="str">
        <f>$D$241</f>
        <v>FED_OTHER_LEASES_%_TOT_LNS_LEAS</v>
      </c>
      <c r="E648" t="str">
        <f>$E$241</f>
        <v>Dynamic</v>
      </c>
      <c r="F648" t="str">
        <f ca="1">_xll.BDH($B$241,$C$241,$B$425,$B$426,CONCATENATE("Per=",$B$423),"Dts=H","Dir=H",CONCATENATE("Points=",$B$424),"Sort=R","Days=A","Fill=B",CONCATENATE("FX=", $B$422) )</f>
        <v/>
      </c>
      <c r="AM648" t="str">
        <f>""</f>
        <v/>
      </c>
      <c r="AN648" t="str">
        <f>""</f>
        <v/>
      </c>
      <c r="AO648" t="str">
        <f>""</f>
        <v/>
      </c>
      <c r="AP648" t="str">
        <f>""</f>
        <v/>
      </c>
      <c r="AQ648" t="str">
        <f>""</f>
        <v/>
      </c>
      <c r="AR648" t="str">
        <f>""</f>
        <v/>
      </c>
      <c r="AS648" t="str">
        <f>""</f>
        <v/>
      </c>
      <c r="AT648" t="str">
        <f>""</f>
        <v/>
      </c>
      <c r="AU648" t="str">
        <f>""</f>
        <v/>
      </c>
      <c r="AV648" t="str">
        <f>""</f>
        <v/>
      </c>
      <c r="AW648" t="str">
        <f>""</f>
        <v/>
      </c>
      <c r="AX648" t="str">
        <f>""</f>
        <v/>
      </c>
      <c r="AY648" t="str">
        <f>""</f>
        <v/>
      </c>
      <c r="AZ648" t="str">
        <f>""</f>
        <v/>
      </c>
      <c r="BA648" t="str">
        <f>""</f>
        <v/>
      </c>
      <c r="BB648" t="str">
        <f>""</f>
        <v/>
      </c>
      <c r="BC648" t="str">
        <f>""</f>
        <v/>
      </c>
      <c r="BD648" t="str">
        <f>""</f>
        <v/>
      </c>
      <c r="BE648" t="str">
        <f>""</f>
        <v/>
      </c>
      <c r="BF648" t="str">
        <f>""</f>
        <v/>
      </c>
      <c r="BG648" t="str">
        <f>""</f>
        <v/>
      </c>
      <c r="BH648" t="str">
        <f>""</f>
        <v/>
      </c>
      <c r="BI648" t="str">
        <f>""</f>
        <v/>
      </c>
      <c r="BJ648" t="str">
        <f>""</f>
        <v/>
      </c>
      <c r="BK648" t="str">
        <f>""</f>
        <v/>
      </c>
      <c r="BL648" t="str">
        <f>""</f>
        <v/>
      </c>
      <c r="BM648" t="str">
        <f>""</f>
        <v/>
      </c>
      <c r="BN648" t="str">
        <f>""</f>
        <v/>
      </c>
      <c r="BO648" t="str">
        <f>""</f>
        <v/>
      </c>
      <c r="BP648" t="str">
        <f>""</f>
        <v/>
      </c>
      <c r="BQ648" t="str">
        <f>""</f>
        <v/>
      </c>
      <c r="BR648" t="str">
        <f>""</f>
        <v/>
      </c>
      <c r="BS648" t="str">
        <f>""</f>
        <v/>
      </c>
    </row>
    <row r="649" spans="1:71" x14ac:dyDescent="0.25">
      <c r="A649" t="str">
        <f>$A$244</f>
        <v xml:space="preserve">        Bank of America Corp</v>
      </c>
      <c r="B649" t="str">
        <f>$B$244</f>
        <v>BAC US Equity</v>
      </c>
      <c r="C649" t="str">
        <f>$C$244</f>
        <v>F0121</v>
      </c>
      <c r="D649" t="str">
        <f>$D$244</f>
        <v>FED_CNSMR_LNS_LEAS_%_TOT_LNS_LS</v>
      </c>
      <c r="E649" t="str">
        <f>$E$244</f>
        <v>Dynamic</v>
      </c>
      <c r="F649">
        <f ca="1">_xll.BDH($B$244,$C$244,$B$425,$B$426,CONCATENATE("Per=",$B$423),"Dts=H","Dir=H",CONCATENATE("Points=",$B$424),"Sort=R","Days=A","Fill=B",CONCATENATE("FX=", $B$422),"cols=33;rows=1")</f>
        <v>16.976900000000001</v>
      </c>
      <c r="G649">
        <v>17.451000000000001</v>
      </c>
      <c r="H649">
        <v>17.1404</v>
      </c>
      <c r="I649">
        <v>16.379200000000001</v>
      </c>
      <c r="J649">
        <v>16.042400000000001</v>
      </c>
      <c r="K649">
        <v>17.032900000000001</v>
      </c>
      <c r="L649">
        <v>17.930299999999999</v>
      </c>
      <c r="M649">
        <v>17.896000000000001</v>
      </c>
      <c r="N649">
        <v>18.3687</v>
      </c>
      <c r="O649">
        <v>19.085000000000001</v>
      </c>
      <c r="P649">
        <v>19.784800000000001</v>
      </c>
      <c r="Q649">
        <v>18.9071</v>
      </c>
      <c r="R649">
        <v>19.318000000000001</v>
      </c>
      <c r="S649">
        <v>21.012699999999999</v>
      </c>
      <c r="T649">
        <v>23.9849</v>
      </c>
      <c r="U649">
        <v>18.242000000000001</v>
      </c>
      <c r="V649">
        <v>17.880099999999999</v>
      </c>
      <c r="W649">
        <v>18.031199999999998</v>
      </c>
      <c r="X649">
        <v>19.334399999999999</v>
      </c>
      <c r="Y649">
        <v>17.5547</v>
      </c>
      <c r="Z649">
        <v>17.2028</v>
      </c>
      <c r="AA649">
        <v>17.946100000000001</v>
      </c>
      <c r="AB649">
        <v>16.6678</v>
      </c>
      <c r="AC649">
        <v>15.031700000000001</v>
      </c>
      <c r="AM649" t="str">
        <f>""</f>
        <v/>
      </c>
      <c r="AN649" t="str">
        <f>""</f>
        <v/>
      </c>
      <c r="AO649" t="str">
        <f>""</f>
        <v/>
      </c>
      <c r="AP649" t="str">
        <f>""</f>
        <v/>
      </c>
      <c r="AQ649" t="str">
        <f>""</f>
        <v/>
      </c>
      <c r="AR649" t="str">
        <f>""</f>
        <v/>
      </c>
      <c r="AS649" t="str">
        <f>""</f>
        <v/>
      </c>
      <c r="AT649" t="str">
        <f>""</f>
        <v/>
      </c>
      <c r="AU649" t="str">
        <f>""</f>
        <v/>
      </c>
      <c r="AV649" t="str">
        <f>""</f>
        <v/>
      </c>
      <c r="AW649" t="str">
        <f>""</f>
        <v/>
      </c>
      <c r="AX649" t="str">
        <f>""</f>
        <v/>
      </c>
      <c r="AY649" t="str">
        <f>""</f>
        <v/>
      </c>
      <c r="AZ649" t="str">
        <f>""</f>
        <v/>
      </c>
      <c r="BA649" t="str">
        <f>""</f>
        <v/>
      </c>
      <c r="BB649" t="str">
        <f>""</f>
        <v/>
      </c>
      <c r="BC649" t="str">
        <f>""</f>
        <v/>
      </c>
      <c r="BD649" t="str">
        <f>""</f>
        <v/>
      </c>
      <c r="BE649" t="str">
        <f>""</f>
        <v/>
      </c>
      <c r="BF649" t="str">
        <f>""</f>
        <v/>
      </c>
      <c r="BG649" t="str">
        <f>""</f>
        <v/>
      </c>
      <c r="BH649" t="str">
        <f>""</f>
        <v/>
      </c>
      <c r="BI649" t="str">
        <f>""</f>
        <v/>
      </c>
      <c r="BJ649" t="str">
        <f>""</f>
        <v/>
      </c>
      <c r="BK649" t="str">
        <f>""</f>
        <v/>
      </c>
      <c r="BL649" t="str">
        <f>""</f>
        <v/>
      </c>
      <c r="BM649" t="str">
        <f>""</f>
        <v/>
      </c>
      <c r="BN649" t="str">
        <f>""</f>
        <v/>
      </c>
      <c r="BO649" t="str">
        <f>""</f>
        <v/>
      </c>
      <c r="BP649" t="str">
        <f>""</f>
        <v/>
      </c>
      <c r="BQ649" t="str">
        <f>""</f>
        <v/>
      </c>
      <c r="BR649" t="str">
        <f>""</f>
        <v/>
      </c>
      <c r="BS649" t="str">
        <f>""</f>
        <v/>
      </c>
    </row>
    <row r="650" spans="1:71" x14ac:dyDescent="0.25">
      <c r="A650" t="str">
        <f>$A$245</f>
        <v xml:space="preserve">        Citigroup Inc</v>
      </c>
      <c r="B650" t="str">
        <f>$B$245</f>
        <v>C US Equity</v>
      </c>
      <c r="C650" t="str">
        <f>$C$245</f>
        <v>F0121</v>
      </c>
      <c r="D650" t="str">
        <f>$D$245</f>
        <v>FED_CNSMR_LNS_LEAS_%_TOT_LNS_LS</v>
      </c>
      <c r="E650" t="str">
        <f>$E$245</f>
        <v>Dynamic</v>
      </c>
      <c r="F650">
        <f ca="1">_xll.BDH($B$245,$C$245,$B$425,$B$426,CONCATENATE("Per=",$B$423),"Dts=H","Dir=H",CONCATENATE("Points=",$B$424),"Sort=R","Days=A","Fill=B",CONCATENATE("FX=", $B$422),"cols=33;rows=1")</f>
        <v>26.982500000000002</v>
      </c>
      <c r="G650">
        <v>26.767399999999999</v>
      </c>
      <c r="H650">
        <v>26.038699999999999</v>
      </c>
      <c r="I650">
        <v>24.412700000000001</v>
      </c>
      <c r="J650">
        <v>24.920400000000001</v>
      </c>
      <c r="K650">
        <v>27.902999999999999</v>
      </c>
      <c r="L650">
        <v>27.257999999999999</v>
      </c>
      <c r="M650">
        <v>27.524899999999999</v>
      </c>
      <c r="N650">
        <v>27.9207</v>
      </c>
      <c r="O650">
        <v>26.061900000000001</v>
      </c>
      <c r="P650">
        <v>27.4328</v>
      </c>
      <c r="Q650">
        <v>28.2761</v>
      </c>
      <c r="R650">
        <v>28.977</v>
      </c>
      <c r="S650">
        <v>29.932400000000001</v>
      </c>
      <c r="T650">
        <v>33.370100000000001</v>
      </c>
      <c r="U650">
        <v>27.160799999999998</v>
      </c>
      <c r="V650">
        <v>27.2897</v>
      </c>
      <c r="W650">
        <v>26.205500000000001</v>
      </c>
      <c r="X650">
        <v>25.889600000000002</v>
      </c>
      <c r="Y650">
        <v>27.9495</v>
      </c>
      <c r="Z650">
        <v>31.5886</v>
      </c>
      <c r="AA650">
        <v>35.145899999999997</v>
      </c>
      <c r="AB650">
        <v>30.642900000000001</v>
      </c>
      <c r="AC650">
        <v>29.993200000000002</v>
      </c>
      <c r="AM650" t="str">
        <f>""</f>
        <v/>
      </c>
      <c r="AN650" t="str">
        <f>""</f>
        <v/>
      </c>
      <c r="AO650" t="str">
        <f>""</f>
        <v/>
      </c>
      <c r="AP650" t="str">
        <f>""</f>
        <v/>
      </c>
      <c r="AQ650" t="str">
        <f>""</f>
        <v/>
      </c>
      <c r="AR650" t="str">
        <f>""</f>
        <v/>
      </c>
      <c r="AS650" t="str">
        <f>""</f>
        <v/>
      </c>
      <c r="AT650" t="str">
        <f>""</f>
        <v/>
      </c>
      <c r="AU650" t="str">
        <f>""</f>
        <v/>
      </c>
      <c r="AV650" t="str">
        <f>""</f>
        <v/>
      </c>
      <c r="AW650" t="str">
        <f>""</f>
        <v/>
      </c>
      <c r="AX650" t="str">
        <f>""</f>
        <v/>
      </c>
      <c r="AY650" t="str">
        <f>""</f>
        <v/>
      </c>
      <c r="AZ650" t="str">
        <f>""</f>
        <v/>
      </c>
      <c r="BA650" t="str">
        <f>""</f>
        <v/>
      </c>
      <c r="BB650" t="str">
        <f>""</f>
        <v/>
      </c>
      <c r="BC650" t="str">
        <f>""</f>
        <v/>
      </c>
      <c r="BD650" t="str">
        <f>""</f>
        <v/>
      </c>
      <c r="BE650" t="str">
        <f>""</f>
        <v/>
      </c>
      <c r="BF650" t="str">
        <f>""</f>
        <v/>
      </c>
      <c r="BG650" t="str">
        <f>""</f>
        <v/>
      </c>
      <c r="BH650" t="str">
        <f>""</f>
        <v/>
      </c>
      <c r="BI650" t="str">
        <f>""</f>
        <v/>
      </c>
      <c r="BJ650" t="str">
        <f>""</f>
        <v/>
      </c>
      <c r="BK650" t="str">
        <f>""</f>
        <v/>
      </c>
      <c r="BL650" t="str">
        <f>""</f>
        <v/>
      </c>
      <c r="BM650" t="str">
        <f>""</f>
        <v/>
      </c>
      <c r="BN650" t="str">
        <f>""</f>
        <v/>
      </c>
      <c r="BO650" t="str">
        <f>""</f>
        <v/>
      </c>
      <c r="BP650" t="str">
        <f>""</f>
        <v/>
      </c>
      <c r="BQ650" t="str">
        <f>""</f>
        <v/>
      </c>
      <c r="BR650" t="str">
        <f>""</f>
        <v/>
      </c>
      <c r="BS650" t="str">
        <f>""</f>
        <v/>
      </c>
    </row>
    <row r="651" spans="1:71" x14ac:dyDescent="0.25">
      <c r="A651" t="str">
        <f>$A$246</f>
        <v xml:space="preserve">        Citizens Financial Group Inc</v>
      </c>
      <c r="B651" t="str">
        <f>$B$246</f>
        <v>CFG US Equity</v>
      </c>
      <c r="C651" t="str">
        <f>$C$246</f>
        <v>F0121</v>
      </c>
      <c r="D651" t="str">
        <f>$D$246</f>
        <v>FED_CNSMR_LNS_LEAS_%_TOT_LNS_LS</v>
      </c>
      <c r="E651" t="str">
        <f>$E$246</f>
        <v>Dynamic</v>
      </c>
      <c r="F651">
        <f ca="1">_xll.BDH($B$246,$C$246,$B$425,$B$426,CONCATENATE("Per=",$B$423),"Dts=H","Dir=H",CONCATENATE("Points=",$B$424),"Sort=R","Days=A","Fill=B",CONCATENATE("FX=", $B$422),"cols=33;rows=1")</f>
        <v>14.010199999999999</v>
      </c>
      <c r="G651">
        <v>16.450199999999999</v>
      </c>
      <c r="H651">
        <v>18.511199999999999</v>
      </c>
      <c r="I651">
        <v>23.998999999999999</v>
      </c>
      <c r="J651">
        <v>22.689800000000002</v>
      </c>
      <c r="K651">
        <v>22.524899999999999</v>
      </c>
      <c r="L651">
        <v>21.2103</v>
      </c>
      <c r="M651">
        <v>22.040099999999999</v>
      </c>
      <c r="N651">
        <v>21.0229</v>
      </c>
      <c r="O651">
        <v>20.072399999999998</v>
      </c>
      <c r="P651">
        <v>18.726400000000002</v>
      </c>
      <c r="Q651">
        <v>16.644400000000001</v>
      </c>
      <c r="R651">
        <v>16.305199999999999</v>
      </c>
      <c r="S651">
        <v>15.294499999999999</v>
      </c>
      <c r="T651">
        <v>17.0609</v>
      </c>
      <c r="U651">
        <v>18.804099999999998</v>
      </c>
      <c r="V651">
        <v>19.12</v>
      </c>
      <c r="W651">
        <v>19.759</v>
      </c>
      <c r="X651">
        <v>21.7225</v>
      </c>
      <c r="Y651">
        <v>24.9009</v>
      </c>
      <c r="Z651">
        <v>24.803599999999999</v>
      </c>
      <c r="AA651">
        <v>24.772400000000001</v>
      </c>
      <c r="AB651">
        <v>26.712199999999999</v>
      </c>
      <c r="AC651">
        <v>24.678599999999999</v>
      </c>
      <c r="AM651" t="str">
        <f>""</f>
        <v/>
      </c>
      <c r="AN651" t="str">
        <f>""</f>
        <v/>
      </c>
      <c r="AO651" t="str">
        <f>""</f>
        <v/>
      </c>
      <c r="AP651" t="str">
        <f>""</f>
        <v/>
      </c>
      <c r="AQ651" t="str">
        <f>""</f>
        <v/>
      </c>
      <c r="AR651" t="str">
        <f>""</f>
        <v/>
      </c>
      <c r="AS651" t="str">
        <f>""</f>
        <v/>
      </c>
      <c r="AT651" t="str">
        <f>""</f>
        <v/>
      </c>
      <c r="AU651" t="str">
        <f>""</f>
        <v/>
      </c>
      <c r="AV651" t="str">
        <f>""</f>
        <v/>
      </c>
      <c r="AW651" t="str">
        <f>""</f>
        <v/>
      </c>
      <c r="AX651" t="str">
        <f>""</f>
        <v/>
      </c>
      <c r="AY651" t="str">
        <f>""</f>
        <v/>
      </c>
      <c r="AZ651" t="str">
        <f>""</f>
        <v/>
      </c>
      <c r="BA651" t="str">
        <f>""</f>
        <v/>
      </c>
      <c r="BB651" t="str">
        <f>""</f>
        <v/>
      </c>
      <c r="BC651" t="str">
        <f>""</f>
        <v/>
      </c>
      <c r="BD651" t="str">
        <f>""</f>
        <v/>
      </c>
      <c r="BE651" t="str">
        <f>""</f>
        <v/>
      </c>
      <c r="BF651" t="str">
        <f>""</f>
        <v/>
      </c>
      <c r="BG651" t="str">
        <f>""</f>
        <v/>
      </c>
      <c r="BH651" t="str">
        <f>""</f>
        <v/>
      </c>
      <c r="BI651" t="str">
        <f>""</f>
        <v/>
      </c>
      <c r="BJ651" t="str">
        <f>""</f>
        <v/>
      </c>
      <c r="BK651" t="str">
        <f>""</f>
        <v/>
      </c>
      <c r="BL651" t="str">
        <f>""</f>
        <v/>
      </c>
      <c r="BM651" t="str">
        <f>""</f>
        <v/>
      </c>
      <c r="BN651" t="str">
        <f>""</f>
        <v/>
      </c>
      <c r="BO651" t="str">
        <f>""</f>
        <v/>
      </c>
      <c r="BP651" t="str">
        <f>""</f>
        <v/>
      </c>
      <c r="BQ651" t="str">
        <f>""</f>
        <v/>
      </c>
      <c r="BR651" t="str">
        <f>""</f>
        <v/>
      </c>
      <c r="BS651" t="str">
        <f>""</f>
        <v/>
      </c>
    </row>
    <row r="652" spans="1:71" x14ac:dyDescent="0.25">
      <c r="A652" t="str">
        <f>$A$247</f>
        <v xml:space="preserve">        Capital One Financial Corp</v>
      </c>
      <c r="B652" t="str">
        <f>$B$247</f>
        <v>COF US Equity</v>
      </c>
      <c r="C652" t="str">
        <f>$C$247</f>
        <v>F0121</v>
      </c>
      <c r="D652" t="str">
        <f>$D$247</f>
        <v>FED_CNSMR_LNS_LEAS_%_TOT_LNS_LS</v>
      </c>
      <c r="E652" t="str">
        <f>$E$247</f>
        <v>Dynamic</v>
      </c>
      <c r="F652">
        <f ca="1">_xll.BDH($B$247,$C$247,$B$425,$B$426,CONCATENATE("Per=",$B$423),"Dts=H","Dir=H",CONCATENATE("Points=",$B$424),"Sort=R","Days=A","Fill=B",CONCATENATE("FX=", $B$422),"cols=33;rows=1")</f>
        <v>68.974800000000002</v>
      </c>
      <c r="G652">
        <v>67.364999999999995</v>
      </c>
      <c r="H652">
        <v>65.511499999999998</v>
      </c>
      <c r="I652">
        <v>65.703999999999994</v>
      </c>
      <c r="J652">
        <v>65.647400000000005</v>
      </c>
      <c r="K652">
        <v>67.486699999999999</v>
      </c>
      <c r="L652">
        <v>66.533100000000005</v>
      </c>
      <c r="M652">
        <v>63.0989</v>
      </c>
      <c r="N652">
        <v>59.389800000000001</v>
      </c>
      <c r="O652">
        <v>57.220500000000001</v>
      </c>
      <c r="P652">
        <v>57.019199999999998</v>
      </c>
      <c r="Q652">
        <v>55.076799999999999</v>
      </c>
      <c r="R652">
        <v>55.619700000000002</v>
      </c>
      <c r="S652">
        <v>60.458300000000001</v>
      </c>
      <c r="T652">
        <v>58.743400000000001</v>
      </c>
      <c r="U652">
        <v>42.968499999999999</v>
      </c>
      <c r="V652">
        <v>51.324599999999997</v>
      </c>
      <c r="W652">
        <v>50.151000000000003</v>
      </c>
      <c r="X652">
        <v>48.547199999999997</v>
      </c>
      <c r="Y652">
        <v>73.2179</v>
      </c>
      <c r="Z652">
        <v>91.613900000000001</v>
      </c>
      <c r="AM652" t="str">
        <f>""</f>
        <v/>
      </c>
      <c r="AN652" t="str">
        <f>""</f>
        <v/>
      </c>
      <c r="AO652" t="str">
        <f>""</f>
        <v/>
      </c>
      <c r="AP652" t="str">
        <f>""</f>
        <v/>
      </c>
      <c r="AQ652" t="str">
        <f>""</f>
        <v/>
      </c>
      <c r="AR652" t="str">
        <f>""</f>
        <v/>
      </c>
      <c r="AS652" t="str">
        <f>""</f>
        <v/>
      </c>
      <c r="AT652" t="str">
        <f>""</f>
        <v/>
      </c>
      <c r="AU652" t="str">
        <f>""</f>
        <v/>
      </c>
      <c r="AV652" t="str">
        <f>""</f>
        <v/>
      </c>
      <c r="AW652" t="str">
        <f>""</f>
        <v/>
      </c>
      <c r="AX652" t="str">
        <f>""</f>
        <v/>
      </c>
      <c r="AY652" t="str">
        <f>""</f>
        <v/>
      </c>
      <c r="AZ652" t="str">
        <f>""</f>
        <v/>
      </c>
      <c r="BA652" t="str">
        <f>""</f>
        <v/>
      </c>
      <c r="BB652" t="str">
        <f>""</f>
        <v/>
      </c>
      <c r="BC652" t="str">
        <f>""</f>
        <v/>
      </c>
      <c r="BD652" t="str">
        <f>""</f>
        <v/>
      </c>
      <c r="BE652" t="str">
        <f>""</f>
        <v/>
      </c>
      <c r="BF652" t="str">
        <f>""</f>
        <v/>
      </c>
      <c r="BG652" t="str">
        <f>""</f>
        <v/>
      </c>
      <c r="BH652" t="str">
        <f>""</f>
        <v/>
      </c>
      <c r="BI652" t="str">
        <f>""</f>
        <v/>
      </c>
      <c r="BJ652" t="str">
        <f>""</f>
        <v/>
      </c>
      <c r="BK652" t="str">
        <f>""</f>
        <v/>
      </c>
      <c r="BL652" t="str">
        <f>""</f>
        <v/>
      </c>
      <c r="BM652" t="str">
        <f>""</f>
        <v/>
      </c>
      <c r="BN652" t="str">
        <f>""</f>
        <v/>
      </c>
      <c r="BO652" t="str">
        <f>""</f>
        <v/>
      </c>
      <c r="BP652" t="str">
        <f>""</f>
        <v/>
      </c>
      <c r="BQ652" t="str">
        <f>""</f>
        <v/>
      </c>
      <c r="BR652" t="str">
        <f>""</f>
        <v/>
      </c>
      <c r="BS652" t="str">
        <f>""</f>
        <v/>
      </c>
    </row>
    <row r="653" spans="1:71" x14ac:dyDescent="0.25">
      <c r="A653" t="str">
        <f>$A$248</f>
        <v xml:space="preserve">        Comerica Inc</v>
      </c>
      <c r="B653" t="str">
        <f>$B$248</f>
        <v>CMA US Equity</v>
      </c>
      <c r="C653" t="str">
        <f>$C$248</f>
        <v>F0121</v>
      </c>
      <c r="D653" t="str">
        <f>$D$248</f>
        <v>FED_CNSMR_LNS_LEAS_%_TOT_LNS_LS</v>
      </c>
      <c r="E653" t="str">
        <f>$E$248</f>
        <v>Dynamic</v>
      </c>
      <c r="F653">
        <f ca="1">_xll.BDH($B$248,$C$248,$B$425,$B$426,CONCATENATE("Per=",$B$423),"Dts=H","Dir=H",CONCATENATE("Points=",$B$424),"Sort=R","Days=A","Fill=B",CONCATENATE("FX=", $B$422),"cols=33;rows=1")</f>
        <v>0.92989999999999995</v>
      </c>
      <c r="G653">
        <v>0.96089999999999998</v>
      </c>
      <c r="H653">
        <v>0.99809999999999999</v>
      </c>
      <c r="I653">
        <v>1.1422000000000001</v>
      </c>
      <c r="J653">
        <v>1.1645000000000001</v>
      </c>
      <c r="K653">
        <v>1.1076999999999999</v>
      </c>
      <c r="L653">
        <v>1.1496999999999999</v>
      </c>
      <c r="M653">
        <v>1.2141999999999999</v>
      </c>
      <c r="N653">
        <v>1.2275</v>
      </c>
      <c r="O653">
        <v>1.3440000000000001</v>
      </c>
      <c r="P653">
        <v>1.3177000000000001</v>
      </c>
      <c r="Q653">
        <v>1.2898000000000001</v>
      </c>
      <c r="R653">
        <v>1.1415999999999999</v>
      </c>
      <c r="S653">
        <v>1.3056000000000001</v>
      </c>
      <c r="T653">
        <v>1.2744</v>
      </c>
      <c r="U653">
        <v>1.4591000000000001</v>
      </c>
      <c r="V653">
        <v>1.4782</v>
      </c>
      <c r="W653">
        <v>1.3041</v>
      </c>
      <c r="X653">
        <v>1.3133999999999999</v>
      </c>
      <c r="Y653">
        <v>1.6405000000000001</v>
      </c>
      <c r="Z653">
        <v>2.0032999999999999</v>
      </c>
      <c r="AA653">
        <v>1.9394</v>
      </c>
      <c r="AB653">
        <v>1.8597999999999999</v>
      </c>
      <c r="AC653">
        <v>2.0135000000000001</v>
      </c>
      <c r="AM653" t="str">
        <f>""</f>
        <v/>
      </c>
      <c r="AN653" t="str">
        <f>""</f>
        <v/>
      </c>
      <c r="AO653" t="str">
        <f>""</f>
        <v/>
      </c>
      <c r="AP653" t="str">
        <f>""</f>
        <v/>
      </c>
      <c r="AQ653" t="str">
        <f>""</f>
        <v/>
      </c>
      <c r="AR653" t="str">
        <f>""</f>
        <v/>
      </c>
      <c r="AS653" t="str">
        <f>""</f>
        <v/>
      </c>
      <c r="AT653" t="str">
        <f>""</f>
        <v/>
      </c>
      <c r="AU653" t="str">
        <f>""</f>
        <v/>
      </c>
      <c r="AV653" t="str">
        <f>""</f>
        <v/>
      </c>
      <c r="AW653" t="str">
        <f>""</f>
        <v/>
      </c>
      <c r="AX653" t="str">
        <f>""</f>
        <v/>
      </c>
      <c r="AY653" t="str">
        <f>""</f>
        <v/>
      </c>
      <c r="AZ653" t="str">
        <f>""</f>
        <v/>
      </c>
      <c r="BA653" t="str">
        <f>""</f>
        <v/>
      </c>
      <c r="BB653" t="str">
        <f>""</f>
        <v/>
      </c>
      <c r="BC653" t="str">
        <f>""</f>
        <v/>
      </c>
      <c r="BD653" t="str">
        <f>""</f>
        <v/>
      </c>
      <c r="BE653" t="str">
        <f>""</f>
        <v/>
      </c>
      <c r="BF653" t="str">
        <f>""</f>
        <v/>
      </c>
      <c r="BG653" t="str">
        <f>""</f>
        <v/>
      </c>
      <c r="BH653" t="str">
        <f>""</f>
        <v/>
      </c>
      <c r="BI653" t="str">
        <f>""</f>
        <v/>
      </c>
      <c r="BJ653" t="str">
        <f>""</f>
        <v/>
      </c>
      <c r="BK653" t="str">
        <f>""</f>
        <v/>
      </c>
      <c r="BL653" t="str">
        <f>""</f>
        <v/>
      </c>
      <c r="BM653" t="str">
        <f>""</f>
        <v/>
      </c>
      <c r="BN653" t="str">
        <f>""</f>
        <v/>
      </c>
      <c r="BO653" t="str">
        <f>""</f>
        <v/>
      </c>
      <c r="BP653" t="str">
        <f>""</f>
        <v/>
      </c>
      <c r="BQ653" t="str">
        <f>""</f>
        <v/>
      </c>
      <c r="BR653" t="str">
        <f>""</f>
        <v/>
      </c>
      <c r="BS653" t="str">
        <f>""</f>
        <v/>
      </c>
    </row>
    <row r="654" spans="1:71" x14ac:dyDescent="0.25">
      <c r="A654" t="str">
        <f>$A$249</f>
        <v xml:space="preserve">        East West Bancorp Inc</v>
      </c>
      <c r="B654" t="str">
        <f>$B$249</f>
        <v>EWBC US Equity</v>
      </c>
      <c r="C654" t="str">
        <f>$C$249</f>
        <v>F0121</v>
      </c>
      <c r="D654" t="str">
        <f>$D$249</f>
        <v>FED_CNSMR_LNS_LEAS_%_TOT_LNS_LS</v>
      </c>
      <c r="E654" t="str">
        <f>$E$249</f>
        <v>Dynamic</v>
      </c>
      <c r="F654">
        <f ca="1">_xll.BDH($B$249,$C$249,$B$425,$B$426,CONCATENATE("Per=",$B$423),"Dts=H","Dir=H",CONCATENATE("Points=",$B$424),"Sort=R","Days=A","Fill=B",CONCATENATE("FX=", $B$422),"cols=33;rows=1")</f>
        <v>3.6200000000000003E-2</v>
      </c>
      <c r="G654">
        <v>2.1999999999999999E-2</v>
      </c>
      <c r="H654">
        <v>2.2599999999999999E-2</v>
      </c>
      <c r="I654">
        <v>2.3199999999999998E-2</v>
      </c>
      <c r="J654">
        <v>3.5900000000000001E-2</v>
      </c>
      <c r="K654">
        <v>7.8200000000000006E-2</v>
      </c>
      <c r="L654">
        <v>0.14219999999999999</v>
      </c>
      <c r="M654">
        <v>0.22939999999999999</v>
      </c>
      <c r="N654">
        <v>0.34389999999999998</v>
      </c>
      <c r="O654">
        <v>0.34</v>
      </c>
      <c r="P654">
        <v>0.23699999999999999</v>
      </c>
      <c r="Q654">
        <v>4.6749000000000001</v>
      </c>
      <c r="R654">
        <v>4.0852000000000004</v>
      </c>
      <c r="S654">
        <v>3.7237</v>
      </c>
      <c r="T654">
        <v>4.8273999999999999</v>
      </c>
      <c r="U654">
        <v>2.8227000000000002</v>
      </c>
      <c r="V654">
        <v>0.33389999999999997</v>
      </c>
      <c r="W654">
        <v>0.34329999999999999</v>
      </c>
      <c r="X654">
        <v>0.18690000000000001</v>
      </c>
      <c r="Y654">
        <v>0.27760000000000001</v>
      </c>
      <c r="Z654">
        <v>0.32450000000000001</v>
      </c>
      <c r="AA654">
        <v>0.5917</v>
      </c>
      <c r="AB654">
        <v>0.89770000000000005</v>
      </c>
      <c r="AC654">
        <v>0.91930000000000001</v>
      </c>
      <c r="AM654" t="str">
        <f>""</f>
        <v/>
      </c>
      <c r="AN654" t="str">
        <f>""</f>
        <v/>
      </c>
      <c r="AO654" t="str">
        <f>""</f>
        <v/>
      </c>
      <c r="AP654" t="str">
        <f>""</f>
        <v/>
      </c>
      <c r="AQ654" t="str">
        <f>""</f>
        <v/>
      </c>
      <c r="AR654" t="str">
        <f>""</f>
        <v/>
      </c>
      <c r="AS654" t="str">
        <f>""</f>
        <v/>
      </c>
      <c r="AT654" t="str">
        <f>""</f>
        <v/>
      </c>
      <c r="AU654" t="str">
        <f>""</f>
        <v/>
      </c>
      <c r="AV654" t="str">
        <f>""</f>
        <v/>
      </c>
      <c r="AW654" t="str">
        <f>""</f>
        <v/>
      </c>
      <c r="AX654" t="str">
        <f>""</f>
        <v/>
      </c>
      <c r="AY654" t="str">
        <f>""</f>
        <v/>
      </c>
      <c r="AZ654" t="str">
        <f>""</f>
        <v/>
      </c>
      <c r="BA654" t="str">
        <f>""</f>
        <v/>
      </c>
      <c r="BB654" t="str">
        <f>""</f>
        <v/>
      </c>
      <c r="BC654" t="str">
        <f>""</f>
        <v/>
      </c>
      <c r="BD654" t="str">
        <f>""</f>
        <v/>
      </c>
      <c r="BE654" t="str">
        <f>""</f>
        <v/>
      </c>
      <c r="BF654" t="str">
        <f>""</f>
        <v/>
      </c>
      <c r="BG654" t="str">
        <f>""</f>
        <v/>
      </c>
      <c r="BH654" t="str">
        <f>""</f>
        <v/>
      </c>
      <c r="BI654" t="str">
        <f>""</f>
        <v/>
      </c>
      <c r="BJ654" t="str">
        <f>""</f>
        <v/>
      </c>
      <c r="BK654" t="str">
        <f>""</f>
        <v/>
      </c>
      <c r="BL654" t="str">
        <f>""</f>
        <v/>
      </c>
      <c r="BM654" t="str">
        <f>""</f>
        <v/>
      </c>
      <c r="BN654" t="str">
        <f>""</f>
        <v/>
      </c>
      <c r="BO654" t="str">
        <f>""</f>
        <v/>
      </c>
      <c r="BP654" t="str">
        <f>""</f>
        <v/>
      </c>
      <c r="BQ654" t="str">
        <f>""</f>
        <v/>
      </c>
      <c r="BR654" t="str">
        <f>""</f>
        <v/>
      </c>
      <c r="BS654" t="str">
        <f>""</f>
        <v/>
      </c>
    </row>
    <row r="655" spans="1:71" x14ac:dyDescent="0.25">
      <c r="A655" t="str">
        <f>$A$250</f>
        <v xml:space="preserve">        Fifth Third Bancorp</v>
      </c>
      <c r="B655" t="str">
        <f>$B$250</f>
        <v>FITB US Equity</v>
      </c>
      <c r="C655" t="str">
        <f>$C$250</f>
        <v>F0121</v>
      </c>
      <c r="D655" t="str">
        <f>$D$250</f>
        <v>FED_CNSMR_LNS_LEAS_%_TOT_LNS_LS</v>
      </c>
      <c r="E655" t="str">
        <f>$E$250</f>
        <v>Dynamic</v>
      </c>
      <c r="F655">
        <f ca="1">_xll.BDH($B$250,$C$250,$B$425,$B$426,CONCATENATE("Per=",$B$423),"Dts=H","Dir=H",CONCATENATE("Points=",$B$424),"Sort=R","Days=A","Fill=B",CONCATENATE("FX=", $B$422),"cols=33;rows=1")</f>
        <v>20.596</v>
      </c>
      <c r="G655">
        <v>20.061699999999998</v>
      </c>
      <c r="H655">
        <v>19.1875</v>
      </c>
      <c r="I655">
        <v>18.397300000000001</v>
      </c>
      <c r="J655">
        <v>16.395700000000001</v>
      </c>
      <c r="K655">
        <v>15.185</v>
      </c>
      <c r="L655">
        <v>14.4847</v>
      </c>
      <c r="M655">
        <v>14.0707</v>
      </c>
      <c r="N655">
        <v>14.0661</v>
      </c>
      <c r="O655">
        <v>15.7036</v>
      </c>
      <c r="P655">
        <v>16.5855</v>
      </c>
      <c r="Q655">
        <v>16.617100000000001</v>
      </c>
      <c r="R655">
        <v>16.3751</v>
      </c>
      <c r="S655">
        <v>16.877199999999998</v>
      </c>
      <c r="T655">
        <v>16.9772</v>
      </c>
      <c r="U655">
        <v>14.835000000000001</v>
      </c>
      <c r="V655">
        <v>13.511100000000001</v>
      </c>
      <c r="W655">
        <v>16.896599999999999</v>
      </c>
      <c r="X655">
        <v>15.530099999999999</v>
      </c>
      <c r="Y655">
        <v>15.4717</v>
      </c>
      <c r="Z655">
        <v>15.209899999999999</v>
      </c>
      <c r="AA655">
        <v>18.256699999999999</v>
      </c>
      <c r="AB655">
        <v>14.280799999999999</v>
      </c>
      <c r="AC655">
        <v>12.238099999999999</v>
      </c>
      <c r="AM655" t="str">
        <f>""</f>
        <v/>
      </c>
      <c r="AN655" t="str">
        <f>""</f>
        <v/>
      </c>
      <c r="AO655" t="str">
        <f>""</f>
        <v/>
      </c>
      <c r="AP655" t="str">
        <f>""</f>
        <v/>
      </c>
      <c r="AQ655" t="str">
        <f>""</f>
        <v/>
      </c>
      <c r="AR655" t="str">
        <f>""</f>
        <v/>
      </c>
      <c r="AS655" t="str">
        <f>""</f>
        <v/>
      </c>
      <c r="AT655" t="str">
        <f>""</f>
        <v/>
      </c>
      <c r="AU655" t="str">
        <f>""</f>
        <v/>
      </c>
      <c r="AV655" t="str">
        <f>""</f>
        <v/>
      </c>
      <c r="AW655" t="str">
        <f>""</f>
        <v/>
      </c>
      <c r="AX655" t="str">
        <f>""</f>
        <v/>
      </c>
      <c r="AY655" t="str">
        <f>""</f>
        <v/>
      </c>
      <c r="AZ655" t="str">
        <f>""</f>
        <v/>
      </c>
      <c r="BA655" t="str">
        <f>""</f>
        <v/>
      </c>
      <c r="BB655" t="str">
        <f>""</f>
        <v/>
      </c>
      <c r="BC655" t="str">
        <f>""</f>
        <v/>
      </c>
      <c r="BD655" t="str">
        <f>""</f>
        <v/>
      </c>
      <c r="BE655" t="str">
        <f>""</f>
        <v/>
      </c>
      <c r="BF655" t="str">
        <f>""</f>
        <v/>
      </c>
      <c r="BG655" t="str">
        <f>""</f>
        <v/>
      </c>
      <c r="BH655" t="str">
        <f>""</f>
        <v/>
      </c>
      <c r="BI655" t="str">
        <f>""</f>
        <v/>
      </c>
      <c r="BJ655" t="str">
        <f>""</f>
        <v/>
      </c>
      <c r="BK655" t="str">
        <f>""</f>
        <v/>
      </c>
      <c r="BL655" t="str">
        <f>""</f>
        <v/>
      </c>
      <c r="BM655" t="str">
        <f>""</f>
        <v/>
      </c>
      <c r="BN655" t="str">
        <f>""</f>
        <v/>
      </c>
      <c r="BO655" t="str">
        <f>""</f>
        <v/>
      </c>
      <c r="BP655" t="str">
        <f>""</f>
        <v/>
      </c>
      <c r="BQ655" t="str">
        <f>""</f>
        <v/>
      </c>
      <c r="BR655" t="str">
        <f>""</f>
        <v/>
      </c>
      <c r="BS655" t="str">
        <f>""</f>
        <v/>
      </c>
    </row>
    <row r="656" spans="1:71" x14ac:dyDescent="0.25">
      <c r="A656" t="str">
        <f>$A$251</f>
        <v xml:space="preserve">        First Citizens BancShares Inc/</v>
      </c>
      <c r="B656" t="str">
        <f>$B$251</f>
        <v>FCNCA US Equity</v>
      </c>
      <c r="C656" t="str">
        <f>$C$251</f>
        <v>F0121</v>
      </c>
      <c r="D656" t="str">
        <f>$D$251</f>
        <v>FED_CNSMR_LNS_LEAS_%_TOT_LNS_LS</v>
      </c>
      <c r="E656" t="str">
        <f>$E$251</f>
        <v>Dynamic</v>
      </c>
      <c r="F656">
        <f ca="1">_xll.BDH($B$251,$C$251,$B$425,$B$426,CONCATENATE("Per=",$B$423),"Dts=H","Dir=H",CONCATENATE("Points=",$B$424),"Sort=R","Days=A","Fill=B",CONCATENATE("FX=", $B$422),"cols=33;rows=1")</f>
        <v>1.9287000000000001</v>
      </c>
      <c r="G656">
        <v>1.9631000000000001</v>
      </c>
      <c r="H656">
        <v>2.9178999999999999</v>
      </c>
      <c r="I656">
        <v>5.7881</v>
      </c>
      <c r="J656">
        <v>5.4950000000000001</v>
      </c>
      <c r="K656">
        <v>6.1525999999999996</v>
      </c>
      <c r="L656">
        <v>6.7088000000000001</v>
      </c>
      <c r="M656">
        <v>6.6109999999999998</v>
      </c>
      <c r="N656">
        <v>6.6380999999999997</v>
      </c>
      <c r="O656">
        <v>6.0202</v>
      </c>
      <c r="P656">
        <v>5.9493999999999998</v>
      </c>
      <c r="Q656">
        <v>2.9382999999999999</v>
      </c>
      <c r="R656">
        <v>3.1055999999999999</v>
      </c>
      <c r="S656">
        <v>3.5777000000000001</v>
      </c>
      <c r="T656">
        <v>4.9082999999999997</v>
      </c>
      <c r="U656">
        <v>7.3455000000000004</v>
      </c>
      <c r="V656">
        <v>10.521800000000001</v>
      </c>
      <c r="W656">
        <v>12.4794</v>
      </c>
      <c r="X656">
        <v>13.251200000000001</v>
      </c>
      <c r="Y656">
        <v>13.6387</v>
      </c>
      <c r="Z656">
        <v>14.8803</v>
      </c>
      <c r="AA656">
        <v>15.6523</v>
      </c>
      <c r="AB656">
        <v>15.1434</v>
      </c>
      <c r="AC656">
        <v>14.9274</v>
      </c>
      <c r="AM656" t="str">
        <f>""</f>
        <v/>
      </c>
      <c r="AN656" t="str">
        <f>""</f>
        <v/>
      </c>
      <c r="AO656" t="str">
        <f>""</f>
        <v/>
      </c>
      <c r="AP656" t="str">
        <f>""</f>
        <v/>
      </c>
      <c r="AQ656" t="str">
        <f>""</f>
        <v/>
      </c>
      <c r="AR656" t="str">
        <f>""</f>
        <v/>
      </c>
      <c r="AS656" t="str">
        <f>""</f>
        <v/>
      </c>
      <c r="AT656" t="str">
        <f>""</f>
        <v/>
      </c>
      <c r="AU656" t="str">
        <f>""</f>
        <v/>
      </c>
      <c r="AV656" t="str">
        <f>""</f>
        <v/>
      </c>
      <c r="AW656" t="str">
        <f>""</f>
        <v/>
      </c>
      <c r="AX656" t="str">
        <f>""</f>
        <v/>
      </c>
      <c r="AY656" t="str">
        <f>""</f>
        <v/>
      </c>
      <c r="AZ656" t="str">
        <f>""</f>
        <v/>
      </c>
      <c r="BA656" t="str">
        <f>""</f>
        <v/>
      </c>
      <c r="BB656" t="str">
        <f>""</f>
        <v/>
      </c>
      <c r="BC656" t="str">
        <f>""</f>
        <v/>
      </c>
      <c r="BD656" t="str">
        <f>""</f>
        <v/>
      </c>
      <c r="BE656" t="str">
        <f>""</f>
        <v/>
      </c>
      <c r="BF656" t="str">
        <f>""</f>
        <v/>
      </c>
      <c r="BG656" t="str">
        <f>""</f>
        <v/>
      </c>
      <c r="BH656" t="str">
        <f>""</f>
        <v/>
      </c>
      <c r="BI656" t="str">
        <f>""</f>
        <v/>
      </c>
      <c r="BJ656" t="str">
        <f>""</f>
        <v/>
      </c>
      <c r="BK656" t="str">
        <f>""</f>
        <v/>
      </c>
      <c r="BL656" t="str">
        <f>""</f>
        <v/>
      </c>
      <c r="BM656" t="str">
        <f>""</f>
        <v/>
      </c>
      <c r="BN656" t="str">
        <f>""</f>
        <v/>
      </c>
      <c r="BO656" t="str">
        <f>""</f>
        <v/>
      </c>
      <c r="BP656" t="str">
        <f>""</f>
        <v/>
      </c>
      <c r="BQ656" t="str">
        <f>""</f>
        <v/>
      </c>
      <c r="BR656" t="str">
        <f>""</f>
        <v/>
      </c>
      <c r="BS656" t="str">
        <f>""</f>
        <v/>
      </c>
    </row>
    <row r="657" spans="1:71" x14ac:dyDescent="0.25">
      <c r="A657" t="str">
        <f>$A$252</f>
        <v xml:space="preserve">        Flagstar Financial Inc</v>
      </c>
      <c r="B657" t="str">
        <f>$B$252</f>
        <v>FLG US Equity</v>
      </c>
      <c r="C657" t="str">
        <f>$C$252</f>
        <v>F0121</v>
      </c>
      <c r="D657" t="str">
        <f>$D$252</f>
        <v>FED_CNSMR_LNS_LEAS_%_TOT_LNS_LS</v>
      </c>
      <c r="E657" t="str">
        <f>$E$252</f>
        <v>Dynamic</v>
      </c>
      <c r="F657">
        <f ca="1">_xll.BDH($B$252,$C$252,$B$425,$B$426,CONCATENATE("Per=",$B$423),"Dts=H","Dir=H",CONCATENATE("Points=",$B$424),"Sort=R","Days=A","Fill=B",CONCATENATE("FX=", $B$422),"cols=33;rows=1")</f>
        <v>0.29930000000000001</v>
      </c>
      <c r="G657">
        <v>1.4220999999999999</v>
      </c>
      <c r="H657">
        <v>1.9414</v>
      </c>
      <c r="I657">
        <v>3.8999999999999998E-3</v>
      </c>
      <c r="J657">
        <v>4.8999999999999998E-3</v>
      </c>
      <c r="K657">
        <v>7.4999999999999997E-3</v>
      </c>
      <c r="L657">
        <v>8.5000000000000006E-3</v>
      </c>
      <c r="M657">
        <v>8.3000000000000001E-3</v>
      </c>
      <c r="N657">
        <v>1.01E-2</v>
      </c>
      <c r="O657">
        <v>1.12E-2</v>
      </c>
      <c r="P657">
        <v>4.2299999999999997E-2</v>
      </c>
      <c r="Q657">
        <v>5.2400000000000002E-2</v>
      </c>
      <c r="R657">
        <v>6.1199999999999997E-2</v>
      </c>
      <c r="S657">
        <v>7.2800000000000004E-2</v>
      </c>
      <c r="T657">
        <v>7.8200000000000006E-2</v>
      </c>
      <c r="U657">
        <v>7.2400000000000006E-2</v>
      </c>
      <c r="V657">
        <v>0.15409999999999999</v>
      </c>
      <c r="W657">
        <v>0.42</v>
      </c>
      <c r="X657">
        <v>0.1555</v>
      </c>
      <c r="Y657">
        <v>5.0700000000000002E-2</v>
      </c>
      <c r="Z657">
        <v>3.6799999999999999E-2</v>
      </c>
      <c r="AA657">
        <v>0.97740000000000005</v>
      </c>
      <c r="AB657">
        <v>0.28050000000000003</v>
      </c>
      <c r="AC657">
        <v>0.38929999999999998</v>
      </c>
      <c r="AM657" t="str">
        <f>""</f>
        <v/>
      </c>
      <c r="AN657" t="str">
        <f>""</f>
        <v/>
      </c>
      <c r="AO657" t="str">
        <f>""</f>
        <v/>
      </c>
      <c r="AP657" t="str">
        <f>""</f>
        <v/>
      </c>
      <c r="AQ657" t="str">
        <f>""</f>
        <v/>
      </c>
      <c r="AR657" t="str">
        <f>""</f>
        <v/>
      </c>
      <c r="AS657" t="str">
        <f>""</f>
        <v/>
      </c>
      <c r="AT657" t="str">
        <f>""</f>
        <v/>
      </c>
      <c r="AU657" t="str">
        <f>""</f>
        <v/>
      </c>
      <c r="AV657" t="str">
        <f>""</f>
        <v/>
      </c>
      <c r="AW657" t="str">
        <f>""</f>
        <v/>
      </c>
      <c r="AX657" t="str">
        <f>""</f>
        <v/>
      </c>
      <c r="AY657" t="str">
        <f>""</f>
        <v/>
      </c>
      <c r="AZ657" t="str">
        <f>""</f>
        <v/>
      </c>
      <c r="BA657" t="str">
        <f>""</f>
        <v/>
      </c>
      <c r="BB657" t="str">
        <f>""</f>
        <v/>
      </c>
      <c r="BC657" t="str">
        <f>""</f>
        <v/>
      </c>
      <c r="BD657" t="str">
        <f>""</f>
        <v/>
      </c>
      <c r="BE657" t="str">
        <f>""</f>
        <v/>
      </c>
      <c r="BF657" t="str">
        <f>""</f>
        <v/>
      </c>
      <c r="BG657" t="str">
        <f>""</f>
        <v/>
      </c>
      <c r="BH657" t="str">
        <f>""</f>
        <v/>
      </c>
      <c r="BI657" t="str">
        <f>""</f>
        <v/>
      </c>
      <c r="BJ657" t="str">
        <f>""</f>
        <v/>
      </c>
      <c r="BK657" t="str">
        <f>""</f>
        <v/>
      </c>
      <c r="BL657" t="str">
        <f>""</f>
        <v/>
      </c>
      <c r="BM657" t="str">
        <f>""</f>
        <v/>
      </c>
      <c r="BN657" t="str">
        <f>""</f>
        <v/>
      </c>
      <c r="BO657" t="str">
        <f>""</f>
        <v/>
      </c>
      <c r="BP657" t="str">
        <f>""</f>
        <v/>
      </c>
      <c r="BQ657" t="str">
        <f>""</f>
        <v/>
      </c>
      <c r="BR657" t="str">
        <f>""</f>
        <v/>
      </c>
      <c r="BS657" t="str">
        <f>""</f>
        <v/>
      </c>
    </row>
    <row r="658" spans="1:71" x14ac:dyDescent="0.25">
      <c r="A658" t="str">
        <f>$A$253</f>
        <v xml:space="preserve">        Huntington Bancshares Inc/OH</v>
      </c>
      <c r="B658" t="str">
        <f>$B$253</f>
        <v>HBAN US Equity</v>
      </c>
      <c r="C658" t="str">
        <f>$C$253</f>
        <v>F0121</v>
      </c>
      <c r="D658" t="str">
        <f>$D$253</f>
        <v>FED_CNSMR_LNS_LEAS_%_TOT_LNS_LS</v>
      </c>
      <c r="E658" t="str">
        <f>$E$253</f>
        <v>Dynamic</v>
      </c>
      <c r="F658">
        <f ca="1">_xll.BDH($B$253,$C$253,$B$425,$B$426,CONCATENATE("Per=",$B$423),"Dts=H","Dir=H",CONCATENATE("Points=",$B$424),"Sort=R","Days=A","Fill=B",CONCATENATE("FX=", $B$422),"cols=33;rows=1")</f>
        <v>17.392900000000001</v>
      </c>
      <c r="G658">
        <v>16.543900000000001</v>
      </c>
      <c r="H658">
        <v>17.4834</v>
      </c>
      <c r="I658">
        <v>18.357800000000001</v>
      </c>
      <c r="J658">
        <v>22.181000000000001</v>
      </c>
      <c r="K658">
        <v>23.454799999999999</v>
      </c>
      <c r="L658">
        <v>22.816800000000001</v>
      </c>
      <c r="M658">
        <v>22.760899999999999</v>
      </c>
      <c r="N658">
        <v>20.9955</v>
      </c>
      <c r="O658">
        <v>20.128900000000002</v>
      </c>
      <c r="P658">
        <v>19.2668</v>
      </c>
      <c r="Q658">
        <v>16.478400000000001</v>
      </c>
      <c r="R658">
        <v>13.105499999999999</v>
      </c>
      <c r="S658">
        <v>15.5479</v>
      </c>
      <c r="T658">
        <v>16.295400000000001</v>
      </c>
      <c r="U658">
        <v>10.864599999999999</v>
      </c>
      <c r="V658">
        <v>12.7164</v>
      </c>
      <c r="W658">
        <v>12.5191</v>
      </c>
      <c r="X658">
        <v>11.3399</v>
      </c>
      <c r="Y658">
        <v>11.210699999999999</v>
      </c>
      <c r="Z658">
        <v>10.911899999999999</v>
      </c>
      <c r="AA658">
        <v>17.164100000000001</v>
      </c>
      <c r="AB658">
        <v>18.918500000000002</v>
      </c>
      <c r="AC658">
        <v>18.275300000000001</v>
      </c>
      <c r="AM658" t="str">
        <f>""</f>
        <v/>
      </c>
      <c r="AN658" t="str">
        <f>""</f>
        <v/>
      </c>
      <c r="AO658" t="str">
        <f>""</f>
        <v/>
      </c>
      <c r="AP658" t="str">
        <f>""</f>
        <v/>
      </c>
      <c r="AQ658" t="str">
        <f>""</f>
        <v/>
      </c>
      <c r="AR658" t="str">
        <f>""</f>
        <v/>
      </c>
      <c r="AS658" t="str">
        <f>""</f>
        <v/>
      </c>
      <c r="AT658" t="str">
        <f>""</f>
        <v/>
      </c>
      <c r="AU658" t="str">
        <f>""</f>
        <v/>
      </c>
      <c r="AV658" t="str">
        <f>""</f>
        <v/>
      </c>
      <c r="AW658" t="str">
        <f>""</f>
        <v/>
      </c>
      <c r="AX658" t="str">
        <f>""</f>
        <v/>
      </c>
      <c r="AY658" t="str">
        <f>""</f>
        <v/>
      </c>
      <c r="AZ658" t="str">
        <f>""</f>
        <v/>
      </c>
      <c r="BA658" t="str">
        <f>""</f>
        <v/>
      </c>
      <c r="BB658" t="str">
        <f>""</f>
        <v/>
      </c>
      <c r="BC658" t="str">
        <f>""</f>
        <v/>
      </c>
      <c r="BD658" t="str">
        <f>""</f>
        <v/>
      </c>
      <c r="BE658" t="str">
        <f>""</f>
        <v/>
      </c>
      <c r="BF658" t="str">
        <f>""</f>
        <v/>
      </c>
      <c r="BG658" t="str">
        <f>""</f>
        <v/>
      </c>
      <c r="BH658" t="str">
        <f>""</f>
        <v/>
      </c>
      <c r="BI658" t="str">
        <f>""</f>
        <v/>
      </c>
      <c r="BJ658" t="str">
        <f>""</f>
        <v/>
      </c>
      <c r="BK658" t="str">
        <f>""</f>
        <v/>
      </c>
      <c r="BL658" t="str">
        <f>""</f>
        <v/>
      </c>
      <c r="BM658" t="str">
        <f>""</f>
        <v/>
      </c>
      <c r="BN658" t="str">
        <f>""</f>
        <v/>
      </c>
      <c r="BO658" t="str">
        <f>""</f>
        <v/>
      </c>
      <c r="BP658" t="str">
        <f>""</f>
        <v/>
      </c>
      <c r="BQ658" t="str">
        <f>""</f>
        <v/>
      </c>
      <c r="BR658" t="str">
        <f>""</f>
        <v/>
      </c>
      <c r="BS658" t="str">
        <f>""</f>
        <v/>
      </c>
    </row>
    <row r="659" spans="1:71" x14ac:dyDescent="0.25">
      <c r="A659" t="str">
        <f>$A$254</f>
        <v xml:space="preserve">        JPMorgan Chase &amp; Co</v>
      </c>
      <c r="B659" t="str">
        <f>$B$254</f>
        <v>JPM US Equity</v>
      </c>
      <c r="C659" t="str">
        <f>$C$254</f>
        <v>F0121</v>
      </c>
      <c r="D659" t="str">
        <f>$D$254</f>
        <v>FED_CNSMR_LNS_LEAS_%_TOT_LNS_LS</v>
      </c>
      <c r="E659" t="str">
        <f>$E$254</f>
        <v>Dynamic</v>
      </c>
      <c r="F659">
        <f ca="1">_xll.BDH($B$254,$C$254,$B$425,$B$426,CONCATENATE("Per=",$B$423),"Dts=H","Dir=H",CONCATENATE("Points=",$B$424),"Sort=R","Days=A","Fill=B",CONCATENATE("FX=", $B$422),"cols=33;rows=1")</f>
        <v>20.381900000000002</v>
      </c>
      <c r="G659">
        <v>20.089700000000001</v>
      </c>
      <c r="H659">
        <v>20.795400000000001</v>
      </c>
      <c r="I659">
        <v>19.389600000000002</v>
      </c>
      <c r="J659">
        <v>18.851199999999999</v>
      </c>
      <c r="K659">
        <v>21.436199999999999</v>
      </c>
      <c r="L659">
        <v>20.069800000000001</v>
      </c>
      <c r="M659">
        <v>21.003</v>
      </c>
      <c r="N659">
        <v>22.139900000000001</v>
      </c>
      <c r="O659">
        <v>22.2727</v>
      </c>
      <c r="P659">
        <v>23.784600000000001</v>
      </c>
      <c r="Q659">
        <v>23.733599999999999</v>
      </c>
      <c r="R659">
        <v>23.820399999999999</v>
      </c>
      <c r="S659">
        <v>24.549399999999999</v>
      </c>
      <c r="T659">
        <v>26.107800000000001</v>
      </c>
      <c r="U659">
        <v>19.860299999999999</v>
      </c>
      <c r="V659">
        <v>19.8933</v>
      </c>
      <c r="W659">
        <v>22.851800000000001</v>
      </c>
      <c r="X659">
        <v>26.381900000000002</v>
      </c>
      <c r="Y659">
        <v>28.703199999999999</v>
      </c>
      <c r="Z659">
        <v>26.221</v>
      </c>
      <c r="AA659">
        <v>24.714099999999998</v>
      </c>
      <c r="AB659">
        <v>24.2517</v>
      </c>
      <c r="AC659">
        <v>21.077999999999999</v>
      </c>
      <c r="AM659" t="str">
        <f>""</f>
        <v/>
      </c>
      <c r="AN659" t="str">
        <f>""</f>
        <v/>
      </c>
      <c r="AO659" t="str">
        <f>""</f>
        <v/>
      </c>
      <c r="AP659" t="str">
        <f>""</f>
        <v/>
      </c>
      <c r="AQ659" t="str">
        <f>""</f>
        <v/>
      </c>
      <c r="AR659" t="str">
        <f>""</f>
        <v/>
      </c>
      <c r="AS659" t="str">
        <f>""</f>
        <v/>
      </c>
      <c r="AT659" t="str">
        <f>""</f>
        <v/>
      </c>
      <c r="AU659" t="str">
        <f>""</f>
        <v/>
      </c>
      <c r="AV659" t="str">
        <f>""</f>
        <v/>
      </c>
      <c r="AW659" t="str">
        <f>""</f>
        <v/>
      </c>
      <c r="AX659" t="str">
        <f>""</f>
        <v/>
      </c>
      <c r="AY659" t="str">
        <f>""</f>
        <v/>
      </c>
      <c r="AZ659" t="str">
        <f>""</f>
        <v/>
      </c>
      <c r="BA659" t="str">
        <f>""</f>
        <v/>
      </c>
      <c r="BB659" t="str">
        <f>""</f>
        <v/>
      </c>
      <c r="BC659" t="str">
        <f>""</f>
        <v/>
      </c>
      <c r="BD659" t="str">
        <f>""</f>
        <v/>
      </c>
      <c r="BE659" t="str">
        <f>""</f>
        <v/>
      </c>
      <c r="BF659" t="str">
        <f>""</f>
        <v/>
      </c>
      <c r="BG659" t="str">
        <f>""</f>
        <v/>
      </c>
      <c r="BH659" t="str">
        <f>""</f>
        <v/>
      </c>
      <c r="BI659" t="str">
        <f>""</f>
        <v/>
      </c>
      <c r="BJ659" t="str">
        <f>""</f>
        <v/>
      </c>
      <c r="BK659" t="str">
        <f>""</f>
        <v/>
      </c>
      <c r="BL659" t="str">
        <f>""</f>
        <v/>
      </c>
      <c r="BM659" t="str">
        <f>""</f>
        <v/>
      </c>
      <c r="BN659" t="str">
        <f>""</f>
        <v/>
      </c>
      <c r="BO659" t="str">
        <f>""</f>
        <v/>
      </c>
      <c r="BP659" t="str">
        <f>""</f>
        <v/>
      </c>
      <c r="BQ659" t="str">
        <f>""</f>
        <v/>
      </c>
      <c r="BR659" t="str">
        <f>""</f>
        <v/>
      </c>
      <c r="BS659" t="str">
        <f>""</f>
        <v/>
      </c>
    </row>
    <row r="660" spans="1:71" x14ac:dyDescent="0.25">
      <c r="A660" t="str">
        <f>$A$255</f>
        <v xml:space="preserve">        KeyCorp</v>
      </c>
      <c r="B660" t="str">
        <f>$B$255</f>
        <v>KEY US Equity</v>
      </c>
      <c r="C660" t="str">
        <f>$C$255</f>
        <v>F0121</v>
      </c>
      <c r="D660" t="str">
        <f>$D$255</f>
        <v>FED_CNSMR_LNS_LEAS_%_TOT_LNS_LS</v>
      </c>
      <c r="E660" t="str">
        <f>$E$255</f>
        <v>Dynamic</v>
      </c>
      <c r="F660">
        <f ca="1">_xll.BDH($B$255,$C$255,$B$425,$B$426,CONCATENATE("Per=",$B$423),"Dts=H","Dir=H",CONCATENATE("Points=",$B$424),"Sort=R","Days=A","Fill=B",CONCATENATE("FX=", $B$422),"cols=33;rows=1")</f>
        <v>6.0603999999999996</v>
      </c>
      <c r="G660">
        <v>6.3964999999999996</v>
      </c>
      <c r="H660">
        <v>6.6322000000000001</v>
      </c>
      <c r="I660">
        <v>7.0011999999999999</v>
      </c>
      <c r="J660">
        <v>10.9338</v>
      </c>
      <c r="K660">
        <v>10.568300000000001</v>
      </c>
      <c r="L660">
        <v>8.3397000000000006</v>
      </c>
      <c r="M660">
        <v>8.4070999999999998</v>
      </c>
      <c r="N660">
        <v>8.4194999999999993</v>
      </c>
      <c r="O660">
        <v>7.7835000000000001</v>
      </c>
      <c r="P660">
        <v>9.0008999999999997</v>
      </c>
      <c r="Q660">
        <v>13.0366</v>
      </c>
      <c r="R660">
        <v>14.893599999999999</v>
      </c>
      <c r="S660">
        <v>15.8522</v>
      </c>
      <c r="T660">
        <v>17.5806</v>
      </c>
      <c r="U660">
        <v>12.8865</v>
      </c>
      <c r="V660">
        <v>11.5937</v>
      </c>
      <c r="W660">
        <v>11.634399999999999</v>
      </c>
      <c r="X660">
        <v>10.868499999999999</v>
      </c>
      <c r="Y660">
        <v>10.963200000000001</v>
      </c>
      <c r="Z660">
        <v>13.149800000000001</v>
      </c>
      <c r="AA660">
        <v>14.547599999999999</v>
      </c>
      <c r="AB660">
        <v>13.819699999999999</v>
      </c>
      <c r="AC660">
        <v>14.221299999999999</v>
      </c>
      <c r="AM660" t="str">
        <f>""</f>
        <v/>
      </c>
      <c r="AN660" t="str">
        <f>""</f>
        <v/>
      </c>
      <c r="AO660" t="str">
        <f>""</f>
        <v/>
      </c>
      <c r="AP660" t="str">
        <f>""</f>
        <v/>
      </c>
      <c r="AQ660" t="str">
        <f>""</f>
        <v/>
      </c>
      <c r="AR660" t="str">
        <f>""</f>
        <v/>
      </c>
      <c r="AS660" t="str">
        <f>""</f>
        <v/>
      </c>
      <c r="AT660" t="str">
        <f>""</f>
        <v/>
      </c>
      <c r="AU660" t="str">
        <f>""</f>
        <v/>
      </c>
      <c r="AV660" t="str">
        <f>""</f>
        <v/>
      </c>
      <c r="AW660" t="str">
        <f>""</f>
        <v/>
      </c>
      <c r="AX660" t="str">
        <f>""</f>
        <v/>
      </c>
      <c r="AY660" t="str">
        <f>""</f>
        <v/>
      </c>
      <c r="AZ660" t="str">
        <f>""</f>
        <v/>
      </c>
      <c r="BA660" t="str">
        <f>""</f>
        <v/>
      </c>
      <c r="BB660" t="str">
        <f>""</f>
        <v/>
      </c>
      <c r="BC660" t="str">
        <f>""</f>
        <v/>
      </c>
      <c r="BD660" t="str">
        <f>""</f>
        <v/>
      </c>
      <c r="BE660" t="str">
        <f>""</f>
        <v/>
      </c>
      <c r="BF660" t="str">
        <f>""</f>
        <v/>
      </c>
      <c r="BG660" t="str">
        <f>""</f>
        <v/>
      </c>
      <c r="BH660" t="str">
        <f>""</f>
        <v/>
      </c>
      <c r="BI660" t="str">
        <f>""</f>
        <v/>
      </c>
      <c r="BJ660" t="str">
        <f>""</f>
        <v/>
      </c>
      <c r="BK660" t="str">
        <f>""</f>
        <v/>
      </c>
      <c r="BL660" t="str">
        <f>""</f>
        <v/>
      </c>
      <c r="BM660" t="str">
        <f>""</f>
        <v/>
      </c>
      <c r="BN660" t="str">
        <f>""</f>
        <v/>
      </c>
      <c r="BO660" t="str">
        <f>""</f>
        <v/>
      </c>
      <c r="BP660" t="str">
        <f>""</f>
        <v/>
      </c>
      <c r="BQ660" t="str">
        <f>""</f>
        <v/>
      </c>
      <c r="BR660" t="str">
        <f>""</f>
        <v/>
      </c>
      <c r="BS660" t="str">
        <f>""</f>
        <v/>
      </c>
    </row>
    <row r="661" spans="1:71" x14ac:dyDescent="0.25">
      <c r="A661" t="str">
        <f>$A$256</f>
        <v xml:space="preserve">        M&amp;T Bank Corp</v>
      </c>
      <c r="B661" t="str">
        <f>$B$256</f>
        <v>MTB US Equity</v>
      </c>
      <c r="C661" t="str">
        <f>$C$256</f>
        <v>F0121</v>
      </c>
      <c r="D661" t="str">
        <f>$D$256</f>
        <v>FED_CNSMR_LNS_LEAS_%_TOT_LNS_LS</v>
      </c>
      <c r="E661" t="str">
        <f>$E$256</f>
        <v>Dynamic</v>
      </c>
      <c r="F661">
        <f ca="1">_xll.BDH($B$256,$C$256,$B$425,$B$426,CONCATENATE("Per=",$B$423),"Dts=H","Dir=H",CONCATENATE("Points=",$B$424),"Sort=R","Days=A","Fill=B",CONCATENATE("FX=", $B$422),"cols=33;rows=1")</f>
        <v>14.429500000000001</v>
      </c>
      <c r="G661">
        <v>12.0297</v>
      </c>
      <c r="H661">
        <v>11.8376</v>
      </c>
      <c r="I661">
        <v>15.5105</v>
      </c>
      <c r="J661">
        <v>12.770200000000001</v>
      </c>
      <c r="K661">
        <v>11.9899</v>
      </c>
      <c r="L661">
        <v>10.292400000000001</v>
      </c>
      <c r="M661">
        <v>9.0579000000000001</v>
      </c>
      <c r="N661">
        <v>7.1548999999999996</v>
      </c>
      <c r="O661">
        <v>6.4348000000000001</v>
      </c>
      <c r="P661">
        <v>7.4142999999999999</v>
      </c>
      <c r="Q661">
        <v>6.4809000000000001</v>
      </c>
      <c r="R661">
        <v>7.8475000000000001</v>
      </c>
      <c r="S661">
        <v>8.8800000000000008</v>
      </c>
      <c r="T661">
        <v>9.4734999999999996</v>
      </c>
      <c r="U661">
        <v>10.018800000000001</v>
      </c>
      <c r="V661">
        <v>10.8009</v>
      </c>
      <c r="W661">
        <v>12.0214</v>
      </c>
      <c r="X661">
        <v>10.371</v>
      </c>
      <c r="Y661">
        <v>12.4872</v>
      </c>
      <c r="Z661">
        <v>14.878399999999999</v>
      </c>
      <c r="AA661">
        <v>15.7044</v>
      </c>
      <c r="AB661">
        <v>16.2378</v>
      </c>
      <c r="AC661">
        <v>12.761699999999999</v>
      </c>
      <c r="AM661" t="str">
        <f>""</f>
        <v/>
      </c>
      <c r="AN661" t="str">
        <f>""</f>
        <v/>
      </c>
      <c r="AO661" t="str">
        <f>""</f>
        <v/>
      </c>
      <c r="AP661" t="str">
        <f>""</f>
        <v/>
      </c>
      <c r="AQ661" t="str">
        <f>""</f>
        <v/>
      </c>
      <c r="AR661" t="str">
        <f>""</f>
        <v/>
      </c>
      <c r="AS661" t="str">
        <f>""</f>
        <v/>
      </c>
      <c r="AT661" t="str">
        <f>""</f>
        <v/>
      </c>
      <c r="AU661" t="str">
        <f>""</f>
        <v/>
      </c>
      <c r="AV661" t="str">
        <f>""</f>
        <v/>
      </c>
      <c r="AW661" t="str">
        <f>""</f>
        <v/>
      </c>
      <c r="AX661" t="str">
        <f>""</f>
        <v/>
      </c>
      <c r="AY661" t="str">
        <f>""</f>
        <v/>
      </c>
      <c r="AZ661" t="str">
        <f>""</f>
        <v/>
      </c>
      <c r="BA661" t="str">
        <f>""</f>
        <v/>
      </c>
      <c r="BB661" t="str">
        <f>""</f>
        <v/>
      </c>
      <c r="BC661" t="str">
        <f>""</f>
        <v/>
      </c>
      <c r="BD661" t="str">
        <f>""</f>
        <v/>
      </c>
      <c r="BE661" t="str">
        <f>""</f>
        <v/>
      </c>
      <c r="BF661" t="str">
        <f>""</f>
        <v/>
      </c>
      <c r="BG661" t="str">
        <f>""</f>
        <v/>
      </c>
      <c r="BH661" t="str">
        <f>""</f>
        <v/>
      </c>
      <c r="BI661" t="str">
        <f>""</f>
        <v/>
      </c>
      <c r="BJ661" t="str">
        <f>""</f>
        <v/>
      </c>
      <c r="BK661" t="str">
        <f>""</f>
        <v/>
      </c>
      <c r="BL661" t="str">
        <f>""</f>
        <v/>
      </c>
      <c r="BM661" t="str">
        <f>""</f>
        <v/>
      </c>
      <c r="BN661" t="str">
        <f>""</f>
        <v/>
      </c>
      <c r="BO661" t="str">
        <f>""</f>
        <v/>
      </c>
      <c r="BP661" t="str">
        <f>""</f>
        <v/>
      </c>
      <c r="BQ661" t="str">
        <f>""</f>
        <v/>
      </c>
      <c r="BR661" t="str">
        <f>""</f>
        <v/>
      </c>
      <c r="BS661" t="str">
        <f>""</f>
        <v/>
      </c>
    </row>
    <row r="662" spans="1:71" x14ac:dyDescent="0.25">
      <c r="A662" t="str">
        <f>$A$257</f>
        <v xml:space="preserve">        PNC Financial Services Group I</v>
      </c>
      <c r="B662" t="str">
        <f>$B$257</f>
        <v>PNC US Equity</v>
      </c>
      <c r="C662" t="str">
        <f>$C$257</f>
        <v>F0121</v>
      </c>
      <c r="D662" t="str">
        <f>$D$257</f>
        <v>FED_CNSMR_LNS_LEAS_%_TOT_LNS_LS</v>
      </c>
      <c r="E662" t="str">
        <f>$E$257</f>
        <v>Dynamic</v>
      </c>
      <c r="F662">
        <f ca="1">_xll.BDH($B$257,$C$257,$B$425,$B$426,CONCATENATE("Per=",$B$423),"Dts=H","Dir=H",CONCATENATE("Points=",$B$424),"Sort=R","Days=A","Fill=B",CONCATENATE("FX=", $B$422),"cols=33;rows=1")</f>
        <v>8.4822000000000006</v>
      </c>
      <c r="G662">
        <v>8.4553999999999991</v>
      </c>
      <c r="H662">
        <v>8.6031999999999993</v>
      </c>
      <c r="I662">
        <v>10.5183</v>
      </c>
      <c r="J662">
        <v>11.142799999999999</v>
      </c>
      <c r="K662">
        <v>12.992699999999999</v>
      </c>
      <c r="L662">
        <v>12.433199999999999</v>
      </c>
      <c r="M662">
        <v>11.930899999999999</v>
      </c>
      <c r="N662">
        <v>12.472899999999999</v>
      </c>
      <c r="O662">
        <v>12.417</v>
      </c>
      <c r="P662">
        <v>12.860200000000001</v>
      </c>
      <c r="Q662">
        <v>13.3149</v>
      </c>
      <c r="R662">
        <v>13.235099999999999</v>
      </c>
      <c r="S662">
        <v>13.880599999999999</v>
      </c>
      <c r="T662">
        <v>13.118600000000001</v>
      </c>
      <c r="U662">
        <v>10.7333</v>
      </c>
      <c r="V662">
        <v>7.6829000000000001</v>
      </c>
      <c r="W662">
        <v>7.3708</v>
      </c>
      <c r="X662">
        <v>7.5498000000000003</v>
      </c>
      <c r="Y662">
        <v>8.1936</v>
      </c>
      <c r="Z662">
        <v>8.5526999999999997</v>
      </c>
      <c r="AA662">
        <v>7.1829999999999998</v>
      </c>
      <c r="AB662">
        <v>7.2465000000000002</v>
      </c>
      <c r="AC662">
        <v>7.9604999999999997</v>
      </c>
      <c r="AM662" t="str">
        <f>""</f>
        <v/>
      </c>
      <c r="AN662" t="str">
        <f>""</f>
        <v/>
      </c>
      <c r="AO662" t="str">
        <f>""</f>
        <v/>
      </c>
      <c r="AP662" t="str">
        <f>""</f>
        <v/>
      </c>
      <c r="AQ662" t="str">
        <f>""</f>
        <v/>
      </c>
      <c r="AR662" t="str">
        <f>""</f>
        <v/>
      </c>
      <c r="AS662" t="str">
        <f>""</f>
        <v/>
      </c>
      <c r="AT662" t="str">
        <f>""</f>
        <v/>
      </c>
      <c r="AU662" t="str">
        <f>""</f>
        <v/>
      </c>
      <c r="AV662" t="str">
        <f>""</f>
        <v/>
      </c>
      <c r="AW662" t="str">
        <f>""</f>
        <v/>
      </c>
      <c r="AX662" t="str">
        <f>""</f>
        <v/>
      </c>
      <c r="AY662" t="str">
        <f>""</f>
        <v/>
      </c>
      <c r="AZ662" t="str">
        <f>""</f>
        <v/>
      </c>
      <c r="BA662" t="str">
        <f>""</f>
        <v/>
      </c>
      <c r="BB662" t="str">
        <f>""</f>
        <v/>
      </c>
      <c r="BC662" t="str">
        <f>""</f>
        <v/>
      </c>
      <c r="BD662" t="str">
        <f>""</f>
        <v/>
      </c>
      <c r="BE662" t="str">
        <f>""</f>
        <v/>
      </c>
      <c r="BF662" t="str">
        <f>""</f>
        <v/>
      </c>
      <c r="BG662" t="str">
        <f>""</f>
        <v/>
      </c>
      <c r="BH662" t="str">
        <f>""</f>
        <v/>
      </c>
      <c r="BI662" t="str">
        <f>""</f>
        <v/>
      </c>
      <c r="BJ662" t="str">
        <f>""</f>
        <v/>
      </c>
      <c r="BK662" t="str">
        <f>""</f>
        <v/>
      </c>
      <c r="BL662" t="str">
        <f>""</f>
        <v/>
      </c>
      <c r="BM662" t="str">
        <f>""</f>
        <v/>
      </c>
      <c r="BN662" t="str">
        <f>""</f>
        <v/>
      </c>
      <c r="BO662" t="str">
        <f>""</f>
        <v/>
      </c>
      <c r="BP662" t="str">
        <f>""</f>
        <v/>
      </c>
      <c r="BQ662" t="str">
        <f>""</f>
        <v/>
      </c>
      <c r="BR662" t="str">
        <f>""</f>
        <v/>
      </c>
      <c r="BS662" t="str">
        <f>""</f>
        <v/>
      </c>
    </row>
    <row r="663" spans="1:71" x14ac:dyDescent="0.25">
      <c r="A663" t="str">
        <f>$A$258</f>
        <v xml:space="preserve">        Regions Financial Corp</v>
      </c>
      <c r="B663" t="str">
        <f>$B$258</f>
        <v>RF US Equity</v>
      </c>
      <c r="C663" t="str">
        <f>$C$258</f>
        <v>F0121</v>
      </c>
      <c r="D663" t="str">
        <f>$D$258</f>
        <v>FED_CNSMR_LNS_LEAS_%_TOT_LNS_LS</v>
      </c>
      <c r="E663" t="str">
        <f>$E$258</f>
        <v>Dynamic</v>
      </c>
      <c r="F663">
        <f ca="1">_xll.BDH($B$258,$C$258,$B$425,$B$426,CONCATENATE("Per=",$B$423),"Dts=H","Dir=H",CONCATENATE("Points=",$B$424),"Sort=R","Days=A","Fill=B",CONCATENATE("FX=", $B$422),"cols=33;rows=1")</f>
        <v>7.9211999999999998</v>
      </c>
      <c r="G663">
        <v>7.9717000000000002</v>
      </c>
      <c r="H663">
        <v>8.0207999999999995</v>
      </c>
      <c r="I663">
        <v>8.9665999999999997</v>
      </c>
      <c r="J663">
        <v>6.5979000000000001</v>
      </c>
      <c r="K663">
        <v>9.2010000000000005</v>
      </c>
      <c r="L663">
        <v>9.4253</v>
      </c>
      <c r="M663">
        <v>8.9025999999999996</v>
      </c>
      <c r="N663">
        <v>8.9052000000000007</v>
      </c>
      <c r="O663">
        <v>8.0303000000000004</v>
      </c>
      <c r="P663">
        <v>7.4160000000000004</v>
      </c>
      <c r="Q663">
        <v>6.7770999999999999</v>
      </c>
      <c r="R663">
        <v>5.7949999999999999</v>
      </c>
      <c r="S663">
        <v>5.0523999999999996</v>
      </c>
      <c r="T663">
        <v>3.2025000000000001</v>
      </c>
      <c r="U663">
        <v>4.1115000000000004</v>
      </c>
      <c r="V663">
        <v>5.2107999999999999</v>
      </c>
      <c r="W663">
        <v>6.0140000000000002</v>
      </c>
      <c r="X663">
        <v>6.3851000000000004</v>
      </c>
      <c r="Y663">
        <v>5.6256000000000004</v>
      </c>
      <c r="Z663">
        <v>6.8070000000000004</v>
      </c>
      <c r="AM663" t="str">
        <f>""</f>
        <v/>
      </c>
      <c r="AN663" t="str">
        <f>""</f>
        <v/>
      </c>
      <c r="AO663" t="str">
        <f>""</f>
        <v/>
      </c>
      <c r="AP663" t="str">
        <f>""</f>
        <v/>
      </c>
      <c r="AQ663" t="str">
        <f>""</f>
        <v/>
      </c>
      <c r="AR663" t="str">
        <f>""</f>
        <v/>
      </c>
      <c r="AS663" t="str">
        <f>""</f>
        <v/>
      </c>
      <c r="AT663" t="str">
        <f>""</f>
        <v/>
      </c>
      <c r="AU663" t="str">
        <f>""</f>
        <v/>
      </c>
      <c r="AV663" t="str">
        <f>""</f>
        <v/>
      </c>
      <c r="AW663" t="str">
        <f>""</f>
        <v/>
      </c>
      <c r="AX663" t="str">
        <f>""</f>
        <v/>
      </c>
      <c r="AY663" t="str">
        <f>""</f>
        <v/>
      </c>
      <c r="AZ663" t="str">
        <f>""</f>
        <v/>
      </c>
      <c r="BA663" t="str">
        <f>""</f>
        <v/>
      </c>
      <c r="BB663" t="str">
        <f>""</f>
        <v/>
      </c>
      <c r="BC663" t="str">
        <f>""</f>
        <v/>
      </c>
      <c r="BD663" t="str">
        <f>""</f>
        <v/>
      </c>
      <c r="BE663" t="str">
        <f>""</f>
        <v/>
      </c>
      <c r="BF663" t="str">
        <f>""</f>
        <v/>
      </c>
      <c r="BG663" t="str">
        <f>""</f>
        <v/>
      </c>
      <c r="BH663" t="str">
        <f>""</f>
        <v/>
      </c>
      <c r="BI663" t="str">
        <f>""</f>
        <v/>
      </c>
      <c r="BJ663" t="str">
        <f>""</f>
        <v/>
      </c>
      <c r="BK663" t="str">
        <f>""</f>
        <v/>
      </c>
      <c r="BL663" t="str">
        <f>""</f>
        <v/>
      </c>
      <c r="BM663" t="str">
        <f>""</f>
        <v/>
      </c>
      <c r="BN663" t="str">
        <f>""</f>
        <v/>
      </c>
      <c r="BO663" t="str">
        <f>""</f>
        <v/>
      </c>
      <c r="BP663" t="str">
        <f>""</f>
        <v/>
      </c>
      <c r="BQ663" t="str">
        <f>""</f>
        <v/>
      </c>
      <c r="BR663" t="str">
        <f>""</f>
        <v/>
      </c>
      <c r="BS663" t="str">
        <f>""</f>
        <v/>
      </c>
    </row>
    <row r="664" spans="1:71" x14ac:dyDescent="0.25">
      <c r="A664" t="str">
        <f>$A$259</f>
        <v xml:space="preserve">        Truist Financial Corp</v>
      </c>
      <c r="B664" t="str">
        <f>$B$259</f>
        <v>TFC US Equity</v>
      </c>
      <c r="C664" t="str">
        <f>$C$259</f>
        <v>F0121</v>
      </c>
      <c r="D664" t="str">
        <f>$D$259</f>
        <v>FED_CNSMR_LNS_LEAS_%_TOT_LNS_LS</v>
      </c>
      <c r="E664" t="str">
        <f>$E$259</f>
        <v>Dynamic</v>
      </c>
      <c r="F664">
        <f ca="1">_xll.BDH($B$259,$C$259,$B$425,$B$426,CONCATENATE("Per=",$B$423),"Dts=H","Dir=H",CONCATENATE("Points=",$B$424),"Sort=R","Days=A","Fill=B",CONCATENATE("FX=", $B$422),"cols=33;rows=1")</f>
        <v>17.8825</v>
      </c>
      <c r="G664">
        <v>17.227900000000002</v>
      </c>
      <c r="H664">
        <v>19.309200000000001</v>
      </c>
      <c r="I664">
        <v>20.464500000000001</v>
      </c>
      <c r="J664">
        <v>19.658100000000001</v>
      </c>
      <c r="K664">
        <v>19.0244</v>
      </c>
      <c r="L664">
        <v>14.561199999999999</v>
      </c>
      <c r="M664">
        <v>14.555199999999999</v>
      </c>
      <c r="N664">
        <v>15.0505</v>
      </c>
      <c r="O664">
        <v>14.6457</v>
      </c>
      <c r="P664">
        <v>15.3804</v>
      </c>
      <c r="Q664">
        <v>14.093299999999999</v>
      </c>
      <c r="R664">
        <v>12.599399999999999</v>
      </c>
      <c r="S664">
        <v>12.5777</v>
      </c>
      <c r="T664">
        <v>12.2195</v>
      </c>
      <c r="U664">
        <v>11.292899999999999</v>
      </c>
      <c r="V664">
        <v>11.237</v>
      </c>
      <c r="W664">
        <v>11.201000000000001</v>
      </c>
      <c r="X664">
        <v>11.470700000000001</v>
      </c>
      <c r="Y664">
        <v>11.718500000000001</v>
      </c>
      <c r="Z664">
        <v>12.4709</v>
      </c>
      <c r="AA664">
        <v>13.340400000000001</v>
      </c>
      <c r="AB664">
        <v>10.9053</v>
      </c>
      <c r="AC664">
        <v>11.540699999999999</v>
      </c>
      <c r="AM664" t="str">
        <f>""</f>
        <v/>
      </c>
      <c r="AN664" t="str">
        <f>""</f>
        <v/>
      </c>
      <c r="AO664" t="str">
        <f>""</f>
        <v/>
      </c>
      <c r="AP664" t="str">
        <f>""</f>
        <v/>
      </c>
      <c r="AQ664" t="str">
        <f>""</f>
        <v/>
      </c>
      <c r="AR664" t="str">
        <f>""</f>
        <v/>
      </c>
      <c r="AS664" t="str">
        <f>""</f>
        <v/>
      </c>
      <c r="AT664" t="str">
        <f>""</f>
        <v/>
      </c>
      <c r="AU664" t="str">
        <f>""</f>
        <v/>
      </c>
      <c r="AV664" t="str">
        <f>""</f>
        <v/>
      </c>
      <c r="AW664" t="str">
        <f>""</f>
        <v/>
      </c>
      <c r="AX664" t="str">
        <f>""</f>
        <v/>
      </c>
      <c r="AY664" t="str">
        <f>""</f>
        <v/>
      </c>
      <c r="AZ664" t="str">
        <f>""</f>
        <v/>
      </c>
      <c r="BA664" t="str">
        <f>""</f>
        <v/>
      </c>
      <c r="BB664" t="str">
        <f>""</f>
        <v/>
      </c>
      <c r="BC664" t="str">
        <f>""</f>
        <v/>
      </c>
      <c r="BD664" t="str">
        <f>""</f>
        <v/>
      </c>
      <c r="BE664" t="str">
        <f>""</f>
        <v/>
      </c>
      <c r="BF664" t="str">
        <f>""</f>
        <v/>
      </c>
      <c r="BG664" t="str">
        <f>""</f>
        <v/>
      </c>
      <c r="BH664" t="str">
        <f>""</f>
        <v/>
      </c>
      <c r="BI664" t="str">
        <f>""</f>
        <v/>
      </c>
      <c r="BJ664" t="str">
        <f>""</f>
        <v/>
      </c>
      <c r="BK664" t="str">
        <f>""</f>
        <v/>
      </c>
      <c r="BL664" t="str">
        <f>""</f>
        <v/>
      </c>
      <c r="BM664" t="str">
        <f>""</f>
        <v/>
      </c>
      <c r="BN664" t="str">
        <f>""</f>
        <v/>
      </c>
      <c r="BO664" t="str">
        <f>""</f>
        <v/>
      </c>
      <c r="BP664" t="str">
        <f>""</f>
        <v/>
      </c>
      <c r="BQ664" t="str">
        <f>""</f>
        <v/>
      </c>
      <c r="BR664" t="str">
        <f>""</f>
        <v/>
      </c>
      <c r="BS664" t="str">
        <f>""</f>
        <v/>
      </c>
    </row>
    <row r="665" spans="1:71" x14ac:dyDescent="0.25">
      <c r="A665" t="str">
        <f>$A$260</f>
        <v xml:space="preserve">        US Bancorp</v>
      </c>
      <c r="B665" t="str">
        <f>$B$260</f>
        <v>USB US Equity</v>
      </c>
      <c r="C665" t="str">
        <f>$C$260</f>
        <v>F0121</v>
      </c>
      <c r="D665" t="str">
        <f>$D$260</f>
        <v>FED_CNSMR_LNS_LEAS_%_TOT_LNS_LS</v>
      </c>
      <c r="E665" t="str">
        <f>$E$260</f>
        <v>Dynamic</v>
      </c>
      <c r="F665">
        <f ca="1">_xll.BDH($B$260,$C$260,$B$425,$B$426,CONCATENATE("Per=",$B$423),"Dts=H","Dir=H",CONCATENATE("Points=",$B$424),"Sort=R","Days=A","Fill=B",CONCATENATE("FX=", $B$422),"cols=33;rows=1")</f>
        <v>15.5288</v>
      </c>
      <c r="G665">
        <v>15.9666</v>
      </c>
      <c r="H665">
        <v>17.496099999999998</v>
      </c>
      <c r="I665">
        <v>23.467300000000002</v>
      </c>
      <c r="J665">
        <v>21.8277</v>
      </c>
      <c r="K665">
        <v>22.161200000000001</v>
      </c>
      <c r="L665">
        <v>22.047699999999999</v>
      </c>
      <c r="M665">
        <v>22.287500000000001</v>
      </c>
      <c r="N665">
        <v>21.3582</v>
      </c>
      <c r="O665">
        <v>21.223500000000001</v>
      </c>
      <c r="P665">
        <v>20.620100000000001</v>
      </c>
      <c r="Q665">
        <v>21.2121</v>
      </c>
      <c r="R665">
        <v>20.908200000000001</v>
      </c>
      <c r="S665">
        <v>22.1584</v>
      </c>
      <c r="T665">
        <v>22.869599999999998</v>
      </c>
      <c r="U665">
        <v>22.476199999999999</v>
      </c>
      <c r="V665">
        <v>22.110399999999998</v>
      </c>
      <c r="W665">
        <v>22.540800000000001</v>
      </c>
      <c r="X665">
        <v>17.955400000000001</v>
      </c>
      <c r="Y665">
        <v>16.650400000000001</v>
      </c>
      <c r="Z665">
        <v>16.456600000000002</v>
      </c>
      <c r="AA665">
        <v>16.3979</v>
      </c>
      <c r="AB665">
        <v>15.184799999999999</v>
      </c>
      <c r="AC665">
        <v>15.045400000000001</v>
      </c>
      <c r="AM665" t="str">
        <f>""</f>
        <v/>
      </c>
      <c r="AN665" t="str">
        <f>""</f>
        <v/>
      </c>
      <c r="AO665" t="str">
        <f>""</f>
        <v/>
      </c>
      <c r="AP665" t="str">
        <f>""</f>
        <v/>
      </c>
      <c r="AQ665" t="str">
        <f>""</f>
        <v/>
      </c>
      <c r="AR665" t="str">
        <f>""</f>
        <v/>
      </c>
      <c r="AS665" t="str">
        <f>""</f>
        <v/>
      </c>
      <c r="AT665" t="str">
        <f>""</f>
        <v/>
      </c>
      <c r="AU665" t="str">
        <f>""</f>
        <v/>
      </c>
      <c r="AV665" t="str">
        <f>""</f>
        <v/>
      </c>
      <c r="AW665" t="str">
        <f>""</f>
        <v/>
      </c>
      <c r="AX665" t="str">
        <f>""</f>
        <v/>
      </c>
      <c r="AY665" t="str">
        <f>""</f>
        <v/>
      </c>
      <c r="AZ665" t="str">
        <f>""</f>
        <v/>
      </c>
      <c r="BA665" t="str">
        <f>""</f>
        <v/>
      </c>
      <c r="BB665" t="str">
        <f>""</f>
        <v/>
      </c>
      <c r="BC665" t="str">
        <f>""</f>
        <v/>
      </c>
      <c r="BD665" t="str">
        <f>""</f>
        <v/>
      </c>
      <c r="BE665" t="str">
        <f>""</f>
        <v/>
      </c>
      <c r="BF665" t="str">
        <f>""</f>
        <v/>
      </c>
      <c r="BG665" t="str">
        <f>""</f>
        <v/>
      </c>
      <c r="BH665" t="str">
        <f>""</f>
        <v/>
      </c>
      <c r="BI665" t="str">
        <f>""</f>
        <v/>
      </c>
      <c r="BJ665" t="str">
        <f>""</f>
        <v/>
      </c>
      <c r="BK665" t="str">
        <f>""</f>
        <v/>
      </c>
      <c r="BL665" t="str">
        <f>""</f>
        <v/>
      </c>
      <c r="BM665" t="str">
        <f>""</f>
        <v/>
      </c>
      <c r="BN665" t="str">
        <f>""</f>
        <v/>
      </c>
      <c r="BO665" t="str">
        <f>""</f>
        <v/>
      </c>
      <c r="BP665" t="str">
        <f>""</f>
        <v/>
      </c>
      <c r="BQ665" t="str">
        <f>""</f>
        <v/>
      </c>
      <c r="BR665" t="str">
        <f>""</f>
        <v/>
      </c>
      <c r="BS665" t="str">
        <f>""</f>
        <v/>
      </c>
    </row>
    <row r="666" spans="1:71" x14ac:dyDescent="0.25">
      <c r="A666" t="str">
        <f>$A$261</f>
        <v xml:space="preserve">        Wells Fargo &amp; Co</v>
      </c>
      <c r="B666" t="str">
        <f>$B$261</f>
        <v>WFC US Equity</v>
      </c>
      <c r="C666" t="str">
        <f>$C$261</f>
        <v>F0121</v>
      </c>
      <c r="D666" t="str">
        <f>$D$261</f>
        <v>FED_CNSMR_LNS_LEAS_%_TOT_LNS_LS</v>
      </c>
      <c r="E666" t="str">
        <f>$E$261</f>
        <v>Dynamic</v>
      </c>
      <c r="F666">
        <f ca="1">_xll.BDH($B$261,$C$261,$B$425,$B$426,CONCATENATE("Per=",$B$423),"Dts=H","Dir=H",CONCATENATE("Points=",$B$424),"Sort=R","Days=A","Fill=B",CONCATENATE("FX=", $B$422),"cols=33;rows=1")</f>
        <v>12.792999999999999</v>
      </c>
      <c r="G666">
        <v>12.732900000000001</v>
      </c>
      <c r="H666">
        <v>12.422700000000001</v>
      </c>
      <c r="I666">
        <v>12.349500000000001</v>
      </c>
      <c r="J666">
        <v>11.950799999999999</v>
      </c>
      <c r="K666">
        <v>11.735300000000001</v>
      </c>
      <c r="L666">
        <v>11.658799999999999</v>
      </c>
      <c r="M666">
        <v>12.5245</v>
      </c>
      <c r="N666">
        <v>13.3066</v>
      </c>
      <c r="O666">
        <v>13.760400000000001</v>
      </c>
      <c r="P666">
        <v>13.491300000000001</v>
      </c>
      <c r="Q666">
        <v>13.742000000000001</v>
      </c>
      <c r="R666">
        <v>12.714700000000001</v>
      </c>
      <c r="S666">
        <v>12.6859</v>
      </c>
      <c r="T666">
        <v>12.989800000000001</v>
      </c>
      <c r="U666">
        <v>13.7989</v>
      </c>
      <c r="V666">
        <v>13.2804</v>
      </c>
      <c r="W666">
        <v>18.9544</v>
      </c>
      <c r="X666">
        <v>19.8355</v>
      </c>
      <c r="Y666">
        <v>17.616499999999998</v>
      </c>
      <c r="Z666">
        <v>16.973600000000001</v>
      </c>
      <c r="AA666">
        <v>17.303999999999998</v>
      </c>
      <c r="AB666">
        <v>16.274899999999999</v>
      </c>
      <c r="AC666">
        <v>17.2806</v>
      </c>
      <c r="AM666" t="str">
        <f>""</f>
        <v/>
      </c>
      <c r="AN666" t="str">
        <f>""</f>
        <v/>
      </c>
      <c r="AO666" t="str">
        <f>""</f>
        <v/>
      </c>
      <c r="AP666" t="str">
        <f>""</f>
        <v/>
      </c>
      <c r="AQ666" t="str">
        <f>""</f>
        <v/>
      </c>
      <c r="AR666" t="str">
        <f>""</f>
        <v/>
      </c>
      <c r="AS666" t="str">
        <f>""</f>
        <v/>
      </c>
      <c r="AT666" t="str">
        <f>""</f>
        <v/>
      </c>
      <c r="AU666" t="str">
        <f>""</f>
        <v/>
      </c>
      <c r="AV666" t="str">
        <f>""</f>
        <v/>
      </c>
      <c r="AW666" t="str">
        <f>""</f>
        <v/>
      </c>
      <c r="AX666" t="str">
        <f>""</f>
        <v/>
      </c>
      <c r="AY666" t="str">
        <f>""</f>
        <v/>
      </c>
      <c r="AZ666" t="str">
        <f>""</f>
        <v/>
      </c>
      <c r="BA666" t="str">
        <f>""</f>
        <v/>
      </c>
      <c r="BB666" t="str">
        <f>""</f>
        <v/>
      </c>
      <c r="BC666" t="str">
        <f>""</f>
        <v/>
      </c>
      <c r="BD666" t="str">
        <f>""</f>
        <v/>
      </c>
      <c r="BE666" t="str">
        <f>""</f>
        <v/>
      </c>
      <c r="BF666" t="str">
        <f>""</f>
        <v/>
      </c>
      <c r="BG666" t="str">
        <f>""</f>
        <v/>
      </c>
      <c r="BH666" t="str">
        <f>""</f>
        <v/>
      </c>
      <c r="BI666" t="str">
        <f>""</f>
        <v/>
      </c>
      <c r="BJ666" t="str">
        <f>""</f>
        <v/>
      </c>
      <c r="BK666" t="str">
        <f>""</f>
        <v/>
      </c>
      <c r="BL666" t="str">
        <f>""</f>
        <v/>
      </c>
      <c r="BM666" t="str">
        <f>""</f>
        <v/>
      </c>
      <c r="BN666" t="str">
        <f>""</f>
        <v/>
      </c>
      <c r="BO666" t="str">
        <f>""</f>
        <v/>
      </c>
      <c r="BP666" t="str">
        <f>""</f>
        <v/>
      </c>
      <c r="BQ666" t="str">
        <f>""</f>
        <v/>
      </c>
      <c r="BR666" t="str">
        <f>""</f>
        <v/>
      </c>
      <c r="BS666" t="str">
        <f>""</f>
        <v/>
      </c>
    </row>
    <row r="667" spans="1:71" x14ac:dyDescent="0.25">
      <c r="A667" t="str">
        <f>$A$262</f>
        <v xml:space="preserve">        Western Alliance Bancorp</v>
      </c>
      <c r="B667" t="str">
        <f>$B$262</f>
        <v>WAL US Equity</v>
      </c>
      <c r="C667" t="str">
        <f>$C$262</f>
        <v>F0121</v>
      </c>
      <c r="D667" t="str">
        <f>$D$262</f>
        <v>FED_CNSMR_LNS_LEAS_%_TOT_LNS_LS</v>
      </c>
      <c r="E667" t="str">
        <f>$E$262</f>
        <v>Dynamic</v>
      </c>
      <c r="F667">
        <f ca="1">_xll.BDH($B$262,$C$262,$B$425,$B$426,CONCATENATE("Per=",$B$423),"Dts=H","Dir=H",CONCATENATE("Points=",$B$424),"Sort=R","Days=A","Fill=B",CONCATENATE("FX=", $B$422),"cols=33;rows=1")</f>
        <v>4.2299999999999997E-2</v>
      </c>
      <c r="G667">
        <v>5.7700000000000001E-2</v>
      </c>
      <c r="H667">
        <v>6.2100000000000002E-2</v>
      </c>
      <c r="I667">
        <v>4.82E-2</v>
      </c>
      <c r="J667">
        <v>3.85E-2</v>
      </c>
      <c r="K667">
        <v>5.1999999999999998E-2</v>
      </c>
      <c r="L667">
        <v>8.1100000000000005E-2</v>
      </c>
      <c r="M667">
        <v>0.1119</v>
      </c>
      <c r="N667">
        <v>9.8599999999999993E-2</v>
      </c>
      <c r="O667">
        <v>0.13350000000000001</v>
      </c>
      <c r="P667">
        <v>0.18440000000000001</v>
      </c>
      <c r="Q667">
        <v>0.32240000000000002</v>
      </c>
      <c r="R667">
        <v>0.77029999999999998</v>
      </c>
      <c r="S667">
        <v>1.196</v>
      </c>
      <c r="T667">
        <v>1.6189</v>
      </c>
      <c r="U667">
        <v>1.9596</v>
      </c>
      <c r="V667">
        <v>1.9665999999999999</v>
      </c>
      <c r="W667">
        <v>1.1950000000000001</v>
      </c>
      <c r="X667">
        <v>0.95989999999999998</v>
      </c>
      <c r="Y667">
        <v>1.1379999999999999</v>
      </c>
      <c r="Z667">
        <v>1.4853000000000001</v>
      </c>
      <c r="AA667">
        <v>1.6071</v>
      </c>
      <c r="AB667">
        <v>2.2139000000000002</v>
      </c>
      <c r="AC667">
        <v>3.1332</v>
      </c>
      <c r="AM667" t="str">
        <f>""</f>
        <v/>
      </c>
      <c r="AN667" t="str">
        <f>""</f>
        <v/>
      </c>
      <c r="AO667" t="str">
        <f>""</f>
        <v/>
      </c>
      <c r="AP667" t="str">
        <f>""</f>
        <v/>
      </c>
      <c r="AQ667" t="str">
        <f>""</f>
        <v/>
      </c>
      <c r="AR667" t="str">
        <f>""</f>
        <v/>
      </c>
      <c r="AS667" t="str">
        <f>""</f>
        <v/>
      </c>
      <c r="AT667" t="str">
        <f>""</f>
        <v/>
      </c>
      <c r="AU667" t="str">
        <f>""</f>
        <v/>
      </c>
      <c r="AV667" t="str">
        <f>""</f>
        <v/>
      </c>
      <c r="AW667" t="str">
        <f>""</f>
        <v/>
      </c>
      <c r="AX667" t="str">
        <f>""</f>
        <v/>
      </c>
      <c r="AY667" t="str">
        <f>""</f>
        <v/>
      </c>
      <c r="AZ667" t="str">
        <f>""</f>
        <v/>
      </c>
      <c r="BA667" t="str">
        <f>""</f>
        <v/>
      </c>
      <c r="BB667" t="str">
        <f>""</f>
        <v/>
      </c>
      <c r="BC667" t="str">
        <f>""</f>
        <v/>
      </c>
      <c r="BD667" t="str">
        <f>""</f>
        <v/>
      </c>
      <c r="BE667" t="str">
        <f>""</f>
        <v/>
      </c>
      <c r="BF667" t="str">
        <f>""</f>
        <v/>
      </c>
      <c r="BG667" t="str">
        <f>""</f>
        <v/>
      </c>
      <c r="BH667" t="str">
        <f>""</f>
        <v/>
      </c>
      <c r="BI667" t="str">
        <f>""</f>
        <v/>
      </c>
      <c r="BJ667" t="str">
        <f>""</f>
        <v/>
      </c>
      <c r="BK667" t="str">
        <f>""</f>
        <v/>
      </c>
      <c r="BL667" t="str">
        <f>""</f>
        <v/>
      </c>
      <c r="BM667" t="str">
        <f>""</f>
        <v/>
      </c>
      <c r="BN667" t="str">
        <f>""</f>
        <v/>
      </c>
      <c r="BO667" t="str">
        <f>""</f>
        <v/>
      </c>
      <c r="BP667" t="str">
        <f>""</f>
        <v/>
      </c>
      <c r="BQ667" t="str">
        <f>""</f>
        <v/>
      </c>
      <c r="BR667" t="str">
        <f>""</f>
        <v/>
      </c>
      <c r="BS667" t="str">
        <f>""</f>
        <v/>
      </c>
    </row>
    <row r="668" spans="1:71" x14ac:dyDescent="0.25">
      <c r="A668" t="str">
        <f>$A$263</f>
        <v xml:space="preserve">        Zions Bancorp NA</v>
      </c>
      <c r="B668" t="str">
        <f>$B$263</f>
        <v>ZION US Equity</v>
      </c>
      <c r="C668" t="str">
        <f>$C$263</f>
        <v>F0121</v>
      </c>
      <c r="D668" t="str">
        <f>$D$263</f>
        <v>FED_CNSMR_LNS_LEAS_%_TOT_LNS_LS</v>
      </c>
      <c r="E668" t="str">
        <f>$E$263</f>
        <v>Dynamic</v>
      </c>
      <c r="F668" t="str">
        <f ca="1">_xll.BDH($B$263,$C$263,$B$425,$B$426,CONCATENATE("Per=",$B$423),"Dts=H","Dir=H",CONCATENATE("Points=",$B$424),"Sort=R","Days=A","Fill=B",CONCATENATE("FX=", $B$422) )</f>
        <v/>
      </c>
      <c r="AM668" t="str">
        <f>""</f>
        <v/>
      </c>
      <c r="AN668" t="str">
        <f>""</f>
        <v/>
      </c>
      <c r="AO668" t="str">
        <f>""</f>
        <v/>
      </c>
      <c r="AP668" t="str">
        <f>""</f>
        <v/>
      </c>
      <c r="AQ668" t="str">
        <f>""</f>
        <v/>
      </c>
      <c r="AR668" t="str">
        <f>""</f>
        <v/>
      </c>
      <c r="AS668" t="str">
        <f>""</f>
        <v/>
      </c>
      <c r="AT668" t="str">
        <f>""</f>
        <v/>
      </c>
      <c r="AU668" t="str">
        <f>""</f>
        <v/>
      </c>
      <c r="AV668" t="str">
        <f>""</f>
        <v/>
      </c>
      <c r="AW668" t="str">
        <f>""</f>
        <v/>
      </c>
      <c r="AX668" t="str">
        <f>""</f>
        <v/>
      </c>
      <c r="AY668" t="str">
        <f>""</f>
        <v/>
      </c>
      <c r="AZ668" t="str">
        <f>""</f>
        <v/>
      </c>
      <c r="BA668" t="str">
        <f>""</f>
        <v/>
      </c>
      <c r="BB668" t="str">
        <f>""</f>
        <v/>
      </c>
      <c r="BC668" t="str">
        <f>""</f>
        <v/>
      </c>
      <c r="BD668" t="str">
        <f>""</f>
        <v/>
      </c>
      <c r="BE668" t="str">
        <f>""</f>
        <v/>
      </c>
      <c r="BF668" t="str">
        <f>""</f>
        <v/>
      </c>
      <c r="BG668" t="str">
        <f>""</f>
        <v/>
      </c>
      <c r="BH668" t="str">
        <f>""</f>
        <v/>
      </c>
      <c r="BI668" t="str">
        <f>""</f>
        <v/>
      </c>
      <c r="BJ668" t="str">
        <f>""</f>
        <v/>
      </c>
      <c r="BK668" t="str">
        <f>""</f>
        <v/>
      </c>
      <c r="BL668" t="str">
        <f>""</f>
        <v/>
      </c>
      <c r="BM668" t="str">
        <f>""</f>
        <v/>
      </c>
      <c r="BN668" t="str">
        <f>""</f>
        <v/>
      </c>
      <c r="BO668" t="str">
        <f>""</f>
        <v/>
      </c>
      <c r="BP668" t="str">
        <f>""</f>
        <v/>
      </c>
      <c r="BQ668" t="str">
        <f>""</f>
        <v/>
      </c>
      <c r="BR668" t="str">
        <f>""</f>
        <v/>
      </c>
      <c r="BS668" t="str">
        <f>""</f>
        <v/>
      </c>
    </row>
    <row r="669" spans="1:71" x14ac:dyDescent="0.25">
      <c r="A669" t="str">
        <f>$A$266</f>
        <v xml:space="preserve">        Bank of America Corp</v>
      </c>
      <c r="B669" t="str">
        <f>$B$266</f>
        <v>BAC US Equity</v>
      </c>
      <c r="C669" t="str">
        <f>$C$266</f>
        <v>F0122</v>
      </c>
      <c r="D669" t="str">
        <f>$D$266</f>
        <v>FED_MARGIN_LOANS_%_TOT_LNS_LEAS</v>
      </c>
      <c r="E669" t="str">
        <f>$E$266</f>
        <v>Dynamic</v>
      </c>
      <c r="F669">
        <f ca="1">_xll.BDH($B$266,$C$266,$B$425,$B$426,CONCATENATE("Per=",$B$423),"Dts=H","Dir=H",CONCATENATE("Points=",$B$424),"Sort=R","Days=A","Fill=B",CONCATENATE("FX=", $B$422),"cols=33;rows=1")</f>
        <v>5.1679000000000004</v>
      </c>
      <c r="G669">
        <v>4.5872000000000002</v>
      </c>
      <c r="H669">
        <v>3.4590000000000001</v>
      </c>
      <c r="I669">
        <v>5.3253000000000004</v>
      </c>
      <c r="J669">
        <v>5.1542000000000003</v>
      </c>
      <c r="K669">
        <v>5.5279999999999996</v>
      </c>
      <c r="L669">
        <v>4.4414999999999996</v>
      </c>
      <c r="M669">
        <v>6.5175000000000001</v>
      </c>
      <c r="N669">
        <v>5.3575999999999997</v>
      </c>
      <c r="O669">
        <v>4.2668999999999997</v>
      </c>
      <c r="P669">
        <v>4.3109000000000002</v>
      </c>
      <c r="Q669">
        <v>5.3461999999999996</v>
      </c>
      <c r="R669">
        <v>5.4851999999999999</v>
      </c>
      <c r="S669">
        <v>3.2784</v>
      </c>
      <c r="T669">
        <v>1.7190000000000001</v>
      </c>
      <c r="U669">
        <v>1.8959999999999999</v>
      </c>
      <c r="V669">
        <v>0.27750000000000002</v>
      </c>
      <c r="W669">
        <v>0.29070000000000001</v>
      </c>
      <c r="X669">
        <v>0.1595</v>
      </c>
      <c r="AM669" t="str">
        <f>""</f>
        <v/>
      </c>
      <c r="AN669" t="str">
        <f>""</f>
        <v/>
      </c>
      <c r="AO669" t="str">
        <f>""</f>
        <v/>
      </c>
      <c r="AP669" t="str">
        <f>""</f>
        <v/>
      </c>
      <c r="AQ669" t="str">
        <f>""</f>
        <v/>
      </c>
      <c r="AR669" t="str">
        <f>""</f>
        <v/>
      </c>
      <c r="AS669" t="str">
        <f>""</f>
        <v/>
      </c>
      <c r="AT669" t="str">
        <f>""</f>
        <v/>
      </c>
      <c r="AU669" t="str">
        <f>""</f>
        <v/>
      </c>
      <c r="AV669" t="str">
        <f>""</f>
        <v/>
      </c>
      <c r="AW669" t="str">
        <f>""</f>
        <v/>
      </c>
      <c r="AX669" t="str">
        <f>""</f>
        <v/>
      </c>
      <c r="AY669" t="str">
        <f>""</f>
        <v/>
      </c>
      <c r="AZ669" t="str">
        <f>""</f>
        <v/>
      </c>
      <c r="BA669" t="str">
        <f>""</f>
        <v/>
      </c>
      <c r="BB669" t="str">
        <f>""</f>
        <v/>
      </c>
      <c r="BC669" t="str">
        <f>""</f>
        <v/>
      </c>
      <c r="BD669" t="str">
        <f>""</f>
        <v/>
      </c>
      <c r="BE669" t="str">
        <f>""</f>
        <v/>
      </c>
      <c r="BF669" t="str">
        <f>""</f>
        <v/>
      </c>
      <c r="BG669" t="str">
        <f>""</f>
        <v/>
      </c>
      <c r="BH669" t="str">
        <f>""</f>
        <v/>
      </c>
      <c r="BI669" t="str">
        <f>""</f>
        <v/>
      </c>
      <c r="BJ669" t="str">
        <f>""</f>
        <v/>
      </c>
      <c r="BK669" t="str">
        <f>""</f>
        <v/>
      </c>
      <c r="BL669" t="str">
        <f>""</f>
        <v/>
      </c>
      <c r="BM669" t="str">
        <f>""</f>
        <v/>
      </c>
      <c r="BN669" t="str">
        <f>""</f>
        <v/>
      </c>
      <c r="BO669" t="str">
        <f>""</f>
        <v/>
      </c>
      <c r="BP669" t="str">
        <f>""</f>
        <v/>
      </c>
      <c r="BQ669" t="str">
        <f>""</f>
        <v/>
      </c>
      <c r="BR669" t="str">
        <f>""</f>
        <v/>
      </c>
      <c r="BS669" t="str">
        <f>""</f>
        <v/>
      </c>
    </row>
    <row r="670" spans="1:71" x14ac:dyDescent="0.25">
      <c r="A670" t="str">
        <f>$A$267</f>
        <v xml:space="preserve">        Citigroup Inc</v>
      </c>
      <c r="B670" t="str">
        <f>$B$267</f>
        <v>C US Equity</v>
      </c>
      <c r="C670" t="str">
        <f>$C$267</f>
        <v>F0122</v>
      </c>
      <c r="D670" t="str">
        <f>$D$267</f>
        <v>FED_MARGIN_LOANS_%_TOT_LNS_LEAS</v>
      </c>
      <c r="E670" t="str">
        <f>$E$267</f>
        <v>Dynamic</v>
      </c>
      <c r="F670">
        <f ca="1">_xll.BDH($B$267,$C$267,$B$425,$B$426,CONCATENATE("Per=",$B$423),"Dts=H","Dir=H",CONCATENATE("Points=",$B$424),"Sort=R","Days=A","Fill=B",CONCATENATE("FX=", $B$422),"cols=33;rows=1")</f>
        <v>2.5762</v>
      </c>
      <c r="G670">
        <v>1.9451000000000001</v>
      </c>
      <c r="H670">
        <v>1.8839999999999999</v>
      </c>
      <c r="I670">
        <v>3.4975999999999998</v>
      </c>
      <c r="J670">
        <v>2.7370000000000001</v>
      </c>
      <c r="K670">
        <v>2.1196000000000002</v>
      </c>
      <c r="L670">
        <v>1.988</v>
      </c>
      <c r="M670">
        <v>2.5097</v>
      </c>
      <c r="N670">
        <v>1.7118</v>
      </c>
      <c r="O670">
        <v>2.1328999999999998</v>
      </c>
      <c r="P670">
        <v>2.3014999999999999</v>
      </c>
      <c r="Q670">
        <v>2.1105999999999998</v>
      </c>
      <c r="R670">
        <v>2.0102000000000002</v>
      </c>
      <c r="S670">
        <v>3.2195999999999998</v>
      </c>
      <c r="T670">
        <v>3.1859000000000002</v>
      </c>
      <c r="U670">
        <v>3.2662</v>
      </c>
      <c r="V670">
        <v>3.141</v>
      </c>
      <c r="W670">
        <v>3.9390000000000001</v>
      </c>
      <c r="X670">
        <v>4.6523000000000003</v>
      </c>
      <c r="AM670" t="str">
        <f>""</f>
        <v/>
      </c>
      <c r="AN670" t="str">
        <f>""</f>
        <v/>
      </c>
      <c r="AO670" t="str">
        <f>""</f>
        <v/>
      </c>
      <c r="AP670" t="str">
        <f>""</f>
        <v/>
      </c>
      <c r="AQ670" t="str">
        <f>""</f>
        <v/>
      </c>
      <c r="AR670" t="str">
        <f>""</f>
        <v/>
      </c>
      <c r="AS670" t="str">
        <f>""</f>
        <v/>
      </c>
      <c r="AT670" t="str">
        <f>""</f>
        <v/>
      </c>
      <c r="AU670" t="str">
        <f>""</f>
        <v/>
      </c>
      <c r="AV670" t="str">
        <f>""</f>
        <v/>
      </c>
      <c r="AW670" t="str">
        <f>""</f>
        <v/>
      </c>
      <c r="AX670" t="str">
        <f>""</f>
        <v/>
      </c>
      <c r="AY670" t="str">
        <f>""</f>
        <v/>
      </c>
      <c r="AZ670" t="str">
        <f>""</f>
        <v/>
      </c>
      <c r="BA670" t="str">
        <f>""</f>
        <v/>
      </c>
      <c r="BB670" t="str">
        <f>""</f>
        <v/>
      </c>
      <c r="BC670" t="str">
        <f>""</f>
        <v/>
      </c>
      <c r="BD670" t="str">
        <f>""</f>
        <v/>
      </c>
      <c r="BE670" t="str">
        <f>""</f>
        <v/>
      </c>
      <c r="BF670" t="str">
        <f>""</f>
        <v/>
      </c>
      <c r="BG670" t="str">
        <f>""</f>
        <v/>
      </c>
      <c r="BH670" t="str">
        <f>""</f>
        <v/>
      </c>
      <c r="BI670" t="str">
        <f>""</f>
        <v/>
      </c>
      <c r="BJ670" t="str">
        <f>""</f>
        <v/>
      </c>
      <c r="BK670" t="str">
        <f>""</f>
        <v/>
      </c>
      <c r="BL670" t="str">
        <f>""</f>
        <v/>
      </c>
      <c r="BM670" t="str">
        <f>""</f>
        <v/>
      </c>
      <c r="BN670" t="str">
        <f>""</f>
        <v/>
      </c>
      <c r="BO670" t="str">
        <f>""</f>
        <v/>
      </c>
      <c r="BP670" t="str">
        <f>""</f>
        <v/>
      </c>
      <c r="BQ670" t="str">
        <f>""</f>
        <v/>
      </c>
      <c r="BR670" t="str">
        <f>""</f>
        <v/>
      </c>
      <c r="BS670" t="str">
        <f>""</f>
        <v/>
      </c>
    </row>
    <row r="671" spans="1:71" x14ac:dyDescent="0.25">
      <c r="A671" t="str">
        <f>$A$268</f>
        <v xml:space="preserve">        Citizens Financial Group Inc</v>
      </c>
      <c r="B671" t="str">
        <f>$B$268</f>
        <v>CFG US Equity</v>
      </c>
      <c r="C671" t="str">
        <f>$C$268</f>
        <v>F0122</v>
      </c>
      <c r="D671" t="str">
        <f>$D$268</f>
        <v>FED_MARGIN_LOANS_%_TOT_LNS_LEAS</v>
      </c>
      <c r="E671" t="str">
        <f>$E$268</f>
        <v>Dynamic</v>
      </c>
      <c r="F671">
        <f ca="1">_xll.BDH($B$268,$C$268,$B$425,$B$426,CONCATENATE("Per=",$B$423),"Dts=H","Dir=H",CONCATENATE("Points=",$B$424),"Sort=R","Days=A","Fill=B",CONCATENATE("FX=", $B$422),"cols=33;rows=1")</f>
        <v>0</v>
      </c>
      <c r="G671">
        <v>0</v>
      </c>
      <c r="H671">
        <v>0</v>
      </c>
      <c r="I671">
        <v>4.1000000000000002E-2</v>
      </c>
      <c r="J671">
        <v>5.7700000000000001E-2</v>
      </c>
      <c r="K671">
        <v>7.8700000000000006E-2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2E-3</v>
      </c>
      <c r="S671">
        <v>3.5999999999999999E-3</v>
      </c>
      <c r="T671">
        <v>6.7000000000000002E-3</v>
      </c>
      <c r="U671">
        <v>2.5100000000000001E-2</v>
      </c>
      <c r="V671">
        <v>3.0999999999999999E-3</v>
      </c>
      <c r="W671">
        <v>2.0000000000000001E-4</v>
      </c>
      <c r="X671">
        <v>2.9999999999999997E-4</v>
      </c>
      <c r="AM671" t="str">
        <f>""</f>
        <v/>
      </c>
      <c r="AN671" t="str">
        <f>""</f>
        <v/>
      </c>
      <c r="AO671" t="str">
        <f>""</f>
        <v/>
      </c>
      <c r="AP671" t="str">
        <f>""</f>
        <v/>
      </c>
      <c r="AQ671" t="str">
        <f>""</f>
        <v/>
      </c>
      <c r="AR671" t="str">
        <f>""</f>
        <v/>
      </c>
      <c r="AS671" t="str">
        <f>""</f>
        <v/>
      </c>
      <c r="AT671" t="str">
        <f>""</f>
        <v/>
      </c>
      <c r="AU671" t="str">
        <f>""</f>
        <v/>
      </c>
      <c r="AV671" t="str">
        <f>""</f>
        <v/>
      </c>
      <c r="AW671" t="str">
        <f>""</f>
        <v/>
      </c>
      <c r="AX671" t="str">
        <f>""</f>
        <v/>
      </c>
      <c r="AY671" t="str">
        <f>""</f>
        <v/>
      </c>
      <c r="AZ671" t="str">
        <f>""</f>
        <v/>
      </c>
      <c r="BA671" t="str">
        <f>""</f>
        <v/>
      </c>
      <c r="BB671" t="str">
        <f>""</f>
        <v/>
      </c>
      <c r="BC671" t="str">
        <f>""</f>
        <v/>
      </c>
      <c r="BD671" t="str">
        <f>""</f>
        <v/>
      </c>
      <c r="BE671" t="str">
        <f>""</f>
        <v/>
      </c>
      <c r="BF671" t="str">
        <f>""</f>
        <v/>
      </c>
      <c r="BG671" t="str">
        <f>""</f>
        <v/>
      </c>
      <c r="BH671" t="str">
        <f>""</f>
        <v/>
      </c>
      <c r="BI671" t="str">
        <f>""</f>
        <v/>
      </c>
      <c r="BJ671" t="str">
        <f>""</f>
        <v/>
      </c>
      <c r="BK671" t="str">
        <f>""</f>
        <v/>
      </c>
      <c r="BL671" t="str">
        <f>""</f>
        <v/>
      </c>
      <c r="BM671" t="str">
        <f>""</f>
        <v/>
      </c>
      <c r="BN671" t="str">
        <f>""</f>
        <v/>
      </c>
      <c r="BO671" t="str">
        <f>""</f>
        <v/>
      </c>
      <c r="BP671" t="str">
        <f>""</f>
        <v/>
      </c>
      <c r="BQ671" t="str">
        <f>""</f>
        <v/>
      </c>
      <c r="BR671" t="str">
        <f>""</f>
        <v/>
      </c>
      <c r="BS671" t="str">
        <f>""</f>
        <v/>
      </c>
    </row>
    <row r="672" spans="1:71" x14ac:dyDescent="0.25">
      <c r="A672" t="str">
        <f>$A$269</f>
        <v xml:space="preserve">        Capital One Financial Corp</v>
      </c>
      <c r="B672" t="str">
        <f>$B$269</f>
        <v>COF US Equity</v>
      </c>
      <c r="C672" t="str">
        <f>$C$269</f>
        <v>F0122</v>
      </c>
      <c r="D672" t="str">
        <f>$D$269</f>
        <v>FED_MARGIN_LOANS_%_TOT_LNS_LEAS</v>
      </c>
      <c r="E672" t="str">
        <f>$E$269</f>
        <v>Dynamic</v>
      </c>
      <c r="F672">
        <f ca="1">_xll.BDH($B$269,$C$269,$B$425,$B$426,CONCATENATE("Per=",$B$423),"Dts=H","Dir=H",CONCATENATE("Points=",$B$424),"Sort=R","Days=A","Fill=B",CONCATENATE("FX=", $B$422),"cols=33;rows=1")</f>
        <v>0</v>
      </c>
      <c r="G672">
        <v>2.1299999999999999E-2</v>
      </c>
      <c r="H672">
        <v>4.0800000000000003E-2</v>
      </c>
      <c r="I672">
        <v>2.5700000000000001E-2</v>
      </c>
      <c r="J672">
        <v>1.9199999999999998E-2</v>
      </c>
      <c r="K672">
        <v>1.9199999999999998E-2</v>
      </c>
      <c r="L672">
        <v>2.1000000000000001E-2</v>
      </c>
      <c r="M672">
        <v>0.10199999999999999</v>
      </c>
      <c r="N672">
        <v>0.10639999999999999</v>
      </c>
      <c r="O672">
        <v>0.12520000000000001</v>
      </c>
      <c r="P672">
        <v>0.12920000000000001</v>
      </c>
      <c r="Q672">
        <v>0.12139999999999999</v>
      </c>
      <c r="R672">
        <v>0.1118</v>
      </c>
      <c r="S672">
        <v>8.4199999999999997E-2</v>
      </c>
      <c r="T672">
        <v>4.02E-2</v>
      </c>
      <c r="U672">
        <v>7.3499999999999996E-2</v>
      </c>
      <c r="V672">
        <v>4.9399999999999999E-2</v>
      </c>
      <c r="W672">
        <v>3.5099999999999999E-2</v>
      </c>
      <c r="X672">
        <v>3.2899999999999999E-2</v>
      </c>
      <c r="AM672" t="str">
        <f>""</f>
        <v/>
      </c>
      <c r="AN672" t="str">
        <f>""</f>
        <v/>
      </c>
      <c r="AO672" t="str">
        <f>""</f>
        <v/>
      </c>
      <c r="AP672" t="str">
        <f>""</f>
        <v/>
      </c>
      <c r="AQ672" t="str">
        <f>""</f>
        <v/>
      </c>
      <c r="AR672" t="str">
        <f>""</f>
        <v/>
      </c>
      <c r="AS672" t="str">
        <f>""</f>
        <v/>
      </c>
      <c r="AT672" t="str">
        <f>""</f>
        <v/>
      </c>
      <c r="AU672" t="str">
        <f>""</f>
        <v/>
      </c>
      <c r="AV672" t="str">
        <f>""</f>
        <v/>
      </c>
      <c r="AW672" t="str">
        <f>""</f>
        <v/>
      </c>
      <c r="AX672" t="str">
        <f>""</f>
        <v/>
      </c>
      <c r="AY672" t="str">
        <f>""</f>
        <v/>
      </c>
      <c r="AZ672" t="str">
        <f>""</f>
        <v/>
      </c>
      <c r="BA672" t="str">
        <f>""</f>
        <v/>
      </c>
      <c r="BB672" t="str">
        <f>""</f>
        <v/>
      </c>
      <c r="BC672" t="str">
        <f>""</f>
        <v/>
      </c>
      <c r="BD672" t="str">
        <f>""</f>
        <v/>
      </c>
      <c r="BE672" t="str">
        <f>""</f>
        <v/>
      </c>
      <c r="BF672" t="str">
        <f>""</f>
        <v/>
      </c>
      <c r="BG672" t="str">
        <f>""</f>
        <v/>
      </c>
      <c r="BH672" t="str">
        <f>""</f>
        <v/>
      </c>
      <c r="BI672" t="str">
        <f>""</f>
        <v/>
      </c>
      <c r="BJ672" t="str">
        <f>""</f>
        <v/>
      </c>
      <c r="BK672" t="str">
        <f>""</f>
        <v/>
      </c>
      <c r="BL672" t="str">
        <f>""</f>
        <v/>
      </c>
      <c r="BM672" t="str">
        <f>""</f>
        <v/>
      </c>
      <c r="BN672" t="str">
        <f>""</f>
        <v/>
      </c>
      <c r="BO672" t="str">
        <f>""</f>
        <v/>
      </c>
      <c r="BP672" t="str">
        <f>""</f>
        <v/>
      </c>
      <c r="BQ672" t="str">
        <f>""</f>
        <v/>
      </c>
      <c r="BR672" t="str">
        <f>""</f>
        <v/>
      </c>
      <c r="BS672" t="str">
        <f>""</f>
        <v/>
      </c>
    </row>
    <row r="673" spans="1:71" x14ac:dyDescent="0.25">
      <c r="A673" t="str">
        <f>$A$270</f>
        <v xml:space="preserve">        Comerica Inc</v>
      </c>
      <c r="B673" t="str">
        <f>$B$270</f>
        <v>CMA US Equity</v>
      </c>
      <c r="C673" t="str">
        <f>$C$270</f>
        <v>F0122</v>
      </c>
      <c r="D673" t="str">
        <f>$D$270</f>
        <v>FED_MARGIN_LOANS_%_TOT_LNS_LEAS</v>
      </c>
      <c r="E673" t="str">
        <f>$E$270</f>
        <v>Dynamic</v>
      </c>
      <c r="F673">
        <f ca="1">_xll.BDH($B$270,$C$270,$B$425,$B$426,CONCATENATE("Per=",$B$423),"Dts=H","Dir=H",CONCATENATE("Points=",$B$424),"Sort=R","Days=A","Fill=B",CONCATENATE("FX=", $B$422),"cols=33;rows=1")</f>
        <v>3.9399999999999998E-2</v>
      </c>
      <c r="G673">
        <v>3.8199999999999998E-2</v>
      </c>
      <c r="H673">
        <v>6.3700000000000007E-2</v>
      </c>
      <c r="I673">
        <v>1.01E-2</v>
      </c>
      <c r="J673">
        <v>1.72E-2</v>
      </c>
      <c r="K673">
        <v>2.18E-2</v>
      </c>
      <c r="L673">
        <v>0</v>
      </c>
      <c r="M673">
        <v>0</v>
      </c>
      <c r="N673">
        <v>4.7999999999999996E-3</v>
      </c>
      <c r="O673">
        <v>1.03E-2</v>
      </c>
      <c r="P673">
        <v>1.1299999999999999E-2</v>
      </c>
      <c r="Q673">
        <v>1.2200000000000001E-2</v>
      </c>
      <c r="R673">
        <v>1.2200000000000001E-2</v>
      </c>
      <c r="S673">
        <v>1.3899999999999999E-2</v>
      </c>
      <c r="T673">
        <v>3.1800000000000002E-2</v>
      </c>
      <c r="U673">
        <v>5.9499999999999997E-2</v>
      </c>
      <c r="V673">
        <v>6.7400000000000002E-2</v>
      </c>
      <c r="W673">
        <v>0.21479999999999999</v>
      </c>
      <c r="X673">
        <v>0</v>
      </c>
      <c r="AM673" t="str">
        <f>""</f>
        <v/>
      </c>
      <c r="AN673" t="str">
        <f>""</f>
        <v/>
      </c>
      <c r="AO673" t="str">
        <f>""</f>
        <v/>
      </c>
      <c r="AP673" t="str">
        <f>""</f>
        <v/>
      </c>
      <c r="AQ673" t="str">
        <f>""</f>
        <v/>
      </c>
      <c r="AR673" t="str">
        <f>""</f>
        <v/>
      </c>
      <c r="AS673" t="str">
        <f>""</f>
        <v/>
      </c>
      <c r="AT673" t="str">
        <f>""</f>
        <v/>
      </c>
      <c r="AU673" t="str">
        <f>""</f>
        <v/>
      </c>
      <c r="AV673" t="str">
        <f>""</f>
        <v/>
      </c>
      <c r="AW673" t="str">
        <f>""</f>
        <v/>
      </c>
      <c r="AX673" t="str">
        <f>""</f>
        <v/>
      </c>
      <c r="AY673" t="str">
        <f>""</f>
        <v/>
      </c>
      <c r="AZ673" t="str">
        <f>""</f>
        <v/>
      </c>
      <c r="BA673" t="str">
        <f>""</f>
        <v/>
      </c>
      <c r="BB673" t="str">
        <f>""</f>
        <v/>
      </c>
      <c r="BC673" t="str">
        <f>""</f>
        <v/>
      </c>
      <c r="BD673" t="str">
        <f>""</f>
        <v/>
      </c>
      <c r="BE673" t="str">
        <f>""</f>
        <v/>
      </c>
      <c r="BF673" t="str">
        <f>""</f>
        <v/>
      </c>
      <c r="BG673" t="str">
        <f>""</f>
        <v/>
      </c>
      <c r="BH673" t="str">
        <f>""</f>
        <v/>
      </c>
      <c r="BI673" t="str">
        <f>""</f>
        <v/>
      </c>
      <c r="BJ673" t="str">
        <f>""</f>
        <v/>
      </c>
      <c r="BK673" t="str">
        <f>""</f>
        <v/>
      </c>
      <c r="BL673" t="str">
        <f>""</f>
        <v/>
      </c>
      <c r="BM673" t="str">
        <f>""</f>
        <v/>
      </c>
      <c r="BN673" t="str">
        <f>""</f>
        <v/>
      </c>
      <c r="BO673" t="str">
        <f>""</f>
        <v/>
      </c>
      <c r="BP673" t="str">
        <f>""</f>
        <v/>
      </c>
      <c r="BQ673" t="str">
        <f>""</f>
        <v/>
      </c>
      <c r="BR673" t="str">
        <f>""</f>
        <v/>
      </c>
      <c r="BS673" t="str">
        <f>""</f>
        <v/>
      </c>
    </row>
    <row r="674" spans="1:71" x14ac:dyDescent="0.25">
      <c r="A674" t="str">
        <f>$A$271</f>
        <v xml:space="preserve">        East West Bancorp Inc</v>
      </c>
      <c r="B674" t="str">
        <f>$B$271</f>
        <v>EWBC US Equity</v>
      </c>
      <c r="C674" t="str">
        <f>$C$271</f>
        <v>F0122</v>
      </c>
      <c r="D674" t="str">
        <f>$D$271</f>
        <v>FED_MARGIN_LOANS_%_TOT_LNS_LEAS</v>
      </c>
      <c r="E674" t="str">
        <f>$E$271</f>
        <v>Dynamic</v>
      </c>
      <c r="F674">
        <f ca="1">_xll.BDH($B$271,$C$271,$B$425,$B$426,CONCATENATE("Per=",$B$423),"Dts=H","Dir=H",CONCATENATE("Points=",$B$424),"Sort=R","Days=A","Fill=B",CONCATENATE("FX=", $B$422),"cols=33;rows=1")</f>
        <v>4.7999999999999996E-3</v>
      </c>
      <c r="G674">
        <v>0.26290000000000002</v>
      </c>
      <c r="H674">
        <v>0.45269999999999999</v>
      </c>
      <c r="I674">
        <v>0.41489999999999999</v>
      </c>
      <c r="J674">
        <v>3.2000000000000001E-2</v>
      </c>
      <c r="K674">
        <v>8.5099999999999995E-2</v>
      </c>
      <c r="L674">
        <v>8.6499999999999994E-2</v>
      </c>
      <c r="M674">
        <v>2.8199999999999999E-2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AM674" t="str">
        <f>""</f>
        <v/>
      </c>
      <c r="AN674" t="str">
        <f>""</f>
        <v/>
      </c>
      <c r="AO674" t="str">
        <f>""</f>
        <v/>
      </c>
      <c r="AP674" t="str">
        <f>""</f>
        <v/>
      </c>
      <c r="AQ674" t="str">
        <f>""</f>
        <v/>
      </c>
      <c r="AR674" t="str">
        <f>""</f>
        <v/>
      </c>
      <c r="AS674" t="str">
        <f>""</f>
        <v/>
      </c>
      <c r="AT674" t="str">
        <f>""</f>
        <v/>
      </c>
      <c r="AU674" t="str">
        <f>""</f>
        <v/>
      </c>
      <c r="AV674" t="str">
        <f>""</f>
        <v/>
      </c>
      <c r="AW674" t="str">
        <f>""</f>
        <v/>
      </c>
      <c r="AX674" t="str">
        <f>""</f>
        <v/>
      </c>
      <c r="AY674" t="str">
        <f>""</f>
        <v/>
      </c>
      <c r="AZ674" t="str">
        <f>""</f>
        <v/>
      </c>
      <c r="BA674" t="str">
        <f>""</f>
        <v/>
      </c>
      <c r="BB674" t="str">
        <f>""</f>
        <v/>
      </c>
      <c r="BC674" t="str">
        <f>""</f>
        <v/>
      </c>
      <c r="BD674" t="str">
        <f>""</f>
        <v/>
      </c>
      <c r="BE674" t="str">
        <f>""</f>
        <v/>
      </c>
      <c r="BF674" t="str">
        <f>""</f>
        <v/>
      </c>
      <c r="BG674" t="str">
        <f>""</f>
        <v/>
      </c>
      <c r="BH674" t="str">
        <f>""</f>
        <v/>
      </c>
      <c r="BI674" t="str">
        <f>""</f>
        <v/>
      </c>
      <c r="BJ674" t="str">
        <f>""</f>
        <v/>
      </c>
      <c r="BK674" t="str">
        <f>""</f>
        <v/>
      </c>
      <c r="BL674" t="str">
        <f>""</f>
        <v/>
      </c>
      <c r="BM674" t="str">
        <f>""</f>
        <v/>
      </c>
      <c r="BN674" t="str">
        <f>""</f>
        <v/>
      </c>
      <c r="BO674" t="str">
        <f>""</f>
        <v/>
      </c>
      <c r="BP674" t="str">
        <f>""</f>
        <v/>
      </c>
      <c r="BQ674" t="str">
        <f>""</f>
        <v/>
      </c>
      <c r="BR674" t="str">
        <f>""</f>
        <v/>
      </c>
      <c r="BS674" t="str">
        <f>""</f>
        <v/>
      </c>
    </row>
    <row r="675" spans="1:71" x14ac:dyDescent="0.25">
      <c r="A675" t="str">
        <f>$A$272</f>
        <v xml:space="preserve">        Fifth Third Bancorp</v>
      </c>
      <c r="B675" t="str">
        <f>$B$272</f>
        <v>FITB US Equity</v>
      </c>
      <c r="C675" t="str">
        <f>$C$272</f>
        <v>F0122</v>
      </c>
      <c r="D675" t="str">
        <f>$D$272</f>
        <v>FED_MARGIN_LOANS_%_TOT_LNS_LEAS</v>
      </c>
      <c r="E675" t="str">
        <f>$E$272</f>
        <v>Dynamic</v>
      </c>
      <c r="F675">
        <f ca="1">_xll.BDH($B$272,$C$272,$B$425,$B$426,CONCATENATE("Per=",$B$423),"Dts=H","Dir=H",CONCATENATE("Points=",$B$424),"Sort=R","Days=A","Fill=B",CONCATENATE("FX=", $B$422),"cols=33;rows=1")</f>
        <v>0.2641</v>
      </c>
      <c r="G675">
        <v>0.27800000000000002</v>
      </c>
      <c r="H675">
        <v>0.20200000000000001</v>
      </c>
      <c r="I675">
        <v>0.2024</v>
      </c>
      <c r="J675">
        <v>0.313</v>
      </c>
      <c r="K675">
        <v>0.25409999999999999</v>
      </c>
      <c r="L675">
        <v>0.32279999999999998</v>
      </c>
      <c r="M675">
        <v>0.39839999999999998</v>
      </c>
      <c r="N675">
        <v>0.48909999999999998</v>
      </c>
      <c r="O675">
        <v>0.51400000000000001</v>
      </c>
      <c r="P675">
        <v>0.32950000000000002</v>
      </c>
      <c r="Q675">
        <v>0.36280000000000001</v>
      </c>
      <c r="R675">
        <v>0.50170000000000003</v>
      </c>
      <c r="S675">
        <v>0.33600000000000002</v>
      </c>
      <c r="T675">
        <v>0.29430000000000001</v>
      </c>
      <c r="U675">
        <v>0.1363</v>
      </c>
      <c r="V675">
        <v>0.1641</v>
      </c>
      <c r="W675">
        <v>0.1799</v>
      </c>
      <c r="X675">
        <v>0.21340000000000001</v>
      </c>
      <c r="AM675" t="str">
        <f>""</f>
        <v/>
      </c>
      <c r="AN675" t="str">
        <f>""</f>
        <v/>
      </c>
      <c r="AO675" t="str">
        <f>""</f>
        <v/>
      </c>
      <c r="AP675" t="str">
        <f>""</f>
        <v/>
      </c>
      <c r="AQ675" t="str">
        <f>""</f>
        <v/>
      </c>
      <c r="AR675" t="str">
        <f>""</f>
        <v/>
      </c>
      <c r="AS675" t="str">
        <f>""</f>
        <v/>
      </c>
      <c r="AT675" t="str">
        <f>""</f>
        <v/>
      </c>
      <c r="AU675" t="str">
        <f>""</f>
        <v/>
      </c>
      <c r="AV675" t="str">
        <f>""</f>
        <v/>
      </c>
      <c r="AW675" t="str">
        <f>""</f>
        <v/>
      </c>
      <c r="AX675" t="str">
        <f>""</f>
        <v/>
      </c>
      <c r="AY675" t="str">
        <f>""</f>
        <v/>
      </c>
      <c r="AZ675" t="str">
        <f>""</f>
        <v/>
      </c>
      <c r="BA675" t="str">
        <f>""</f>
        <v/>
      </c>
      <c r="BB675" t="str">
        <f>""</f>
        <v/>
      </c>
      <c r="BC675" t="str">
        <f>""</f>
        <v/>
      </c>
      <c r="BD675" t="str">
        <f>""</f>
        <v/>
      </c>
      <c r="BE675" t="str">
        <f>""</f>
        <v/>
      </c>
      <c r="BF675" t="str">
        <f>""</f>
        <v/>
      </c>
      <c r="BG675" t="str">
        <f>""</f>
        <v/>
      </c>
      <c r="BH675" t="str">
        <f>""</f>
        <v/>
      </c>
      <c r="BI675" t="str">
        <f>""</f>
        <v/>
      </c>
      <c r="BJ675" t="str">
        <f>""</f>
        <v/>
      </c>
      <c r="BK675" t="str">
        <f>""</f>
        <v/>
      </c>
      <c r="BL675" t="str">
        <f>""</f>
        <v/>
      </c>
      <c r="BM675" t="str">
        <f>""</f>
        <v/>
      </c>
      <c r="BN675" t="str">
        <f>""</f>
        <v/>
      </c>
      <c r="BO675" t="str">
        <f>""</f>
        <v/>
      </c>
      <c r="BP675" t="str">
        <f>""</f>
        <v/>
      </c>
      <c r="BQ675" t="str">
        <f>""</f>
        <v/>
      </c>
      <c r="BR675" t="str">
        <f>""</f>
        <v/>
      </c>
      <c r="BS675" t="str">
        <f>""</f>
        <v/>
      </c>
    </row>
    <row r="676" spans="1:71" x14ac:dyDescent="0.25">
      <c r="A676" t="str">
        <f>$A$273</f>
        <v xml:space="preserve">        First Citizens BancShares Inc/</v>
      </c>
      <c r="B676" t="str">
        <f>$B$273</f>
        <v>FCNCA US Equity</v>
      </c>
      <c r="C676" t="str">
        <f>$C$273</f>
        <v>F0122</v>
      </c>
      <c r="D676" t="str">
        <f>$D$273</f>
        <v>FED_MARGIN_LOANS_%_TOT_LNS_LEAS</v>
      </c>
      <c r="E676" t="str">
        <f>$E$273</f>
        <v>Dynamic</v>
      </c>
      <c r="F676">
        <f ca="1">_xll.BDH($B$273,$C$273,$B$425,$B$426,CONCATENATE("Per=",$B$423),"Dts=H","Dir=H",CONCATENATE("Points=",$B$424),"Sort=R","Days=A","Fill=B",CONCATENATE("FX=", $B$422),"cols=33;rows=1")</f>
        <v>4.6300000000000001E-2</v>
      </c>
      <c r="G676">
        <v>18.048500000000001</v>
      </c>
      <c r="H676">
        <v>3.9699999999999999E-2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1.5E-3</v>
      </c>
      <c r="P676">
        <v>1.6999999999999999E-3</v>
      </c>
      <c r="Q676">
        <v>0</v>
      </c>
      <c r="R676">
        <v>0</v>
      </c>
      <c r="S676">
        <v>3.5999999999999999E-3</v>
      </c>
      <c r="T676">
        <v>5.4000000000000003E-3</v>
      </c>
      <c r="U676">
        <v>2.1999999999999999E-2</v>
      </c>
      <c r="V676">
        <v>0</v>
      </c>
      <c r="W676">
        <v>0</v>
      </c>
      <c r="X676">
        <v>0</v>
      </c>
      <c r="AM676" t="str">
        <f>""</f>
        <v/>
      </c>
      <c r="AN676" t="str">
        <f>""</f>
        <v/>
      </c>
      <c r="AO676" t="str">
        <f>""</f>
        <v/>
      </c>
      <c r="AP676" t="str">
        <f>""</f>
        <v/>
      </c>
      <c r="AQ676" t="str">
        <f>""</f>
        <v/>
      </c>
      <c r="AR676" t="str">
        <f>""</f>
        <v/>
      </c>
      <c r="AS676" t="str">
        <f>""</f>
        <v/>
      </c>
      <c r="AT676" t="str">
        <f>""</f>
        <v/>
      </c>
      <c r="AU676" t="str">
        <f>""</f>
        <v/>
      </c>
      <c r="AV676" t="str">
        <f>""</f>
        <v/>
      </c>
      <c r="AW676" t="str">
        <f>""</f>
        <v/>
      </c>
      <c r="AX676" t="str">
        <f>""</f>
        <v/>
      </c>
      <c r="AY676" t="str">
        <f>""</f>
        <v/>
      </c>
      <c r="AZ676" t="str">
        <f>""</f>
        <v/>
      </c>
      <c r="BA676" t="str">
        <f>""</f>
        <v/>
      </c>
      <c r="BB676" t="str">
        <f>""</f>
        <v/>
      </c>
      <c r="BC676" t="str">
        <f>""</f>
        <v/>
      </c>
      <c r="BD676" t="str">
        <f>""</f>
        <v/>
      </c>
      <c r="BE676" t="str">
        <f>""</f>
        <v/>
      </c>
      <c r="BF676" t="str">
        <f>""</f>
        <v/>
      </c>
      <c r="BG676" t="str">
        <f>""</f>
        <v/>
      </c>
      <c r="BH676" t="str">
        <f>""</f>
        <v/>
      </c>
      <c r="BI676" t="str">
        <f>""</f>
        <v/>
      </c>
      <c r="BJ676" t="str">
        <f>""</f>
        <v/>
      </c>
      <c r="BK676" t="str">
        <f>""</f>
        <v/>
      </c>
      <c r="BL676" t="str">
        <f>""</f>
        <v/>
      </c>
      <c r="BM676" t="str">
        <f>""</f>
        <v/>
      </c>
      <c r="BN676" t="str">
        <f>""</f>
        <v/>
      </c>
      <c r="BO676" t="str">
        <f>""</f>
        <v/>
      </c>
      <c r="BP676" t="str">
        <f>""</f>
        <v/>
      </c>
      <c r="BQ676" t="str">
        <f>""</f>
        <v/>
      </c>
      <c r="BR676" t="str">
        <f>""</f>
        <v/>
      </c>
      <c r="BS676" t="str">
        <f>""</f>
        <v/>
      </c>
    </row>
    <row r="677" spans="1:71" x14ac:dyDescent="0.25">
      <c r="A677" t="str">
        <f>$A$274</f>
        <v xml:space="preserve">        Flagstar Financial Inc</v>
      </c>
      <c r="B677" t="str">
        <f>$B$274</f>
        <v>FLG US Equity</v>
      </c>
      <c r="C677" t="str">
        <f>$C$274</f>
        <v>F0122</v>
      </c>
      <c r="D677" t="str">
        <f>$D$274</f>
        <v>FED_MARGIN_LOANS_%_TOT_LNS_LEAS</v>
      </c>
      <c r="E677" t="str">
        <f>$E$274</f>
        <v>Dynamic</v>
      </c>
      <c r="F677">
        <f ca="1">_xll.BDH($B$274,$C$274,$B$425,$B$426,CONCATENATE("Per=",$B$423),"Dts=H","Dir=H",CONCATENATE("Points=",$B$424),"Sort=R","Days=A","Fill=B",CONCATENATE("FX=", $B$422),"cols=33;rows=1")</f>
        <v>2.3E-3</v>
      </c>
      <c r="G677">
        <v>9.9000000000000008E-3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AM677" t="str">
        <f>""</f>
        <v/>
      </c>
      <c r="AN677" t="str">
        <f>""</f>
        <v/>
      </c>
      <c r="AO677" t="str">
        <f>""</f>
        <v/>
      </c>
      <c r="AP677" t="str">
        <f>""</f>
        <v/>
      </c>
      <c r="AQ677" t="str">
        <f>""</f>
        <v/>
      </c>
      <c r="AR677" t="str">
        <f>""</f>
        <v/>
      </c>
      <c r="AS677" t="str">
        <f>""</f>
        <v/>
      </c>
      <c r="AT677" t="str">
        <f>""</f>
        <v/>
      </c>
      <c r="AU677" t="str">
        <f>""</f>
        <v/>
      </c>
      <c r="AV677" t="str">
        <f>""</f>
        <v/>
      </c>
      <c r="AW677" t="str">
        <f>""</f>
        <v/>
      </c>
      <c r="AX677" t="str">
        <f>""</f>
        <v/>
      </c>
      <c r="AY677" t="str">
        <f>""</f>
        <v/>
      </c>
      <c r="AZ677" t="str">
        <f>""</f>
        <v/>
      </c>
      <c r="BA677" t="str">
        <f>""</f>
        <v/>
      </c>
      <c r="BB677" t="str">
        <f>""</f>
        <v/>
      </c>
      <c r="BC677" t="str">
        <f>""</f>
        <v/>
      </c>
      <c r="BD677" t="str">
        <f>""</f>
        <v/>
      </c>
      <c r="BE677" t="str">
        <f>""</f>
        <v/>
      </c>
      <c r="BF677" t="str">
        <f>""</f>
        <v/>
      </c>
      <c r="BG677" t="str">
        <f>""</f>
        <v/>
      </c>
      <c r="BH677" t="str">
        <f>""</f>
        <v/>
      </c>
      <c r="BI677" t="str">
        <f>""</f>
        <v/>
      </c>
      <c r="BJ677" t="str">
        <f>""</f>
        <v/>
      </c>
      <c r="BK677" t="str">
        <f>""</f>
        <v/>
      </c>
      <c r="BL677" t="str">
        <f>""</f>
        <v/>
      </c>
      <c r="BM677" t="str">
        <f>""</f>
        <v/>
      </c>
      <c r="BN677" t="str">
        <f>""</f>
        <v/>
      </c>
      <c r="BO677" t="str">
        <f>""</f>
        <v/>
      </c>
      <c r="BP677" t="str">
        <f>""</f>
        <v/>
      </c>
      <c r="BQ677" t="str">
        <f>""</f>
        <v/>
      </c>
      <c r="BR677" t="str">
        <f>""</f>
        <v/>
      </c>
      <c r="BS677" t="str">
        <f>""</f>
        <v/>
      </c>
    </row>
    <row r="678" spans="1:71" x14ac:dyDescent="0.25">
      <c r="A678" t="str">
        <f>$A$275</f>
        <v xml:space="preserve">        Huntington Bancshares Inc/OH</v>
      </c>
      <c r="B678" t="str">
        <f>$B$275</f>
        <v>HBAN US Equity</v>
      </c>
      <c r="C678" t="str">
        <f>$C$275</f>
        <v>F0122</v>
      </c>
      <c r="D678" t="str">
        <f>$D$275</f>
        <v>FED_MARGIN_LOANS_%_TOT_LNS_LEAS</v>
      </c>
      <c r="E678" t="str">
        <f>$E$275</f>
        <v>Dynamic</v>
      </c>
      <c r="F678">
        <f ca="1">_xll.BDH($B$275,$C$275,$B$425,$B$426,CONCATENATE("Per=",$B$423),"Dts=H","Dir=H",CONCATENATE("Points=",$B$424),"Sort=R","Days=A","Fill=B",CONCATENATE("FX=", $B$422),"cols=33;rows=1")</f>
        <v>4.3999999999999997E-2</v>
      </c>
      <c r="G678">
        <v>6.0699999999999997E-2</v>
      </c>
      <c r="H678">
        <v>5.45E-2</v>
      </c>
      <c r="I678">
        <v>3.4700000000000002E-2</v>
      </c>
      <c r="J678">
        <v>2.9399999999999999E-2</v>
      </c>
      <c r="K678">
        <v>4.3999999999999997E-2</v>
      </c>
      <c r="L678">
        <v>0.12520000000000001</v>
      </c>
      <c r="M678">
        <v>0.16520000000000001</v>
      </c>
      <c r="N678">
        <v>6.6500000000000004E-2</v>
      </c>
      <c r="O678">
        <v>5.3699999999999998E-2</v>
      </c>
      <c r="P678">
        <v>6.7299999999999999E-2</v>
      </c>
      <c r="Q678">
        <v>7.7399999999999997E-2</v>
      </c>
      <c r="R678">
        <v>0.11070000000000001</v>
      </c>
      <c r="S678">
        <v>3.39E-2</v>
      </c>
      <c r="T678">
        <v>4.9000000000000002E-2</v>
      </c>
      <c r="U678">
        <v>1.2999999999999999E-3</v>
      </c>
      <c r="V678">
        <v>0.12820000000000001</v>
      </c>
      <c r="W678">
        <v>7.9000000000000008E-3</v>
      </c>
      <c r="X678">
        <v>3.5000000000000003E-2</v>
      </c>
      <c r="AM678" t="str">
        <f>""</f>
        <v/>
      </c>
      <c r="AN678" t="str">
        <f>""</f>
        <v/>
      </c>
      <c r="AO678" t="str">
        <f>""</f>
        <v/>
      </c>
      <c r="AP678" t="str">
        <f>""</f>
        <v/>
      </c>
      <c r="AQ678" t="str">
        <f>""</f>
        <v/>
      </c>
      <c r="AR678" t="str">
        <f>""</f>
        <v/>
      </c>
      <c r="AS678" t="str">
        <f>""</f>
        <v/>
      </c>
      <c r="AT678" t="str">
        <f>""</f>
        <v/>
      </c>
      <c r="AU678" t="str">
        <f>""</f>
        <v/>
      </c>
      <c r="AV678" t="str">
        <f>""</f>
        <v/>
      </c>
      <c r="AW678" t="str">
        <f>""</f>
        <v/>
      </c>
      <c r="AX678" t="str">
        <f>""</f>
        <v/>
      </c>
      <c r="AY678" t="str">
        <f>""</f>
        <v/>
      </c>
      <c r="AZ678" t="str">
        <f>""</f>
        <v/>
      </c>
      <c r="BA678" t="str">
        <f>""</f>
        <v/>
      </c>
      <c r="BB678" t="str">
        <f>""</f>
        <v/>
      </c>
      <c r="BC678" t="str">
        <f>""</f>
        <v/>
      </c>
      <c r="BD678" t="str">
        <f>""</f>
        <v/>
      </c>
      <c r="BE678" t="str">
        <f>""</f>
        <v/>
      </c>
      <c r="BF678" t="str">
        <f>""</f>
        <v/>
      </c>
      <c r="BG678" t="str">
        <f>""</f>
        <v/>
      </c>
      <c r="BH678" t="str">
        <f>""</f>
        <v/>
      </c>
      <c r="BI678" t="str">
        <f>""</f>
        <v/>
      </c>
      <c r="BJ678" t="str">
        <f>""</f>
        <v/>
      </c>
      <c r="BK678" t="str">
        <f>""</f>
        <v/>
      </c>
      <c r="BL678" t="str">
        <f>""</f>
        <v/>
      </c>
      <c r="BM678" t="str">
        <f>""</f>
        <v/>
      </c>
      <c r="BN678" t="str">
        <f>""</f>
        <v/>
      </c>
      <c r="BO678" t="str">
        <f>""</f>
        <v/>
      </c>
      <c r="BP678" t="str">
        <f>""</f>
        <v/>
      </c>
      <c r="BQ678" t="str">
        <f>""</f>
        <v/>
      </c>
      <c r="BR678" t="str">
        <f>""</f>
        <v/>
      </c>
      <c r="BS678" t="str">
        <f>""</f>
        <v/>
      </c>
    </row>
    <row r="679" spans="1:71" x14ac:dyDescent="0.25">
      <c r="A679" t="str">
        <f>$A$276</f>
        <v xml:space="preserve">        JPMorgan Chase &amp; Co</v>
      </c>
      <c r="B679" t="str">
        <f>$B$276</f>
        <v>JPM US Equity</v>
      </c>
      <c r="C679" t="str">
        <f>$C$276</f>
        <v>F0122</v>
      </c>
      <c r="D679" t="str">
        <f>$D$276</f>
        <v>FED_MARGIN_LOANS_%_TOT_LNS_LEAS</v>
      </c>
      <c r="E679" t="str">
        <f>$E$276</f>
        <v>Dynamic</v>
      </c>
      <c r="F679">
        <f ca="1">_xll.BDH($B$276,$C$276,$B$425,$B$426,CONCATENATE("Per=",$B$423),"Dts=H","Dir=H",CONCATENATE("Points=",$B$424),"Sort=R","Days=A","Fill=B",CONCATENATE("FX=", $B$422),"cols=33;rows=1")</f>
        <v>6.6093000000000002</v>
      </c>
      <c r="G679">
        <v>5.9843999999999999</v>
      </c>
      <c r="H679">
        <v>6.8048000000000002</v>
      </c>
      <c r="I679">
        <v>7.6111000000000004</v>
      </c>
      <c r="J679">
        <v>6.4366000000000003</v>
      </c>
      <c r="K679">
        <v>4.6311999999999998</v>
      </c>
      <c r="L679">
        <v>4.1539999999999999</v>
      </c>
      <c r="M679">
        <v>3.8433999999999999</v>
      </c>
      <c r="N679">
        <v>2.8405999999999998</v>
      </c>
      <c r="O679">
        <v>2.3957999999999999</v>
      </c>
      <c r="P679">
        <v>4.2373000000000003</v>
      </c>
      <c r="Q679">
        <v>4.0014000000000003</v>
      </c>
      <c r="R679">
        <v>3.3784999999999998</v>
      </c>
      <c r="S679">
        <v>2.6427</v>
      </c>
      <c r="T679">
        <v>4.7579000000000002</v>
      </c>
      <c r="U679">
        <v>2.9969999999999999</v>
      </c>
      <c r="V679">
        <v>2.6894999999999998</v>
      </c>
      <c r="W679">
        <v>0.86890000000000001</v>
      </c>
      <c r="X679">
        <v>0.86850000000000005</v>
      </c>
      <c r="AM679" t="str">
        <f>""</f>
        <v/>
      </c>
      <c r="AN679" t="str">
        <f>""</f>
        <v/>
      </c>
      <c r="AO679" t="str">
        <f>""</f>
        <v/>
      </c>
      <c r="AP679" t="str">
        <f>""</f>
        <v/>
      </c>
      <c r="AQ679" t="str">
        <f>""</f>
        <v/>
      </c>
      <c r="AR679" t="str">
        <f>""</f>
        <v/>
      </c>
      <c r="AS679" t="str">
        <f>""</f>
        <v/>
      </c>
      <c r="AT679" t="str">
        <f>""</f>
        <v/>
      </c>
      <c r="AU679" t="str">
        <f>""</f>
        <v/>
      </c>
      <c r="AV679" t="str">
        <f>""</f>
        <v/>
      </c>
      <c r="AW679" t="str">
        <f>""</f>
        <v/>
      </c>
      <c r="AX679" t="str">
        <f>""</f>
        <v/>
      </c>
      <c r="AY679" t="str">
        <f>""</f>
        <v/>
      </c>
      <c r="AZ679" t="str">
        <f>""</f>
        <v/>
      </c>
      <c r="BA679" t="str">
        <f>""</f>
        <v/>
      </c>
      <c r="BB679" t="str">
        <f>""</f>
        <v/>
      </c>
      <c r="BC679" t="str">
        <f>""</f>
        <v/>
      </c>
      <c r="BD679" t="str">
        <f>""</f>
        <v/>
      </c>
      <c r="BE679" t="str">
        <f>""</f>
        <v/>
      </c>
      <c r="BF679" t="str">
        <f>""</f>
        <v/>
      </c>
      <c r="BG679" t="str">
        <f>""</f>
        <v/>
      </c>
      <c r="BH679" t="str">
        <f>""</f>
        <v/>
      </c>
      <c r="BI679" t="str">
        <f>""</f>
        <v/>
      </c>
      <c r="BJ679" t="str">
        <f>""</f>
        <v/>
      </c>
      <c r="BK679" t="str">
        <f>""</f>
        <v/>
      </c>
      <c r="BL679" t="str">
        <f>""</f>
        <v/>
      </c>
      <c r="BM679" t="str">
        <f>""</f>
        <v/>
      </c>
      <c r="BN679" t="str">
        <f>""</f>
        <v/>
      </c>
      <c r="BO679" t="str">
        <f>""</f>
        <v/>
      </c>
      <c r="BP679" t="str">
        <f>""</f>
        <v/>
      </c>
      <c r="BQ679" t="str">
        <f>""</f>
        <v/>
      </c>
      <c r="BR679" t="str">
        <f>""</f>
        <v/>
      </c>
      <c r="BS679" t="str">
        <f>""</f>
        <v/>
      </c>
    </row>
    <row r="680" spans="1:71" x14ac:dyDescent="0.25">
      <c r="A680" t="str">
        <f>$A$277</f>
        <v xml:space="preserve">        KeyCorp</v>
      </c>
      <c r="B680" t="str">
        <f>$B$277</f>
        <v>KEY US Equity</v>
      </c>
      <c r="C680" t="str">
        <f>$C$277</f>
        <v>F0122</v>
      </c>
      <c r="D680" t="str">
        <f>$D$277</f>
        <v>FED_MARGIN_LOANS_%_TOT_LNS_LEAS</v>
      </c>
      <c r="E680" t="str">
        <f>$E$277</f>
        <v>Dynamic</v>
      </c>
      <c r="F680">
        <f ca="1">_xll.BDH($B$277,$C$277,$B$425,$B$426,CONCATENATE("Per=",$B$423),"Dts=H","Dir=H",CONCATENATE("Points=",$B$424),"Sort=R","Days=A","Fill=B",CONCATENATE("FX=", $B$422),"cols=33;rows=1")</f>
        <v>2.0899999999999998E-2</v>
      </c>
      <c r="G680">
        <v>4.3700000000000003E-2</v>
      </c>
      <c r="H680">
        <v>6.1499999999999999E-2</v>
      </c>
      <c r="I680">
        <v>5.8099999999999999E-2</v>
      </c>
      <c r="J680">
        <v>7.0400000000000004E-2</v>
      </c>
      <c r="K680">
        <v>7.0400000000000004E-2</v>
      </c>
      <c r="L680">
        <v>4.7300000000000002E-2</v>
      </c>
      <c r="M680">
        <v>8.1000000000000003E-2</v>
      </c>
      <c r="N680">
        <v>0.12180000000000001</v>
      </c>
      <c r="O680">
        <v>0.15390000000000001</v>
      </c>
      <c r="P680">
        <v>0.1769</v>
      </c>
      <c r="Q680">
        <v>0.14779999999999999</v>
      </c>
      <c r="R680">
        <v>0.124</v>
      </c>
      <c r="S680">
        <v>0.2974</v>
      </c>
      <c r="T680">
        <v>0.1603</v>
      </c>
      <c r="U680">
        <v>0.10009999999999999</v>
      </c>
      <c r="V680">
        <v>0.14749999999999999</v>
      </c>
      <c r="W680">
        <v>0.17299999999999999</v>
      </c>
      <c r="X680">
        <v>0.28289999999999998</v>
      </c>
      <c r="AM680" t="str">
        <f>""</f>
        <v/>
      </c>
      <c r="AN680" t="str">
        <f>""</f>
        <v/>
      </c>
      <c r="AO680" t="str">
        <f>""</f>
        <v/>
      </c>
      <c r="AP680" t="str">
        <f>""</f>
        <v/>
      </c>
      <c r="AQ680" t="str">
        <f>""</f>
        <v/>
      </c>
      <c r="AR680" t="str">
        <f>""</f>
        <v/>
      </c>
      <c r="AS680" t="str">
        <f>""</f>
        <v/>
      </c>
      <c r="AT680" t="str">
        <f>""</f>
        <v/>
      </c>
      <c r="AU680" t="str">
        <f>""</f>
        <v/>
      </c>
      <c r="AV680" t="str">
        <f>""</f>
        <v/>
      </c>
      <c r="AW680" t="str">
        <f>""</f>
        <v/>
      </c>
      <c r="AX680" t="str">
        <f>""</f>
        <v/>
      </c>
      <c r="AY680" t="str">
        <f>""</f>
        <v/>
      </c>
      <c r="AZ680" t="str">
        <f>""</f>
        <v/>
      </c>
      <c r="BA680" t="str">
        <f>""</f>
        <v/>
      </c>
      <c r="BB680" t="str">
        <f>""</f>
        <v/>
      </c>
      <c r="BC680" t="str">
        <f>""</f>
        <v/>
      </c>
      <c r="BD680" t="str">
        <f>""</f>
        <v/>
      </c>
      <c r="BE680" t="str">
        <f>""</f>
        <v/>
      </c>
      <c r="BF680" t="str">
        <f>""</f>
        <v/>
      </c>
      <c r="BG680" t="str">
        <f>""</f>
        <v/>
      </c>
      <c r="BH680" t="str">
        <f>""</f>
        <v/>
      </c>
      <c r="BI680" t="str">
        <f>""</f>
        <v/>
      </c>
      <c r="BJ680" t="str">
        <f>""</f>
        <v/>
      </c>
      <c r="BK680" t="str">
        <f>""</f>
        <v/>
      </c>
      <c r="BL680" t="str">
        <f>""</f>
        <v/>
      </c>
      <c r="BM680" t="str">
        <f>""</f>
        <v/>
      </c>
      <c r="BN680" t="str">
        <f>""</f>
        <v/>
      </c>
      <c r="BO680" t="str">
        <f>""</f>
        <v/>
      </c>
      <c r="BP680" t="str">
        <f>""</f>
        <v/>
      </c>
      <c r="BQ680" t="str">
        <f>""</f>
        <v/>
      </c>
      <c r="BR680" t="str">
        <f>""</f>
        <v/>
      </c>
      <c r="BS680" t="str">
        <f>""</f>
        <v/>
      </c>
    </row>
    <row r="681" spans="1:71" x14ac:dyDescent="0.25">
      <c r="A681" t="str">
        <f>$A$278</f>
        <v xml:space="preserve">        M&amp;T Bank Corp</v>
      </c>
      <c r="B681" t="str">
        <f>$B$278</f>
        <v>MTB US Equity</v>
      </c>
      <c r="C681" t="str">
        <f>$C$278</f>
        <v>F0122</v>
      </c>
      <c r="D681" t="str">
        <f>$D$278</f>
        <v>FED_MARGIN_LOANS_%_TOT_LNS_LEAS</v>
      </c>
      <c r="E681" t="str">
        <f>$E$278</f>
        <v>Dynamic</v>
      </c>
      <c r="F681">
        <f ca="1">_xll.BDH($B$278,$C$278,$B$425,$B$426,CONCATENATE("Per=",$B$423),"Dts=H","Dir=H",CONCATENATE("Points=",$B$424),"Sort=R","Days=A","Fill=B",CONCATENATE("FX=", $B$422),"cols=33;rows=1")</f>
        <v>0.1361</v>
      </c>
      <c r="G681">
        <v>0.1205</v>
      </c>
      <c r="H681">
        <v>0.14380000000000001</v>
      </c>
      <c r="I681">
        <v>0.21190000000000001</v>
      </c>
      <c r="J681">
        <v>0.13650000000000001</v>
      </c>
      <c r="K681">
        <v>0.1318</v>
      </c>
      <c r="L681">
        <v>0.18179999999999999</v>
      </c>
      <c r="M681">
        <v>0.28949999999999998</v>
      </c>
      <c r="N681">
        <v>0.44540000000000002</v>
      </c>
      <c r="O681">
        <v>0.1113</v>
      </c>
      <c r="P681">
        <v>0.2203</v>
      </c>
      <c r="Q681">
        <v>0.45279999999999998</v>
      </c>
      <c r="R681">
        <v>0.30170000000000002</v>
      </c>
      <c r="S681">
        <v>0.2097</v>
      </c>
      <c r="T681">
        <v>0.21879999999999999</v>
      </c>
      <c r="U681">
        <v>0.14410000000000001</v>
      </c>
      <c r="V681">
        <v>0.1241</v>
      </c>
      <c r="W681">
        <v>0.14979999999999999</v>
      </c>
      <c r="X681">
        <v>2.46E-2</v>
      </c>
      <c r="AM681" t="str">
        <f>""</f>
        <v/>
      </c>
      <c r="AN681" t="str">
        <f>""</f>
        <v/>
      </c>
      <c r="AO681" t="str">
        <f>""</f>
        <v/>
      </c>
      <c r="AP681" t="str">
        <f>""</f>
        <v/>
      </c>
      <c r="AQ681" t="str">
        <f>""</f>
        <v/>
      </c>
      <c r="AR681" t="str">
        <f>""</f>
        <v/>
      </c>
      <c r="AS681" t="str">
        <f>""</f>
        <v/>
      </c>
      <c r="AT681" t="str">
        <f>""</f>
        <v/>
      </c>
      <c r="AU681" t="str">
        <f>""</f>
        <v/>
      </c>
      <c r="AV681" t="str">
        <f>""</f>
        <v/>
      </c>
      <c r="AW681" t="str">
        <f>""</f>
        <v/>
      </c>
      <c r="AX681" t="str">
        <f>""</f>
        <v/>
      </c>
      <c r="AY681" t="str">
        <f>""</f>
        <v/>
      </c>
      <c r="AZ681" t="str">
        <f>""</f>
        <v/>
      </c>
      <c r="BA681" t="str">
        <f>""</f>
        <v/>
      </c>
      <c r="BB681" t="str">
        <f>""</f>
        <v/>
      </c>
      <c r="BC681" t="str">
        <f>""</f>
        <v/>
      </c>
      <c r="BD681" t="str">
        <f>""</f>
        <v/>
      </c>
      <c r="BE681" t="str">
        <f>""</f>
        <v/>
      </c>
      <c r="BF681" t="str">
        <f>""</f>
        <v/>
      </c>
      <c r="BG681" t="str">
        <f>""</f>
        <v/>
      </c>
      <c r="BH681" t="str">
        <f>""</f>
        <v/>
      </c>
      <c r="BI681" t="str">
        <f>""</f>
        <v/>
      </c>
      <c r="BJ681" t="str">
        <f>""</f>
        <v/>
      </c>
      <c r="BK681" t="str">
        <f>""</f>
        <v/>
      </c>
      <c r="BL681" t="str">
        <f>""</f>
        <v/>
      </c>
      <c r="BM681" t="str">
        <f>""</f>
        <v/>
      </c>
      <c r="BN681" t="str">
        <f>""</f>
        <v/>
      </c>
      <c r="BO681" t="str">
        <f>""</f>
        <v/>
      </c>
      <c r="BP681" t="str">
        <f>""</f>
        <v/>
      </c>
      <c r="BQ681" t="str">
        <f>""</f>
        <v/>
      </c>
      <c r="BR681" t="str">
        <f>""</f>
        <v/>
      </c>
      <c r="BS681" t="str">
        <f>""</f>
        <v/>
      </c>
    </row>
    <row r="682" spans="1:71" x14ac:dyDescent="0.25">
      <c r="A682" t="str">
        <f>$A$279</f>
        <v xml:space="preserve">        PNC Financial Services Group I</v>
      </c>
      <c r="B682" t="str">
        <f>$B$279</f>
        <v>PNC US Equity</v>
      </c>
      <c r="C682" t="str">
        <f>$C$279</f>
        <v>F0122</v>
      </c>
      <c r="D682" t="str">
        <f>$D$279</f>
        <v>FED_MARGIN_LOANS_%_TOT_LNS_LEAS</v>
      </c>
      <c r="E682" t="str">
        <f>$E$279</f>
        <v>Dynamic</v>
      </c>
      <c r="F682">
        <f ca="1">_xll.BDH($B$279,$C$279,$B$425,$B$426,CONCATENATE("Per=",$B$423),"Dts=H","Dir=H",CONCATENATE("Points=",$B$424),"Sort=R","Days=A","Fill=B",CONCATENATE("FX=", $B$422),"cols=33;rows=1")</f>
        <v>2.5600000000000001E-2</v>
      </c>
      <c r="G682">
        <v>3.2199999999999999E-2</v>
      </c>
      <c r="H682">
        <v>5.0299999999999997E-2</v>
      </c>
      <c r="I682">
        <v>5.4899999999999997E-2</v>
      </c>
      <c r="J682">
        <v>7.6200000000000004E-2</v>
      </c>
      <c r="K682">
        <v>4.1000000000000002E-2</v>
      </c>
      <c r="L682">
        <v>4.3099999999999999E-2</v>
      </c>
      <c r="M682">
        <v>4.48E-2</v>
      </c>
      <c r="N682">
        <v>4.8599999999999997E-2</v>
      </c>
      <c r="O682">
        <v>0.11070000000000001</v>
      </c>
      <c r="P682">
        <v>0.1134</v>
      </c>
      <c r="Q682">
        <v>5.9299999999999999E-2</v>
      </c>
      <c r="R682">
        <v>0.1008</v>
      </c>
      <c r="S682">
        <v>0.18720000000000001</v>
      </c>
      <c r="T682">
        <v>5.6899999999999999E-2</v>
      </c>
      <c r="U682">
        <v>8.43E-2</v>
      </c>
      <c r="V682">
        <v>9.2399999999999996E-2</v>
      </c>
      <c r="W682">
        <v>0.33100000000000002</v>
      </c>
      <c r="X682">
        <v>0.4219</v>
      </c>
      <c r="AM682" t="str">
        <f>""</f>
        <v/>
      </c>
      <c r="AN682" t="str">
        <f>""</f>
        <v/>
      </c>
      <c r="AO682" t="str">
        <f>""</f>
        <v/>
      </c>
      <c r="AP682" t="str">
        <f>""</f>
        <v/>
      </c>
      <c r="AQ682" t="str">
        <f>""</f>
        <v/>
      </c>
      <c r="AR682" t="str">
        <f>""</f>
        <v/>
      </c>
      <c r="AS682" t="str">
        <f>""</f>
        <v/>
      </c>
      <c r="AT682" t="str">
        <f>""</f>
        <v/>
      </c>
      <c r="AU682" t="str">
        <f>""</f>
        <v/>
      </c>
      <c r="AV682" t="str">
        <f>""</f>
        <v/>
      </c>
      <c r="AW682" t="str">
        <f>""</f>
        <v/>
      </c>
      <c r="AX682" t="str">
        <f>""</f>
        <v/>
      </c>
      <c r="AY682" t="str">
        <f>""</f>
        <v/>
      </c>
      <c r="AZ682" t="str">
        <f>""</f>
        <v/>
      </c>
      <c r="BA682" t="str">
        <f>""</f>
        <v/>
      </c>
      <c r="BB682" t="str">
        <f>""</f>
        <v/>
      </c>
      <c r="BC682" t="str">
        <f>""</f>
        <v/>
      </c>
      <c r="BD682" t="str">
        <f>""</f>
        <v/>
      </c>
      <c r="BE682" t="str">
        <f>""</f>
        <v/>
      </c>
      <c r="BF682" t="str">
        <f>""</f>
        <v/>
      </c>
      <c r="BG682" t="str">
        <f>""</f>
        <v/>
      </c>
      <c r="BH682" t="str">
        <f>""</f>
        <v/>
      </c>
      <c r="BI682" t="str">
        <f>""</f>
        <v/>
      </c>
      <c r="BJ682" t="str">
        <f>""</f>
        <v/>
      </c>
      <c r="BK682" t="str">
        <f>""</f>
        <v/>
      </c>
      <c r="BL682" t="str">
        <f>""</f>
        <v/>
      </c>
      <c r="BM682" t="str">
        <f>""</f>
        <v/>
      </c>
      <c r="BN682" t="str">
        <f>""</f>
        <v/>
      </c>
      <c r="BO682" t="str">
        <f>""</f>
        <v/>
      </c>
      <c r="BP682" t="str">
        <f>""</f>
        <v/>
      </c>
      <c r="BQ682" t="str">
        <f>""</f>
        <v/>
      </c>
      <c r="BR682" t="str">
        <f>""</f>
        <v/>
      </c>
      <c r="BS682" t="str">
        <f>""</f>
        <v/>
      </c>
    </row>
    <row r="683" spans="1:71" x14ac:dyDescent="0.25">
      <c r="A683" t="str">
        <f>$A$280</f>
        <v xml:space="preserve">        Regions Financial Corp</v>
      </c>
      <c r="B683" t="str">
        <f>$B$280</f>
        <v>RF US Equity</v>
      </c>
      <c r="C683" t="str">
        <f>$C$280</f>
        <v>F0122</v>
      </c>
      <c r="D683" t="str">
        <f>$D$280</f>
        <v>FED_MARGIN_LOANS_%_TOT_LNS_LEAS</v>
      </c>
      <c r="E683" t="str">
        <f>$E$280</f>
        <v>Dynamic</v>
      </c>
      <c r="F683">
        <f ca="1">_xll.BDH($B$280,$C$280,$B$425,$B$426,CONCATENATE("Per=",$B$423),"Dts=H","Dir=H",CONCATENATE("Points=",$B$424),"Sort=R","Days=A","Fill=B",CONCATENATE("FX=", $B$422),"cols=33;rows=1")</f>
        <v>0.29389999999999999</v>
      </c>
      <c r="G683">
        <v>0.1033</v>
      </c>
      <c r="H683">
        <v>0.16539999999999999</v>
      </c>
      <c r="I683">
        <v>0.2039</v>
      </c>
      <c r="J683">
        <v>0.14460000000000001</v>
      </c>
      <c r="K683">
        <v>0.1077</v>
      </c>
      <c r="L683">
        <v>0.10680000000000001</v>
      </c>
      <c r="M683">
        <v>7.22E-2</v>
      </c>
      <c r="N683">
        <v>0.14169999999999999</v>
      </c>
      <c r="O683">
        <v>0.28249999999999997</v>
      </c>
      <c r="P683">
        <v>0.4637</v>
      </c>
      <c r="Q683">
        <v>0.61960000000000004</v>
      </c>
      <c r="R683">
        <v>0.51119999999999999</v>
      </c>
      <c r="S683">
        <v>0.51839999999999997</v>
      </c>
      <c r="T683">
        <v>0.56030000000000002</v>
      </c>
      <c r="U683">
        <v>0.49669999999999997</v>
      </c>
      <c r="V683">
        <v>0.47910000000000003</v>
      </c>
      <c r="W683">
        <v>0.42730000000000001</v>
      </c>
      <c r="X683">
        <v>0.3574</v>
      </c>
      <c r="AM683" t="str">
        <f>""</f>
        <v/>
      </c>
      <c r="AN683" t="str">
        <f>""</f>
        <v/>
      </c>
      <c r="AO683" t="str">
        <f>""</f>
        <v/>
      </c>
      <c r="AP683" t="str">
        <f>""</f>
        <v/>
      </c>
      <c r="AQ683" t="str">
        <f>""</f>
        <v/>
      </c>
      <c r="AR683" t="str">
        <f>""</f>
        <v/>
      </c>
      <c r="AS683" t="str">
        <f>""</f>
        <v/>
      </c>
      <c r="AT683" t="str">
        <f>""</f>
        <v/>
      </c>
      <c r="AU683" t="str">
        <f>""</f>
        <v/>
      </c>
      <c r="AV683" t="str">
        <f>""</f>
        <v/>
      </c>
      <c r="AW683" t="str">
        <f>""</f>
        <v/>
      </c>
      <c r="AX683" t="str">
        <f>""</f>
        <v/>
      </c>
      <c r="AY683" t="str">
        <f>""</f>
        <v/>
      </c>
      <c r="AZ683" t="str">
        <f>""</f>
        <v/>
      </c>
      <c r="BA683" t="str">
        <f>""</f>
        <v/>
      </c>
      <c r="BB683" t="str">
        <f>""</f>
        <v/>
      </c>
      <c r="BC683" t="str">
        <f>""</f>
        <v/>
      </c>
      <c r="BD683" t="str">
        <f>""</f>
        <v/>
      </c>
      <c r="BE683" t="str">
        <f>""</f>
        <v/>
      </c>
      <c r="BF683" t="str">
        <f>""</f>
        <v/>
      </c>
      <c r="BG683" t="str">
        <f>""</f>
        <v/>
      </c>
      <c r="BH683" t="str">
        <f>""</f>
        <v/>
      </c>
      <c r="BI683" t="str">
        <f>""</f>
        <v/>
      </c>
      <c r="BJ683" t="str">
        <f>""</f>
        <v/>
      </c>
      <c r="BK683" t="str">
        <f>""</f>
        <v/>
      </c>
      <c r="BL683" t="str">
        <f>""</f>
        <v/>
      </c>
      <c r="BM683" t="str">
        <f>""</f>
        <v/>
      </c>
      <c r="BN683" t="str">
        <f>""</f>
        <v/>
      </c>
      <c r="BO683" t="str">
        <f>""</f>
        <v/>
      </c>
      <c r="BP683" t="str">
        <f>""</f>
        <v/>
      </c>
      <c r="BQ683" t="str">
        <f>""</f>
        <v/>
      </c>
      <c r="BR683" t="str">
        <f>""</f>
        <v/>
      </c>
      <c r="BS683" t="str">
        <f>""</f>
        <v/>
      </c>
    </row>
    <row r="684" spans="1:71" x14ac:dyDescent="0.25">
      <c r="A684" t="str">
        <f>$A$281</f>
        <v xml:space="preserve">        Truist Financial Corp</v>
      </c>
      <c r="B684" t="str">
        <f>$B$281</f>
        <v>TFC US Equity</v>
      </c>
      <c r="C684" t="str">
        <f>$C$281</f>
        <v>F0122</v>
      </c>
      <c r="D684" t="str">
        <f>$D$281</f>
        <v>FED_MARGIN_LOANS_%_TOT_LNS_LEAS</v>
      </c>
      <c r="E684" t="str">
        <f>$E$281</f>
        <v>Dynamic</v>
      </c>
      <c r="F684">
        <f ca="1">_xll.BDH($B$281,$C$281,$B$425,$B$426,CONCATENATE("Per=",$B$423),"Dts=H","Dir=H",CONCATENATE("Points=",$B$424),"Sort=R","Days=A","Fill=B",CONCATENATE("FX=", $B$422),"cols=33;rows=1")</f>
        <v>0.2102</v>
      </c>
      <c r="G684">
        <v>0.16689999999999999</v>
      </c>
      <c r="H684">
        <v>0.15509999999999999</v>
      </c>
      <c r="I684">
        <v>9.0399999999999994E-2</v>
      </c>
      <c r="J684">
        <v>7.9799999999999996E-2</v>
      </c>
      <c r="K684">
        <v>0.12230000000000001</v>
      </c>
      <c r="L684">
        <v>0.47070000000000001</v>
      </c>
      <c r="M684">
        <v>0.58560000000000001</v>
      </c>
      <c r="N684">
        <v>0.59619999999999995</v>
      </c>
      <c r="O684">
        <v>0.49680000000000002</v>
      </c>
      <c r="P684">
        <v>0.54190000000000005</v>
      </c>
      <c r="Q684">
        <v>0.45400000000000001</v>
      </c>
      <c r="R684">
        <v>0.34689999999999999</v>
      </c>
      <c r="S684">
        <v>0.33979999999999999</v>
      </c>
      <c r="T684">
        <v>0.40300000000000002</v>
      </c>
      <c r="U684">
        <v>0.44259999999999999</v>
      </c>
      <c r="V684">
        <v>0.62439999999999996</v>
      </c>
      <c r="W684">
        <v>0.33300000000000002</v>
      </c>
      <c r="X684">
        <v>0.27810000000000001</v>
      </c>
      <c r="AM684" t="str">
        <f>""</f>
        <v/>
      </c>
      <c r="AN684" t="str">
        <f>""</f>
        <v/>
      </c>
      <c r="AO684" t="str">
        <f>""</f>
        <v/>
      </c>
      <c r="AP684" t="str">
        <f>""</f>
        <v/>
      </c>
      <c r="AQ684" t="str">
        <f>""</f>
        <v/>
      </c>
      <c r="AR684" t="str">
        <f>""</f>
        <v/>
      </c>
      <c r="AS684" t="str">
        <f>""</f>
        <v/>
      </c>
      <c r="AT684" t="str">
        <f>""</f>
        <v/>
      </c>
      <c r="AU684" t="str">
        <f>""</f>
        <v/>
      </c>
      <c r="AV684" t="str">
        <f>""</f>
        <v/>
      </c>
      <c r="AW684" t="str">
        <f>""</f>
        <v/>
      </c>
      <c r="AX684" t="str">
        <f>""</f>
        <v/>
      </c>
      <c r="AY684" t="str">
        <f>""</f>
        <v/>
      </c>
      <c r="AZ684" t="str">
        <f>""</f>
        <v/>
      </c>
      <c r="BA684" t="str">
        <f>""</f>
        <v/>
      </c>
      <c r="BB684" t="str">
        <f>""</f>
        <v/>
      </c>
      <c r="BC684" t="str">
        <f>""</f>
        <v/>
      </c>
      <c r="BD684" t="str">
        <f>""</f>
        <v/>
      </c>
      <c r="BE684" t="str">
        <f>""</f>
        <v/>
      </c>
      <c r="BF684" t="str">
        <f>""</f>
        <v/>
      </c>
      <c r="BG684" t="str">
        <f>""</f>
        <v/>
      </c>
      <c r="BH684" t="str">
        <f>""</f>
        <v/>
      </c>
      <c r="BI684" t="str">
        <f>""</f>
        <v/>
      </c>
      <c r="BJ684" t="str">
        <f>""</f>
        <v/>
      </c>
      <c r="BK684" t="str">
        <f>""</f>
        <v/>
      </c>
      <c r="BL684" t="str">
        <f>""</f>
        <v/>
      </c>
      <c r="BM684" t="str">
        <f>""</f>
        <v/>
      </c>
      <c r="BN684" t="str">
        <f>""</f>
        <v/>
      </c>
      <c r="BO684" t="str">
        <f>""</f>
        <v/>
      </c>
      <c r="BP684" t="str">
        <f>""</f>
        <v/>
      </c>
      <c r="BQ684" t="str">
        <f>""</f>
        <v/>
      </c>
      <c r="BR684" t="str">
        <f>""</f>
        <v/>
      </c>
      <c r="BS684" t="str">
        <f>""</f>
        <v/>
      </c>
    </row>
    <row r="685" spans="1:71" x14ac:dyDescent="0.25">
      <c r="A685" t="str">
        <f>$A$282</f>
        <v xml:space="preserve">        US Bancorp</v>
      </c>
      <c r="B685" t="str">
        <f>$B$282</f>
        <v>USB US Equity</v>
      </c>
      <c r="C685" t="str">
        <f>$C$282</f>
        <v>F0122</v>
      </c>
      <c r="D685" t="str">
        <f>$D$282</f>
        <v>FED_MARGIN_LOANS_%_TOT_LNS_LEAS</v>
      </c>
      <c r="E685" t="str">
        <f>$E$282</f>
        <v>Dynamic</v>
      </c>
      <c r="F685">
        <f ca="1">_xll.BDH($B$282,$C$282,$B$425,$B$426,CONCATENATE("Per=",$B$423),"Dts=H","Dir=H",CONCATENATE("Points=",$B$424),"Sort=R","Days=A","Fill=B",CONCATENATE("FX=", $B$422),"cols=33;rows=1")</f>
        <v>0.2</v>
      </c>
      <c r="G685">
        <v>0.32200000000000001</v>
      </c>
      <c r="H685">
        <v>0.37169999999999997</v>
      </c>
      <c r="I685">
        <v>0.42209999999999998</v>
      </c>
      <c r="J685">
        <v>0.44019999999999998</v>
      </c>
      <c r="K685">
        <v>0.4375</v>
      </c>
      <c r="L685">
        <v>0.41970000000000002</v>
      </c>
      <c r="M685">
        <v>0.46679999999999999</v>
      </c>
      <c r="N685">
        <v>0.4819</v>
      </c>
      <c r="O685">
        <v>0.41099999999999998</v>
      </c>
      <c r="P685">
        <v>0.39689999999999998</v>
      </c>
      <c r="Q685">
        <v>0.31530000000000002</v>
      </c>
      <c r="R685">
        <v>0.39560000000000001</v>
      </c>
      <c r="S685">
        <v>0.33389999999999997</v>
      </c>
      <c r="T685">
        <v>0.32279999999999998</v>
      </c>
      <c r="U685">
        <v>0.20349999999999999</v>
      </c>
      <c r="V685">
        <v>0.2253</v>
      </c>
      <c r="W685">
        <v>0.35360000000000003</v>
      </c>
      <c r="X685">
        <v>0.34520000000000001</v>
      </c>
      <c r="AM685" t="str">
        <f>""</f>
        <v/>
      </c>
      <c r="AN685" t="str">
        <f>""</f>
        <v/>
      </c>
      <c r="AO685" t="str">
        <f>""</f>
        <v/>
      </c>
      <c r="AP685" t="str">
        <f>""</f>
        <v/>
      </c>
      <c r="AQ685" t="str">
        <f>""</f>
        <v/>
      </c>
      <c r="AR685" t="str">
        <f>""</f>
        <v/>
      </c>
      <c r="AS685" t="str">
        <f>""</f>
        <v/>
      </c>
      <c r="AT685" t="str">
        <f>""</f>
        <v/>
      </c>
      <c r="AU685" t="str">
        <f>""</f>
        <v/>
      </c>
      <c r="AV685" t="str">
        <f>""</f>
        <v/>
      </c>
      <c r="AW685" t="str">
        <f>""</f>
        <v/>
      </c>
      <c r="AX685" t="str">
        <f>""</f>
        <v/>
      </c>
      <c r="AY685" t="str">
        <f>""</f>
        <v/>
      </c>
      <c r="AZ685" t="str">
        <f>""</f>
        <v/>
      </c>
      <c r="BA685" t="str">
        <f>""</f>
        <v/>
      </c>
      <c r="BB685" t="str">
        <f>""</f>
        <v/>
      </c>
      <c r="BC685" t="str">
        <f>""</f>
        <v/>
      </c>
      <c r="BD685" t="str">
        <f>""</f>
        <v/>
      </c>
      <c r="BE685" t="str">
        <f>""</f>
        <v/>
      </c>
      <c r="BF685" t="str">
        <f>""</f>
        <v/>
      </c>
      <c r="BG685" t="str">
        <f>""</f>
        <v/>
      </c>
      <c r="BH685" t="str">
        <f>""</f>
        <v/>
      </c>
      <c r="BI685" t="str">
        <f>""</f>
        <v/>
      </c>
      <c r="BJ685" t="str">
        <f>""</f>
        <v/>
      </c>
      <c r="BK685" t="str">
        <f>""</f>
        <v/>
      </c>
      <c r="BL685" t="str">
        <f>""</f>
        <v/>
      </c>
      <c r="BM685" t="str">
        <f>""</f>
        <v/>
      </c>
      <c r="BN685" t="str">
        <f>""</f>
        <v/>
      </c>
      <c r="BO685" t="str">
        <f>""</f>
        <v/>
      </c>
      <c r="BP685" t="str">
        <f>""</f>
        <v/>
      </c>
      <c r="BQ685" t="str">
        <f>""</f>
        <v/>
      </c>
      <c r="BR685" t="str">
        <f>""</f>
        <v/>
      </c>
      <c r="BS685" t="str">
        <f>""</f>
        <v/>
      </c>
    </row>
    <row r="686" spans="1:71" x14ac:dyDescent="0.25">
      <c r="A686" t="str">
        <f>$A$283</f>
        <v xml:space="preserve">        Wells Fargo &amp; Co</v>
      </c>
      <c r="B686" t="str">
        <f>$B$283</f>
        <v>WFC US Equity</v>
      </c>
      <c r="C686" t="str">
        <f>$C$283</f>
        <v>F0122</v>
      </c>
      <c r="D686" t="str">
        <f>$D$283</f>
        <v>FED_MARGIN_LOANS_%_TOT_LNS_LEAS</v>
      </c>
      <c r="E686" t="str">
        <f>$E$283</f>
        <v>Dynamic</v>
      </c>
      <c r="F686">
        <f ca="1">_xll.BDH($B$283,$C$283,$B$425,$B$426,CONCATENATE("Per=",$B$423),"Dts=H","Dir=H",CONCATENATE("Points=",$B$424),"Sort=R","Days=A","Fill=B",CONCATENATE("FX=", $B$422),"cols=33;rows=1")</f>
        <v>1.788</v>
      </c>
      <c r="G686">
        <v>1.2718</v>
      </c>
      <c r="H686">
        <v>1.1585000000000001</v>
      </c>
      <c r="I686">
        <v>1.4994000000000001</v>
      </c>
      <c r="J686">
        <v>1.4894000000000001</v>
      </c>
      <c r="K686">
        <v>1.1606000000000001</v>
      </c>
      <c r="L686">
        <v>1.0181</v>
      </c>
      <c r="M686">
        <v>1.0467</v>
      </c>
      <c r="N686">
        <v>0.9577</v>
      </c>
      <c r="O686">
        <v>1.0972</v>
      </c>
      <c r="P686">
        <v>1.1006</v>
      </c>
      <c r="Q686">
        <v>1.2668999999999999</v>
      </c>
      <c r="R686">
        <v>1.7338</v>
      </c>
      <c r="S686">
        <v>1.2483</v>
      </c>
      <c r="T686">
        <v>0.90739999999999998</v>
      </c>
      <c r="U686">
        <v>0.79069999999999996</v>
      </c>
      <c r="V686">
        <v>0.71819999999999995</v>
      </c>
      <c r="W686">
        <v>0.22439999999999999</v>
      </c>
      <c r="X686">
        <v>0.27079999999999999</v>
      </c>
      <c r="AM686" t="str">
        <f>""</f>
        <v/>
      </c>
      <c r="AN686" t="str">
        <f>""</f>
        <v/>
      </c>
      <c r="AO686" t="str">
        <f>""</f>
        <v/>
      </c>
      <c r="AP686" t="str">
        <f>""</f>
        <v/>
      </c>
      <c r="AQ686" t="str">
        <f>""</f>
        <v/>
      </c>
      <c r="AR686" t="str">
        <f>""</f>
        <v/>
      </c>
      <c r="AS686" t="str">
        <f>""</f>
        <v/>
      </c>
      <c r="AT686" t="str">
        <f>""</f>
        <v/>
      </c>
      <c r="AU686" t="str">
        <f>""</f>
        <v/>
      </c>
      <c r="AV686" t="str">
        <f>""</f>
        <v/>
      </c>
      <c r="AW686" t="str">
        <f>""</f>
        <v/>
      </c>
      <c r="AX686" t="str">
        <f>""</f>
        <v/>
      </c>
      <c r="AY686" t="str">
        <f>""</f>
        <v/>
      </c>
      <c r="AZ686" t="str">
        <f>""</f>
        <v/>
      </c>
      <c r="BA686" t="str">
        <f>""</f>
        <v/>
      </c>
      <c r="BB686" t="str">
        <f>""</f>
        <v/>
      </c>
      <c r="BC686" t="str">
        <f>""</f>
        <v/>
      </c>
      <c r="BD686" t="str">
        <f>""</f>
        <v/>
      </c>
      <c r="BE686" t="str">
        <f>""</f>
        <v/>
      </c>
      <c r="BF686" t="str">
        <f>""</f>
        <v/>
      </c>
      <c r="BG686" t="str">
        <f>""</f>
        <v/>
      </c>
      <c r="BH686" t="str">
        <f>""</f>
        <v/>
      </c>
      <c r="BI686" t="str">
        <f>""</f>
        <v/>
      </c>
      <c r="BJ686" t="str">
        <f>""</f>
        <v/>
      </c>
      <c r="BK686" t="str">
        <f>""</f>
        <v/>
      </c>
      <c r="BL686" t="str">
        <f>""</f>
        <v/>
      </c>
      <c r="BM686" t="str">
        <f>""</f>
        <v/>
      </c>
      <c r="BN686" t="str">
        <f>""</f>
        <v/>
      </c>
      <c r="BO686" t="str">
        <f>""</f>
        <v/>
      </c>
      <c r="BP686" t="str">
        <f>""</f>
        <v/>
      </c>
      <c r="BQ686" t="str">
        <f>""</f>
        <v/>
      </c>
      <c r="BR686" t="str">
        <f>""</f>
        <v/>
      </c>
      <c r="BS686" t="str">
        <f>""</f>
        <v/>
      </c>
    </row>
    <row r="687" spans="1:71" x14ac:dyDescent="0.25">
      <c r="A687" t="str">
        <f>$A$284</f>
        <v xml:space="preserve">        Western Alliance Bancorp</v>
      </c>
      <c r="B687" t="str">
        <f>$B$284</f>
        <v>WAL US Equity</v>
      </c>
      <c r="C687" t="str">
        <f>$C$284</f>
        <v>F0122</v>
      </c>
      <c r="D687" t="str">
        <f>$D$284</f>
        <v>FED_MARGIN_LOANS_%_TOT_LNS_LEAS</v>
      </c>
      <c r="E687" t="str">
        <f>$E$284</f>
        <v>Dynamic</v>
      </c>
      <c r="F687">
        <f ca="1">_xll.BDH($B$284,$C$284,$B$425,$B$426,CONCATENATE("Per=",$B$423),"Dts=H","Dir=H",CONCATENATE("Points=",$B$424),"Sort=R","Days=A","Fill=B",CONCATENATE("FX=", $B$422),"cols=33;rows=1")</f>
        <v>0.1227</v>
      </c>
      <c r="G687">
        <v>0.1285</v>
      </c>
      <c r="H687">
        <v>0.1298</v>
      </c>
      <c r="I687">
        <v>0.156</v>
      </c>
      <c r="J687">
        <v>0.2712</v>
      </c>
      <c r="K687">
        <v>0.31540000000000001</v>
      </c>
      <c r="L687">
        <v>0.3906</v>
      </c>
      <c r="M687">
        <v>0.19750000000000001</v>
      </c>
      <c r="N687">
        <v>0.23200000000000001</v>
      </c>
      <c r="O687">
        <v>0.28160000000000002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1.1999999999999999E-3</v>
      </c>
      <c r="W687">
        <v>0</v>
      </c>
      <c r="X687">
        <v>0</v>
      </c>
      <c r="AM687" t="str">
        <f>""</f>
        <v/>
      </c>
      <c r="AN687" t="str">
        <f>""</f>
        <v/>
      </c>
      <c r="AO687" t="str">
        <f>""</f>
        <v/>
      </c>
      <c r="AP687" t="str">
        <f>""</f>
        <v/>
      </c>
      <c r="AQ687" t="str">
        <f>""</f>
        <v/>
      </c>
      <c r="AR687" t="str">
        <f>""</f>
        <v/>
      </c>
      <c r="AS687" t="str">
        <f>""</f>
        <v/>
      </c>
      <c r="AT687" t="str">
        <f>""</f>
        <v/>
      </c>
      <c r="AU687" t="str">
        <f>""</f>
        <v/>
      </c>
      <c r="AV687" t="str">
        <f>""</f>
        <v/>
      </c>
      <c r="AW687" t="str">
        <f>""</f>
        <v/>
      </c>
      <c r="AX687" t="str">
        <f>""</f>
        <v/>
      </c>
      <c r="AY687" t="str">
        <f>""</f>
        <v/>
      </c>
      <c r="AZ687" t="str">
        <f>""</f>
        <v/>
      </c>
      <c r="BA687" t="str">
        <f>""</f>
        <v/>
      </c>
      <c r="BB687" t="str">
        <f>""</f>
        <v/>
      </c>
      <c r="BC687" t="str">
        <f>""</f>
        <v/>
      </c>
      <c r="BD687" t="str">
        <f>""</f>
        <v/>
      </c>
      <c r="BE687" t="str">
        <f>""</f>
        <v/>
      </c>
      <c r="BF687" t="str">
        <f>""</f>
        <v/>
      </c>
      <c r="BG687" t="str">
        <f>""</f>
        <v/>
      </c>
      <c r="BH687" t="str">
        <f>""</f>
        <v/>
      </c>
      <c r="BI687" t="str">
        <f>""</f>
        <v/>
      </c>
      <c r="BJ687" t="str">
        <f>""</f>
        <v/>
      </c>
      <c r="BK687" t="str">
        <f>""</f>
        <v/>
      </c>
      <c r="BL687" t="str">
        <f>""</f>
        <v/>
      </c>
      <c r="BM687" t="str">
        <f>""</f>
        <v/>
      </c>
      <c r="BN687" t="str">
        <f>""</f>
        <v/>
      </c>
      <c r="BO687" t="str">
        <f>""</f>
        <v/>
      </c>
      <c r="BP687" t="str">
        <f>""</f>
        <v/>
      </c>
      <c r="BQ687" t="str">
        <f>""</f>
        <v/>
      </c>
      <c r="BR687" t="str">
        <f>""</f>
        <v/>
      </c>
      <c r="BS687" t="str">
        <f>""</f>
        <v/>
      </c>
    </row>
    <row r="688" spans="1:71" x14ac:dyDescent="0.25">
      <c r="A688" t="str">
        <f>$A$285</f>
        <v xml:space="preserve">        Zions Bancorp NA</v>
      </c>
      <c r="B688" t="str">
        <f>$B$285</f>
        <v>ZION US Equity</v>
      </c>
      <c r="C688" t="str">
        <f>$C$285</f>
        <v>F0122</v>
      </c>
      <c r="D688" t="str">
        <f>$D$285</f>
        <v>FED_MARGIN_LOANS_%_TOT_LNS_LEAS</v>
      </c>
      <c r="E688" t="str">
        <f>$E$285</f>
        <v>Dynamic</v>
      </c>
      <c r="F688" t="str">
        <f ca="1">_xll.BDH($B$285,$C$285,$B$425,$B$426,CONCATENATE("Per=",$B$423),"Dts=H","Dir=H",CONCATENATE("Points=",$B$424),"Sort=R","Days=A","Fill=B",CONCATENATE("FX=", $B$422) )</f>
        <v/>
      </c>
      <c r="AM688" t="str">
        <f>""</f>
        <v/>
      </c>
      <c r="AN688" t="str">
        <f>""</f>
        <v/>
      </c>
      <c r="AO688" t="str">
        <f>""</f>
        <v/>
      </c>
      <c r="AP688" t="str">
        <f>""</f>
        <v/>
      </c>
      <c r="AQ688" t="str">
        <f>""</f>
        <v/>
      </c>
      <c r="AR688" t="str">
        <f>""</f>
        <v/>
      </c>
      <c r="AS688" t="str">
        <f>""</f>
        <v/>
      </c>
      <c r="AT688" t="str">
        <f>""</f>
        <v/>
      </c>
      <c r="AU688" t="str">
        <f>""</f>
        <v/>
      </c>
      <c r="AV688" t="str">
        <f>""</f>
        <v/>
      </c>
      <c r="AW688" t="str">
        <f>""</f>
        <v/>
      </c>
      <c r="AX688" t="str">
        <f>""</f>
        <v/>
      </c>
      <c r="AY688" t="str">
        <f>""</f>
        <v/>
      </c>
      <c r="AZ688" t="str">
        <f>""</f>
        <v/>
      </c>
      <c r="BA688" t="str">
        <f>""</f>
        <v/>
      </c>
      <c r="BB688" t="str">
        <f>""</f>
        <v/>
      </c>
      <c r="BC688" t="str">
        <f>""</f>
        <v/>
      </c>
      <c r="BD688" t="str">
        <f>""</f>
        <v/>
      </c>
      <c r="BE688" t="str">
        <f>""</f>
        <v/>
      </c>
      <c r="BF688" t="str">
        <f>""</f>
        <v/>
      </c>
      <c r="BG688" t="str">
        <f>""</f>
        <v/>
      </c>
      <c r="BH688" t="str">
        <f>""</f>
        <v/>
      </c>
      <c r="BI688" t="str">
        <f>""</f>
        <v/>
      </c>
      <c r="BJ688" t="str">
        <f>""</f>
        <v/>
      </c>
      <c r="BK688" t="str">
        <f>""</f>
        <v/>
      </c>
      <c r="BL688" t="str">
        <f>""</f>
        <v/>
      </c>
      <c r="BM688" t="str">
        <f>""</f>
        <v/>
      </c>
      <c r="BN688" t="str">
        <f>""</f>
        <v/>
      </c>
      <c r="BO688" t="str">
        <f>""</f>
        <v/>
      </c>
      <c r="BP688" t="str">
        <f>""</f>
        <v/>
      </c>
      <c r="BQ688" t="str">
        <f>""</f>
        <v/>
      </c>
      <c r="BR688" t="str">
        <f>""</f>
        <v/>
      </c>
      <c r="BS688" t="str">
        <f>""</f>
        <v/>
      </c>
    </row>
    <row r="689" spans="1:71" x14ac:dyDescent="0.25">
      <c r="A689" t="str">
        <f>$A$287</f>
        <v xml:space="preserve">        Bank of America Corp</v>
      </c>
      <c r="B689" t="str">
        <f>$B$287</f>
        <v>BAC US Equity</v>
      </c>
      <c r="C689" t="str">
        <f>$C$287</f>
        <v>F0123</v>
      </c>
      <c r="D689" t="str">
        <f>$D$287</f>
        <v>FED_FINL_SRVC_LNS_%_TOT_LNS_LEAS</v>
      </c>
      <c r="E689" t="str">
        <f>$E$287</f>
        <v>Dynamic</v>
      </c>
      <c r="F689">
        <f ca="1">_xll.BDH($B$287,$C$287,$B$425,$B$426,CONCATENATE("Per=",$B$423),"Dts=H","Dir=H",CONCATENATE("Points=",$B$424),"Sort=R","Days=A","Fill=B",CONCATENATE("FX=", $B$422),"cols=33;rows=1")</f>
        <v>10.2395</v>
      </c>
      <c r="G689">
        <v>8.9495000000000005</v>
      </c>
      <c r="H689">
        <v>7.8170999999999999</v>
      </c>
      <c r="I689">
        <v>7.6234999999999999</v>
      </c>
      <c r="J689">
        <v>5.6372</v>
      </c>
      <c r="K689">
        <v>4.7087000000000003</v>
      </c>
      <c r="L689">
        <v>5.3243999999999998</v>
      </c>
      <c r="M689">
        <v>4.4889000000000001</v>
      </c>
      <c r="N689">
        <v>4.3353000000000002</v>
      </c>
      <c r="O689">
        <v>4.5888999999999998</v>
      </c>
      <c r="P689">
        <v>3.7172999999999998</v>
      </c>
      <c r="Q689">
        <v>1.0364</v>
      </c>
      <c r="R689">
        <v>0.45090000000000002</v>
      </c>
      <c r="S689">
        <v>0.44240000000000002</v>
      </c>
      <c r="T689">
        <v>0.40210000000000001</v>
      </c>
      <c r="AM689" t="str">
        <f>""</f>
        <v/>
      </c>
      <c r="AN689" t="str">
        <f>""</f>
        <v/>
      </c>
      <c r="AO689" t="str">
        <f>""</f>
        <v/>
      </c>
      <c r="AP689" t="str">
        <f>""</f>
        <v/>
      </c>
      <c r="AQ689" t="str">
        <f>""</f>
        <v/>
      </c>
      <c r="AR689" t="str">
        <f>""</f>
        <v/>
      </c>
      <c r="AS689" t="str">
        <f>""</f>
        <v/>
      </c>
      <c r="AT689" t="str">
        <f>""</f>
        <v/>
      </c>
      <c r="AU689" t="str">
        <f>""</f>
        <v/>
      </c>
      <c r="AV689" t="str">
        <f>""</f>
        <v/>
      </c>
      <c r="AW689" t="str">
        <f>""</f>
        <v/>
      </c>
      <c r="AX689" t="str">
        <f>""</f>
        <v/>
      </c>
      <c r="AY689" t="str">
        <f>""</f>
        <v/>
      </c>
      <c r="AZ689" t="str">
        <f>""</f>
        <v/>
      </c>
      <c r="BA689" t="str">
        <f>""</f>
        <v/>
      </c>
      <c r="BB689" t="str">
        <f>""</f>
        <v/>
      </c>
      <c r="BC689" t="str">
        <f>""</f>
        <v/>
      </c>
      <c r="BD689" t="str">
        <f>""</f>
        <v/>
      </c>
      <c r="BE689" t="str">
        <f>""</f>
        <v/>
      </c>
      <c r="BF689" t="str">
        <f>""</f>
        <v/>
      </c>
      <c r="BG689" t="str">
        <f>""</f>
        <v/>
      </c>
      <c r="BH689" t="str">
        <f>""</f>
        <v/>
      </c>
      <c r="BI689" t="str">
        <f>""</f>
        <v/>
      </c>
      <c r="BJ689" t="str">
        <f>""</f>
        <v/>
      </c>
      <c r="BK689" t="str">
        <f>""</f>
        <v/>
      </c>
      <c r="BL689" t="str">
        <f>""</f>
        <v/>
      </c>
      <c r="BM689" t="str">
        <f>""</f>
        <v/>
      </c>
      <c r="BN689" t="str">
        <f>""</f>
        <v/>
      </c>
      <c r="BO689" t="str">
        <f>""</f>
        <v/>
      </c>
      <c r="BP689" t="str">
        <f>""</f>
        <v/>
      </c>
      <c r="BQ689" t="str">
        <f>""</f>
        <v/>
      </c>
      <c r="BR689" t="str">
        <f>""</f>
        <v/>
      </c>
      <c r="BS689" t="str">
        <f>""</f>
        <v/>
      </c>
    </row>
    <row r="690" spans="1:71" x14ac:dyDescent="0.25">
      <c r="A690" t="str">
        <f>$A$288</f>
        <v xml:space="preserve">        Citigroup Inc</v>
      </c>
      <c r="B690" t="str">
        <f>$B$288</f>
        <v>C US Equity</v>
      </c>
      <c r="C690" t="str">
        <f>$C$288</f>
        <v>F0123</v>
      </c>
      <c r="D690" t="str">
        <f>$D$288</f>
        <v>FED_FINL_SRVC_LNS_%_TOT_LNS_LEAS</v>
      </c>
      <c r="E690" t="str">
        <f>$E$288</f>
        <v>Dynamic</v>
      </c>
      <c r="F690">
        <f ca="1">_xll.BDH($B$288,$C$288,$B$425,$B$426,CONCATENATE("Per=",$B$423),"Dts=H","Dir=H",CONCATENATE("Points=",$B$424),"Sort=R","Days=A","Fill=B",CONCATENATE("FX=", $B$422),"cols=33;rows=1")</f>
        <v>14.8393</v>
      </c>
      <c r="G690">
        <v>14.9482</v>
      </c>
      <c r="H690">
        <v>11.9125</v>
      </c>
      <c r="I690">
        <v>13.274800000000001</v>
      </c>
      <c r="J690">
        <v>11.731999999999999</v>
      </c>
      <c r="K690">
        <v>10.7074</v>
      </c>
      <c r="L690">
        <v>9.4367999999999999</v>
      </c>
      <c r="M690">
        <v>8.1176999999999992</v>
      </c>
      <c r="N690">
        <v>7.6806000000000001</v>
      </c>
      <c r="O690">
        <v>6.9059999999999997</v>
      </c>
      <c r="P690">
        <v>6.6569000000000003</v>
      </c>
      <c r="Q690">
        <v>5.2045000000000003</v>
      </c>
      <c r="R690">
        <v>4.5629</v>
      </c>
      <c r="S690">
        <v>3.3332000000000002</v>
      </c>
      <c r="T690">
        <v>2.2486000000000002</v>
      </c>
      <c r="AM690" t="str">
        <f>""</f>
        <v/>
      </c>
      <c r="AN690" t="str">
        <f>""</f>
        <v/>
      </c>
      <c r="AO690" t="str">
        <f>""</f>
        <v/>
      </c>
      <c r="AP690" t="str">
        <f>""</f>
        <v/>
      </c>
      <c r="AQ690" t="str">
        <f>""</f>
        <v/>
      </c>
      <c r="AR690" t="str">
        <f>""</f>
        <v/>
      </c>
      <c r="AS690" t="str">
        <f>""</f>
        <v/>
      </c>
      <c r="AT690" t="str">
        <f>""</f>
        <v/>
      </c>
      <c r="AU690" t="str">
        <f>""</f>
        <v/>
      </c>
      <c r="AV690" t="str">
        <f>""</f>
        <v/>
      </c>
      <c r="AW690" t="str">
        <f>""</f>
        <v/>
      </c>
      <c r="AX690" t="str">
        <f>""</f>
        <v/>
      </c>
      <c r="AY690" t="str">
        <f>""</f>
        <v/>
      </c>
      <c r="AZ690" t="str">
        <f>""</f>
        <v/>
      </c>
      <c r="BA690" t="str">
        <f>""</f>
        <v/>
      </c>
      <c r="BB690" t="str">
        <f>""</f>
        <v/>
      </c>
      <c r="BC690" t="str">
        <f>""</f>
        <v/>
      </c>
      <c r="BD690" t="str">
        <f>""</f>
        <v/>
      </c>
      <c r="BE690" t="str">
        <f>""</f>
        <v/>
      </c>
      <c r="BF690" t="str">
        <f>""</f>
        <v/>
      </c>
      <c r="BG690" t="str">
        <f>""</f>
        <v/>
      </c>
      <c r="BH690" t="str">
        <f>""</f>
        <v/>
      </c>
      <c r="BI690" t="str">
        <f>""</f>
        <v/>
      </c>
      <c r="BJ690" t="str">
        <f>""</f>
        <v/>
      </c>
      <c r="BK690" t="str">
        <f>""</f>
        <v/>
      </c>
      <c r="BL690" t="str">
        <f>""</f>
        <v/>
      </c>
      <c r="BM690" t="str">
        <f>""</f>
        <v/>
      </c>
      <c r="BN690" t="str">
        <f>""</f>
        <v/>
      </c>
      <c r="BO690" t="str">
        <f>""</f>
        <v/>
      </c>
      <c r="BP690" t="str">
        <f>""</f>
        <v/>
      </c>
      <c r="BQ690" t="str">
        <f>""</f>
        <v/>
      </c>
      <c r="BR690" t="str">
        <f>""</f>
        <v/>
      </c>
      <c r="BS690" t="str">
        <f>""</f>
        <v/>
      </c>
    </row>
    <row r="691" spans="1:71" x14ac:dyDescent="0.25">
      <c r="A691" t="str">
        <f>$A$289</f>
        <v xml:space="preserve">        Citizens Financial Group Inc</v>
      </c>
      <c r="B691" t="str">
        <f>$B$289</f>
        <v>CFG US Equity</v>
      </c>
      <c r="C691" t="str">
        <f>$C$289</f>
        <v>F0123</v>
      </c>
      <c r="D691" t="str">
        <f>$D$289</f>
        <v>FED_FINL_SRVC_LNS_%_TOT_LNS_LEAS</v>
      </c>
      <c r="E691" t="str">
        <f>$E$289</f>
        <v>Dynamic</v>
      </c>
      <c r="F691">
        <f ca="1">_xll.BDH($B$289,$C$289,$B$425,$B$426,CONCATENATE("Per=",$B$423),"Dts=H","Dir=H",CONCATENATE("Points=",$B$424),"Sort=R","Days=A","Fill=B",CONCATENATE("FX=", $B$422),"cols=33;rows=1")</f>
        <v>9.2129999999999992</v>
      </c>
      <c r="G691">
        <v>1.5414000000000001</v>
      </c>
      <c r="H691">
        <v>1.3658999999999999</v>
      </c>
      <c r="I691">
        <v>1.6233</v>
      </c>
      <c r="J691">
        <v>1.6269</v>
      </c>
      <c r="K691">
        <v>2.0175000000000001</v>
      </c>
      <c r="L691">
        <v>1.8584000000000001</v>
      </c>
      <c r="M691">
        <v>2.0758000000000001</v>
      </c>
      <c r="N691">
        <v>2.3715000000000002</v>
      </c>
      <c r="O691">
        <v>2.5829</v>
      </c>
      <c r="P691">
        <v>2.2412999999999998</v>
      </c>
      <c r="Q691">
        <v>1.6694</v>
      </c>
      <c r="R691">
        <v>1.202</v>
      </c>
      <c r="S691">
        <v>0.6542</v>
      </c>
      <c r="T691">
        <v>0.62480000000000002</v>
      </c>
      <c r="AM691" t="str">
        <f>""</f>
        <v/>
      </c>
      <c r="AN691" t="str">
        <f>""</f>
        <v/>
      </c>
      <c r="AO691" t="str">
        <f>""</f>
        <v/>
      </c>
      <c r="AP691" t="str">
        <f>""</f>
        <v/>
      </c>
      <c r="AQ691" t="str">
        <f>""</f>
        <v/>
      </c>
      <c r="AR691" t="str">
        <f>""</f>
        <v/>
      </c>
      <c r="AS691" t="str">
        <f>""</f>
        <v/>
      </c>
      <c r="AT691" t="str">
        <f>""</f>
        <v/>
      </c>
      <c r="AU691" t="str">
        <f>""</f>
        <v/>
      </c>
      <c r="AV691" t="str">
        <f>""</f>
        <v/>
      </c>
      <c r="AW691" t="str">
        <f>""</f>
        <v/>
      </c>
      <c r="AX691" t="str">
        <f>""</f>
        <v/>
      </c>
      <c r="AY691" t="str">
        <f>""</f>
        <v/>
      </c>
      <c r="AZ691" t="str">
        <f>""</f>
        <v/>
      </c>
      <c r="BA691" t="str">
        <f>""</f>
        <v/>
      </c>
      <c r="BB691" t="str">
        <f>""</f>
        <v/>
      </c>
      <c r="BC691" t="str">
        <f>""</f>
        <v/>
      </c>
      <c r="BD691" t="str">
        <f>""</f>
        <v/>
      </c>
      <c r="BE691" t="str">
        <f>""</f>
        <v/>
      </c>
      <c r="BF691" t="str">
        <f>""</f>
        <v/>
      </c>
      <c r="BG691" t="str">
        <f>""</f>
        <v/>
      </c>
      <c r="BH691" t="str">
        <f>""</f>
        <v/>
      </c>
      <c r="BI691" t="str">
        <f>""</f>
        <v/>
      </c>
      <c r="BJ691" t="str">
        <f>""</f>
        <v/>
      </c>
      <c r="BK691" t="str">
        <f>""</f>
        <v/>
      </c>
      <c r="BL691" t="str">
        <f>""</f>
        <v/>
      </c>
      <c r="BM691" t="str">
        <f>""</f>
        <v/>
      </c>
      <c r="BN691" t="str">
        <f>""</f>
        <v/>
      </c>
      <c r="BO691" t="str">
        <f>""</f>
        <v/>
      </c>
      <c r="BP691" t="str">
        <f>""</f>
        <v/>
      </c>
      <c r="BQ691" t="str">
        <f>""</f>
        <v/>
      </c>
      <c r="BR691" t="str">
        <f>""</f>
        <v/>
      </c>
      <c r="BS691" t="str">
        <f>""</f>
        <v/>
      </c>
    </row>
    <row r="692" spans="1:71" x14ac:dyDescent="0.25">
      <c r="A692" t="str">
        <f>$A$290</f>
        <v xml:space="preserve">        Capital One Financial Corp</v>
      </c>
      <c r="B692" t="str">
        <f>$B$290</f>
        <v>COF US Equity</v>
      </c>
      <c r="C692" t="str">
        <f>$C$290</f>
        <v>F0123</v>
      </c>
      <c r="D692" t="str">
        <f>$D$290</f>
        <v>FED_FINL_SRVC_LNS_%_TOT_LNS_LEAS</v>
      </c>
      <c r="E692" t="str">
        <f>$E$290</f>
        <v>Dynamic</v>
      </c>
      <c r="F692">
        <f ca="1">_xll.BDH($B$290,$C$290,$B$425,$B$426,CONCATENATE("Per=",$B$423),"Dts=H","Dir=H",CONCATENATE("Points=",$B$424),"Sort=R","Days=A","Fill=B",CONCATENATE("FX=", $B$422),"cols=33;rows=1")</f>
        <v>6.6670999999999996</v>
      </c>
      <c r="G692">
        <v>6.5667</v>
      </c>
      <c r="H692">
        <v>6.8440000000000003</v>
      </c>
      <c r="I692">
        <v>6.0171000000000001</v>
      </c>
      <c r="J692">
        <v>4.8369999999999997</v>
      </c>
      <c r="K692">
        <v>4.0743</v>
      </c>
      <c r="L692">
        <v>4.4547999999999996</v>
      </c>
      <c r="M692">
        <v>3.9045999999999998</v>
      </c>
      <c r="N692">
        <v>4.4036999999999997</v>
      </c>
      <c r="O692">
        <v>4.5284000000000004</v>
      </c>
      <c r="P692">
        <v>3.2997999999999998</v>
      </c>
      <c r="Q692">
        <v>2.6225000000000001</v>
      </c>
      <c r="R692">
        <v>1.7915000000000001</v>
      </c>
      <c r="S692">
        <v>1.1932</v>
      </c>
      <c r="T692">
        <v>0.93630000000000002</v>
      </c>
      <c r="AM692" t="str">
        <f>""</f>
        <v/>
      </c>
      <c r="AN692" t="str">
        <f>""</f>
        <v/>
      </c>
      <c r="AO692" t="str">
        <f>""</f>
        <v/>
      </c>
      <c r="AP692" t="str">
        <f>""</f>
        <v/>
      </c>
      <c r="AQ692" t="str">
        <f>""</f>
        <v/>
      </c>
      <c r="AR692" t="str">
        <f>""</f>
        <v/>
      </c>
      <c r="AS692" t="str">
        <f>""</f>
        <v/>
      </c>
      <c r="AT692" t="str">
        <f>""</f>
        <v/>
      </c>
      <c r="AU692" t="str">
        <f>""</f>
        <v/>
      </c>
      <c r="AV692" t="str">
        <f>""</f>
        <v/>
      </c>
      <c r="AW692" t="str">
        <f>""</f>
        <v/>
      </c>
      <c r="AX692" t="str">
        <f>""</f>
        <v/>
      </c>
      <c r="AY692" t="str">
        <f>""</f>
        <v/>
      </c>
      <c r="AZ692" t="str">
        <f>""</f>
        <v/>
      </c>
      <c r="BA692" t="str">
        <f>""</f>
        <v/>
      </c>
      <c r="BB692" t="str">
        <f>""</f>
        <v/>
      </c>
      <c r="BC692" t="str">
        <f>""</f>
        <v/>
      </c>
      <c r="BD692" t="str">
        <f>""</f>
        <v/>
      </c>
      <c r="BE692" t="str">
        <f>""</f>
        <v/>
      </c>
      <c r="BF692" t="str">
        <f>""</f>
        <v/>
      </c>
      <c r="BG692" t="str">
        <f>""</f>
        <v/>
      </c>
      <c r="BH692" t="str">
        <f>""</f>
        <v/>
      </c>
      <c r="BI692" t="str">
        <f>""</f>
        <v/>
      </c>
      <c r="BJ692" t="str">
        <f>""</f>
        <v/>
      </c>
      <c r="BK692" t="str">
        <f>""</f>
        <v/>
      </c>
      <c r="BL692" t="str">
        <f>""</f>
        <v/>
      </c>
      <c r="BM692" t="str">
        <f>""</f>
        <v/>
      </c>
      <c r="BN692" t="str">
        <f>""</f>
        <v/>
      </c>
      <c r="BO692" t="str">
        <f>""</f>
        <v/>
      </c>
      <c r="BP692" t="str">
        <f>""</f>
        <v/>
      </c>
      <c r="BQ692" t="str">
        <f>""</f>
        <v/>
      </c>
      <c r="BR692" t="str">
        <f>""</f>
        <v/>
      </c>
      <c r="BS692" t="str">
        <f>""</f>
        <v/>
      </c>
    </row>
    <row r="693" spans="1:71" x14ac:dyDescent="0.25">
      <c r="A693" t="str">
        <f>$A$291</f>
        <v xml:space="preserve">        Comerica Inc</v>
      </c>
      <c r="B693" t="str">
        <f>$B$291</f>
        <v>CMA US Equity</v>
      </c>
      <c r="C693" t="str">
        <f>$C$291</f>
        <v>F0123</v>
      </c>
      <c r="D693" t="str">
        <f>$D$291</f>
        <v>FED_FINL_SRVC_LNS_%_TOT_LNS_LEAS</v>
      </c>
      <c r="E693" t="str">
        <f>$E$291</f>
        <v>Dynamic</v>
      </c>
      <c r="F693">
        <f ca="1">_xll.BDH($B$291,$C$291,$B$425,$B$426,CONCATENATE("Per=",$B$423),"Dts=H","Dir=H",CONCATENATE("Points=",$B$424),"Sort=R","Days=A","Fill=B",CONCATENATE("FX=", $B$422),"cols=33;rows=1")</f>
        <v>5.2465000000000002</v>
      </c>
      <c r="G693">
        <v>6.7762000000000002</v>
      </c>
      <c r="H693">
        <v>11.812099999999999</v>
      </c>
      <c r="I693">
        <v>15.23</v>
      </c>
      <c r="J693">
        <v>15.576700000000001</v>
      </c>
      <c r="K693">
        <v>12.970499999999999</v>
      </c>
      <c r="L693">
        <v>11.449400000000001</v>
      </c>
      <c r="M693">
        <v>9.8091000000000008</v>
      </c>
      <c r="N693">
        <v>10.217000000000001</v>
      </c>
      <c r="O693">
        <v>10.0061</v>
      </c>
      <c r="P693">
        <v>7.5799000000000003</v>
      </c>
      <c r="Q693">
        <v>6.1681999999999997</v>
      </c>
      <c r="R693">
        <v>8.9354999999999993</v>
      </c>
      <c r="S693">
        <v>5.5510999999999999</v>
      </c>
      <c r="T693">
        <v>3.4430000000000001</v>
      </c>
      <c r="AM693" t="str">
        <f>""</f>
        <v/>
      </c>
      <c r="AN693" t="str">
        <f>""</f>
        <v/>
      </c>
      <c r="AO693" t="str">
        <f>""</f>
        <v/>
      </c>
      <c r="AP693" t="str">
        <f>""</f>
        <v/>
      </c>
      <c r="AQ693" t="str">
        <f>""</f>
        <v/>
      </c>
      <c r="AR693" t="str">
        <f>""</f>
        <v/>
      </c>
      <c r="AS693" t="str">
        <f>""</f>
        <v/>
      </c>
      <c r="AT693" t="str">
        <f>""</f>
        <v/>
      </c>
      <c r="AU693" t="str">
        <f>""</f>
        <v/>
      </c>
      <c r="AV693" t="str">
        <f>""</f>
        <v/>
      </c>
      <c r="AW693" t="str">
        <f>""</f>
        <v/>
      </c>
      <c r="AX693" t="str">
        <f>""</f>
        <v/>
      </c>
      <c r="AY693" t="str">
        <f>""</f>
        <v/>
      </c>
      <c r="AZ693" t="str">
        <f>""</f>
        <v/>
      </c>
      <c r="BA693" t="str">
        <f>""</f>
        <v/>
      </c>
      <c r="BB693" t="str">
        <f>""</f>
        <v/>
      </c>
      <c r="BC693" t="str">
        <f>""</f>
        <v/>
      </c>
      <c r="BD693" t="str">
        <f>""</f>
        <v/>
      </c>
      <c r="BE693" t="str">
        <f>""</f>
        <v/>
      </c>
      <c r="BF693" t="str">
        <f>""</f>
        <v/>
      </c>
      <c r="BG693" t="str">
        <f>""</f>
        <v/>
      </c>
      <c r="BH693" t="str">
        <f>""</f>
        <v/>
      </c>
      <c r="BI693" t="str">
        <f>""</f>
        <v/>
      </c>
      <c r="BJ693" t="str">
        <f>""</f>
        <v/>
      </c>
      <c r="BK693" t="str">
        <f>""</f>
        <v/>
      </c>
      <c r="BL693" t="str">
        <f>""</f>
        <v/>
      </c>
      <c r="BM693" t="str">
        <f>""</f>
        <v/>
      </c>
      <c r="BN693" t="str">
        <f>""</f>
        <v/>
      </c>
      <c r="BO693" t="str">
        <f>""</f>
        <v/>
      </c>
      <c r="BP693" t="str">
        <f>""</f>
        <v/>
      </c>
      <c r="BQ693" t="str">
        <f>""</f>
        <v/>
      </c>
      <c r="BR693" t="str">
        <f>""</f>
        <v/>
      </c>
      <c r="BS693" t="str">
        <f>""</f>
        <v/>
      </c>
    </row>
    <row r="694" spans="1:71" x14ac:dyDescent="0.25">
      <c r="A694" t="str">
        <f>$A$292</f>
        <v xml:space="preserve">        East West Bancorp Inc</v>
      </c>
      <c r="B694" t="str">
        <f>$B$292</f>
        <v>EWBC US Equity</v>
      </c>
      <c r="C694" t="str">
        <f>$C$292</f>
        <v>F0123</v>
      </c>
      <c r="D694" t="str">
        <f>$D$292</f>
        <v>FED_FINL_SRVC_LNS_%_TOT_LNS_LEAS</v>
      </c>
      <c r="E694" t="str">
        <f>$E$292</f>
        <v>Dynamic</v>
      </c>
      <c r="F694">
        <f ca="1">_xll.BDH($B$292,$C$292,$B$425,$B$426,CONCATENATE("Per=",$B$423),"Dts=H","Dir=H",CONCATENATE("Points=",$B$424),"Sort=R","Days=A","Fill=B",CONCATENATE("FX=", $B$422),"cols=33;rows=1")</f>
        <v>11.1144</v>
      </c>
      <c r="G694">
        <v>10.382999999999999</v>
      </c>
      <c r="H694">
        <v>9.8198000000000008</v>
      </c>
      <c r="I694">
        <v>7.4760999999999997</v>
      </c>
      <c r="J694">
        <v>5.7077999999999998</v>
      </c>
      <c r="K694">
        <v>3.7907000000000002</v>
      </c>
      <c r="L694">
        <v>4.056</v>
      </c>
      <c r="M694">
        <v>2.7454000000000001</v>
      </c>
      <c r="N694">
        <v>2.2462</v>
      </c>
      <c r="O694">
        <v>2.5278999999999998</v>
      </c>
      <c r="P694">
        <v>2.3346</v>
      </c>
      <c r="Q694">
        <v>0</v>
      </c>
      <c r="R694">
        <v>0</v>
      </c>
      <c r="S694">
        <v>0</v>
      </c>
      <c r="T694">
        <v>0</v>
      </c>
      <c r="AM694" t="str">
        <f>""</f>
        <v/>
      </c>
      <c r="AN694" t="str">
        <f>""</f>
        <v/>
      </c>
      <c r="AO694" t="str">
        <f>""</f>
        <v/>
      </c>
      <c r="AP694" t="str">
        <f>""</f>
        <v/>
      </c>
      <c r="AQ694" t="str">
        <f>""</f>
        <v/>
      </c>
      <c r="AR694" t="str">
        <f>""</f>
        <v/>
      </c>
      <c r="AS694" t="str">
        <f>""</f>
        <v/>
      </c>
      <c r="AT694" t="str">
        <f>""</f>
        <v/>
      </c>
      <c r="AU694" t="str">
        <f>""</f>
        <v/>
      </c>
      <c r="AV694" t="str">
        <f>""</f>
        <v/>
      </c>
      <c r="AW694" t="str">
        <f>""</f>
        <v/>
      </c>
      <c r="AX694" t="str">
        <f>""</f>
        <v/>
      </c>
      <c r="AY694" t="str">
        <f>""</f>
        <v/>
      </c>
      <c r="AZ694" t="str">
        <f>""</f>
        <v/>
      </c>
      <c r="BA694" t="str">
        <f>""</f>
        <v/>
      </c>
      <c r="BB694" t="str">
        <f>""</f>
        <v/>
      </c>
      <c r="BC694" t="str">
        <f>""</f>
        <v/>
      </c>
      <c r="BD694" t="str">
        <f>""</f>
        <v/>
      </c>
      <c r="BE694" t="str">
        <f>""</f>
        <v/>
      </c>
      <c r="BF694" t="str">
        <f>""</f>
        <v/>
      </c>
      <c r="BG694" t="str">
        <f>""</f>
        <v/>
      </c>
      <c r="BH694" t="str">
        <f>""</f>
        <v/>
      </c>
      <c r="BI694" t="str">
        <f>""</f>
        <v/>
      </c>
      <c r="BJ694" t="str">
        <f>""</f>
        <v/>
      </c>
      <c r="BK694" t="str">
        <f>""</f>
        <v/>
      </c>
      <c r="BL694" t="str">
        <f>""</f>
        <v/>
      </c>
      <c r="BM694" t="str">
        <f>""</f>
        <v/>
      </c>
      <c r="BN694" t="str">
        <f>""</f>
        <v/>
      </c>
      <c r="BO694" t="str">
        <f>""</f>
        <v/>
      </c>
      <c r="BP694" t="str">
        <f>""</f>
        <v/>
      </c>
      <c r="BQ694" t="str">
        <f>""</f>
        <v/>
      </c>
      <c r="BR694" t="str">
        <f>""</f>
        <v/>
      </c>
      <c r="BS694" t="str">
        <f>""</f>
        <v/>
      </c>
    </row>
    <row r="695" spans="1:71" x14ac:dyDescent="0.25">
      <c r="A695" t="str">
        <f>$A$293</f>
        <v xml:space="preserve">        Fifth Third Bancorp</v>
      </c>
      <c r="B695" t="str">
        <f>$B$293</f>
        <v>FITB US Equity</v>
      </c>
      <c r="C695" t="str">
        <f>$C$293</f>
        <v>F0123</v>
      </c>
      <c r="D695" t="str">
        <f>$D$293</f>
        <v>FED_FINL_SRVC_LNS_%_TOT_LNS_LEAS</v>
      </c>
      <c r="E695" t="str">
        <f>$E$293</f>
        <v>Dynamic</v>
      </c>
      <c r="F695">
        <f ca="1">_xll.BDH($B$293,$C$293,$B$425,$B$426,CONCATENATE("Per=",$B$423),"Dts=H","Dir=H",CONCATENATE("Points=",$B$424),"Sort=R","Days=A","Fill=B",CONCATENATE("FX=", $B$422),"cols=33;rows=1")</f>
        <v>6.1063999999999998</v>
      </c>
      <c r="G695">
        <v>5.6821999999999999</v>
      </c>
      <c r="H695">
        <v>5.4316000000000004</v>
      </c>
      <c r="I695">
        <v>5.5148999999999999</v>
      </c>
      <c r="J695">
        <v>2.0181</v>
      </c>
      <c r="K695">
        <v>2.1461000000000001</v>
      </c>
      <c r="L695">
        <v>3.7602000000000002</v>
      </c>
      <c r="M695">
        <v>2.4192</v>
      </c>
      <c r="N695">
        <v>2.4681000000000002</v>
      </c>
      <c r="O695">
        <v>2.7061000000000002</v>
      </c>
      <c r="P695">
        <v>2.6671999999999998</v>
      </c>
      <c r="Q695">
        <v>1.8769</v>
      </c>
      <c r="R695">
        <v>1.4564999999999999</v>
      </c>
      <c r="S695">
        <v>1.3705000000000001</v>
      </c>
      <c r="T695">
        <v>1.3204</v>
      </c>
      <c r="AM695" t="str">
        <f>""</f>
        <v/>
      </c>
      <c r="AN695" t="str">
        <f>""</f>
        <v/>
      </c>
      <c r="AO695" t="str">
        <f>""</f>
        <v/>
      </c>
      <c r="AP695" t="str">
        <f>""</f>
        <v/>
      </c>
      <c r="AQ695" t="str">
        <f>""</f>
        <v/>
      </c>
      <c r="AR695" t="str">
        <f>""</f>
        <v/>
      </c>
      <c r="AS695" t="str">
        <f>""</f>
        <v/>
      </c>
      <c r="AT695" t="str">
        <f>""</f>
        <v/>
      </c>
      <c r="AU695" t="str">
        <f>""</f>
        <v/>
      </c>
      <c r="AV695" t="str">
        <f>""</f>
        <v/>
      </c>
      <c r="AW695" t="str">
        <f>""</f>
        <v/>
      </c>
      <c r="AX695" t="str">
        <f>""</f>
        <v/>
      </c>
      <c r="AY695" t="str">
        <f>""</f>
        <v/>
      </c>
      <c r="AZ695" t="str">
        <f>""</f>
        <v/>
      </c>
      <c r="BA695" t="str">
        <f>""</f>
        <v/>
      </c>
      <c r="BB695" t="str">
        <f>""</f>
        <v/>
      </c>
      <c r="BC695" t="str">
        <f>""</f>
        <v/>
      </c>
      <c r="BD695" t="str">
        <f>""</f>
        <v/>
      </c>
      <c r="BE695" t="str">
        <f>""</f>
        <v/>
      </c>
      <c r="BF695" t="str">
        <f>""</f>
        <v/>
      </c>
      <c r="BG695" t="str">
        <f>""</f>
        <v/>
      </c>
      <c r="BH695" t="str">
        <f>""</f>
        <v/>
      </c>
      <c r="BI695" t="str">
        <f>""</f>
        <v/>
      </c>
      <c r="BJ695" t="str">
        <f>""</f>
        <v/>
      </c>
      <c r="BK695" t="str">
        <f>""</f>
        <v/>
      </c>
      <c r="BL695" t="str">
        <f>""</f>
        <v/>
      </c>
      <c r="BM695" t="str">
        <f>""</f>
        <v/>
      </c>
      <c r="BN695" t="str">
        <f>""</f>
        <v/>
      </c>
      <c r="BO695" t="str">
        <f>""</f>
        <v/>
      </c>
      <c r="BP695" t="str">
        <f>""</f>
        <v/>
      </c>
      <c r="BQ695" t="str">
        <f>""</f>
        <v/>
      </c>
      <c r="BR695" t="str">
        <f>""</f>
        <v/>
      </c>
      <c r="BS695" t="str">
        <f>""</f>
        <v/>
      </c>
    </row>
    <row r="696" spans="1:71" x14ac:dyDescent="0.25">
      <c r="A696" t="str">
        <f>$A$294</f>
        <v xml:space="preserve">        First Citizens BancShares Inc/</v>
      </c>
      <c r="B696" t="str">
        <f>$B$294</f>
        <v>FCNCA US Equity</v>
      </c>
      <c r="C696" t="str">
        <f>$C$294</f>
        <v>F0123</v>
      </c>
      <c r="D696" t="str">
        <f>$D$294</f>
        <v>FED_FINL_SRVC_LNS_%_TOT_LNS_LEAS</v>
      </c>
      <c r="E696" t="str">
        <f>$E$294</f>
        <v>Dynamic</v>
      </c>
      <c r="F696">
        <f ca="1">_xll.BDH($B$294,$C$294,$B$425,$B$426,CONCATENATE("Per=",$B$423),"Dts=H","Dir=H",CONCATENATE("Points=",$B$424),"Sort=R","Days=A","Fill=B",CONCATENATE("FX=", $B$422),"cols=33;rows=1")</f>
        <v>20.7651</v>
      </c>
      <c r="G696">
        <v>2.2187000000000001</v>
      </c>
      <c r="H696">
        <v>3.0114000000000001</v>
      </c>
      <c r="I696">
        <v>1.9900000000000001E-2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1.9400000000000001E-2</v>
      </c>
      <c r="Q696">
        <v>0</v>
      </c>
      <c r="R696">
        <v>0</v>
      </c>
      <c r="S696">
        <v>0</v>
      </c>
      <c r="T696">
        <v>0</v>
      </c>
      <c r="AM696" t="str">
        <f>""</f>
        <v/>
      </c>
      <c r="AN696" t="str">
        <f>""</f>
        <v/>
      </c>
      <c r="AO696" t="str">
        <f>""</f>
        <v/>
      </c>
      <c r="AP696" t="str">
        <f>""</f>
        <v/>
      </c>
      <c r="AQ696" t="str">
        <f>""</f>
        <v/>
      </c>
      <c r="AR696" t="str">
        <f>""</f>
        <v/>
      </c>
      <c r="AS696" t="str">
        <f>""</f>
        <v/>
      </c>
      <c r="AT696" t="str">
        <f>""</f>
        <v/>
      </c>
      <c r="AU696" t="str">
        <f>""</f>
        <v/>
      </c>
      <c r="AV696" t="str">
        <f>""</f>
        <v/>
      </c>
      <c r="AW696" t="str">
        <f>""</f>
        <v/>
      </c>
      <c r="AX696" t="str">
        <f>""</f>
        <v/>
      </c>
      <c r="AY696" t="str">
        <f>""</f>
        <v/>
      </c>
      <c r="AZ696" t="str">
        <f>""</f>
        <v/>
      </c>
      <c r="BA696" t="str">
        <f>""</f>
        <v/>
      </c>
      <c r="BB696" t="str">
        <f>""</f>
        <v/>
      </c>
      <c r="BC696" t="str">
        <f>""</f>
        <v/>
      </c>
      <c r="BD696" t="str">
        <f>""</f>
        <v/>
      </c>
      <c r="BE696" t="str">
        <f>""</f>
        <v/>
      </c>
      <c r="BF696" t="str">
        <f>""</f>
        <v/>
      </c>
      <c r="BG696" t="str">
        <f>""</f>
        <v/>
      </c>
      <c r="BH696" t="str">
        <f>""</f>
        <v/>
      </c>
      <c r="BI696" t="str">
        <f>""</f>
        <v/>
      </c>
      <c r="BJ696" t="str">
        <f>""</f>
        <v/>
      </c>
      <c r="BK696" t="str">
        <f>""</f>
        <v/>
      </c>
      <c r="BL696" t="str">
        <f>""</f>
        <v/>
      </c>
      <c r="BM696" t="str">
        <f>""</f>
        <v/>
      </c>
      <c r="BN696" t="str">
        <f>""</f>
        <v/>
      </c>
      <c r="BO696" t="str">
        <f>""</f>
        <v/>
      </c>
      <c r="BP696" t="str">
        <f>""</f>
        <v/>
      </c>
      <c r="BQ696" t="str">
        <f>""</f>
        <v/>
      </c>
      <c r="BR696" t="str">
        <f>""</f>
        <v/>
      </c>
      <c r="BS696" t="str">
        <f>""</f>
        <v/>
      </c>
    </row>
    <row r="697" spans="1:71" x14ac:dyDescent="0.25">
      <c r="A697" t="str">
        <f>$A$295</f>
        <v xml:space="preserve">        Flagstar Financial Inc</v>
      </c>
      <c r="B697" t="str">
        <f>$B$295</f>
        <v>FLG US Equity</v>
      </c>
      <c r="C697" t="str">
        <f>$C$295</f>
        <v>F0123</v>
      </c>
      <c r="D697" t="str">
        <f>$D$295</f>
        <v>FED_FINL_SRVC_LNS_%_TOT_LNS_LEAS</v>
      </c>
      <c r="E697" t="str">
        <f>$E$295</f>
        <v>Dynamic</v>
      </c>
      <c r="F697">
        <f ca="1">_xll.BDH($B$295,$C$295,$B$425,$B$426,CONCATENATE("Per=",$B$423),"Dts=H","Dir=H",CONCATENATE("Points=",$B$424),"Sort=R","Days=A","Fill=B",CONCATENATE("FX=", $B$422),"cols=33;rows=1")</f>
        <v>4.1501000000000001</v>
      </c>
      <c r="G697">
        <v>10.547599999999999</v>
      </c>
      <c r="H697">
        <v>7.7773000000000003</v>
      </c>
      <c r="I697">
        <v>0.4289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AM697" t="str">
        <f>""</f>
        <v/>
      </c>
      <c r="AN697" t="str">
        <f>""</f>
        <v/>
      </c>
      <c r="AO697" t="str">
        <f>""</f>
        <v/>
      </c>
      <c r="AP697" t="str">
        <f>""</f>
        <v/>
      </c>
      <c r="AQ697" t="str">
        <f>""</f>
        <v/>
      </c>
      <c r="AR697" t="str">
        <f>""</f>
        <v/>
      </c>
      <c r="AS697" t="str">
        <f>""</f>
        <v/>
      </c>
      <c r="AT697" t="str">
        <f>""</f>
        <v/>
      </c>
      <c r="AU697" t="str">
        <f>""</f>
        <v/>
      </c>
      <c r="AV697" t="str">
        <f>""</f>
        <v/>
      </c>
      <c r="AW697" t="str">
        <f>""</f>
        <v/>
      </c>
      <c r="AX697" t="str">
        <f>""</f>
        <v/>
      </c>
      <c r="AY697" t="str">
        <f>""</f>
        <v/>
      </c>
      <c r="AZ697" t="str">
        <f>""</f>
        <v/>
      </c>
      <c r="BA697" t="str">
        <f>""</f>
        <v/>
      </c>
      <c r="BB697" t="str">
        <f>""</f>
        <v/>
      </c>
      <c r="BC697" t="str">
        <f>""</f>
        <v/>
      </c>
      <c r="BD697" t="str">
        <f>""</f>
        <v/>
      </c>
      <c r="BE697" t="str">
        <f>""</f>
        <v/>
      </c>
      <c r="BF697" t="str">
        <f>""</f>
        <v/>
      </c>
      <c r="BG697" t="str">
        <f>""</f>
        <v/>
      </c>
      <c r="BH697" t="str">
        <f>""</f>
        <v/>
      </c>
      <c r="BI697" t="str">
        <f>""</f>
        <v/>
      </c>
      <c r="BJ697" t="str">
        <f>""</f>
        <v/>
      </c>
      <c r="BK697" t="str">
        <f>""</f>
        <v/>
      </c>
      <c r="BL697" t="str">
        <f>""</f>
        <v/>
      </c>
      <c r="BM697" t="str">
        <f>""</f>
        <v/>
      </c>
      <c r="BN697" t="str">
        <f>""</f>
        <v/>
      </c>
      <c r="BO697" t="str">
        <f>""</f>
        <v/>
      </c>
      <c r="BP697" t="str">
        <f>""</f>
        <v/>
      </c>
      <c r="BQ697" t="str">
        <f>""</f>
        <v/>
      </c>
      <c r="BR697" t="str">
        <f>""</f>
        <v/>
      </c>
      <c r="BS697" t="str">
        <f>""</f>
        <v/>
      </c>
    </row>
    <row r="698" spans="1:71" x14ac:dyDescent="0.25">
      <c r="A698" t="str">
        <f>$A$296</f>
        <v xml:space="preserve">        Huntington Bancshares Inc/OH</v>
      </c>
      <c r="B698" t="str">
        <f>$B$296</f>
        <v>HBAN US Equity</v>
      </c>
      <c r="C698" t="str">
        <f>$C$296</f>
        <v>F0123</v>
      </c>
      <c r="D698" t="str">
        <f>$D$296</f>
        <v>FED_FINL_SRVC_LNS_%_TOT_LNS_LEAS</v>
      </c>
      <c r="E698" t="str">
        <f>$E$296</f>
        <v>Dynamic</v>
      </c>
      <c r="F698">
        <f ca="1">_xll.BDH($B$296,$C$296,$B$425,$B$426,CONCATENATE("Per=",$B$423),"Dts=H","Dir=H",CONCATENATE("Points=",$B$424),"Sort=R","Days=A","Fill=B",CONCATENATE("FX=", $B$422),"cols=33;rows=1")</f>
        <v>6.9878</v>
      </c>
      <c r="G698">
        <v>5.3947000000000003</v>
      </c>
      <c r="H698">
        <v>5.1010999999999997</v>
      </c>
      <c r="I698">
        <v>0.9637</v>
      </c>
      <c r="J698">
        <v>0.91149999999999998</v>
      </c>
      <c r="K698">
        <v>0.88929999999999998</v>
      </c>
      <c r="L698">
        <v>0.94</v>
      </c>
      <c r="M698">
        <v>0.75339999999999996</v>
      </c>
      <c r="N698">
        <v>0.47439999999999999</v>
      </c>
      <c r="O698">
        <v>0.80549999999999999</v>
      </c>
      <c r="P698">
        <v>0.47160000000000002</v>
      </c>
      <c r="Q698">
        <v>0.39119999999999999</v>
      </c>
      <c r="R698">
        <v>0</v>
      </c>
      <c r="S698">
        <v>0</v>
      </c>
      <c r="T698">
        <v>0</v>
      </c>
      <c r="AM698" t="str">
        <f>""</f>
        <v/>
      </c>
      <c r="AN698" t="str">
        <f>""</f>
        <v/>
      </c>
      <c r="AO698" t="str">
        <f>""</f>
        <v/>
      </c>
      <c r="AP698" t="str">
        <f>""</f>
        <v/>
      </c>
      <c r="AQ698" t="str">
        <f>""</f>
        <v/>
      </c>
      <c r="AR698" t="str">
        <f>""</f>
        <v/>
      </c>
      <c r="AS698" t="str">
        <f>""</f>
        <v/>
      </c>
      <c r="AT698" t="str">
        <f>""</f>
        <v/>
      </c>
      <c r="AU698" t="str">
        <f>""</f>
        <v/>
      </c>
      <c r="AV698" t="str">
        <f>""</f>
        <v/>
      </c>
      <c r="AW698" t="str">
        <f>""</f>
        <v/>
      </c>
      <c r="AX698" t="str">
        <f>""</f>
        <v/>
      </c>
      <c r="AY698" t="str">
        <f>""</f>
        <v/>
      </c>
      <c r="AZ698" t="str">
        <f>""</f>
        <v/>
      </c>
      <c r="BA698" t="str">
        <f>""</f>
        <v/>
      </c>
      <c r="BB698" t="str">
        <f>""</f>
        <v/>
      </c>
      <c r="BC698" t="str">
        <f>""</f>
        <v/>
      </c>
      <c r="BD698" t="str">
        <f>""</f>
        <v/>
      </c>
      <c r="BE698" t="str">
        <f>""</f>
        <v/>
      </c>
      <c r="BF698" t="str">
        <f>""</f>
        <v/>
      </c>
      <c r="BG698" t="str">
        <f>""</f>
        <v/>
      </c>
      <c r="BH698" t="str">
        <f>""</f>
        <v/>
      </c>
      <c r="BI698" t="str">
        <f>""</f>
        <v/>
      </c>
      <c r="BJ698" t="str">
        <f>""</f>
        <v/>
      </c>
      <c r="BK698" t="str">
        <f>""</f>
        <v/>
      </c>
      <c r="BL698" t="str">
        <f>""</f>
        <v/>
      </c>
      <c r="BM698" t="str">
        <f>""</f>
        <v/>
      </c>
      <c r="BN698" t="str">
        <f>""</f>
        <v/>
      </c>
      <c r="BO698" t="str">
        <f>""</f>
        <v/>
      </c>
      <c r="BP698" t="str">
        <f>""</f>
        <v/>
      </c>
      <c r="BQ698" t="str">
        <f>""</f>
        <v/>
      </c>
      <c r="BR698" t="str">
        <f>""</f>
        <v/>
      </c>
      <c r="BS698" t="str">
        <f>""</f>
        <v/>
      </c>
    </row>
    <row r="699" spans="1:71" x14ac:dyDescent="0.25">
      <c r="A699" t="str">
        <f>$A$297</f>
        <v xml:space="preserve">        JPMorgan Chase &amp; Co</v>
      </c>
      <c r="B699" t="str">
        <f>$B$297</f>
        <v>JPM US Equity</v>
      </c>
      <c r="C699" t="str">
        <f>$C$297</f>
        <v>F0123</v>
      </c>
      <c r="D699" t="str">
        <f>$D$297</f>
        <v>FED_FINL_SRVC_LNS_%_TOT_LNS_LEAS</v>
      </c>
      <c r="E699" t="str">
        <f>$E$297</f>
        <v>Dynamic</v>
      </c>
      <c r="F699">
        <f ca="1">_xll.BDH($B$297,$C$297,$B$425,$B$426,CONCATENATE("Per=",$B$423),"Dts=H","Dir=H",CONCATENATE("Points=",$B$424),"Sort=R","Days=A","Fill=B",CONCATENATE("FX=", $B$422),"cols=33;rows=1")</f>
        <v>9.5279000000000007</v>
      </c>
      <c r="G699">
        <v>8.9498999999999995</v>
      </c>
      <c r="H699">
        <v>9.0653000000000006</v>
      </c>
      <c r="I699">
        <v>9.4288000000000007</v>
      </c>
      <c r="J699">
        <v>6.9142000000000001</v>
      </c>
      <c r="K699">
        <v>5.1748000000000003</v>
      </c>
      <c r="L699">
        <v>4.1208</v>
      </c>
      <c r="M699">
        <v>3.5295000000000001</v>
      </c>
      <c r="N699">
        <v>3.2948</v>
      </c>
      <c r="O699">
        <v>3.1718999999999999</v>
      </c>
      <c r="P699">
        <v>3.2995999999999999</v>
      </c>
      <c r="Q699">
        <v>3.1543000000000001</v>
      </c>
      <c r="R699">
        <v>5.2194000000000003</v>
      </c>
      <c r="S699">
        <v>4.4424999999999999</v>
      </c>
      <c r="T699">
        <v>3.5135999999999998</v>
      </c>
      <c r="AM699" t="str">
        <f>""</f>
        <v/>
      </c>
      <c r="AN699" t="str">
        <f>""</f>
        <v/>
      </c>
      <c r="AO699" t="str">
        <f>""</f>
        <v/>
      </c>
      <c r="AP699" t="str">
        <f>""</f>
        <v/>
      </c>
      <c r="AQ699" t="str">
        <f>""</f>
        <v/>
      </c>
      <c r="AR699" t="str">
        <f>""</f>
        <v/>
      </c>
      <c r="AS699" t="str">
        <f>""</f>
        <v/>
      </c>
      <c r="AT699" t="str">
        <f>""</f>
        <v/>
      </c>
      <c r="AU699" t="str">
        <f>""</f>
        <v/>
      </c>
      <c r="AV699" t="str">
        <f>""</f>
        <v/>
      </c>
      <c r="AW699" t="str">
        <f>""</f>
        <v/>
      </c>
      <c r="AX699" t="str">
        <f>""</f>
        <v/>
      </c>
      <c r="AY699" t="str">
        <f>""</f>
        <v/>
      </c>
      <c r="AZ699" t="str">
        <f>""</f>
        <v/>
      </c>
      <c r="BA699" t="str">
        <f>""</f>
        <v/>
      </c>
      <c r="BB699" t="str">
        <f>""</f>
        <v/>
      </c>
      <c r="BC699" t="str">
        <f>""</f>
        <v/>
      </c>
      <c r="BD699" t="str">
        <f>""</f>
        <v/>
      </c>
      <c r="BE699" t="str">
        <f>""</f>
        <v/>
      </c>
      <c r="BF699" t="str">
        <f>""</f>
        <v/>
      </c>
      <c r="BG699" t="str">
        <f>""</f>
        <v/>
      </c>
      <c r="BH699" t="str">
        <f>""</f>
        <v/>
      </c>
      <c r="BI699" t="str">
        <f>""</f>
        <v/>
      </c>
      <c r="BJ699" t="str">
        <f>""</f>
        <v/>
      </c>
      <c r="BK699" t="str">
        <f>""</f>
        <v/>
      </c>
      <c r="BL699" t="str">
        <f>""</f>
        <v/>
      </c>
      <c r="BM699" t="str">
        <f>""</f>
        <v/>
      </c>
      <c r="BN699" t="str">
        <f>""</f>
        <v/>
      </c>
      <c r="BO699" t="str">
        <f>""</f>
        <v/>
      </c>
      <c r="BP699" t="str">
        <f>""</f>
        <v/>
      </c>
      <c r="BQ699" t="str">
        <f>""</f>
        <v/>
      </c>
      <c r="BR699" t="str">
        <f>""</f>
        <v/>
      </c>
      <c r="BS699" t="str">
        <f>""</f>
        <v/>
      </c>
    </row>
    <row r="700" spans="1:71" x14ac:dyDescent="0.25">
      <c r="A700" t="str">
        <f>$A$298</f>
        <v xml:space="preserve">        KeyCorp</v>
      </c>
      <c r="B700" t="str">
        <f>$B$298</f>
        <v>KEY US Equity</v>
      </c>
      <c r="C700" t="str">
        <f>$C$298</f>
        <v>F0123</v>
      </c>
      <c r="D700" t="str">
        <f>$D$298</f>
        <v>FED_FINL_SRVC_LNS_%_TOT_LNS_LEAS</v>
      </c>
      <c r="E700" t="str">
        <f>$E$298</f>
        <v>Dynamic</v>
      </c>
      <c r="F700">
        <f ca="1">_xll.BDH($B$298,$C$298,$B$425,$B$426,CONCATENATE("Per=",$B$423),"Dts=H","Dir=H",CONCATENATE("Points=",$B$424),"Sort=R","Days=A","Fill=B",CONCATENATE("FX=", $B$422),"cols=33;rows=1")</f>
        <v>16.6219</v>
      </c>
      <c r="G700">
        <v>5.3026999999999997</v>
      </c>
      <c r="H700">
        <v>4.9001999999999999</v>
      </c>
      <c r="I700">
        <v>3.7000999999999999</v>
      </c>
      <c r="J700">
        <v>3.8142</v>
      </c>
      <c r="K700">
        <v>3.63</v>
      </c>
      <c r="L700">
        <v>3.1644000000000001</v>
      </c>
      <c r="M700">
        <v>2.9361000000000002</v>
      </c>
      <c r="N700">
        <v>2.4712999999999998</v>
      </c>
      <c r="O700">
        <v>3.2833999999999999</v>
      </c>
      <c r="P700">
        <v>1.7601</v>
      </c>
      <c r="Q700">
        <v>1.5257000000000001</v>
      </c>
      <c r="R700">
        <v>1.4996</v>
      </c>
      <c r="S700">
        <v>1.2474000000000001</v>
      </c>
      <c r="T700">
        <v>1.0878000000000001</v>
      </c>
      <c r="AM700" t="str">
        <f>""</f>
        <v/>
      </c>
      <c r="AN700" t="str">
        <f>""</f>
        <v/>
      </c>
      <c r="AO700" t="str">
        <f>""</f>
        <v/>
      </c>
      <c r="AP700" t="str">
        <f>""</f>
        <v/>
      </c>
      <c r="AQ700" t="str">
        <f>""</f>
        <v/>
      </c>
      <c r="AR700" t="str">
        <f>""</f>
        <v/>
      </c>
      <c r="AS700" t="str">
        <f>""</f>
        <v/>
      </c>
      <c r="AT700" t="str">
        <f>""</f>
        <v/>
      </c>
      <c r="AU700" t="str">
        <f>""</f>
        <v/>
      </c>
      <c r="AV700" t="str">
        <f>""</f>
        <v/>
      </c>
      <c r="AW700" t="str">
        <f>""</f>
        <v/>
      </c>
      <c r="AX700" t="str">
        <f>""</f>
        <v/>
      </c>
      <c r="AY700" t="str">
        <f>""</f>
        <v/>
      </c>
      <c r="AZ700" t="str">
        <f>""</f>
        <v/>
      </c>
      <c r="BA700" t="str">
        <f>""</f>
        <v/>
      </c>
      <c r="BB700" t="str">
        <f>""</f>
        <v/>
      </c>
      <c r="BC700" t="str">
        <f>""</f>
        <v/>
      </c>
      <c r="BD700" t="str">
        <f>""</f>
        <v/>
      </c>
      <c r="BE700" t="str">
        <f>""</f>
        <v/>
      </c>
      <c r="BF700" t="str">
        <f>""</f>
        <v/>
      </c>
      <c r="BG700" t="str">
        <f>""</f>
        <v/>
      </c>
      <c r="BH700" t="str">
        <f>""</f>
        <v/>
      </c>
      <c r="BI700" t="str">
        <f>""</f>
        <v/>
      </c>
      <c r="BJ700" t="str">
        <f>""</f>
        <v/>
      </c>
      <c r="BK700" t="str">
        <f>""</f>
        <v/>
      </c>
      <c r="BL700" t="str">
        <f>""</f>
        <v/>
      </c>
      <c r="BM700" t="str">
        <f>""</f>
        <v/>
      </c>
      <c r="BN700" t="str">
        <f>""</f>
        <v/>
      </c>
      <c r="BO700" t="str">
        <f>""</f>
        <v/>
      </c>
      <c r="BP700" t="str">
        <f>""</f>
        <v/>
      </c>
      <c r="BQ700" t="str">
        <f>""</f>
        <v/>
      </c>
      <c r="BR700" t="str">
        <f>""</f>
        <v/>
      </c>
      <c r="BS700" t="str">
        <f>""</f>
        <v/>
      </c>
    </row>
    <row r="701" spans="1:71" x14ac:dyDescent="0.25">
      <c r="A701" t="str">
        <f>$A$299</f>
        <v xml:space="preserve">        M&amp;T Bank Corp</v>
      </c>
      <c r="B701" t="str">
        <f>$B$299</f>
        <v>MTB US Equity</v>
      </c>
      <c r="C701" t="str">
        <f>$C$299</f>
        <v>F0123</v>
      </c>
      <c r="D701" t="str">
        <f>$D$299</f>
        <v>FED_FINL_SRVC_LNS_%_TOT_LNS_LEAS</v>
      </c>
      <c r="E701" t="str">
        <f>$E$299</f>
        <v>Dynamic</v>
      </c>
      <c r="F701">
        <f ca="1">_xll.BDH($B$299,$C$299,$B$425,$B$426,CONCATENATE("Per=",$B$423),"Dts=H","Dir=H",CONCATENATE("Points=",$B$424),"Sort=R","Days=A","Fill=B",CONCATENATE("FX=", $B$422),"cols=33;rows=1")</f>
        <v>7.5739000000000001</v>
      </c>
      <c r="G701">
        <v>6.8380999999999998</v>
      </c>
      <c r="H701">
        <v>4.5724</v>
      </c>
      <c r="I701">
        <v>2.3466999999999998</v>
      </c>
      <c r="J701">
        <v>1.4217</v>
      </c>
      <c r="K701">
        <v>1.234</v>
      </c>
      <c r="L701">
        <v>1.3476999999999999</v>
      </c>
      <c r="M701">
        <v>1.2624</v>
      </c>
      <c r="N701">
        <v>1.0944</v>
      </c>
      <c r="O701">
        <v>0.80179999999999996</v>
      </c>
      <c r="P701">
        <v>1.1501999999999999</v>
      </c>
      <c r="Q701">
        <v>0.7429</v>
      </c>
      <c r="R701">
        <v>0.65890000000000004</v>
      </c>
      <c r="S701">
        <v>0.63349999999999995</v>
      </c>
      <c r="T701">
        <v>0.56820000000000004</v>
      </c>
      <c r="AM701" t="str">
        <f>""</f>
        <v/>
      </c>
      <c r="AN701" t="str">
        <f>""</f>
        <v/>
      </c>
      <c r="AO701" t="str">
        <f>""</f>
        <v/>
      </c>
      <c r="AP701" t="str">
        <f>""</f>
        <v/>
      </c>
      <c r="AQ701" t="str">
        <f>""</f>
        <v/>
      </c>
      <c r="AR701" t="str">
        <f>""</f>
        <v/>
      </c>
      <c r="AS701" t="str">
        <f>""</f>
        <v/>
      </c>
      <c r="AT701" t="str">
        <f>""</f>
        <v/>
      </c>
      <c r="AU701" t="str">
        <f>""</f>
        <v/>
      </c>
      <c r="AV701" t="str">
        <f>""</f>
        <v/>
      </c>
      <c r="AW701" t="str">
        <f>""</f>
        <v/>
      </c>
      <c r="AX701" t="str">
        <f>""</f>
        <v/>
      </c>
      <c r="AY701" t="str">
        <f>""</f>
        <v/>
      </c>
      <c r="AZ701" t="str">
        <f>""</f>
        <v/>
      </c>
      <c r="BA701" t="str">
        <f>""</f>
        <v/>
      </c>
      <c r="BB701" t="str">
        <f>""</f>
        <v/>
      </c>
      <c r="BC701" t="str">
        <f>""</f>
        <v/>
      </c>
      <c r="BD701" t="str">
        <f>""</f>
        <v/>
      </c>
      <c r="BE701" t="str">
        <f>""</f>
        <v/>
      </c>
      <c r="BF701" t="str">
        <f>""</f>
        <v/>
      </c>
      <c r="BG701" t="str">
        <f>""</f>
        <v/>
      </c>
      <c r="BH701" t="str">
        <f>""</f>
        <v/>
      </c>
      <c r="BI701" t="str">
        <f>""</f>
        <v/>
      </c>
      <c r="BJ701" t="str">
        <f>""</f>
        <v/>
      </c>
      <c r="BK701" t="str">
        <f>""</f>
        <v/>
      </c>
      <c r="BL701" t="str">
        <f>""</f>
        <v/>
      </c>
      <c r="BM701" t="str">
        <f>""</f>
        <v/>
      </c>
      <c r="BN701" t="str">
        <f>""</f>
        <v/>
      </c>
      <c r="BO701" t="str">
        <f>""</f>
        <v/>
      </c>
      <c r="BP701" t="str">
        <f>""</f>
        <v/>
      </c>
      <c r="BQ701" t="str">
        <f>""</f>
        <v/>
      </c>
      <c r="BR701" t="str">
        <f>""</f>
        <v/>
      </c>
      <c r="BS701" t="str">
        <f>""</f>
        <v/>
      </c>
    </row>
    <row r="702" spans="1:71" x14ac:dyDescent="0.25">
      <c r="A702" t="str">
        <f>$A$300</f>
        <v xml:space="preserve">        PNC Financial Services Group I</v>
      </c>
      <c r="B702" t="str">
        <f>$B$300</f>
        <v>PNC US Equity</v>
      </c>
      <c r="C702" t="str">
        <f>$C$300</f>
        <v>F0123</v>
      </c>
      <c r="D702" t="str">
        <f>$D$300</f>
        <v>FED_FINL_SRVC_LNS_%_TOT_LNS_LEAS</v>
      </c>
      <c r="E702" t="str">
        <f>$E$300</f>
        <v>Dynamic</v>
      </c>
      <c r="F702">
        <f ca="1">_xll.BDH($B$300,$C$300,$B$425,$B$426,CONCATENATE("Per=",$B$423),"Dts=H","Dir=H",CONCATENATE("Points=",$B$424),"Sort=R","Days=A","Fill=B",CONCATENATE("FX=", $B$422),"cols=33;rows=1")</f>
        <v>7.2263999999999999</v>
      </c>
      <c r="G702">
        <v>7.7127999999999997</v>
      </c>
      <c r="H702">
        <v>5.8817000000000004</v>
      </c>
      <c r="I702">
        <v>5.7347999999999999</v>
      </c>
      <c r="J702">
        <v>6.1891999999999996</v>
      </c>
      <c r="K702">
        <v>5.2009999999999996</v>
      </c>
      <c r="L702">
        <v>5.0460000000000003</v>
      </c>
      <c r="M702">
        <v>4.7298</v>
      </c>
      <c r="N702">
        <v>4.0401999999999996</v>
      </c>
      <c r="O702">
        <v>4.1929999999999996</v>
      </c>
      <c r="P702">
        <v>3.3681000000000001</v>
      </c>
      <c r="Q702">
        <v>2.3984999999999999</v>
      </c>
      <c r="R702">
        <v>2.6947999999999999</v>
      </c>
      <c r="S702">
        <v>1.9366000000000001</v>
      </c>
      <c r="T702">
        <v>1.2869999999999999</v>
      </c>
      <c r="AM702" t="str">
        <f>""</f>
        <v/>
      </c>
      <c r="AN702" t="str">
        <f>""</f>
        <v/>
      </c>
      <c r="AO702" t="str">
        <f>""</f>
        <v/>
      </c>
      <c r="AP702" t="str">
        <f>""</f>
        <v/>
      </c>
      <c r="AQ702" t="str">
        <f>""</f>
        <v/>
      </c>
      <c r="AR702" t="str">
        <f>""</f>
        <v/>
      </c>
      <c r="AS702" t="str">
        <f>""</f>
        <v/>
      </c>
      <c r="AT702" t="str">
        <f>""</f>
        <v/>
      </c>
      <c r="AU702" t="str">
        <f>""</f>
        <v/>
      </c>
      <c r="AV702" t="str">
        <f>""</f>
        <v/>
      </c>
      <c r="AW702" t="str">
        <f>""</f>
        <v/>
      </c>
      <c r="AX702" t="str">
        <f>""</f>
        <v/>
      </c>
      <c r="AY702" t="str">
        <f>""</f>
        <v/>
      </c>
      <c r="AZ702" t="str">
        <f>""</f>
        <v/>
      </c>
      <c r="BA702" t="str">
        <f>""</f>
        <v/>
      </c>
      <c r="BB702" t="str">
        <f>""</f>
        <v/>
      </c>
      <c r="BC702" t="str">
        <f>""</f>
        <v/>
      </c>
      <c r="BD702" t="str">
        <f>""</f>
        <v/>
      </c>
      <c r="BE702" t="str">
        <f>""</f>
        <v/>
      </c>
      <c r="BF702" t="str">
        <f>""</f>
        <v/>
      </c>
      <c r="BG702" t="str">
        <f>""</f>
        <v/>
      </c>
      <c r="BH702" t="str">
        <f>""</f>
        <v/>
      </c>
      <c r="BI702" t="str">
        <f>""</f>
        <v/>
      </c>
      <c r="BJ702" t="str">
        <f>""</f>
        <v/>
      </c>
      <c r="BK702" t="str">
        <f>""</f>
        <v/>
      </c>
      <c r="BL702" t="str">
        <f>""</f>
        <v/>
      </c>
      <c r="BM702" t="str">
        <f>""</f>
        <v/>
      </c>
      <c r="BN702" t="str">
        <f>""</f>
        <v/>
      </c>
      <c r="BO702" t="str">
        <f>""</f>
        <v/>
      </c>
      <c r="BP702" t="str">
        <f>""</f>
        <v/>
      </c>
      <c r="BQ702" t="str">
        <f>""</f>
        <v/>
      </c>
      <c r="BR702" t="str">
        <f>""</f>
        <v/>
      </c>
      <c r="BS702" t="str">
        <f>""</f>
        <v/>
      </c>
    </row>
    <row r="703" spans="1:71" x14ac:dyDescent="0.25">
      <c r="A703" t="str">
        <f>$A$301</f>
        <v xml:space="preserve">        Regions Financial Corp</v>
      </c>
      <c r="B703" t="str">
        <f>$B$301</f>
        <v>RF US Equity</v>
      </c>
      <c r="C703" t="str">
        <f>$C$301</f>
        <v>F0123</v>
      </c>
      <c r="D703" t="str">
        <f>$D$301</f>
        <v>FED_FINL_SRVC_LNS_%_TOT_LNS_LEAS</v>
      </c>
      <c r="E703" t="str">
        <f>$E$301</f>
        <v>Dynamic</v>
      </c>
      <c r="F703">
        <f ca="1">_xll.BDH($B$301,$C$301,$B$425,$B$426,CONCATENATE("Per=",$B$423),"Dts=H","Dir=H",CONCATENATE("Points=",$B$424),"Sort=R","Days=A","Fill=B",CONCATENATE("FX=", $B$422),"cols=33;rows=1")</f>
        <v>12.5077</v>
      </c>
      <c r="G703">
        <v>8.4161999999999999</v>
      </c>
      <c r="H703">
        <v>8.0597999999999992</v>
      </c>
      <c r="I703">
        <v>6.69</v>
      </c>
      <c r="J703">
        <v>6.4706000000000001</v>
      </c>
      <c r="K703">
        <v>7.4497999999999998</v>
      </c>
      <c r="L703">
        <v>7.0113000000000003</v>
      </c>
      <c r="M703">
        <v>6.8559000000000001</v>
      </c>
      <c r="N703">
        <v>6.5320999999999998</v>
      </c>
      <c r="O703">
        <v>6.4759000000000002</v>
      </c>
      <c r="P703">
        <v>5.5831</v>
      </c>
      <c r="Q703">
        <v>4.3094999999999999</v>
      </c>
      <c r="R703">
        <v>3.0356000000000001</v>
      </c>
      <c r="S703">
        <v>1.9896</v>
      </c>
      <c r="T703">
        <v>1.5054000000000001</v>
      </c>
      <c r="AM703" t="str">
        <f>""</f>
        <v/>
      </c>
      <c r="AN703" t="str">
        <f>""</f>
        <v/>
      </c>
      <c r="AO703" t="str">
        <f>""</f>
        <v/>
      </c>
      <c r="AP703" t="str">
        <f>""</f>
        <v/>
      </c>
      <c r="AQ703" t="str">
        <f>""</f>
        <v/>
      </c>
      <c r="AR703" t="str">
        <f>""</f>
        <v/>
      </c>
      <c r="AS703" t="str">
        <f>""</f>
        <v/>
      </c>
      <c r="AT703" t="str">
        <f>""</f>
        <v/>
      </c>
      <c r="AU703" t="str">
        <f>""</f>
        <v/>
      </c>
      <c r="AV703" t="str">
        <f>""</f>
        <v/>
      </c>
      <c r="AW703" t="str">
        <f>""</f>
        <v/>
      </c>
      <c r="AX703" t="str">
        <f>""</f>
        <v/>
      </c>
      <c r="AY703" t="str">
        <f>""</f>
        <v/>
      </c>
      <c r="AZ703" t="str">
        <f>""</f>
        <v/>
      </c>
      <c r="BA703" t="str">
        <f>""</f>
        <v/>
      </c>
      <c r="BB703" t="str">
        <f>""</f>
        <v/>
      </c>
      <c r="BC703" t="str">
        <f>""</f>
        <v/>
      </c>
      <c r="BD703" t="str">
        <f>""</f>
        <v/>
      </c>
      <c r="BE703" t="str">
        <f>""</f>
        <v/>
      </c>
      <c r="BF703" t="str">
        <f>""</f>
        <v/>
      </c>
      <c r="BG703" t="str">
        <f>""</f>
        <v/>
      </c>
      <c r="BH703" t="str">
        <f>""</f>
        <v/>
      </c>
      <c r="BI703" t="str">
        <f>""</f>
        <v/>
      </c>
      <c r="BJ703" t="str">
        <f>""</f>
        <v/>
      </c>
      <c r="BK703" t="str">
        <f>""</f>
        <v/>
      </c>
      <c r="BL703" t="str">
        <f>""</f>
        <v/>
      </c>
      <c r="BM703" t="str">
        <f>""</f>
        <v/>
      </c>
      <c r="BN703" t="str">
        <f>""</f>
        <v/>
      </c>
      <c r="BO703" t="str">
        <f>""</f>
        <v/>
      </c>
      <c r="BP703" t="str">
        <f>""</f>
        <v/>
      </c>
      <c r="BQ703" t="str">
        <f>""</f>
        <v/>
      </c>
      <c r="BR703" t="str">
        <f>""</f>
        <v/>
      </c>
      <c r="BS703" t="str">
        <f>""</f>
        <v/>
      </c>
    </row>
    <row r="704" spans="1:71" x14ac:dyDescent="0.25">
      <c r="A704" t="str">
        <f>$A$302</f>
        <v xml:space="preserve">        Truist Financial Corp</v>
      </c>
      <c r="B704" t="str">
        <f>$B$302</f>
        <v>TFC US Equity</v>
      </c>
      <c r="C704" t="str">
        <f>$C$302</f>
        <v>F0123</v>
      </c>
      <c r="D704" t="str">
        <f>$D$302</f>
        <v>FED_FINL_SRVC_LNS_%_TOT_LNS_LEAS</v>
      </c>
      <c r="E704" t="str">
        <f>$E$302</f>
        <v>Dynamic</v>
      </c>
      <c r="F704">
        <f ca="1">_xll.BDH($B$302,$C$302,$B$425,$B$426,CONCATENATE("Per=",$B$423),"Dts=H","Dir=H",CONCATENATE("Points=",$B$424),"Sort=R","Days=A","Fill=B",CONCATENATE("FX=", $B$422),"cols=33;rows=1")</f>
        <v>9.5980000000000008</v>
      </c>
      <c r="G704">
        <v>6.6203000000000003</v>
      </c>
      <c r="H704">
        <v>7.2991999999999999</v>
      </c>
      <c r="I704">
        <v>6.5423999999999998</v>
      </c>
      <c r="J704">
        <v>5.94</v>
      </c>
      <c r="K704">
        <v>4.6614000000000004</v>
      </c>
      <c r="L704">
        <v>3.4540000000000002</v>
      </c>
      <c r="M704">
        <v>3.3742999999999999</v>
      </c>
      <c r="N704">
        <v>3.2833999999999999</v>
      </c>
      <c r="O704">
        <v>3.3069999999999999</v>
      </c>
      <c r="P704">
        <v>2.9958999999999998</v>
      </c>
      <c r="Q704">
        <v>2.0283000000000002</v>
      </c>
      <c r="R704">
        <v>2.2326999999999999</v>
      </c>
      <c r="S704">
        <v>1.8431</v>
      </c>
      <c r="T704">
        <v>1.0456000000000001</v>
      </c>
      <c r="AM704" t="str">
        <f>""</f>
        <v/>
      </c>
      <c r="AN704" t="str">
        <f>""</f>
        <v/>
      </c>
      <c r="AO704" t="str">
        <f>""</f>
        <v/>
      </c>
      <c r="AP704" t="str">
        <f>""</f>
        <v/>
      </c>
      <c r="AQ704" t="str">
        <f>""</f>
        <v/>
      </c>
      <c r="AR704" t="str">
        <f>""</f>
        <v/>
      </c>
      <c r="AS704" t="str">
        <f>""</f>
        <v/>
      </c>
      <c r="AT704" t="str">
        <f>""</f>
        <v/>
      </c>
      <c r="AU704" t="str">
        <f>""</f>
        <v/>
      </c>
      <c r="AV704" t="str">
        <f>""</f>
        <v/>
      </c>
      <c r="AW704" t="str">
        <f>""</f>
        <v/>
      </c>
      <c r="AX704" t="str">
        <f>""</f>
        <v/>
      </c>
      <c r="AY704" t="str">
        <f>""</f>
        <v/>
      </c>
      <c r="AZ704" t="str">
        <f>""</f>
        <v/>
      </c>
      <c r="BA704" t="str">
        <f>""</f>
        <v/>
      </c>
      <c r="BB704" t="str">
        <f>""</f>
        <v/>
      </c>
      <c r="BC704" t="str">
        <f>""</f>
        <v/>
      </c>
      <c r="BD704" t="str">
        <f>""</f>
        <v/>
      </c>
      <c r="BE704" t="str">
        <f>""</f>
        <v/>
      </c>
      <c r="BF704" t="str">
        <f>""</f>
        <v/>
      </c>
      <c r="BG704" t="str">
        <f>""</f>
        <v/>
      </c>
      <c r="BH704" t="str">
        <f>""</f>
        <v/>
      </c>
      <c r="BI704" t="str">
        <f>""</f>
        <v/>
      </c>
      <c r="BJ704" t="str">
        <f>""</f>
        <v/>
      </c>
      <c r="BK704" t="str">
        <f>""</f>
        <v/>
      </c>
      <c r="BL704" t="str">
        <f>""</f>
        <v/>
      </c>
      <c r="BM704" t="str">
        <f>""</f>
        <v/>
      </c>
      <c r="BN704" t="str">
        <f>""</f>
        <v/>
      </c>
      <c r="BO704" t="str">
        <f>""</f>
        <v/>
      </c>
      <c r="BP704" t="str">
        <f>""</f>
        <v/>
      </c>
      <c r="BQ704" t="str">
        <f>""</f>
        <v/>
      </c>
      <c r="BR704" t="str">
        <f>""</f>
        <v/>
      </c>
      <c r="BS704" t="str">
        <f>""</f>
        <v/>
      </c>
    </row>
    <row r="705" spans="1:71" x14ac:dyDescent="0.25">
      <c r="A705" t="str">
        <f>$A$303</f>
        <v xml:space="preserve">        US Bancorp</v>
      </c>
      <c r="B705" t="str">
        <f>$B$303</f>
        <v>USB US Equity</v>
      </c>
      <c r="C705" t="str">
        <f>$C$303</f>
        <v>F0123</v>
      </c>
      <c r="D705" t="str">
        <f>$D$303</f>
        <v>FED_FINL_SRVC_LNS_%_TOT_LNS_LEAS</v>
      </c>
      <c r="E705" t="str">
        <f>$E$303</f>
        <v>Dynamic</v>
      </c>
      <c r="F705">
        <f ca="1">_xll.BDH($B$303,$C$303,$B$425,$B$426,CONCATENATE("Per=",$B$423),"Dts=H","Dir=H",CONCATENATE("Points=",$B$424),"Sort=R","Days=A","Fill=B",CONCATENATE("FX=", $B$422),"cols=33;rows=1")</f>
        <v>6.2744999999999997</v>
      </c>
      <c r="G705">
        <v>3.5703999999999998</v>
      </c>
      <c r="H705">
        <v>3.0861999999999998</v>
      </c>
      <c r="I705">
        <v>3.2595000000000001</v>
      </c>
      <c r="J705">
        <v>1.7336</v>
      </c>
      <c r="K705">
        <v>1.6564000000000001</v>
      </c>
      <c r="L705">
        <v>0.89410000000000001</v>
      </c>
      <c r="M705">
        <v>0.89229999999999998</v>
      </c>
      <c r="N705">
        <v>0.86570000000000003</v>
      </c>
      <c r="O705">
        <v>0.89239999999999997</v>
      </c>
      <c r="P705">
        <v>0.81359999999999999</v>
      </c>
      <c r="Q705">
        <v>0.45290000000000002</v>
      </c>
      <c r="R705">
        <v>0.63119999999999998</v>
      </c>
      <c r="S705">
        <v>0.53439999999999999</v>
      </c>
      <c r="T705">
        <v>0.42120000000000002</v>
      </c>
      <c r="AM705" t="str">
        <f>""</f>
        <v/>
      </c>
      <c r="AN705" t="str">
        <f>""</f>
        <v/>
      </c>
      <c r="AO705" t="str">
        <f>""</f>
        <v/>
      </c>
      <c r="AP705" t="str">
        <f>""</f>
        <v/>
      </c>
      <c r="AQ705" t="str">
        <f>""</f>
        <v/>
      </c>
      <c r="AR705" t="str">
        <f>""</f>
        <v/>
      </c>
      <c r="AS705" t="str">
        <f>""</f>
        <v/>
      </c>
      <c r="AT705" t="str">
        <f>""</f>
        <v/>
      </c>
      <c r="AU705" t="str">
        <f>""</f>
        <v/>
      </c>
      <c r="AV705" t="str">
        <f>""</f>
        <v/>
      </c>
      <c r="AW705" t="str">
        <f>""</f>
        <v/>
      </c>
      <c r="AX705" t="str">
        <f>""</f>
        <v/>
      </c>
      <c r="AY705" t="str">
        <f>""</f>
        <v/>
      </c>
      <c r="AZ705" t="str">
        <f>""</f>
        <v/>
      </c>
      <c r="BA705" t="str">
        <f>""</f>
        <v/>
      </c>
      <c r="BB705" t="str">
        <f>""</f>
        <v/>
      </c>
      <c r="BC705" t="str">
        <f>""</f>
        <v/>
      </c>
      <c r="BD705" t="str">
        <f>""</f>
        <v/>
      </c>
      <c r="BE705" t="str">
        <f>""</f>
        <v/>
      </c>
      <c r="BF705" t="str">
        <f>""</f>
        <v/>
      </c>
      <c r="BG705" t="str">
        <f>""</f>
        <v/>
      </c>
      <c r="BH705" t="str">
        <f>""</f>
        <v/>
      </c>
      <c r="BI705" t="str">
        <f>""</f>
        <v/>
      </c>
      <c r="BJ705" t="str">
        <f>""</f>
        <v/>
      </c>
      <c r="BK705" t="str">
        <f>""</f>
        <v/>
      </c>
      <c r="BL705" t="str">
        <f>""</f>
        <v/>
      </c>
      <c r="BM705" t="str">
        <f>""</f>
        <v/>
      </c>
      <c r="BN705" t="str">
        <f>""</f>
        <v/>
      </c>
      <c r="BO705" t="str">
        <f>""</f>
        <v/>
      </c>
      <c r="BP705" t="str">
        <f>""</f>
        <v/>
      </c>
      <c r="BQ705" t="str">
        <f>""</f>
        <v/>
      </c>
      <c r="BR705" t="str">
        <f>""</f>
        <v/>
      </c>
      <c r="BS705" t="str">
        <f>""</f>
        <v/>
      </c>
    </row>
    <row r="706" spans="1:71" x14ac:dyDescent="0.25">
      <c r="A706" t="str">
        <f>$A$304</f>
        <v xml:space="preserve">        Wells Fargo &amp; Co</v>
      </c>
      <c r="B706" t="str">
        <f>$B$304</f>
        <v>WFC US Equity</v>
      </c>
      <c r="C706" t="str">
        <f>$C$304</f>
        <v>F0123</v>
      </c>
      <c r="D706" t="str">
        <f>$D$304</f>
        <v>FED_FINL_SRVC_LNS_%_TOT_LNS_LEAS</v>
      </c>
      <c r="E706" t="str">
        <f>$E$304</f>
        <v>Dynamic</v>
      </c>
      <c r="F706">
        <f ca="1">_xll.BDH($B$304,$C$304,$B$425,$B$426,CONCATENATE("Per=",$B$423),"Dts=H","Dir=H",CONCATENATE("Points=",$B$424),"Sort=R","Days=A","Fill=B",CONCATENATE("FX=", $B$422),"cols=33;rows=1")</f>
        <v>17.292400000000001</v>
      </c>
      <c r="G706">
        <v>16.215499999999999</v>
      </c>
      <c r="H706">
        <v>16.003499999999999</v>
      </c>
      <c r="I706">
        <v>15.5855</v>
      </c>
      <c r="J706">
        <v>12.786099999999999</v>
      </c>
      <c r="K706">
        <v>11.849600000000001</v>
      </c>
      <c r="L706">
        <v>10.8733</v>
      </c>
      <c r="M706">
        <v>9.1904000000000003</v>
      </c>
      <c r="N706">
        <v>8.4602000000000004</v>
      </c>
      <c r="O706">
        <v>7.9744999999999999</v>
      </c>
      <c r="P706">
        <v>6.282</v>
      </c>
      <c r="Q706">
        <v>4.5617000000000001</v>
      </c>
      <c r="R706">
        <v>2.8460000000000001</v>
      </c>
      <c r="S706">
        <v>1.214</v>
      </c>
      <c r="T706">
        <v>1.7534000000000001</v>
      </c>
      <c r="AM706" t="str">
        <f>""</f>
        <v/>
      </c>
      <c r="AN706" t="str">
        <f>""</f>
        <v/>
      </c>
      <c r="AO706" t="str">
        <f>""</f>
        <v/>
      </c>
      <c r="AP706" t="str">
        <f>""</f>
        <v/>
      </c>
      <c r="AQ706" t="str">
        <f>""</f>
        <v/>
      </c>
      <c r="AR706" t="str">
        <f>""</f>
        <v/>
      </c>
      <c r="AS706" t="str">
        <f>""</f>
        <v/>
      </c>
      <c r="AT706" t="str">
        <f>""</f>
        <v/>
      </c>
      <c r="AU706" t="str">
        <f>""</f>
        <v/>
      </c>
      <c r="AV706" t="str">
        <f>""</f>
        <v/>
      </c>
      <c r="AW706" t="str">
        <f>""</f>
        <v/>
      </c>
      <c r="AX706" t="str">
        <f>""</f>
        <v/>
      </c>
      <c r="AY706" t="str">
        <f>""</f>
        <v/>
      </c>
      <c r="AZ706" t="str">
        <f>""</f>
        <v/>
      </c>
      <c r="BA706" t="str">
        <f>""</f>
        <v/>
      </c>
      <c r="BB706" t="str">
        <f>""</f>
        <v/>
      </c>
      <c r="BC706" t="str">
        <f>""</f>
        <v/>
      </c>
      <c r="BD706" t="str">
        <f>""</f>
        <v/>
      </c>
      <c r="BE706" t="str">
        <f>""</f>
        <v/>
      </c>
      <c r="BF706" t="str">
        <f>""</f>
        <v/>
      </c>
      <c r="BG706" t="str">
        <f>""</f>
        <v/>
      </c>
      <c r="BH706" t="str">
        <f>""</f>
        <v/>
      </c>
      <c r="BI706" t="str">
        <f>""</f>
        <v/>
      </c>
      <c r="BJ706" t="str">
        <f>""</f>
        <v/>
      </c>
      <c r="BK706" t="str">
        <f>""</f>
        <v/>
      </c>
      <c r="BL706" t="str">
        <f>""</f>
        <v/>
      </c>
      <c r="BM706" t="str">
        <f>""</f>
        <v/>
      </c>
      <c r="BN706" t="str">
        <f>""</f>
        <v/>
      </c>
      <c r="BO706" t="str">
        <f>""</f>
        <v/>
      </c>
      <c r="BP706" t="str">
        <f>""</f>
        <v/>
      </c>
      <c r="BQ706" t="str">
        <f>""</f>
        <v/>
      </c>
      <c r="BR706" t="str">
        <f>""</f>
        <v/>
      </c>
      <c r="BS706" t="str">
        <f>""</f>
        <v/>
      </c>
    </row>
    <row r="707" spans="1:71" x14ac:dyDescent="0.25">
      <c r="A707" t="str">
        <f>$A$305</f>
        <v xml:space="preserve">        Western Alliance Bancorp</v>
      </c>
      <c r="B707" t="str">
        <f>$B$305</f>
        <v>WAL US Equity</v>
      </c>
      <c r="C707" t="str">
        <f>$C$305</f>
        <v>F0123</v>
      </c>
      <c r="D707" t="str">
        <f>$D$305</f>
        <v>FED_FINL_SRVC_LNS_%_TOT_LNS_LEAS</v>
      </c>
      <c r="E707" t="str">
        <f>$E$305</f>
        <v>Dynamic</v>
      </c>
      <c r="F707">
        <f ca="1">_xll.BDH($B$305,$C$305,$B$425,$B$426,CONCATENATE("Per=",$B$423),"Dts=H","Dir=H",CONCATENATE("Points=",$B$424),"Sort=R","Days=A","Fill=B",CONCATENATE("FX=", $B$422),"cols=33;rows=1")</f>
        <v>19.761700000000001</v>
      </c>
      <c r="G707">
        <v>15.863799999999999</v>
      </c>
      <c r="H707">
        <v>12.477399999999999</v>
      </c>
      <c r="I707">
        <v>12.1135</v>
      </c>
      <c r="J707">
        <v>16.5565</v>
      </c>
      <c r="K707">
        <v>10.3239</v>
      </c>
      <c r="L707">
        <v>8.9055999999999997</v>
      </c>
      <c r="M707">
        <v>7.2361000000000004</v>
      </c>
      <c r="N707">
        <v>6.2276999999999996</v>
      </c>
      <c r="O707">
        <v>4.0058999999999996</v>
      </c>
      <c r="P707">
        <v>4.2775999999999996</v>
      </c>
      <c r="Q707">
        <v>2.1993999999999998</v>
      </c>
      <c r="R707">
        <v>4.6371000000000002</v>
      </c>
      <c r="S707">
        <v>3.8618999999999999</v>
      </c>
      <c r="T707">
        <v>1.0814999999999999</v>
      </c>
      <c r="AM707" t="str">
        <f>""</f>
        <v/>
      </c>
      <c r="AN707" t="str">
        <f>""</f>
        <v/>
      </c>
      <c r="AO707" t="str">
        <f>""</f>
        <v/>
      </c>
      <c r="AP707" t="str">
        <f>""</f>
        <v/>
      </c>
      <c r="AQ707" t="str">
        <f>""</f>
        <v/>
      </c>
      <c r="AR707" t="str">
        <f>""</f>
        <v/>
      </c>
      <c r="AS707" t="str">
        <f>""</f>
        <v/>
      </c>
      <c r="AT707" t="str">
        <f>""</f>
        <v/>
      </c>
      <c r="AU707" t="str">
        <f>""</f>
        <v/>
      </c>
      <c r="AV707" t="str">
        <f>""</f>
        <v/>
      </c>
      <c r="AW707" t="str">
        <f>""</f>
        <v/>
      </c>
      <c r="AX707" t="str">
        <f>""</f>
        <v/>
      </c>
      <c r="AY707" t="str">
        <f>""</f>
        <v/>
      </c>
      <c r="AZ707" t="str">
        <f>""</f>
        <v/>
      </c>
      <c r="BA707" t="str">
        <f>""</f>
        <v/>
      </c>
      <c r="BB707" t="str">
        <f>""</f>
        <v/>
      </c>
      <c r="BC707" t="str">
        <f>""</f>
        <v/>
      </c>
      <c r="BD707" t="str">
        <f>""</f>
        <v/>
      </c>
      <c r="BE707" t="str">
        <f>""</f>
        <v/>
      </c>
      <c r="BF707" t="str">
        <f>""</f>
        <v/>
      </c>
      <c r="BG707" t="str">
        <f>""</f>
        <v/>
      </c>
      <c r="BH707" t="str">
        <f>""</f>
        <v/>
      </c>
      <c r="BI707" t="str">
        <f>""</f>
        <v/>
      </c>
      <c r="BJ707" t="str">
        <f>""</f>
        <v/>
      </c>
      <c r="BK707" t="str">
        <f>""</f>
        <v/>
      </c>
      <c r="BL707" t="str">
        <f>""</f>
        <v/>
      </c>
      <c r="BM707" t="str">
        <f>""</f>
        <v/>
      </c>
      <c r="BN707" t="str">
        <f>""</f>
        <v/>
      </c>
      <c r="BO707" t="str">
        <f>""</f>
        <v/>
      </c>
      <c r="BP707" t="str">
        <f>""</f>
        <v/>
      </c>
      <c r="BQ707" t="str">
        <f>""</f>
        <v/>
      </c>
      <c r="BR707" t="str">
        <f>""</f>
        <v/>
      </c>
      <c r="BS707" t="str">
        <f>""</f>
        <v/>
      </c>
    </row>
    <row r="708" spans="1:71" x14ac:dyDescent="0.25">
      <c r="A708" t="str">
        <f>$A$306</f>
        <v xml:space="preserve">        Zions Bancorp NA</v>
      </c>
      <c r="B708" t="str">
        <f>$B$306</f>
        <v>ZION US Equity</v>
      </c>
      <c r="C708" t="str">
        <f>$C$306</f>
        <v>F0123</v>
      </c>
      <c r="D708" t="str">
        <f>$D$306</f>
        <v>FED_FINL_SRVC_LNS_%_TOT_LNS_LEAS</v>
      </c>
      <c r="E708" t="str">
        <f>$E$306</f>
        <v>Dynamic</v>
      </c>
      <c r="F708" t="str">
        <f ca="1">_xll.BDH($B$306,$C$306,$B$425,$B$426,CONCATENATE("Per=",$B$423),"Dts=H","Dir=H",CONCATENATE("Points=",$B$424),"Sort=R","Days=A","Fill=B",CONCATENATE("FX=", $B$422) )</f>
        <v/>
      </c>
      <c r="AM708" t="str">
        <f>""</f>
        <v/>
      </c>
      <c r="AN708" t="str">
        <f>""</f>
        <v/>
      </c>
      <c r="AO708" t="str">
        <f>""</f>
        <v/>
      </c>
      <c r="AP708" t="str">
        <f>""</f>
        <v/>
      </c>
      <c r="AQ708" t="str">
        <f>""</f>
        <v/>
      </c>
      <c r="AR708" t="str">
        <f>""</f>
        <v/>
      </c>
      <c r="AS708" t="str">
        <f>""</f>
        <v/>
      </c>
      <c r="AT708" t="str">
        <f>""</f>
        <v/>
      </c>
      <c r="AU708" t="str">
        <f>""</f>
        <v/>
      </c>
      <c r="AV708" t="str">
        <f>""</f>
        <v/>
      </c>
      <c r="AW708" t="str">
        <f>""</f>
        <v/>
      </c>
      <c r="AX708" t="str">
        <f>""</f>
        <v/>
      </c>
      <c r="AY708" t="str">
        <f>""</f>
        <v/>
      </c>
      <c r="AZ708" t="str">
        <f>""</f>
        <v/>
      </c>
      <c r="BA708" t="str">
        <f>""</f>
        <v/>
      </c>
      <c r="BB708" t="str">
        <f>""</f>
        <v/>
      </c>
      <c r="BC708" t="str">
        <f>""</f>
        <v/>
      </c>
      <c r="BD708" t="str">
        <f>""</f>
        <v/>
      </c>
      <c r="BE708" t="str">
        <f>""</f>
        <v/>
      </c>
      <c r="BF708" t="str">
        <f>""</f>
        <v/>
      </c>
      <c r="BG708" t="str">
        <f>""</f>
        <v/>
      </c>
      <c r="BH708" t="str">
        <f>""</f>
        <v/>
      </c>
      <c r="BI708" t="str">
        <f>""</f>
        <v/>
      </c>
      <c r="BJ708" t="str">
        <f>""</f>
        <v/>
      </c>
      <c r="BK708" t="str">
        <f>""</f>
        <v/>
      </c>
      <c r="BL708" t="str">
        <f>""</f>
        <v/>
      </c>
      <c r="BM708" t="str">
        <f>""</f>
        <v/>
      </c>
      <c r="BN708" t="str">
        <f>""</f>
        <v/>
      </c>
      <c r="BO708" t="str">
        <f>""</f>
        <v/>
      </c>
      <c r="BP708" t="str">
        <f>""</f>
        <v/>
      </c>
      <c r="BQ708" t="str">
        <f>""</f>
        <v/>
      </c>
      <c r="BR708" t="str">
        <f>""</f>
        <v/>
      </c>
      <c r="BS708" t="str">
        <f>""</f>
        <v/>
      </c>
    </row>
    <row r="709" spans="1:71" x14ac:dyDescent="0.25">
      <c r="A709" t="str">
        <f>$A$308</f>
        <v xml:space="preserve">        Bank of America Corp</v>
      </c>
      <c r="B709" t="str">
        <f>$B$308</f>
        <v>BAC US Equity</v>
      </c>
      <c r="C709" t="str">
        <f>$C$308</f>
        <v>F0124</v>
      </c>
      <c r="D709" t="str">
        <f>$D$308</f>
        <v>FED_FOR_BANK_LNS_%_TOT_LNS_LEAS</v>
      </c>
      <c r="E709" t="str">
        <f>$E$308</f>
        <v>Dynamic</v>
      </c>
      <c r="F709">
        <f ca="1">_xll.BDH($B$308,$C$308,$B$425,$B$426,CONCATENATE("Per=",$B$423),"Dts=H","Dir=H",CONCATENATE("Points=",$B$424),"Sort=R","Days=A","Fill=B",CONCATENATE("FX=", $B$422),"cols=33;rows=1")</f>
        <v>1.2919</v>
      </c>
      <c r="G709">
        <v>1.1444000000000001</v>
      </c>
      <c r="H709">
        <v>1.0945</v>
      </c>
      <c r="I709">
        <v>1.3684000000000001</v>
      </c>
      <c r="J709">
        <v>1.2166999999999999</v>
      </c>
      <c r="K709">
        <v>1.8868</v>
      </c>
      <c r="L709">
        <v>1.7513000000000001</v>
      </c>
      <c r="M709">
        <v>2.0962000000000001</v>
      </c>
      <c r="N709">
        <v>2.0383</v>
      </c>
      <c r="O709">
        <v>2.0674000000000001</v>
      </c>
      <c r="P709">
        <v>1.9331</v>
      </c>
      <c r="Q709">
        <v>1.8134999999999999</v>
      </c>
      <c r="R709">
        <v>1.4371</v>
      </c>
      <c r="S709">
        <v>1.1733</v>
      </c>
      <c r="T709">
        <v>0.69889999999999997</v>
      </c>
      <c r="U709">
        <v>0.53949999999999998</v>
      </c>
      <c r="V709">
        <v>0.45219999999999999</v>
      </c>
      <c r="W709">
        <v>0.52</v>
      </c>
      <c r="X709">
        <v>0.1237</v>
      </c>
      <c r="Y709">
        <v>0.1104</v>
      </c>
      <c r="Z709">
        <v>0.20599999999999999</v>
      </c>
      <c r="AA709">
        <v>0.31659999999999999</v>
      </c>
      <c r="AB709">
        <v>0.53400000000000003</v>
      </c>
      <c r="AC709">
        <v>0.7702</v>
      </c>
      <c r="AM709" t="str">
        <f>""</f>
        <v/>
      </c>
      <c r="AN709" t="str">
        <f>""</f>
        <v/>
      </c>
      <c r="AO709" t="str">
        <f>""</f>
        <v/>
      </c>
      <c r="AP709" t="str">
        <f>""</f>
        <v/>
      </c>
      <c r="AQ709" t="str">
        <f>""</f>
        <v/>
      </c>
      <c r="AR709" t="str">
        <f>""</f>
        <v/>
      </c>
      <c r="AS709" t="str">
        <f>""</f>
        <v/>
      </c>
      <c r="AT709" t="str">
        <f>""</f>
        <v/>
      </c>
      <c r="AU709" t="str">
        <f>""</f>
        <v/>
      </c>
      <c r="AV709" t="str">
        <f>""</f>
        <v/>
      </c>
      <c r="AW709" t="str">
        <f>""</f>
        <v/>
      </c>
      <c r="AX709" t="str">
        <f>""</f>
        <v/>
      </c>
      <c r="AY709" t="str">
        <f>""</f>
        <v/>
      </c>
      <c r="AZ709" t="str">
        <f>""</f>
        <v/>
      </c>
      <c r="BA709" t="str">
        <f>""</f>
        <v/>
      </c>
      <c r="BB709" t="str">
        <f>""</f>
        <v/>
      </c>
      <c r="BC709" t="str">
        <f>""</f>
        <v/>
      </c>
      <c r="BD709" t="str">
        <f>""</f>
        <v/>
      </c>
      <c r="BE709" t="str">
        <f>""</f>
        <v/>
      </c>
      <c r="BF709" t="str">
        <f>""</f>
        <v/>
      </c>
      <c r="BG709" t="str">
        <f>""</f>
        <v/>
      </c>
      <c r="BH709" t="str">
        <f>""</f>
        <v/>
      </c>
      <c r="BI709" t="str">
        <f>""</f>
        <v/>
      </c>
      <c r="BJ709" t="str">
        <f>""</f>
        <v/>
      </c>
      <c r="BK709" t="str">
        <f>""</f>
        <v/>
      </c>
      <c r="BL709" t="str">
        <f>""</f>
        <v/>
      </c>
      <c r="BM709" t="str">
        <f>""</f>
        <v/>
      </c>
      <c r="BN709" t="str">
        <f>""</f>
        <v/>
      </c>
      <c r="BO709" t="str">
        <f>""</f>
        <v/>
      </c>
      <c r="BP709" t="str">
        <f>""</f>
        <v/>
      </c>
      <c r="BQ709" t="str">
        <f>""</f>
        <v/>
      </c>
      <c r="BR709" t="str">
        <f>""</f>
        <v/>
      </c>
      <c r="BS709" t="str">
        <f>""</f>
        <v/>
      </c>
    </row>
    <row r="710" spans="1:71" x14ac:dyDescent="0.25">
      <c r="A710" t="str">
        <f>$A$309</f>
        <v xml:space="preserve">        Citigroup Inc</v>
      </c>
      <c r="B710" t="str">
        <f>$B$309</f>
        <v>C US Equity</v>
      </c>
      <c r="C710" t="str">
        <f>$C$309</f>
        <v>F0124</v>
      </c>
      <c r="D710" t="str">
        <f>$D$309</f>
        <v>FED_FOR_BANK_LNS_%_TOT_LNS_LEAS</v>
      </c>
      <c r="E710" t="str">
        <f>$E$309</f>
        <v>Dynamic</v>
      </c>
      <c r="F710">
        <f ca="1">_xll.BDH($B$309,$C$309,$B$425,$B$426,CONCATENATE("Per=",$B$423),"Dts=H","Dir=H",CONCATENATE("Points=",$B$424),"Sort=R","Days=A","Fill=B",CONCATENATE("FX=", $B$422),"cols=33;rows=1")</f>
        <v>1.5526</v>
      </c>
      <c r="G710">
        <v>1.6935</v>
      </c>
      <c r="H710">
        <v>1.5731999999999999</v>
      </c>
      <c r="I710">
        <v>1.3728</v>
      </c>
      <c r="J710">
        <v>1.6356999999999999</v>
      </c>
      <c r="K710">
        <v>1.8819999999999999</v>
      </c>
      <c r="L710">
        <v>2.3466999999999998</v>
      </c>
      <c r="M710">
        <v>2.7557999999999998</v>
      </c>
      <c r="N710">
        <v>2.6332</v>
      </c>
      <c r="O710">
        <v>3.0950000000000002</v>
      </c>
      <c r="P710">
        <v>3.4817</v>
      </c>
      <c r="Q710">
        <v>3.9718</v>
      </c>
      <c r="R710">
        <v>3.8397000000000001</v>
      </c>
      <c r="S710">
        <v>3.7052</v>
      </c>
      <c r="T710">
        <v>2.5573999999999999</v>
      </c>
      <c r="U710">
        <v>1.3604000000000001</v>
      </c>
      <c r="V710">
        <v>1.0564</v>
      </c>
      <c r="W710">
        <v>0.86639999999999995</v>
      </c>
      <c r="X710">
        <v>1.1448</v>
      </c>
      <c r="Y710">
        <v>1.1393</v>
      </c>
      <c r="Z710">
        <v>1.0517000000000001</v>
      </c>
      <c r="AA710">
        <v>1.1838</v>
      </c>
      <c r="AB710">
        <v>1.2206999999999999</v>
      </c>
      <c r="AC710">
        <v>1.3725000000000001</v>
      </c>
      <c r="AM710" t="str">
        <f>""</f>
        <v/>
      </c>
      <c r="AN710" t="str">
        <f>""</f>
        <v/>
      </c>
      <c r="AO710" t="str">
        <f>""</f>
        <v/>
      </c>
      <c r="AP710" t="str">
        <f>""</f>
        <v/>
      </c>
      <c r="AQ710" t="str">
        <f>""</f>
        <v/>
      </c>
      <c r="AR710" t="str">
        <f>""</f>
        <v/>
      </c>
      <c r="AS710" t="str">
        <f>""</f>
        <v/>
      </c>
      <c r="AT710" t="str">
        <f>""</f>
        <v/>
      </c>
      <c r="AU710" t="str">
        <f>""</f>
        <v/>
      </c>
      <c r="AV710" t="str">
        <f>""</f>
        <v/>
      </c>
      <c r="AW710" t="str">
        <f>""</f>
        <v/>
      </c>
      <c r="AX710" t="str">
        <f>""</f>
        <v/>
      </c>
      <c r="AY710" t="str">
        <f>""</f>
        <v/>
      </c>
      <c r="AZ710" t="str">
        <f>""</f>
        <v/>
      </c>
      <c r="BA710" t="str">
        <f>""</f>
        <v/>
      </c>
      <c r="BB710" t="str">
        <f>""</f>
        <v/>
      </c>
      <c r="BC710" t="str">
        <f>""</f>
        <v/>
      </c>
      <c r="BD710" t="str">
        <f>""</f>
        <v/>
      </c>
      <c r="BE710" t="str">
        <f>""</f>
        <v/>
      </c>
      <c r="BF710" t="str">
        <f>""</f>
        <v/>
      </c>
      <c r="BG710" t="str">
        <f>""</f>
        <v/>
      </c>
      <c r="BH710" t="str">
        <f>""</f>
        <v/>
      </c>
      <c r="BI710" t="str">
        <f>""</f>
        <v/>
      </c>
      <c r="BJ710" t="str">
        <f>""</f>
        <v/>
      </c>
      <c r="BK710" t="str">
        <f>""</f>
        <v/>
      </c>
      <c r="BL710" t="str">
        <f>""</f>
        <v/>
      </c>
      <c r="BM710" t="str">
        <f>""</f>
        <v/>
      </c>
      <c r="BN710" t="str">
        <f>""</f>
        <v/>
      </c>
      <c r="BO710" t="str">
        <f>""</f>
        <v/>
      </c>
      <c r="BP710" t="str">
        <f>""</f>
        <v/>
      </c>
      <c r="BQ710" t="str">
        <f>""</f>
        <v/>
      </c>
      <c r="BR710" t="str">
        <f>""</f>
        <v/>
      </c>
      <c r="BS710" t="str">
        <f>""</f>
        <v/>
      </c>
    </row>
    <row r="711" spans="1:71" x14ac:dyDescent="0.25">
      <c r="A711" t="str">
        <f>$A$310</f>
        <v xml:space="preserve">        Citizens Financial Group Inc</v>
      </c>
      <c r="B711" t="str">
        <f>$B$310</f>
        <v>CFG US Equity</v>
      </c>
      <c r="C711" t="str">
        <f>$C$310</f>
        <v>F0124</v>
      </c>
      <c r="D711" t="str">
        <f>$D$310</f>
        <v>FED_FOR_BANK_LNS_%_TOT_LNS_LEAS</v>
      </c>
      <c r="E711" t="str">
        <f>$E$310</f>
        <v>Dynamic</v>
      </c>
      <c r="F711">
        <f ca="1">_xll.BDH($B$310,$C$310,$B$425,$B$426,CONCATENATE("Per=",$B$423),"Dts=H","Dir=H",CONCATENATE("Points=",$B$424),"Sort=R","Days=A","Fill=B",CONCATENATE("FX=", $B$422),"cols=33;rows=1")</f>
        <v>9.4500000000000001E-2</v>
      </c>
      <c r="G711">
        <v>4.3499999999999997E-2</v>
      </c>
      <c r="H711">
        <v>6.6199999999999995E-2</v>
      </c>
      <c r="I711">
        <v>9.4600000000000004E-2</v>
      </c>
      <c r="J711">
        <v>7.7299999999999994E-2</v>
      </c>
      <c r="K711">
        <v>0.1187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M711" t="str">
        <f>""</f>
        <v/>
      </c>
      <c r="AN711" t="str">
        <f>""</f>
        <v/>
      </c>
      <c r="AO711" t="str">
        <f>""</f>
        <v/>
      </c>
      <c r="AP711" t="str">
        <f>""</f>
        <v/>
      </c>
      <c r="AQ711" t="str">
        <f>""</f>
        <v/>
      </c>
      <c r="AR711" t="str">
        <f>""</f>
        <v/>
      </c>
      <c r="AS711" t="str">
        <f>""</f>
        <v/>
      </c>
      <c r="AT711" t="str">
        <f>""</f>
        <v/>
      </c>
      <c r="AU711" t="str">
        <f>""</f>
        <v/>
      </c>
      <c r="AV711" t="str">
        <f>""</f>
        <v/>
      </c>
      <c r="AW711" t="str">
        <f>""</f>
        <v/>
      </c>
      <c r="AX711" t="str">
        <f>""</f>
        <v/>
      </c>
      <c r="AY711" t="str">
        <f>""</f>
        <v/>
      </c>
      <c r="AZ711" t="str">
        <f>""</f>
        <v/>
      </c>
      <c r="BA711" t="str">
        <f>""</f>
        <v/>
      </c>
      <c r="BB711" t="str">
        <f>""</f>
        <v/>
      </c>
      <c r="BC711" t="str">
        <f>""</f>
        <v/>
      </c>
      <c r="BD711" t="str">
        <f>""</f>
        <v/>
      </c>
      <c r="BE711" t="str">
        <f>""</f>
        <v/>
      </c>
      <c r="BF711" t="str">
        <f>""</f>
        <v/>
      </c>
      <c r="BG711" t="str">
        <f>""</f>
        <v/>
      </c>
      <c r="BH711" t="str">
        <f>""</f>
        <v/>
      </c>
      <c r="BI711" t="str">
        <f>""</f>
        <v/>
      </c>
      <c r="BJ711" t="str">
        <f>""</f>
        <v/>
      </c>
      <c r="BK711" t="str">
        <f>""</f>
        <v/>
      </c>
      <c r="BL711" t="str">
        <f>""</f>
        <v/>
      </c>
      <c r="BM711" t="str">
        <f>""</f>
        <v/>
      </c>
      <c r="BN711" t="str">
        <f>""</f>
        <v/>
      </c>
      <c r="BO711" t="str">
        <f>""</f>
        <v/>
      </c>
      <c r="BP711" t="str">
        <f>""</f>
        <v/>
      </c>
      <c r="BQ711" t="str">
        <f>""</f>
        <v/>
      </c>
      <c r="BR711" t="str">
        <f>""</f>
        <v/>
      </c>
      <c r="BS711" t="str">
        <f>""</f>
        <v/>
      </c>
    </row>
    <row r="712" spans="1:71" x14ac:dyDescent="0.25">
      <c r="A712" t="str">
        <f>$A$311</f>
        <v xml:space="preserve">        Capital One Financial Corp</v>
      </c>
      <c r="B712" t="str">
        <f>$B$311</f>
        <v>COF US Equity</v>
      </c>
      <c r="C712" t="str">
        <f>$C$311</f>
        <v>F0124</v>
      </c>
      <c r="D712" t="str">
        <f>$D$311</f>
        <v>FED_FOR_BANK_LNS_%_TOT_LNS_LEAS</v>
      </c>
      <c r="E712" t="str">
        <f>$E$311</f>
        <v>Dynamic</v>
      </c>
      <c r="F712">
        <f ca="1">_xll.BDH($B$311,$C$311,$B$425,$B$426,CONCATENATE("Per=",$B$423),"Dts=H","Dir=H",CONCATENATE("Points=",$B$424),"Sort=R","Days=A","Fill=B",CONCATENATE("FX=", $B$422),"cols=33;rows=1")</f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1.6E-2</v>
      </c>
      <c r="P712">
        <v>0</v>
      </c>
      <c r="Q712">
        <v>0</v>
      </c>
      <c r="R712">
        <v>0</v>
      </c>
      <c r="S712">
        <v>0.22420000000000001</v>
      </c>
      <c r="T712">
        <v>0.29580000000000001</v>
      </c>
      <c r="U712">
        <v>0.57430000000000003</v>
      </c>
      <c r="V712">
        <v>0.55859999999999999</v>
      </c>
      <c r="W712">
        <v>0.7651</v>
      </c>
      <c r="X712">
        <v>0.42770000000000002</v>
      </c>
      <c r="Y712">
        <v>0.2475</v>
      </c>
      <c r="Z712">
        <v>1.3376999999999999</v>
      </c>
      <c r="AM712" t="str">
        <f>""</f>
        <v/>
      </c>
      <c r="AN712" t="str">
        <f>""</f>
        <v/>
      </c>
      <c r="AO712" t="str">
        <f>""</f>
        <v/>
      </c>
      <c r="AP712" t="str">
        <f>""</f>
        <v/>
      </c>
      <c r="AQ712" t="str">
        <f>""</f>
        <v/>
      </c>
      <c r="AR712" t="str">
        <f>""</f>
        <v/>
      </c>
      <c r="AS712" t="str">
        <f>""</f>
        <v/>
      </c>
      <c r="AT712" t="str">
        <f>""</f>
        <v/>
      </c>
      <c r="AU712" t="str">
        <f>""</f>
        <v/>
      </c>
      <c r="AV712" t="str">
        <f>""</f>
        <v/>
      </c>
      <c r="AW712" t="str">
        <f>""</f>
        <v/>
      </c>
      <c r="AX712" t="str">
        <f>""</f>
        <v/>
      </c>
      <c r="AY712" t="str">
        <f>""</f>
        <v/>
      </c>
      <c r="AZ712" t="str">
        <f>""</f>
        <v/>
      </c>
      <c r="BA712" t="str">
        <f>""</f>
        <v/>
      </c>
      <c r="BB712" t="str">
        <f>""</f>
        <v/>
      </c>
      <c r="BC712" t="str">
        <f>""</f>
        <v/>
      </c>
      <c r="BD712" t="str">
        <f>""</f>
        <v/>
      </c>
      <c r="BE712" t="str">
        <f>""</f>
        <v/>
      </c>
      <c r="BF712" t="str">
        <f>""</f>
        <v/>
      </c>
      <c r="BG712" t="str">
        <f>""</f>
        <v/>
      </c>
      <c r="BH712" t="str">
        <f>""</f>
        <v/>
      </c>
      <c r="BI712" t="str">
        <f>""</f>
        <v/>
      </c>
      <c r="BJ712" t="str">
        <f>""</f>
        <v/>
      </c>
      <c r="BK712" t="str">
        <f>""</f>
        <v/>
      </c>
      <c r="BL712" t="str">
        <f>""</f>
        <v/>
      </c>
      <c r="BM712" t="str">
        <f>""</f>
        <v/>
      </c>
      <c r="BN712" t="str">
        <f>""</f>
        <v/>
      </c>
      <c r="BO712" t="str">
        <f>""</f>
        <v/>
      </c>
      <c r="BP712" t="str">
        <f>""</f>
        <v/>
      </c>
      <c r="BQ712" t="str">
        <f>""</f>
        <v/>
      </c>
      <c r="BR712" t="str">
        <f>""</f>
        <v/>
      </c>
      <c r="BS712" t="str">
        <f>""</f>
        <v/>
      </c>
    </row>
    <row r="713" spans="1:71" x14ac:dyDescent="0.25">
      <c r="A713" t="str">
        <f>$A$312</f>
        <v xml:space="preserve">        Comerica Inc</v>
      </c>
      <c r="B713" t="str">
        <f>$B$312</f>
        <v>CMA US Equity</v>
      </c>
      <c r="C713" t="str">
        <f>$C$312</f>
        <v>F0124</v>
      </c>
      <c r="D713" t="str">
        <f>$D$312</f>
        <v>FED_FOR_BANK_LNS_%_TOT_LNS_LEAS</v>
      </c>
      <c r="E713" t="str">
        <f>$E$312</f>
        <v>Dynamic</v>
      </c>
      <c r="F713">
        <f ca="1">_xll.BDH($B$312,$C$312,$B$425,$B$426,CONCATENATE("Per=",$B$423),"Dts=H","Dir=H",CONCATENATE("Points=",$B$424),"Sort=R","Days=A","Fill=B",CONCATENATE("FX=", $B$422),"cols=33;rows=1")</f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8.9999999999999993E-3</v>
      </c>
      <c r="N713">
        <v>3.3E-3</v>
      </c>
      <c r="O713">
        <v>0</v>
      </c>
      <c r="P713">
        <v>6.2899999999999998E-2</v>
      </c>
      <c r="Q713">
        <v>9.1999999999999998E-3</v>
      </c>
      <c r="R713">
        <v>3.8999999999999998E-3</v>
      </c>
      <c r="S713">
        <v>4.1000000000000002E-2</v>
      </c>
      <c r="T713">
        <v>5.7799999999999997E-2</v>
      </c>
      <c r="U713">
        <v>1.1999999999999999E-3</v>
      </c>
      <c r="V713">
        <v>1.44E-2</v>
      </c>
      <c r="W713">
        <v>5.2299999999999999E-2</v>
      </c>
      <c r="X713">
        <v>9.8199999999999996E-2</v>
      </c>
      <c r="Y713">
        <v>0.10539999999999999</v>
      </c>
      <c r="Z713">
        <v>2.6599999999999999E-2</v>
      </c>
      <c r="AA713">
        <v>0.11</v>
      </c>
      <c r="AB713">
        <v>0.47120000000000001</v>
      </c>
      <c r="AC713">
        <v>1.0308999999999999</v>
      </c>
      <c r="AM713" t="str">
        <f>""</f>
        <v/>
      </c>
      <c r="AN713" t="str">
        <f>""</f>
        <v/>
      </c>
      <c r="AO713" t="str">
        <f>""</f>
        <v/>
      </c>
      <c r="AP713" t="str">
        <f>""</f>
        <v/>
      </c>
      <c r="AQ713" t="str">
        <f>""</f>
        <v/>
      </c>
      <c r="AR713" t="str">
        <f>""</f>
        <v/>
      </c>
      <c r="AS713" t="str">
        <f>""</f>
        <v/>
      </c>
      <c r="AT713" t="str">
        <f>""</f>
        <v/>
      </c>
      <c r="AU713" t="str">
        <f>""</f>
        <v/>
      </c>
      <c r="AV713" t="str">
        <f>""</f>
        <v/>
      </c>
      <c r="AW713" t="str">
        <f>""</f>
        <v/>
      </c>
      <c r="AX713" t="str">
        <f>""</f>
        <v/>
      </c>
      <c r="AY713" t="str">
        <f>""</f>
        <v/>
      </c>
      <c r="AZ713" t="str">
        <f>""</f>
        <v/>
      </c>
      <c r="BA713" t="str">
        <f>""</f>
        <v/>
      </c>
      <c r="BB713" t="str">
        <f>""</f>
        <v/>
      </c>
      <c r="BC713" t="str">
        <f>""</f>
        <v/>
      </c>
      <c r="BD713" t="str">
        <f>""</f>
        <v/>
      </c>
      <c r="BE713" t="str">
        <f>""</f>
        <v/>
      </c>
      <c r="BF713" t="str">
        <f>""</f>
        <v/>
      </c>
      <c r="BG713" t="str">
        <f>""</f>
        <v/>
      </c>
      <c r="BH713" t="str">
        <f>""</f>
        <v/>
      </c>
      <c r="BI713" t="str">
        <f>""</f>
        <v/>
      </c>
      <c r="BJ713" t="str">
        <f>""</f>
        <v/>
      </c>
      <c r="BK713" t="str">
        <f>""</f>
        <v/>
      </c>
      <c r="BL713" t="str">
        <f>""</f>
        <v/>
      </c>
      <c r="BM713" t="str">
        <f>""</f>
        <v/>
      </c>
      <c r="BN713" t="str">
        <f>""</f>
        <v/>
      </c>
      <c r="BO713" t="str">
        <f>""</f>
        <v/>
      </c>
      <c r="BP713" t="str">
        <f>""</f>
        <v/>
      </c>
      <c r="BQ713" t="str">
        <f>""</f>
        <v/>
      </c>
      <c r="BR713" t="str">
        <f>""</f>
        <v/>
      </c>
      <c r="BS713" t="str">
        <f>""</f>
        <v/>
      </c>
    </row>
    <row r="714" spans="1:71" x14ac:dyDescent="0.25">
      <c r="A714" t="str">
        <f>$A$313</f>
        <v xml:space="preserve">        East West Bancorp Inc</v>
      </c>
      <c r="B714" t="str">
        <f>$B$313</f>
        <v>EWBC US Equity</v>
      </c>
      <c r="C714" t="str">
        <f>$C$313</f>
        <v>F0124</v>
      </c>
      <c r="D714" t="str">
        <f>$D$313</f>
        <v>FED_FOR_BANK_LNS_%_TOT_LNS_LEAS</v>
      </c>
      <c r="E714" t="str">
        <f>$E$313</f>
        <v>Dynamic</v>
      </c>
      <c r="F714">
        <f ca="1">_xll.BDH($B$313,$C$313,$B$425,$B$426,CONCATENATE("Per=",$B$423),"Dts=H","Dir=H",CONCATENATE("Points=",$B$424),"Sort=R","Days=A","Fill=B",CONCATENATE("FX=", $B$422),"cols=33;rows=1")</f>
        <v>4.9000000000000002E-2</v>
      </c>
      <c r="G714">
        <v>5.62E-2</v>
      </c>
      <c r="H714">
        <v>0.21360000000000001</v>
      </c>
      <c r="I714">
        <v>0.31730000000000003</v>
      </c>
      <c r="J714">
        <v>0.53459999999999996</v>
      </c>
      <c r="K714">
        <v>0.53500000000000003</v>
      </c>
      <c r="L714">
        <v>1.0086999999999999</v>
      </c>
      <c r="M714">
        <v>0.9123</v>
      </c>
      <c r="N714">
        <v>1.2779</v>
      </c>
      <c r="O714">
        <v>0.48980000000000001</v>
      </c>
      <c r="P714">
        <v>0.38040000000000002</v>
      </c>
      <c r="Q714">
        <v>0.43230000000000002</v>
      </c>
      <c r="R714">
        <v>0.27489999999999998</v>
      </c>
      <c r="S714">
        <v>3.0062000000000002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M714" t="str">
        <f>""</f>
        <v/>
      </c>
      <c r="AN714" t="str">
        <f>""</f>
        <v/>
      </c>
      <c r="AO714" t="str">
        <f>""</f>
        <v/>
      </c>
      <c r="AP714" t="str">
        <f>""</f>
        <v/>
      </c>
      <c r="AQ714" t="str">
        <f>""</f>
        <v/>
      </c>
      <c r="AR714" t="str">
        <f>""</f>
        <v/>
      </c>
      <c r="AS714" t="str">
        <f>""</f>
        <v/>
      </c>
      <c r="AT714" t="str">
        <f>""</f>
        <v/>
      </c>
      <c r="AU714" t="str">
        <f>""</f>
        <v/>
      </c>
      <c r="AV714" t="str">
        <f>""</f>
        <v/>
      </c>
      <c r="AW714" t="str">
        <f>""</f>
        <v/>
      </c>
      <c r="AX714" t="str">
        <f>""</f>
        <v/>
      </c>
      <c r="AY714" t="str">
        <f>""</f>
        <v/>
      </c>
      <c r="AZ714" t="str">
        <f>""</f>
        <v/>
      </c>
      <c r="BA714" t="str">
        <f>""</f>
        <v/>
      </c>
      <c r="BB714" t="str">
        <f>""</f>
        <v/>
      </c>
      <c r="BC714" t="str">
        <f>""</f>
        <v/>
      </c>
      <c r="BD714" t="str">
        <f>""</f>
        <v/>
      </c>
      <c r="BE714" t="str">
        <f>""</f>
        <v/>
      </c>
      <c r="BF714" t="str">
        <f>""</f>
        <v/>
      </c>
      <c r="BG714" t="str">
        <f>""</f>
        <v/>
      </c>
      <c r="BH714" t="str">
        <f>""</f>
        <v/>
      </c>
      <c r="BI714" t="str">
        <f>""</f>
        <v/>
      </c>
      <c r="BJ714" t="str">
        <f>""</f>
        <v/>
      </c>
      <c r="BK714" t="str">
        <f>""</f>
        <v/>
      </c>
      <c r="BL714" t="str">
        <f>""</f>
        <v/>
      </c>
      <c r="BM714" t="str">
        <f>""</f>
        <v/>
      </c>
      <c r="BN714" t="str">
        <f>""</f>
        <v/>
      </c>
      <c r="BO714" t="str">
        <f>""</f>
        <v/>
      </c>
      <c r="BP714" t="str">
        <f>""</f>
        <v/>
      </c>
      <c r="BQ714" t="str">
        <f>""</f>
        <v/>
      </c>
      <c r="BR714" t="str">
        <f>""</f>
        <v/>
      </c>
      <c r="BS714" t="str">
        <f>""</f>
        <v/>
      </c>
    </row>
    <row r="715" spans="1:71" x14ac:dyDescent="0.25">
      <c r="A715" t="str">
        <f>$A$314</f>
        <v xml:space="preserve">        Fifth Third Bancorp</v>
      </c>
      <c r="B715" t="str">
        <f>$B$314</f>
        <v>FITB US Equity</v>
      </c>
      <c r="C715" t="str">
        <f>$C$314</f>
        <v>F0124</v>
      </c>
      <c r="D715" t="str">
        <f>$D$314</f>
        <v>FED_FOR_BANK_LNS_%_TOT_LNS_LEAS</v>
      </c>
      <c r="E715" t="str">
        <f>$E$314</f>
        <v>Dynamic</v>
      </c>
      <c r="F715">
        <f ca="1">_xll.BDH($B$314,$C$314,$B$425,$B$426,CONCATENATE("Per=",$B$423),"Dts=H","Dir=H",CONCATENATE("Points=",$B$424),"Sort=R","Days=A","Fill=B",CONCATENATE("FX=", $B$422),"cols=33;rows=1")</f>
        <v>0.40689999999999998</v>
      </c>
      <c r="G715">
        <v>8.9999999999999998E-4</v>
      </c>
      <c r="H715">
        <v>3.8999999999999998E-3</v>
      </c>
      <c r="I715">
        <v>1.8E-3</v>
      </c>
      <c r="J715">
        <v>4.8999999999999998E-3</v>
      </c>
      <c r="K715">
        <v>2.3E-3</v>
      </c>
      <c r="L715">
        <v>0</v>
      </c>
      <c r="M715">
        <v>0</v>
      </c>
      <c r="N715">
        <v>0</v>
      </c>
      <c r="O715">
        <v>5.6500000000000002E-2</v>
      </c>
      <c r="P715">
        <v>0.56020000000000003</v>
      </c>
      <c r="Q715">
        <v>1.3042</v>
      </c>
      <c r="R715">
        <v>0.81240000000000001</v>
      </c>
      <c r="S715">
        <v>0.98850000000000005</v>
      </c>
      <c r="T715">
        <v>0.52080000000000004</v>
      </c>
      <c r="U715">
        <v>0.2109</v>
      </c>
      <c r="V715">
        <v>5.6399999999999999E-2</v>
      </c>
      <c r="W715">
        <v>5.0000000000000001E-4</v>
      </c>
      <c r="X715">
        <v>1.1999999999999999E-3</v>
      </c>
      <c r="Y715">
        <v>1E-4</v>
      </c>
      <c r="Z715">
        <v>0</v>
      </c>
      <c r="AA715">
        <v>0</v>
      </c>
      <c r="AB715">
        <v>0</v>
      </c>
      <c r="AC715">
        <v>0</v>
      </c>
      <c r="AM715" t="str">
        <f>""</f>
        <v/>
      </c>
      <c r="AN715" t="str">
        <f>""</f>
        <v/>
      </c>
      <c r="AO715" t="str">
        <f>""</f>
        <v/>
      </c>
      <c r="AP715" t="str">
        <f>""</f>
        <v/>
      </c>
      <c r="AQ715" t="str">
        <f>""</f>
        <v/>
      </c>
      <c r="AR715" t="str">
        <f>""</f>
        <v/>
      </c>
      <c r="AS715" t="str">
        <f>""</f>
        <v/>
      </c>
      <c r="AT715" t="str">
        <f>""</f>
        <v/>
      </c>
      <c r="AU715" t="str">
        <f>""</f>
        <v/>
      </c>
      <c r="AV715" t="str">
        <f>""</f>
        <v/>
      </c>
      <c r="AW715" t="str">
        <f>""</f>
        <v/>
      </c>
      <c r="AX715" t="str">
        <f>""</f>
        <v/>
      </c>
      <c r="AY715" t="str">
        <f>""</f>
        <v/>
      </c>
      <c r="AZ715" t="str">
        <f>""</f>
        <v/>
      </c>
      <c r="BA715" t="str">
        <f>""</f>
        <v/>
      </c>
      <c r="BB715" t="str">
        <f>""</f>
        <v/>
      </c>
      <c r="BC715" t="str">
        <f>""</f>
        <v/>
      </c>
      <c r="BD715" t="str">
        <f>""</f>
        <v/>
      </c>
      <c r="BE715" t="str">
        <f>""</f>
        <v/>
      </c>
      <c r="BF715" t="str">
        <f>""</f>
        <v/>
      </c>
      <c r="BG715" t="str">
        <f>""</f>
        <v/>
      </c>
      <c r="BH715" t="str">
        <f>""</f>
        <v/>
      </c>
      <c r="BI715" t="str">
        <f>""</f>
        <v/>
      </c>
      <c r="BJ715" t="str">
        <f>""</f>
        <v/>
      </c>
      <c r="BK715" t="str">
        <f>""</f>
        <v/>
      </c>
      <c r="BL715" t="str">
        <f>""</f>
        <v/>
      </c>
      <c r="BM715" t="str">
        <f>""</f>
        <v/>
      </c>
      <c r="BN715" t="str">
        <f>""</f>
        <v/>
      </c>
      <c r="BO715" t="str">
        <f>""</f>
        <v/>
      </c>
      <c r="BP715" t="str">
        <f>""</f>
        <v/>
      </c>
      <c r="BQ715" t="str">
        <f>""</f>
        <v/>
      </c>
      <c r="BR715" t="str">
        <f>""</f>
        <v/>
      </c>
      <c r="BS715" t="str">
        <f>""</f>
        <v/>
      </c>
    </row>
    <row r="716" spans="1:71" x14ac:dyDescent="0.25">
      <c r="A716" t="str">
        <f>$A$315</f>
        <v xml:space="preserve">        First Citizens BancShares Inc/</v>
      </c>
      <c r="B716" t="str">
        <f>$B$315</f>
        <v>FCNCA US Equity</v>
      </c>
      <c r="C716" t="str">
        <f>$C$315</f>
        <v>F0124</v>
      </c>
      <c r="D716" t="str">
        <f>$D$315</f>
        <v>FED_FOR_BANK_LNS_%_TOT_LNS_LEAS</v>
      </c>
      <c r="E716" t="str">
        <f>$E$315</f>
        <v>Dynamic</v>
      </c>
      <c r="F716">
        <f ca="1">_xll.BDH($B$315,$C$315,$B$425,$B$426,CONCATENATE("Per=",$B$423),"Dts=H","Dir=H",CONCATENATE("Points=",$B$424),"Sort=R","Days=A","Fill=B",CONCATENATE("FX=", $B$422),"cols=33;rows=1")</f>
        <v>0</v>
      </c>
      <c r="G716">
        <v>2.0000000000000001E-4</v>
      </c>
      <c r="H716">
        <v>5.9999999999999995E-4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M716" t="str">
        <f>""</f>
        <v/>
      </c>
      <c r="AN716" t="str">
        <f>""</f>
        <v/>
      </c>
      <c r="AO716" t="str">
        <f>""</f>
        <v/>
      </c>
      <c r="AP716" t="str">
        <f>""</f>
        <v/>
      </c>
      <c r="AQ716" t="str">
        <f>""</f>
        <v/>
      </c>
      <c r="AR716" t="str">
        <f>""</f>
        <v/>
      </c>
      <c r="AS716" t="str">
        <f>""</f>
        <v/>
      </c>
      <c r="AT716" t="str">
        <f>""</f>
        <v/>
      </c>
      <c r="AU716" t="str">
        <f>""</f>
        <v/>
      </c>
      <c r="AV716" t="str">
        <f>""</f>
        <v/>
      </c>
      <c r="AW716" t="str">
        <f>""</f>
        <v/>
      </c>
      <c r="AX716" t="str">
        <f>""</f>
        <v/>
      </c>
      <c r="AY716" t="str">
        <f>""</f>
        <v/>
      </c>
      <c r="AZ716" t="str">
        <f>""</f>
        <v/>
      </c>
      <c r="BA716" t="str">
        <f>""</f>
        <v/>
      </c>
      <c r="BB716" t="str">
        <f>""</f>
        <v/>
      </c>
      <c r="BC716" t="str">
        <f>""</f>
        <v/>
      </c>
      <c r="BD716" t="str">
        <f>""</f>
        <v/>
      </c>
      <c r="BE716" t="str">
        <f>""</f>
        <v/>
      </c>
      <c r="BF716" t="str">
        <f>""</f>
        <v/>
      </c>
      <c r="BG716" t="str">
        <f>""</f>
        <v/>
      </c>
      <c r="BH716" t="str">
        <f>""</f>
        <v/>
      </c>
      <c r="BI716" t="str">
        <f>""</f>
        <v/>
      </c>
      <c r="BJ716" t="str">
        <f>""</f>
        <v/>
      </c>
      <c r="BK716" t="str">
        <f>""</f>
        <v/>
      </c>
      <c r="BL716" t="str">
        <f>""</f>
        <v/>
      </c>
      <c r="BM716" t="str">
        <f>""</f>
        <v/>
      </c>
      <c r="BN716" t="str">
        <f>""</f>
        <v/>
      </c>
      <c r="BO716" t="str">
        <f>""</f>
        <v/>
      </c>
      <c r="BP716" t="str">
        <f>""</f>
        <v/>
      </c>
      <c r="BQ716" t="str">
        <f>""</f>
        <v/>
      </c>
      <c r="BR716" t="str">
        <f>""</f>
        <v/>
      </c>
      <c r="BS716" t="str">
        <f>""</f>
        <v/>
      </c>
    </row>
    <row r="717" spans="1:71" x14ac:dyDescent="0.25">
      <c r="A717" t="str">
        <f>$A$316</f>
        <v xml:space="preserve">        Flagstar Financial Inc</v>
      </c>
      <c r="B717" t="str">
        <f>$B$316</f>
        <v>FLG US Equity</v>
      </c>
      <c r="C717" t="str">
        <f>$C$316</f>
        <v>F0124</v>
      </c>
      <c r="D717" t="str">
        <f>$D$316</f>
        <v>FED_FOR_BANK_LNS_%_TOT_LNS_LEAS</v>
      </c>
      <c r="E717" t="str">
        <f>$E$316</f>
        <v>Dynamic</v>
      </c>
      <c r="F717">
        <f ca="1">_xll.BDH($B$316,$C$316,$B$425,$B$426,CONCATENATE("Per=",$B$423),"Dts=H","Dir=H",CONCATENATE("Points=",$B$424),"Sort=R","Days=A","Fill=B",CONCATENATE("FX=", $B$422),"cols=33;rows=1")</f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M717" t="str">
        <f>""</f>
        <v/>
      </c>
      <c r="AN717" t="str">
        <f>""</f>
        <v/>
      </c>
      <c r="AO717" t="str">
        <f>""</f>
        <v/>
      </c>
      <c r="AP717" t="str">
        <f>""</f>
        <v/>
      </c>
      <c r="AQ717" t="str">
        <f>""</f>
        <v/>
      </c>
      <c r="AR717" t="str">
        <f>""</f>
        <v/>
      </c>
      <c r="AS717" t="str">
        <f>""</f>
        <v/>
      </c>
      <c r="AT717" t="str">
        <f>""</f>
        <v/>
      </c>
      <c r="AU717" t="str">
        <f>""</f>
        <v/>
      </c>
      <c r="AV717" t="str">
        <f>""</f>
        <v/>
      </c>
      <c r="AW717" t="str">
        <f>""</f>
        <v/>
      </c>
      <c r="AX717" t="str">
        <f>""</f>
        <v/>
      </c>
      <c r="AY717" t="str">
        <f>""</f>
        <v/>
      </c>
      <c r="AZ717" t="str">
        <f>""</f>
        <v/>
      </c>
      <c r="BA717" t="str">
        <f>""</f>
        <v/>
      </c>
      <c r="BB717" t="str">
        <f>""</f>
        <v/>
      </c>
      <c r="BC717" t="str">
        <f>""</f>
        <v/>
      </c>
      <c r="BD717" t="str">
        <f>""</f>
        <v/>
      </c>
      <c r="BE717" t="str">
        <f>""</f>
        <v/>
      </c>
      <c r="BF717" t="str">
        <f>""</f>
        <v/>
      </c>
      <c r="BG717" t="str">
        <f>""</f>
        <v/>
      </c>
      <c r="BH717" t="str">
        <f>""</f>
        <v/>
      </c>
      <c r="BI717" t="str">
        <f>""</f>
        <v/>
      </c>
      <c r="BJ717" t="str">
        <f>""</f>
        <v/>
      </c>
      <c r="BK717" t="str">
        <f>""</f>
        <v/>
      </c>
      <c r="BL717" t="str">
        <f>""</f>
        <v/>
      </c>
      <c r="BM717" t="str">
        <f>""</f>
        <v/>
      </c>
      <c r="BN717" t="str">
        <f>""</f>
        <v/>
      </c>
      <c r="BO717" t="str">
        <f>""</f>
        <v/>
      </c>
      <c r="BP717" t="str">
        <f>""</f>
        <v/>
      </c>
      <c r="BQ717" t="str">
        <f>""</f>
        <v/>
      </c>
      <c r="BR717" t="str">
        <f>""</f>
        <v/>
      </c>
      <c r="BS717" t="str">
        <f>""</f>
        <v/>
      </c>
    </row>
    <row r="718" spans="1:71" x14ac:dyDescent="0.25">
      <c r="A718" t="str">
        <f>$A$317</f>
        <v xml:space="preserve">        Huntington Bancshares Inc/OH</v>
      </c>
      <c r="B718" t="str">
        <f>$B$317</f>
        <v>HBAN US Equity</v>
      </c>
      <c r="C718" t="str">
        <f>$C$317</f>
        <v>F0124</v>
      </c>
      <c r="D718" t="str">
        <f>$D$317</f>
        <v>FED_FOR_BANK_LNS_%_TOT_LNS_LEAS</v>
      </c>
      <c r="E718" t="str">
        <f>$E$317</f>
        <v>Dynamic</v>
      </c>
      <c r="F718">
        <f ca="1">_xll.BDH($B$317,$C$317,$B$425,$B$426,CONCATENATE("Per=",$B$423),"Dts=H","Dir=H",CONCATENATE("Points=",$B$424),"Sort=R","Days=A","Fill=B",CONCATENATE("FX=", $B$422),"cols=33;rows=1")</f>
        <v>0.54649999999999999</v>
      </c>
      <c r="G718">
        <v>0.20280000000000001</v>
      </c>
      <c r="H718">
        <v>0.29149999999999998</v>
      </c>
      <c r="I718">
        <v>0.61260000000000003</v>
      </c>
      <c r="J718">
        <v>0.67520000000000002</v>
      </c>
      <c r="K718">
        <v>0.64680000000000004</v>
      </c>
      <c r="L718">
        <v>0.79610000000000003</v>
      </c>
      <c r="M718">
        <v>0.68659999999999999</v>
      </c>
      <c r="N718">
        <v>0.41639999999999999</v>
      </c>
      <c r="O718">
        <v>0.94140000000000001</v>
      </c>
      <c r="P718">
        <v>1.2159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1.5E-3</v>
      </c>
      <c r="AB718">
        <v>8.0000000000000004E-4</v>
      </c>
      <c r="AC718">
        <v>0</v>
      </c>
      <c r="AM718" t="str">
        <f>""</f>
        <v/>
      </c>
      <c r="AN718" t="str">
        <f>""</f>
        <v/>
      </c>
      <c r="AO718" t="str">
        <f>""</f>
        <v/>
      </c>
      <c r="AP718" t="str">
        <f>""</f>
        <v/>
      </c>
      <c r="AQ718" t="str">
        <f>""</f>
        <v/>
      </c>
      <c r="AR718" t="str">
        <f>""</f>
        <v/>
      </c>
      <c r="AS718" t="str">
        <f>""</f>
        <v/>
      </c>
      <c r="AT718" t="str">
        <f>""</f>
        <v/>
      </c>
      <c r="AU718" t="str">
        <f>""</f>
        <v/>
      </c>
      <c r="AV718" t="str">
        <f>""</f>
        <v/>
      </c>
      <c r="AW718" t="str">
        <f>""</f>
        <v/>
      </c>
      <c r="AX718" t="str">
        <f>""</f>
        <v/>
      </c>
      <c r="AY718" t="str">
        <f>""</f>
        <v/>
      </c>
      <c r="AZ718" t="str">
        <f>""</f>
        <v/>
      </c>
      <c r="BA718" t="str">
        <f>""</f>
        <v/>
      </c>
      <c r="BB718" t="str">
        <f>""</f>
        <v/>
      </c>
      <c r="BC718" t="str">
        <f>""</f>
        <v/>
      </c>
      <c r="BD718" t="str">
        <f>""</f>
        <v/>
      </c>
      <c r="BE718" t="str">
        <f>""</f>
        <v/>
      </c>
      <c r="BF718" t="str">
        <f>""</f>
        <v/>
      </c>
      <c r="BG718" t="str">
        <f>""</f>
        <v/>
      </c>
      <c r="BH718" t="str">
        <f>""</f>
        <v/>
      </c>
      <c r="BI718" t="str">
        <f>""</f>
        <v/>
      </c>
      <c r="BJ718" t="str">
        <f>""</f>
        <v/>
      </c>
      <c r="BK718" t="str">
        <f>""</f>
        <v/>
      </c>
      <c r="BL718" t="str">
        <f>""</f>
        <v/>
      </c>
      <c r="BM718" t="str">
        <f>""</f>
        <v/>
      </c>
      <c r="BN718" t="str">
        <f>""</f>
        <v/>
      </c>
      <c r="BO718" t="str">
        <f>""</f>
        <v/>
      </c>
      <c r="BP718" t="str">
        <f>""</f>
        <v/>
      </c>
      <c r="BQ718" t="str">
        <f>""</f>
        <v/>
      </c>
      <c r="BR718" t="str">
        <f>""</f>
        <v/>
      </c>
      <c r="BS718" t="str">
        <f>""</f>
        <v/>
      </c>
    </row>
    <row r="719" spans="1:71" x14ac:dyDescent="0.25">
      <c r="A719" t="str">
        <f>$A$318</f>
        <v xml:space="preserve">        JPMorgan Chase &amp; Co</v>
      </c>
      <c r="B719" t="str">
        <f>$B$318</f>
        <v>JPM US Equity</v>
      </c>
      <c r="C719" t="str">
        <f>$C$318</f>
        <v>F0124</v>
      </c>
      <c r="D719" t="str">
        <f>$D$318</f>
        <v>FED_FOR_BANK_LNS_%_TOT_LNS_LEAS</v>
      </c>
      <c r="E719" t="str">
        <f>$E$318</f>
        <v>Dynamic</v>
      </c>
      <c r="F719">
        <f ca="1">_xll.BDH($B$318,$C$318,$B$425,$B$426,CONCATENATE("Per=",$B$423),"Dts=H","Dir=H",CONCATENATE("Points=",$B$424),"Sort=R","Days=A","Fill=B",CONCATENATE("FX=", $B$422),"cols=33;rows=1")</f>
        <v>0.67720000000000002</v>
      </c>
      <c r="G719">
        <v>0.61570000000000003</v>
      </c>
      <c r="H719">
        <v>0.80220000000000002</v>
      </c>
      <c r="I719">
        <v>0.69469999999999998</v>
      </c>
      <c r="J719">
        <v>0.6573</v>
      </c>
      <c r="K719">
        <v>0.6996</v>
      </c>
      <c r="L719">
        <v>0.96419999999999995</v>
      </c>
      <c r="M719">
        <v>0.9113</v>
      </c>
      <c r="N719">
        <v>0.91100000000000003</v>
      </c>
      <c r="O719">
        <v>1.5207999999999999</v>
      </c>
      <c r="P719">
        <v>1.9910000000000001</v>
      </c>
      <c r="Q719">
        <v>2.4746000000000001</v>
      </c>
      <c r="R719">
        <v>2.7532999999999999</v>
      </c>
      <c r="S719">
        <v>3.3982999999999999</v>
      </c>
      <c r="T719">
        <v>2.1993999999999998</v>
      </c>
      <c r="U719">
        <v>1.419</v>
      </c>
      <c r="V719">
        <v>1.5438000000000001</v>
      </c>
      <c r="W719">
        <v>2.3433999999999999</v>
      </c>
      <c r="X719">
        <v>1.4590000000000001</v>
      </c>
      <c r="Y719">
        <v>1.0161</v>
      </c>
      <c r="Z719">
        <v>0.79500000000000004</v>
      </c>
      <c r="AA719">
        <v>1.1520999999999999</v>
      </c>
      <c r="AB719">
        <v>1.0386</v>
      </c>
      <c r="AC719">
        <v>1.8551</v>
      </c>
      <c r="AM719" t="str">
        <f>""</f>
        <v/>
      </c>
      <c r="AN719" t="str">
        <f>""</f>
        <v/>
      </c>
      <c r="AO719" t="str">
        <f>""</f>
        <v/>
      </c>
      <c r="AP719" t="str">
        <f>""</f>
        <v/>
      </c>
      <c r="AQ719" t="str">
        <f>""</f>
        <v/>
      </c>
      <c r="AR719" t="str">
        <f>""</f>
        <v/>
      </c>
      <c r="AS719" t="str">
        <f>""</f>
        <v/>
      </c>
      <c r="AT719" t="str">
        <f>""</f>
        <v/>
      </c>
      <c r="AU719" t="str">
        <f>""</f>
        <v/>
      </c>
      <c r="AV719" t="str">
        <f>""</f>
        <v/>
      </c>
      <c r="AW719" t="str">
        <f>""</f>
        <v/>
      </c>
      <c r="AX719" t="str">
        <f>""</f>
        <v/>
      </c>
      <c r="AY719" t="str">
        <f>""</f>
        <v/>
      </c>
      <c r="AZ719" t="str">
        <f>""</f>
        <v/>
      </c>
      <c r="BA719" t="str">
        <f>""</f>
        <v/>
      </c>
      <c r="BB719" t="str">
        <f>""</f>
        <v/>
      </c>
      <c r="BC719" t="str">
        <f>""</f>
        <v/>
      </c>
      <c r="BD719" t="str">
        <f>""</f>
        <v/>
      </c>
      <c r="BE719" t="str">
        <f>""</f>
        <v/>
      </c>
      <c r="BF719" t="str">
        <f>""</f>
        <v/>
      </c>
      <c r="BG719" t="str">
        <f>""</f>
        <v/>
      </c>
      <c r="BH719" t="str">
        <f>""</f>
        <v/>
      </c>
      <c r="BI719" t="str">
        <f>""</f>
        <v/>
      </c>
      <c r="BJ719" t="str">
        <f>""</f>
        <v/>
      </c>
      <c r="BK719" t="str">
        <f>""</f>
        <v/>
      </c>
      <c r="BL719" t="str">
        <f>""</f>
        <v/>
      </c>
      <c r="BM719" t="str">
        <f>""</f>
        <v/>
      </c>
      <c r="BN719" t="str">
        <f>""</f>
        <v/>
      </c>
      <c r="BO719" t="str">
        <f>""</f>
        <v/>
      </c>
      <c r="BP719" t="str">
        <f>""</f>
        <v/>
      </c>
      <c r="BQ719" t="str">
        <f>""</f>
        <v/>
      </c>
      <c r="BR719" t="str">
        <f>""</f>
        <v/>
      </c>
      <c r="BS719" t="str">
        <f>""</f>
        <v/>
      </c>
    </row>
    <row r="720" spans="1:71" x14ac:dyDescent="0.25">
      <c r="A720" t="str">
        <f>$A$319</f>
        <v xml:space="preserve">        KeyCorp</v>
      </c>
      <c r="B720" t="str">
        <f>$B$319</f>
        <v>KEY US Equity</v>
      </c>
      <c r="C720" t="str">
        <f>$C$319</f>
        <v>F0124</v>
      </c>
      <c r="D720" t="str">
        <f>$D$319</f>
        <v>FED_FOR_BANK_LNS_%_TOT_LNS_LEAS</v>
      </c>
      <c r="E720" t="str">
        <f>$E$319</f>
        <v>Dynamic</v>
      </c>
      <c r="F720">
        <f ca="1">_xll.BDH($B$319,$C$319,$B$425,$B$426,CONCATENATE("Per=",$B$423),"Dts=H","Dir=H",CONCATENATE("Points=",$B$424),"Sort=R","Days=A","Fill=B",CONCATENATE("FX=", $B$422),"cols=33;rows=1")</f>
        <v>3.0000000000000001E-3</v>
      </c>
      <c r="G720">
        <v>6.1000000000000004E-3</v>
      </c>
      <c r="H720">
        <v>4.0599999999999997E-2</v>
      </c>
      <c r="I720">
        <v>2.1499999999999998E-2</v>
      </c>
      <c r="J720">
        <v>1.44E-2</v>
      </c>
      <c r="K720">
        <v>7.8200000000000006E-2</v>
      </c>
      <c r="L720">
        <v>0.154</v>
      </c>
      <c r="M720">
        <v>4.7199999999999999E-2</v>
      </c>
      <c r="N720">
        <v>4.7E-2</v>
      </c>
      <c r="O720">
        <v>4.5199999999999997E-2</v>
      </c>
      <c r="P720">
        <v>5.2299999999999999E-2</v>
      </c>
      <c r="Q720">
        <v>3.7600000000000001E-2</v>
      </c>
      <c r="R720">
        <v>5.4000000000000003E-3</v>
      </c>
      <c r="S720">
        <v>4.2799999999999998E-2</v>
      </c>
      <c r="T720">
        <v>1.55E-2</v>
      </c>
      <c r="U720">
        <v>1.6899999999999998E-2</v>
      </c>
      <c r="V720">
        <v>1.12E-2</v>
      </c>
      <c r="W720">
        <v>3.0599999999999999E-2</v>
      </c>
      <c r="X720">
        <v>2.7199999999999998E-2</v>
      </c>
      <c r="Y720">
        <v>3.5000000000000001E-3</v>
      </c>
      <c r="Z720">
        <v>0</v>
      </c>
      <c r="AA720">
        <v>6.7999999999999996E-3</v>
      </c>
      <c r="AB720">
        <v>7.6E-3</v>
      </c>
      <c r="AC720">
        <v>8.0999999999999996E-3</v>
      </c>
      <c r="AM720" t="str">
        <f>""</f>
        <v/>
      </c>
      <c r="AN720" t="str">
        <f>""</f>
        <v/>
      </c>
      <c r="AO720" t="str">
        <f>""</f>
        <v/>
      </c>
      <c r="AP720" t="str">
        <f>""</f>
        <v/>
      </c>
      <c r="AQ720" t="str">
        <f>""</f>
        <v/>
      </c>
      <c r="AR720" t="str">
        <f>""</f>
        <v/>
      </c>
      <c r="AS720" t="str">
        <f>""</f>
        <v/>
      </c>
      <c r="AT720" t="str">
        <f>""</f>
        <v/>
      </c>
      <c r="AU720" t="str">
        <f>""</f>
        <v/>
      </c>
      <c r="AV720" t="str">
        <f>""</f>
        <v/>
      </c>
      <c r="AW720" t="str">
        <f>""</f>
        <v/>
      </c>
      <c r="AX720" t="str">
        <f>""</f>
        <v/>
      </c>
      <c r="AY720" t="str">
        <f>""</f>
        <v/>
      </c>
      <c r="AZ720" t="str">
        <f>""</f>
        <v/>
      </c>
      <c r="BA720" t="str">
        <f>""</f>
        <v/>
      </c>
      <c r="BB720" t="str">
        <f>""</f>
        <v/>
      </c>
      <c r="BC720" t="str">
        <f>""</f>
        <v/>
      </c>
      <c r="BD720" t="str">
        <f>""</f>
        <v/>
      </c>
      <c r="BE720" t="str">
        <f>""</f>
        <v/>
      </c>
      <c r="BF720" t="str">
        <f>""</f>
        <v/>
      </c>
      <c r="BG720" t="str">
        <f>""</f>
        <v/>
      </c>
      <c r="BH720" t="str">
        <f>""</f>
        <v/>
      </c>
      <c r="BI720" t="str">
        <f>""</f>
        <v/>
      </c>
      <c r="BJ720" t="str">
        <f>""</f>
        <v/>
      </c>
      <c r="BK720" t="str">
        <f>""</f>
        <v/>
      </c>
      <c r="BL720" t="str">
        <f>""</f>
        <v/>
      </c>
      <c r="BM720" t="str">
        <f>""</f>
        <v/>
      </c>
      <c r="BN720" t="str">
        <f>""</f>
        <v/>
      </c>
      <c r="BO720" t="str">
        <f>""</f>
        <v/>
      </c>
      <c r="BP720" t="str">
        <f>""</f>
        <v/>
      </c>
      <c r="BQ720" t="str">
        <f>""</f>
        <v/>
      </c>
      <c r="BR720" t="str">
        <f>""</f>
        <v/>
      </c>
      <c r="BS720" t="str">
        <f>""</f>
        <v/>
      </c>
    </row>
    <row r="721" spans="1:71" x14ac:dyDescent="0.25">
      <c r="A721" t="str">
        <f>$A$320</f>
        <v xml:space="preserve">        M&amp;T Bank Corp</v>
      </c>
      <c r="B721" t="str">
        <f>$B$320</f>
        <v>MTB US Equity</v>
      </c>
      <c r="C721" t="str">
        <f>$C$320</f>
        <v>F0124</v>
      </c>
      <c r="D721" t="str">
        <f>$D$320</f>
        <v>FED_FOR_BANK_LNS_%_TOT_LNS_LEAS</v>
      </c>
      <c r="E721" t="str">
        <f>$E$320</f>
        <v>Dynamic</v>
      </c>
      <c r="F721">
        <f ca="1">_xll.BDH($B$320,$C$320,$B$425,$B$426,CONCATENATE("Per=",$B$423),"Dts=H","Dir=H",CONCATENATE("Points=",$B$424),"Sort=R","Days=A","Fill=B",CONCATENATE("FX=", $B$422),"cols=33;rows=1")</f>
        <v>0</v>
      </c>
      <c r="G721">
        <v>0</v>
      </c>
      <c r="H721">
        <v>0</v>
      </c>
      <c r="I721">
        <v>0</v>
      </c>
      <c r="J721">
        <v>0</v>
      </c>
      <c r="K721">
        <v>1E-4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1.8E-3</v>
      </c>
      <c r="W721">
        <v>1E-4</v>
      </c>
      <c r="X721">
        <v>1.5E-3</v>
      </c>
      <c r="Y721">
        <v>2.64E-2</v>
      </c>
      <c r="Z721">
        <v>7.9000000000000008E-3</v>
      </c>
      <c r="AA721">
        <v>2.3999999999999998E-3</v>
      </c>
      <c r="AB721">
        <v>0</v>
      </c>
      <c r="AC721">
        <v>0</v>
      </c>
      <c r="AM721" t="str">
        <f>""</f>
        <v/>
      </c>
      <c r="AN721" t="str">
        <f>""</f>
        <v/>
      </c>
      <c r="AO721" t="str">
        <f>""</f>
        <v/>
      </c>
      <c r="AP721" t="str">
        <f>""</f>
        <v/>
      </c>
      <c r="AQ721" t="str">
        <f>""</f>
        <v/>
      </c>
      <c r="AR721" t="str">
        <f>""</f>
        <v/>
      </c>
      <c r="AS721" t="str">
        <f>""</f>
        <v/>
      </c>
      <c r="AT721" t="str">
        <f>""</f>
        <v/>
      </c>
      <c r="AU721" t="str">
        <f>""</f>
        <v/>
      </c>
      <c r="AV721" t="str">
        <f>""</f>
        <v/>
      </c>
      <c r="AW721" t="str">
        <f>""</f>
        <v/>
      </c>
      <c r="AX721" t="str">
        <f>""</f>
        <v/>
      </c>
      <c r="AY721" t="str">
        <f>""</f>
        <v/>
      </c>
      <c r="AZ721" t="str">
        <f>""</f>
        <v/>
      </c>
      <c r="BA721" t="str">
        <f>""</f>
        <v/>
      </c>
      <c r="BB721" t="str">
        <f>""</f>
        <v/>
      </c>
      <c r="BC721" t="str">
        <f>""</f>
        <v/>
      </c>
      <c r="BD721" t="str">
        <f>""</f>
        <v/>
      </c>
      <c r="BE721" t="str">
        <f>""</f>
        <v/>
      </c>
      <c r="BF721" t="str">
        <f>""</f>
        <v/>
      </c>
      <c r="BG721" t="str">
        <f>""</f>
        <v/>
      </c>
      <c r="BH721" t="str">
        <f>""</f>
        <v/>
      </c>
      <c r="BI721" t="str">
        <f>""</f>
        <v/>
      </c>
      <c r="BJ721" t="str">
        <f>""</f>
        <v/>
      </c>
      <c r="BK721" t="str">
        <f>""</f>
        <v/>
      </c>
      <c r="BL721" t="str">
        <f>""</f>
        <v/>
      </c>
      <c r="BM721" t="str">
        <f>""</f>
        <v/>
      </c>
      <c r="BN721" t="str">
        <f>""</f>
        <v/>
      </c>
      <c r="BO721" t="str">
        <f>""</f>
        <v/>
      </c>
      <c r="BP721" t="str">
        <f>""</f>
        <v/>
      </c>
      <c r="BQ721" t="str">
        <f>""</f>
        <v/>
      </c>
      <c r="BR721" t="str">
        <f>""</f>
        <v/>
      </c>
      <c r="BS721" t="str">
        <f>""</f>
        <v/>
      </c>
    </row>
    <row r="722" spans="1:71" x14ac:dyDescent="0.25">
      <c r="A722" t="str">
        <f>$A$321</f>
        <v xml:space="preserve">        PNC Financial Services Group I</v>
      </c>
      <c r="B722" t="str">
        <f>$B$321</f>
        <v>PNC US Equity</v>
      </c>
      <c r="C722" t="str">
        <f>$C$321</f>
        <v>F0124</v>
      </c>
      <c r="D722" t="str">
        <f>$D$321</f>
        <v>FED_FOR_BANK_LNS_%_TOT_LNS_LEAS</v>
      </c>
      <c r="E722" t="str">
        <f>$E$321</f>
        <v>Dynamic</v>
      </c>
      <c r="F722">
        <f ca="1">_xll.BDH($B$321,$C$321,$B$425,$B$426,CONCATENATE("Per=",$B$423),"Dts=H","Dir=H",CONCATENATE("Points=",$B$424),"Sort=R","Days=A","Fill=B",CONCATENATE("FX=", $B$422),"cols=33;rows=1")</f>
        <v>2.2200000000000001E-2</v>
      </c>
      <c r="G722">
        <v>2.8899999999999999E-2</v>
      </c>
      <c r="H722">
        <v>5.1799999999999999E-2</v>
      </c>
      <c r="I722">
        <v>1.04E-2</v>
      </c>
      <c r="J722">
        <v>6.4000000000000003E-3</v>
      </c>
      <c r="K722">
        <v>6.9999999999999999E-4</v>
      </c>
      <c r="L722">
        <v>5.0000000000000001E-3</v>
      </c>
      <c r="M722">
        <v>2.41E-2</v>
      </c>
      <c r="N722">
        <v>2.6499999999999999E-2</v>
      </c>
      <c r="O722">
        <v>3.2099999999999997E-2</v>
      </c>
      <c r="P722">
        <v>5.0599999999999999E-2</v>
      </c>
      <c r="Q722">
        <v>3.2899999999999999E-2</v>
      </c>
      <c r="R722">
        <v>4.2799999999999998E-2</v>
      </c>
      <c r="S722">
        <v>8.3099999999999993E-2</v>
      </c>
      <c r="T722">
        <v>9.2399999999999996E-2</v>
      </c>
      <c r="U722">
        <v>0.16850000000000001</v>
      </c>
      <c r="V722">
        <v>0.48139999999999999</v>
      </c>
      <c r="W722">
        <v>5.5999999999999999E-3</v>
      </c>
      <c r="X722">
        <v>1.09E-2</v>
      </c>
      <c r="Y722">
        <v>5.9999999999999995E-4</v>
      </c>
      <c r="Z722">
        <v>1.5E-3</v>
      </c>
      <c r="AA722">
        <v>1.6000000000000001E-3</v>
      </c>
      <c r="AB722">
        <v>9.3899999999999997E-2</v>
      </c>
      <c r="AC722">
        <v>1.8599999999999998E-2</v>
      </c>
      <c r="AM722" t="str">
        <f>""</f>
        <v/>
      </c>
      <c r="AN722" t="str">
        <f>""</f>
        <v/>
      </c>
      <c r="AO722" t="str">
        <f>""</f>
        <v/>
      </c>
      <c r="AP722" t="str">
        <f>""</f>
        <v/>
      </c>
      <c r="AQ722" t="str">
        <f>""</f>
        <v/>
      </c>
      <c r="AR722" t="str">
        <f>""</f>
        <v/>
      </c>
      <c r="AS722" t="str">
        <f>""</f>
        <v/>
      </c>
      <c r="AT722" t="str">
        <f>""</f>
        <v/>
      </c>
      <c r="AU722" t="str">
        <f>""</f>
        <v/>
      </c>
      <c r="AV722" t="str">
        <f>""</f>
        <v/>
      </c>
      <c r="AW722" t="str">
        <f>""</f>
        <v/>
      </c>
      <c r="AX722" t="str">
        <f>""</f>
        <v/>
      </c>
      <c r="AY722" t="str">
        <f>""</f>
        <v/>
      </c>
      <c r="AZ722" t="str">
        <f>""</f>
        <v/>
      </c>
      <c r="BA722" t="str">
        <f>""</f>
        <v/>
      </c>
      <c r="BB722" t="str">
        <f>""</f>
        <v/>
      </c>
      <c r="BC722" t="str">
        <f>""</f>
        <v/>
      </c>
      <c r="BD722" t="str">
        <f>""</f>
        <v/>
      </c>
      <c r="BE722" t="str">
        <f>""</f>
        <v/>
      </c>
      <c r="BF722" t="str">
        <f>""</f>
        <v/>
      </c>
      <c r="BG722" t="str">
        <f>""</f>
        <v/>
      </c>
      <c r="BH722" t="str">
        <f>""</f>
        <v/>
      </c>
      <c r="BI722" t="str">
        <f>""</f>
        <v/>
      </c>
      <c r="BJ722" t="str">
        <f>""</f>
        <v/>
      </c>
      <c r="BK722" t="str">
        <f>""</f>
        <v/>
      </c>
      <c r="BL722" t="str">
        <f>""</f>
        <v/>
      </c>
      <c r="BM722" t="str">
        <f>""</f>
        <v/>
      </c>
      <c r="BN722" t="str">
        <f>""</f>
        <v/>
      </c>
      <c r="BO722" t="str">
        <f>""</f>
        <v/>
      </c>
      <c r="BP722" t="str">
        <f>""</f>
        <v/>
      </c>
      <c r="BQ722" t="str">
        <f>""</f>
        <v/>
      </c>
      <c r="BR722" t="str">
        <f>""</f>
        <v/>
      </c>
      <c r="BS722" t="str">
        <f>""</f>
        <v/>
      </c>
    </row>
    <row r="723" spans="1:71" x14ac:dyDescent="0.25">
      <c r="A723" t="str">
        <f>$A$322</f>
        <v xml:space="preserve">        Regions Financial Corp</v>
      </c>
      <c r="B723" t="str">
        <f>$B$322</f>
        <v>RF US Equity</v>
      </c>
      <c r="C723" t="str">
        <f>$C$322</f>
        <v>F0124</v>
      </c>
      <c r="D723" t="str">
        <f>$D$322</f>
        <v>FED_FOR_BANK_LNS_%_TOT_LNS_LEAS</v>
      </c>
      <c r="E723" t="str">
        <f>$E$322</f>
        <v>Dynamic</v>
      </c>
      <c r="F723">
        <f ca="1">_xll.BDH($B$322,$C$322,$B$425,$B$426,CONCATENATE("Per=",$B$423),"Dts=H","Dir=H",CONCATENATE("Points=",$B$424),"Sort=R","Days=A","Fill=B",CONCATENATE("FX=", $B$422),"cols=33;rows=1")</f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2.3999999999999998E-3</v>
      </c>
      <c r="U723">
        <v>4.3E-3</v>
      </c>
      <c r="V723">
        <v>6.1000000000000004E-3</v>
      </c>
      <c r="W723">
        <v>2.75E-2</v>
      </c>
      <c r="X723">
        <v>0.41720000000000002</v>
      </c>
      <c r="Y723">
        <v>0.60470000000000002</v>
      </c>
      <c r="Z723">
        <v>0.55149999999999999</v>
      </c>
      <c r="AM723" t="str">
        <f>""</f>
        <v/>
      </c>
      <c r="AN723" t="str">
        <f>""</f>
        <v/>
      </c>
      <c r="AO723" t="str">
        <f>""</f>
        <v/>
      </c>
      <c r="AP723" t="str">
        <f>""</f>
        <v/>
      </c>
      <c r="AQ723" t="str">
        <f>""</f>
        <v/>
      </c>
      <c r="AR723" t="str">
        <f>""</f>
        <v/>
      </c>
      <c r="AS723" t="str">
        <f>""</f>
        <v/>
      </c>
      <c r="AT723" t="str">
        <f>""</f>
        <v/>
      </c>
      <c r="AU723" t="str">
        <f>""</f>
        <v/>
      </c>
      <c r="AV723" t="str">
        <f>""</f>
        <v/>
      </c>
      <c r="AW723" t="str">
        <f>""</f>
        <v/>
      </c>
      <c r="AX723" t="str">
        <f>""</f>
        <v/>
      </c>
      <c r="AY723" t="str">
        <f>""</f>
        <v/>
      </c>
      <c r="AZ723" t="str">
        <f>""</f>
        <v/>
      </c>
      <c r="BA723" t="str">
        <f>""</f>
        <v/>
      </c>
      <c r="BB723" t="str">
        <f>""</f>
        <v/>
      </c>
      <c r="BC723" t="str">
        <f>""</f>
        <v/>
      </c>
      <c r="BD723" t="str">
        <f>""</f>
        <v/>
      </c>
      <c r="BE723" t="str">
        <f>""</f>
        <v/>
      </c>
      <c r="BF723" t="str">
        <f>""</f>
        <v/>
      </c>
      <c r="BG723" t="str">
        <f>""</f>
        <v/>
      </c>
      <c r="BH723" t="str">
        <f>""</f>
        <v/>
      </c>
      <c r="BI723" t="str">
        <f>""</f>
        <v/>
      </c>
      <c r="BJ723" t="str">
        <f>""</f>
        <v/>
      </c>
      <c r="BK723" t="str">
        <f>""</f>
        <v/>
      </c>
      <c r="BL723" t="str">
        <f>""</f>
        <v/>
      </c>
      <c r="BM723" t="str">
        <f>""</f>
        <v/>
      </c>
      <c r="BN723" t="str">
        <f>""</f>
        <v/>
      </c>
      <c r="BO723" t="str">
        <f>""</f>
        <v/>
      </c>
      <c r="BP723" t="str">
        <f>""</f>
        <v/>
      </c>
      <c r="BQ723" t="str">
        <f>""</f>
        <v/>
      </c>
      <c r="BR723" t="str">
        <f>""</f>
        <v/>
      </c>
      <c r="BS723" t="str">
        <f>""</f>
        <v/>
      </c>
    </row>
    <row r="724" spans="1:71" x14ac:dyDescent="0.25">
      <c r="A724" t="str">
        <f>$A$323</f>
        <v xml:space="preserve">        Truist Financial Corp</v>
      </c>
      <c r="B724" t="str">
        <f>$B$323</f>
        <v>TFC US Equity</v>
      </c>
      <c r="C724" t="str">
        <f>$C$323</f>
        <v>F0124</v>
      </c>
      <c r="D724" t="str">
        <f>$D$323</f>
        <v>FED_FOR_BANK_LNS_%_TOT_LNS_LEAS</v>
      </c>
      <c r="E724" t="str">
        <f>$E$323</f>
        <v>Dynamic</v>
      </c>
      <c r="F724">
        <f ca="1">_xll.BDH($B$323,$C$323,$B$425,$B$426,CONCATENATE("Per=",$B$423),"Dts=H","Dir=H",CONCATENATE("Points=",$B$424),"Sort=R","Days=A","Fill=B",CONCATENATE("FX=", $B$422),"cols=33;rows=1")</f>
        <v>0</v>
      </c>
      <c r="G724">
        <v>0</v>
      </c>
      <c r="H724">
        <v>0</v>
      </c>
      <c r="I724">
        <v>0</v>
      </c>
      <c r="J724">
        <v>0</v>
      </c>
      <c r="K724">
        <v>5.9999999999999995E-4</v>
      </c>
      <c r="L724">
        <v>0</v>
      </c>
      <c r="M724">
        <v>0</v>
      </c>
      <c r="N724">
        <v>1.2999999999999999E-3</v>
      </c>
      <c r="O724">
        <v>7.3800000000000004E-2</v>
      </c>
      <c r="P724">
        <v>0.1167</v>
      </c>
      <c r="Q724">
        <v>0.11020000000000001</v>
      </c>
      <c r="R724">
        <v>6.1000000000000004E-3</v>
      </c>
      <c r="S724">
        <v>0.2167</v>
      </c>
      <c r="T724">
        <v>0.2286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3.8999999999999998E-3</v>
      </c>
      <c r="AC724">
        <v>5.9999999999999995E-4</v>
      </c>
      <c r="AM724" t="str">
        <f>""</f>
        <v/>
      </c>
      <c r="AN724" t="str">
        <f>""</f>
        <v/>
      </c>
      <c r="AO724" t="str">
        <f>""</f>
        <v/>
      </c>
      <c r="AP724" t="str">
        <f>""</f>
        <v/>
      </c>
      <c r="AQ724" t="str">
        <f>""</f>
        <v/>
      </c>
      <c r="AR724" t="str">
        <f>""</f>
        <v/>
      </c>
      <c r="AS724" t="str">
        <f>""</f>
        <v/>
      </c>
      <c r="AT724" t="str">
        <f>""</f>
        <v/>
      </c>
      <c r="AU724" t="str">
        <f>""</f>
        <v/>
      </c>
      <c r="AV724" t="str">
        <f>""</f>
        <v/>
      </c>
      <c r="AW724" t="str">
        <f>""</f>
        <v/>
      </c>
      <c r="AX724" t="str">
        <f>""</f>
        <v/>
      </c>
      <c r="AY724" t="str">
        <f>""</f>
        <v/>
      </c>
      <c r="AZ724" t="str">
        <f>""</f>
        <v/>
      </c>
      <c r="BA724" t="str">
        <f>""</f>
        <v/>
      </c>
      <c r="BB724" t="str">
        <f>""</f>
        <v/>
      </c>
      <c r="BC724" t="str">
        <f>""</f>
        <v/>
      </c>
      <c r="BD724" t="str">
        <f>""</f>
        <v/>
      </c>
      <c r="BE724" t="str">
        <f>""</f>
        <v/>
      </c>
      <c r="BF724" t="str">
        <f>""</f>
        <v/>
      </c>
      <c r="BG724" t="str">
        <f>""</f>
        <v/>
      </c>
      <c r="BH724" t="str">
        <f>""</f>
        <v/>
      </c>
      <c r="BI724" t="str">
        <f>""</f>
        <v/>
      </c>
      <c r="BJ724" t="str">
        <f>""</f>
        <v/>
      </c>
      <c r="BK724" t="str">
        <f>""</f>
        <v/>
      </c>
      <c r="BL724" t="str">
        <f>""</f>
        <v/>
      </c>
      <c r="BM724" t="str">
        <f>""</f>
        <v/>
      </c>
      <c r="BN724" t="str">
        <f>""</f>
        <v/>
      </c>
      <c r="BO724" t="str">
        <f>""</f>
        <v/>
      </c>
      <c r="BP724" t="str">
        <f>""</f>
        <v/>
      </c>
      <c r="BQ724" t="str">
        <f>""</f>
        <v/>
      </c>
      <c r="BR724" t="str">
        <f>""</f>
        <v/>
      </c>
      <c r="BS724" t="str">
        <f>""</f>
        <v/>
      </c>
    </row>
    <row r="725" spans="1:71" x14ac:dyDescent="0.25">
      <c r="A725" t="str">
        <f>$A$324</f>
        <v xml:space="preserve">        US Bancorp</v>
      </c>
      <c r="B725" t="str">
        <f>$B$324</f>
        <v>USB US Equity</v>
      </c>
      <c r="C725" t="str">
        <f>$C$324</f>
        <v>F0124</v>
      </c>
      <c r="D725" t="str">
        <f>$D$324</f>
        <v>FED_FOR_BANK_LNS_%_TOT_LNS_LEAS</v>
      </c>
      <c r="E725" t="str">
        <f>$E$324</f>
        <v>Dynamic</v>
      </c>
      <c r="F725">
        <f ca="1">_xll.BDH($B$324,$C$324,$B$425,$B$426,CONCATENATE("Per=",$B$423),"Dts=H","Dir=H",CONCATENATE("Points=",$B$424),"Sort=R","Days=A","Fill=B",CONCATENATE("FX=", $B$422),"cols=33;rows=1")</f>
        <v>9.8799999999999999E-2</v>
      </c>
      <c r="G725">
        <v>6.9400000000000003E-2</v>
      </c>
      <c r="H725">
        <v>1.77E-2</v>
      </c>
      <c r="I725">
        <v>5.3E-3</v>
      </c>
      <c r="J725">
        <v>1.04E-2</v>
      </c>
      <c r="K725">
        <v>6.3E-3</v>
      </c>
      <c r="L725">
        <v>7.3000000000000001E-3</v>
      </c>
      <c r="M725">
        <v>2.0999999999999999E-3</v>
      </c>
      <c r="N725">
        <v>1.2999999999999999E-2</v>
      </c>
      <c r="O725">
        <v>1.03E-2</v>
      </c>
      <c r="P725">
        <v>1.3100000000000001E-2</v>
      </c>
      <c r="Q725">
        <v>1.8599999999999998E-2</v>
      </c>
      <c r="R725">
        <v>2.3900000000000001E-2</v>
      </c>
      <c r="S725">
        <v>5.4600000000000003E-2</v>
      </c>
      <c r="T725">
        <v>2.5000000000000001E-3</v>
      </c>
      <c r="U725">
        <v>1.5E-3</v>
      </c>
      <c r="V725">
        <v>5.0999999999999997E-2</v>
      </c>
      <c r="W725">
        <v>9.5799999999999996E-2</v>
      </c>
      <c r="X725">
        <v>5.45E-2</v>
      </c>
      <c r="Y725">
        <v>4.3700000000000003E-2</v>
      </c>
      <c r="Z725">
        <v>5.3199999999999997E-2</v>
      </c>
      <c r="AA725">
        <v>6.1800000000000001E-2</v>
      </c>
      <c r="AB725">
        <v>7.9699999999999993E-2</v>
      </c>
      <c r="AC725">
        <v>0.1749</v>
      </c>
      <c r="AM725" t="str">
        <f>""</f>
        <v/>
      </c>
      <c r="AN725" t="str">
        <f>""</f>
        <v/>
      </c>
      <c r="AO725" t="str">
        <f>""</f>
        <v/>
      </c>
      <c r="AP725" t="str">
        <f>""</f>
        <v/>
      </c>
      <c r="AQ725" t="str">
        <f>""</f>
        <v/>
      </c>
      <c r="AR725" t="str">
        <f>""</f>
        <v/>
      </c>
      <c r="AS725" t="str">
        <f>""</f>
        <v/>
      </c>
      <c r="AT725" t="str">
        <f>""</f>
        <v/>
      </c>
      <c r="AU725" t="str">
        <f>""</f>
        <v/>
      </c>
      <c r="AV725" t="str">
        <f>""</f>
        <v/>
      </c>
      <c r="AW725" t="str">
        <f>""</f>
        <v/>
      </c>
      <c r="AX725" t="str">
        <f>""</f>
        <v/>
      </c>
      <c r="AY725" t="str">
        <f>""</f>
        <v/>
      </c>
      <c r="AZ725" t="str">
        <f>""</f>
        <v/>
      </c>
      <c r="BA725" t="str">
        <f>""</f>
        <v/>
      </c>
      <c r="BB725" t="str">
        <f>""</f>
        <v/>
      </c>
      <c r="BC725" t="str">
        <f>""</f>
        <v/>
      </c>
      <c r="BD725" t="str">
        <f>""</f>
        <v/>
      </c>
      <c r="BE725" t="str">
        <f>""</f>
        <v/>
      </c>
      <c r="BF725" t="str">
        <f>""</f>
        <v/>
      </c>
      <c r="BG725" t="str">
        <f>""</f>
        <v/>
      </c>
      <c r="BH725" t="str">
        <f>""</f>
        <v/>
      </c>
      <c r="BI725" t="str">
        <f>""</f>
        <v/>
      </c>
      <c r="BJ725" t="str">
        <f>""</f>
        <v/>
      </c>
      <c r="BK725" t="str">
        <f>""</f>
        <v/>
      </c>
      <c r="BL725" t="str">
        <f>""</f>
        <v/>
      </c>
      <c r="BM725" t="str">
        <f>""</f>
        <v/>
      </c>
      <c r="BN725" t="str">
        <f>""</f>
        <v/>
      </c>
      <c r="BO725" t="str">
        <f>""</f>
        <v/>
      </c>
      <c r="BP725" t="str">
        <f>""</f>
        <v/>
      </c>
      <c r="BQ725" t="str">
        <f>""</f>
        <v/>
      </c>
      <c r="BR725" t="str">
        <f>""</f>
        <v/>
      </c>
      <c r="BS725" t="str">
        <f>""</f>
        <v/>
      </c>
    </row>
    <row r="726" spans="1:71" x14ac:dyDescent="0.25">
      <c r="A726" t="str">
        <f>$A$325</f>
        <v xml:space="preserve">        Wells Fargo &amp; Co</v>
      </c>
      <c r="B726" t="str">
        <f>$B$325</f>
        <v>WFC US Equity</v>
      </c>
      <c r="C726" t="str">
        <f>$C$325</f>
        <v>F0124</v>
      </c>
      <c r="D726" t="str">
        <f>$D$325</f>
        <v>FED_FOR_BANK_LNS_%_TOT_LNS_LEAS</v>
      </c>
      <c r="E726" t="str">
        <f>$E$325</f>
        <v>Dynamic</v>
      </c>
      <c r="F726">
        <f ca="1">_xll.BDH($B$325,$C$325,$B$425,$B$426,CONCATENATE("Per=",$B$423),"Dts=H","Dir=H",CONCATENATE("Points=",$B$424),"Sort=R","Days=A","Fill=B",CONCATENATE("FX=", $B$422),"cols=33;rows=1")</f>
        <v>0.80359999999999998</v>
      </c>
      <c r="G726">
        <v>1.2170000000000001</v>
      </c>
      <c r="H726">
        <v>1.4644999999999999</v>
      </c>
      <c r="I726">
        <v>1.7413000000000001</v>
      </c>
      <c r="J726">
        <v>1.3511</v>
      </c>
      <c r="K726">
        <v>2.0182000000000002</v>
      </c>
      <c r="L726">
        <v>1.6483000000000001</v>
      </c>
      <c r="M726">
        <v>1.6880999999999999</v>
      </c>
      <c r="N726">
        <v>1.7385999999999999</v>
      </c>
      <c r="O726">
        <v>1.9363999999999999</v>
      </c>
      <c r="P726">
        <v>1.8551</v>
      </c>
      <c r="Q726">
        <v>2.3797000000000001</v>
      </c>
      <c r="R726">
        <v>1.8312999999999999</v>
      </c>
      <c r="S726">
        <v>2.5716000000000001</v>
      </c>
      <c r="T726">
        <v>1.7112000000000001</v>
      </c>
      <c r="U726">
        <v>1.0233000000000001</v>
      </c>
      <c r="V726">
        <v>1.2363999999999999</v>
      </c>
      <c r="W726">
        <v>0.11849999999999999</v>
      </c>
      <c r="X726">
        <v>0.44490000000000002</v>
      </c>
      <c r="Y726">
        <v>0.19800000000000001</v>
      </c>
      <c r="Z726">
        <v>0.2147</v>
      </c>
      <c r="AA726">
        <v>7.0099999999999996E-2</v>
      </c>
      <c r="AB726">
        <v>7.51E-2</v>
      </c>
      <c r="AC726">
        <v>2.9399999999999999E-2</v>
      </c>
      <c r="AM726" t="str">
        <f>""</f>
        <v/>
      </c>
      <c r="AN726" t="str">
        <f>""</f>
        <v/>
      </c>
      <c r="AO726" t="str">
        <f>""</f>
        <v/>
      </c>
      <c r="AP726" t="str">
        <f>""</f>
        <v/>
      </c>
      <c r="AQ726" t="str">
        <f>""</f>
        <v/>
      </c>
      <c r="AR726" t="str">
        <f>""</f>
        <v/>
      </c>
      <c r="AS726" t="str">
        <f>""</f>
        <v/>
      </c>
      <c r="AT726" t="str">
        <f>""</f>
        <v/>
      </c>
      <c r="AU726" t="str">
        <f>""</f>
        <v/>
      </c>
      <c r="AV726" t="str">
        <f>""</f>
        <v/>
      </c>
      <c r="AW726" t="str">
        <f>""</f>
        <v/>
      </c>
      <c r="AX726" t="str">
        <f>""</f>
        <v/>
      </c>
      <c r="AY726" t="str">
        <f>""</f>
        <v/>
      </c>
      <c r="AZ726" t="str">
        <f>""</f>
        <v/>
      </c>
      <c r="BA726" t="str">
        <f>""</f>
        <v/>
      </c>
      <c r="BB726" t="str">
        <f>""</f>
        <v/>
      </c>
      <c r="BC726" t="str">
        <f>""</f>
        <v/>
      </c>
      <c r="BD726" t="str">
        <f>""</f>
        <v/>
      </c>
      <c r="BE726" t="str">
        <f>""</f>
        <v/>
      </c>
      <c r="BF726" t="str">
        <f>""</f>
        <v/>
      </c>
      <c r="BG726" t="str">
        <f>""</f>
        <v/>
      </c>
      <c r="BH726" t="str">
        <f>""</f>
        <v/>
      </c>
      <c r="BI726" t="str">
        <f>""</f>
        <v/>
      </c>
      <c r="BJ726" t="str">
        <f>""</f>
        <v/>
      </c>
      <c r="BK726" t="str">
        <f>""</f>
        <v/>
      </c>
      <c r="BL726" t="str">
        <f>""</f>
        <v/>
      </c>
      <c r="BM726" t="str">
        <f>""</f>
        <v/>
      </c>
      <c r="BN726" t="str">
        <f>""</f>
        <v/>
      </c>
      <c r="BO726" t="str">
        <f>""</f>
        <v/>
      </c>
      <c r="BP726" t="str">
        <f>""</f>
        <v/>
      </c>
      <c r="BQ726" t="str">
        <f>""</f>
        <v/>
      </c>
      <c r="BR726" t="str">
        <f>""</f>
        <v/>
      </c>
      <c r="BS726" t="str">
        <f>""</f>
        <v/>
      </c>
    </row>
    <row r="727" spans="1:71" x14ac:dyDescent="0.25">
      <c r="A727" t="str">
        <f>$A$326</f>
        <v xml:space="preserve">        Western Alliance Bancorp</v>
      </c>
      <c r="B727" t="str">
        <f>$B$326</f>
        <v>WAL US Equity</v>
      </c>
      <c r="C727" t="str">
        <f>$C$326</f>
        <v>F0124</v>
      </c>
      <c r="D727" t="str">
        <f>$D$326</f>
        <v>FED_FOR_BANK_LNS_%_TOT_LNS_LEAS</v>
      </c>
      <c r="E727" t="str">
        <f>$E$326</f>
        <v>Dynamic</v>
      </c>
      <c r="F727">
        <f ca="1">_xll.BDH($B$326,$C$326,$B$425,$B$426,CONCATENATE("Per=",$B$423),"Dts=H","Dir=H",CONCATENATE("Points=",$B$424),"Sort=R","Days=A","Fill=B",CONCATENATE("FX=", $B$422),"cols=33;rows=1")</f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M727" t="str">
        <f>""</f>
        <v/>
      </c>
      <c r="AN727" t="str">
        <f>""</f>
        <v/>
      </c>
      <c r="AO727" t="str">
        <f>""</f>
        <v/>
      </c>
      <c r="AP727" t="str">
        <f>""</f>
        <v/>
      </c>
      <c r="AQ727" t="str">
        <f>""</f>
        <v/>
      </c>
      <c r="AR727" t="str">
        <f>""</f>
        <v/>
      </c>
      <c r="AS727" t="str">
        <f>""</f>
        <v/>
      </c>
      <c r="AT727" t="str">
        <f>""</f>
        <v/>
      </c>
      <c r="AU727" t="str">
        <f>""</f>
        <v/>
      </c>
      <c r="AV727" t="str">
        <f>""</f>
        <v/>
      </c>
      <c r="AW727" t="str">
        <f>""</f>
        <v/>
      </c>
      <c r="AX727" t="str">
        <f>""</f>
        <v/>
      </c>
      <c r="AY727" t="str">
        <f>""</f>
        <v/>
      </c>
      <c r="AZ727" t="str">
        <f>""</f>
        <v/>
      </c>
      <c r="BA727" t="str">
        <f>""</f>
        <v/>
      </c>
      <c r="BB727" t="str">
        <f>""</f>
        <v/>
      </c>
      <c r="BC727" t="str">
        <f>""</f>
        <v/>
      </c>
      <c r="BD727" t="str">
        <f>""</f>
        <v/>
      </c>
      <c r="BE727" t="str">
        <f>""</f>
        <v/>
      </c>
      <c r="BF727" t="str">
        <f>""</f>
        <v/>
      </c>
      <c r="BG727" t="str">
        <f>""</f>
        <v/>
      </c>
      <c r="BH727" t="str">
        <f>""</f>
        <v/>
      </c>
      <c r="BI727" t="str">
        <f>""</f>
        <v/>
      </c>
      <c r="BJ727" t="str">
        <f>""</f>
        <v/>
      </c>
      <c r="BK727" t="str">
        <f>""</f>
        <v/>
      </c>
      <c r="BL727" t="str">
        <f>""</f>
        <v/>
      </c>
      <c r="BM727" t="str">
        <f>""</f>
        <v/>
      </c>
      <c r="BN727" t="str">
        <f>""</f>
        <v/>
      </c>
      <c r="BO727" t="str">
        <f>""</f>
        <v/>
      </c>
      <c r="BP727" t="str">
        <f>""</f>
        <v/>
      </c>
      <c r="BQ727" t="str">
        <f>""</f>
        <v/>
      </c>
      <c r="BR727" t="str">
        <f>""</f>
        <v/>
      </c>
      <c r="BS727" t="str">
        <f>""</f>
        <v/>
      </c>
    </row>
    <row r="728" spans="1:71" x14ac:dyDescent="0.25">
      <c r="A728" t="str">
        <f>$A$327</f>
        <v xml:space="preserve">        Zions Bancorp NA</v>
      </c>
      <c r="B728" t="str">
        <f>$B$327</f>
        <v>ZION US Equity</v>
      </c>
      <c r="C728" t="str">
        <f>$C$327</f>
        <v>F0124</v>
      </c>
      <c r="D728" t="str">
        <f>$D$327</f>
        <v>FED_FOR_BANK_LNS_%_TOT_LNS_LEAS</v>
      </c>
      <c r="E728" t="str">
        <f>$E$327</f>
        <v>Dynamic</v>
      </c>
      <c r="F728" t="str">
        <f ca="1">_xll.BDH($B$327,$C$327,$B$425,$B$426,CONCATENATE("Per=",$B$423),"Dts=H","Dir=H",CONCATENATE("Points=",$B$424),"Sort=R","Days=A","Fill=B",CONCATENATE("FX=", $B$422) )</f>
        <v/>
      </c>
      <c r="AM728" t="str">
        <f>""</f>
        <v/>
      </c>
      <c r="AN728" t="str">
        <f>""</f>
        <v/>
      </c>
      <c r="AO728" t="str">
        <f>""</f>
        <v/>
      </c>
      <c r="AP728" t="str">
        <f>""</f>
        <v/>
      </c>
      <c r="AQ728" t="str">
        <f>""</f>
        <v/>
      </c>
      <c r="AR728" t="str">
        <f>""</f>
        <v/>
      </c>
      <c r="AS728" t="str">
        <f>""</f>
        <v/>
      </c>
      <c r="AT728" t="str">
        <f>""</f>
        <v/>
      </c>
      <c r="AU728" t="str">
        <f>""</f>
        <v/>
      </c>
      <c r="AV728" t="str">
        <f>""</f>
        <v/>
      </c>
      <c r="AW728" t="str">
        <f>""</f>
        <v/>
      </c>
      <c r="AX728" t="str">
        <f>""</f>
        <v/>
      </c>
      <c r="AY728" t="str">
        <f>""</f>
        <v/>
      </c>
      <c r="AZ728" t="str">
        <f>""</f>
        <v/>
      </c>
      <c r="BA728" t="str">
        <f>""</f>
        <v/>
      </c>
      <c r="BB728" t="str">
        <f>""</f>
        <v/>
      </c>
      <c r="BC728" t="str">
        <f>""</f>
        <v/>
      </c>
      <c r="BD728" t="str">
        <f>""</f>
        <v/>
      </c>
      <c r="BE728" t="str">
        <f>""</f>
        <v/>
      </c>
      <c r="BF728" t="str">
        <f>""</f>
        <v/>
      </c>
      <c r="BG728" t="str">
        <f>""</f>
        <v/>
      </c>
      <c r="BH728" t="str">
        <f>""</f>
        <v/>
      </c>
      <c r="BI728" t="str">
        <f>""</f>
        <v/>
      </c>
      <c r="BJ728" t="str">
        <f>""</f>
        <v/>
      </c>
      <c r="BK728" t="str">
        <f>""</f>
        <v/>
      </c>
      <c r="BL728" t="str">
        <f>""</f>
        <v/>
      </c>
      <c r="BM728" t="str">
        <f>""</f>
        <v/>
      </c>
      <c r="BN728" t="str">
        <f>""</f>
        <v/>
      </c>
      <c r="BO728" t="str">
        <f>""</f>
        <v/>
      </c>
      <c r="BP728" t="str">
        <f>""</f>
        <v/>
      </c>
      <c r="BQ728" t="str">
        <f>""</f>
        <v/>
      </c>
      <c r="BR728" t="str">
        <f>""</f>
        <v/>
      </c>
      <c r="BS728" t="str">
        <f>""</f>
        <v/>
      </c>
    </row>
    <row r="729" spans="1:71" x14ac:dyDescent="0.25">
      <c r="A729" t="str">
        <f>$A$329</f>
        <v xml:space="preserve">        Bank of America Corp</v>
      </c>
      <c r="B729" t="str">
        <f>$B$329</f>
        <v>BAC US Equity</v>
      </c>
      <c r="C729" t="str">
        <f>$C$329</f>
        <v>F0125</v>
      </c>
      <c r="D729" t="str">
        <f>$D$329</f>
        <v>FED_US_BANK_LOANS_%_TOT_LNS_LEAS</v>
      </c>
      <c r="E729" t="str">
        <f>$E$329</f>
        <v>Dynamic</v>
      </c>
      <c r="F729">
        <f ca="1">_xll.BDH($B$329,$C$329,$B$425,$B$426,CONCATENATE("Per=",$B$423),"Dts=H","Dir=H",CONCATENATE("Points=",$B$424),"Sort=R","Days=A","Fill=B",CONCATENATE("FX=", $B$422),"cols=33;rows=1")</f>
        <v>1.3100000000000001E-2</v>
      </c>
      <c r="G729">
        <v>4.1000000000000003E-3</v>
      </c>
      <c r="H729">
        <v>5.0000000000000001E-3</v>
      </c>
      <c r="I729">
        <v>5.1000000000000004E-3</v>
      </c>
      <c r="J729">
        <v>3.5999999999999999E-3</v>
      </c>
      <c r="K729">
        <v>1.9599999999999999E-2</v>
      </c>
      <c r="L729">
        <v>2.0199999999999999E-2</v>
      </c>
      <c r="M729">
        <v>7.1999999999999998E-3</v>
      </c>
      <c r="N729">
        <v>7.6E-3</v>
      </c>
      <c r="O729">
        <v>1.04E-2</v>
      </c>
      <c r="P729">
        <v>8.6999999999999994E-3</v>
      </c>
      <c r="Q729">
        <v>2.5100000000000001E-2</v>
      </c>
      <c r="R729">
        <v>1.7999999999999999E-2</v>
      </c>
      <c r="S729">
        <v>1.8100000000000002E-2</v>
      </c>
      <c r="T729">
        <v>2.5999999999999999E-2</v>
      </c>
      <c r="U729">
        <v>2.75E-2</v>
      </c>
      <c r="V729">
        <v>3.7400000000000003E-2</v>
      </c>
      <c r="W729">
        <v>1.37E-2</v>
      </c>
      <c r="X729">
        <v>7.6E-3</v>
      </c>
      <c r="Y729">
        <v>1.38E-2</v>
      </c>
      <c r="Z729">
        <v>1.29E-2</v>
      </c>
      <c r="AA729">
        <v>0.34599999999999997</v>
      </c>
      <c r="AB729">
        <v>0.41930000000000001</v>
      </c>
      <c r="AC729">
        <v>0.66200000000000003</v>
      </c>
      <c r="AM729" t="str">
        <f>""</f>
        <v/>
      </c>
      <c r="AN729" t="str">
        <f>""</f>
        <v/>
      </c>
      <c r="AO729" t="str">
        <f>""</f>
        <v/>
      </c>
      <c r="AP729" t="str">
        <f>""</f>
        <v/>
      </c>
      <c r="AQ729" t="str">
        <f>""</f>
        <v/>
      </c>
      <c r="AR729" t="str">
        <f>""</f>
        <v/>
      </c>
      <c r="AS729" t="str">
        <f>""</f>
        <v/>
      </c>
      <c r="AT729" t="str">
        <f>""</f>
        <v/>
      </c>
      <c r="AU729" t="str">
        <f>""</f>
        <v/>
      </c>
      <c r="AV729" t="str">
        <f>""</f>
        <v/>
      </c>
      <c r="AW729" t="str">
        <f>""</f>
        <v/>
      </c>
      <c r="AX729" t="str">
        <f>""</f>
        <v/>
      </c>
      <c r="AY729" t="str">
        <f>""</f>
        <v/>
      </c>
      <c r="AZ729" t="str">
        <f>""</f>
        <v/>
      </c>
      <c r="BA729" t="str">
        <f>""</f>
        <v/>
      </c>
      <c r="BB729" t="str">
        <f>""</f>
        <v/>
      </c>
      <c r="BC729" t="str">
        <f>""</f>
        <v/>
      </c>
      <c r="BD729" t="str">
        <f>""</f>
        <v/>
      </c>
      <c r="BE729" t="str">
        <f>""</f>
        <v/>
      </c>
      <c r="BF729" t="str">
        <f>""</f>
        <v/>
      </c>
      <c r="BG729" t="str">
        <f>""</f>
        <v/>
      </c>
      <c r="BH729" t="str">
        <f>""</f>
        <v/>
      </c>
      <c r="BI729" t="str">
        <f>""</f>
        <v/>
      </c>
      <c r="BJ729" t="str">
        <f>""</f>
        <v/>
      </c>
      <c r="BK729" t="str">
        <f>""</f>
        <v/>
      </c>
      <c r="BL729" t="str">
        <f>""</f>
        <v/>
      </c>
      <c r="BM729" t="str">
        <f>""</f>
        <v/>
      </c>
      <c r="BN729" t="str">
        <f>""</f>
        <v/>
      </c>
      <c r="BO729" t="str">
        <f>""</f>
        <v/>
      </c>
      <c r="BP729" t="str">
        <f>""</f>
        <v/>
      </c>
      <c r="BQ729" t="str">
        <f>""</f>
        <v/>
      </c>
      <c r="BR729" t="str">
        <f>""</f>
        <v/>
      </c>
      <c r="BS729" t="str">
        <f>""</f>
        <v/>
      </c>
    </row>
    <row r="730" spans="1:71" x14ac:dyDescent="0.25">
      <c r="A730" t="str">
        <f>$A$330</f>
        <v xml:space="preserve">        Citigroup Inc</v>
      </c>
      <c r="B730" t="str">
        <f>$B$330</f>
        <v>C US Equity</v>
      </c>
      <c r="C730" t="str">
        <f>$C$330</f>
        <v>F0125</v>
      </c>
      <c r="D730" t="str">
        <f>$D$330</f>
        <v>FED_US_BANK_LOANS_%_TOT_LNS_LEAS</v>
      </c>
      <c r="E730" t="str">
        <f>$E$330</f>
        <v>Dynamic</v>
      </c>
      <c r="F730">
        <f ca="1">_xll.BDH($B$330,$C$330,$B$425,$B$426,CONCATENATE("Per=",$B$423),"Dts=H","Dir=H",CONCATENATE("Points=",$B$424),"Sort=R","Days=A","Fill=B",CONCATENATE("FX=", $B$422),"cols=33;rows=1")</f>
        <v>1.6199999999999999E-2</v>
      </c>
      <c r="G730">
        <v>1.18E-2</v>
      </c>
      <c r="H730">
        <v>7.9000000000000008E-3</v>
      </c>
      <c r="I730">
        <v>1.9E-2</v>
      </c>
      <c r="J730">
        <v>2.5499999999999998E-2</v>
      </c>
      <c r="K730">
        <v>4.1999999999999997E-3</v>
      </c>
      <c r="L730">
        <v>1.2500000000000001E-2</v>
      </c>
      <c r="M730">
        <v>3.5999999999999999E-3</v>
      </c>
      <c r="N730">
        <v>3.3E-3</v>
      </c>
      <c r="O730">
        <v>1.2500000000000001E-2</v>
      </c>
      <c r="P730">
        <v>2.63E-2</v>
      </c>
      <c r="Q730">
        <v>4.4200000000000003E-2</v>
      </c>
      <c r="R730">
        <v>4.5999999999999999E-3</v>
      </c>
      <c r="S730">
        <v>4.8999999999999998E-3</v>
      </c>
      <c r="T730">
        <v>3.2000000000000002E-3</v>
      </c>
      <c r="U730">
        <v>5.57E-2</v>
      </c>
      <c r="V730">
        <v>1.1299999999999999E-2</v>
      </c>
      <c r="W730">
        <v>5.9200000000000003E-2</v>
      </c>
      <c r="X730">
        <v>0.2041</v>
      </c>
      <c r="Y730">
        <v>4.4400000000000002E-2</v>
      </c>
      <c r="Z730">
        <v>2.1399999999999999E-2</v>
      </c>
      <c r="AA730">
        <v>1.4E-2</v>
      </c>
      <c r="AB730">
        <v>1.9300000000000001E-2</v>
      </c>
      <c r="AC730">
        <v>5.6599999999999998E-2</v>
      </c>
      <c r="AM730" t="str">
        <f>""</f>
        <v/>
      </c>
      <c r="AN730" t="str">
        <f>""</f>
        <v/>
      </c>
      <c r="AO730" t="str">
        <f>""</f>
        <v/>
      </c>
      <c r="AP730" t="str">
        <f>""</f>
        <v/>
      </c>
      <c r="AQ730" t="str">
        <f>""</f>
        <v/>
      </c>
      <c r="AR730" t="str">
        <f>""</f>
        <v/>
      </c>
      <c r="AS730" t="str">
        <f>""</f>
        <v/>
      </c>
      <c r="AT730" t="str">
        <f>""</f>
        <v/>
      </c>
      <c r="AU730" t="str">
        <f>""</f>
        <v/>
      </c>
      <c r="AV730" t="str">
        <f>""</f>
        <v/>
      </c>
      <c r="AW730" t="str">
        <f>""</f>
        <v/>
      </c>
      <c r="AX730" t="str">
        <f>""</f>
        <v/>
      </c>
      <c r="AY730" t="str">
        <f>""</f>
        <v/>
      </c>
      <c r="AZ730" t="str">
        <f>""</f>
        <v/>
      </c>
      <c r="BA730" t="str">
        <f>""</f>
        <v/>
      </c>
      <c r="BB730" t="str">
        <f>""</f>
        <v/>
      </c>
      <c r="BC730" t="str">
        <f>""</f>
        <v/>
      </c>
      <c r="BD730" t="str">
        <f>""</f>
        <v/>
      </c>
      <c r="BE730" t="str">
        <f>""</f>
        <v/>
      </c>
      <c r="BF730" t="str">
        <f>""</f>
        <v/>
      </c>
      <c r="BG730" t="str">
        <f>""</f>
        <v/>
      </c>
      <c r="BH730" t="str">
        <f>""</f>
        <v/>
      </c>
      <c r="BI730" t="str">
        <f>""</f>
        <v/>
      </c>
      <c r="BJ730" t="str">
        <f>""</f>
        <v/>
      </c>
      <c r="BK730" t="str">
        <f>""</f>
        <v/>
      </c>
      <c r="BL730" t="str">
        <f>""</f>
        <v/>
      </c>
      <c r="BM730" t="str">
        <f>""</f>
        <v/>
      </c>
      <c r="BN730" t="str">
        <f>""</f>
        <v/>
      </c>
      <c r="BO730" t="str">
        <f>""</f>
        <v/>
      </c>
      <c r="BP730" t="str">
        <f>""</f>
        <v/>
      </c>
      <c r="BQ730" t="str">
        <f>""</f>
        <v/>
      </c>
      <c r="BR730" t="str">
        <f>""</f>
        <v/>
      </c>
      <c r="BS730" t="str">
        <f>""</f>
        <v/>
      </c>
    </row>
    <row r="731" spans="1:71" x14ac:dyDescent="0.25">
      <c r="A731" t="str">
        <f>$A$331</f>
        <v xml:space="preserve">        Citizens Financial Group Inc</v>
      </c>
      <c r="B731" t="str">
        <f>$B$331</f>
        <v>CFG US Equity</v>
      </c>
      <c r="C731" t="str">
        <f>$C$331</f>
        <v>F0125</v>
      </c>
      <c r="D731" t="str">
        <f>$D$331</f>
        <v>FED_US_BANK_LOANS_%_TOT_LNS_LEAS</v>
      </c>
      <c r="E731" t="str">
        <f>$E$331</f>
        <v>Dynamic</v>
      </c>
      <c r="F731">
        <f ca="1">_xll.BDH($B$331,$C$331,$B$425,$B$426,CONCATENATE("Per=",$B$423),"Dts=H","Dir=H",CONCATENATE("Points=",$B$424),"Sort=R","Days=A","Fill=B",CONCATENATE("FX=", $B$422),"cols=33;rows=1")</f>
        <v>2.0000000000000001E-4</v>
      </c>
      <c r="G731">
        <v>1.5E-3</v>
      </c>
      <c r="H731">
        <v>4.4000000000000003E-3</v>
      </c>
      <c r="I731">
        <v>1E-4</v>
      </c>
      <c r="J731">
        <v>1E-4</v>
      </c>
      <c r="K731">
        <v>4.8999999999999998E-3</v>
      </c>
      <c r="L731">
        <v>4.0000000000000002E-4</v>
      </c>
      <c r="M731">
        <v>3.5000000000000001E-3</v>
      </c>
      <c r="N731">
        <v>1.04E-2</v>
      </c>
      <c r="O731">
        <v>2.52E-2</v>
      </c>
      <c r="P731">
        <v>3.7699999999999997E-2</v>
      </c>
      <c r="Q731">
        <v>0.05</v>
      </c>
      <c r="R731">
        <v>8.4000000000000005E-2</v>
      </c>
      <c r="S731">
        <v>7.0300000000000001E-2</v>
      </c>
      <c r="T731">
        <v>7.0999999999999994E-2</v>
      </c>
      <c r="U731">
        <v>7.7499999999999999E-2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M731" t="str">
        <f>""</f>
        <v/>
      </c>
      <c r="AN731" t="str">
        <f>""</f>
        <v/>
      </c>
      <c r="AO731" t="str">
        <f>""</f>
        <v/>
      </c>
      <c r="AP731" t="str">
        <f>""</f>
        <v/>
      </c>
      <c r="AQ731" t="str">
        <f>""</f>
        <v/>
      </c>
      <c r="AR731" t="str">
        <f>""</f>
        <v/>
      </c>
      <c r="AS731" t="str">
        <f>""</f>
        <v/>
      </c>
      <c r="AT731" t="str">
        <f>""</f>
        <v/>
      </c>
      <c r="AU731" t="str">
        <f>""</f>
        <v/>
      </c>
      <c r="AV731" t="str">
        <f>""</f>
        <v/>
      </c>
      <c r="AW731" t="str">
        <f>""</f>
        <v/>
      </c>
      <c r="AX731" t="str">
        <f>""</f>
        <v/>
      </c>
      <c r="AY731" t="str">
        <f>""</f>
        <v/>
      </c>
      <c r="AZ731" t="str">
        <f>""</f>
        <v/>
      </c>
      <c r="BA731" t="str">
        <f>""</f>
        <v/>
      </c>
      <c r="BB731" t="str">
        <f>""</f>
        <v/>
      </c>
      <c r="BC731" t="str">
        <f>""</f>
        <v/>
      </c>
      <c r="BD731" t="str">
        <f>""</f>
        <v/>
      </c>
      <c r="BE731" t="str">
        <f>""</f>
        <v/>
      </c>
      <c r="BF731" t="str">
        <f>""</f>
        <v/>
      </c>
      <c r="BG731" t="str">
        <f>""</f>
        <v/>
      </c>
      <c r="BH731" t="str">
        <f>""</f>
        <v/>
      </c>
      <c r="BI731" t="str">
        <f>""</f>
        <v/>
      </c>
      <c r="BJ731" t="str">
        <f>""</f>
        <v/>
      </c>
      <c r="BK731" t="str">
        <f>""</f>
        <v/>
      </c>
      <c r="BL731" t="str">
        <f>""</f>
        <v/>
      </c>
      <c r="BM731" t="str">
        <f>""</f>
        <v/>
      </c>
      <c r="BN731" t="str">
        <f>""</f>
        <v/>
      </c>
      <c r="BO731" t="str">
        <f>""</f>
        <v/>
      </c>
      <c r="BP731" t="str">
        <f>""</f>
        <v/>
      </c>
      <c r="BQ731" t="str">
        <f>""</f>
        <v/>
      </c>
      <c r="BR731" t="str">
        <f>""</f>
        <v/>
      </c>
      <c r="BS731" t="str">
        <f>""</f>
        <v/>
      </c>
    </row>
    <row r="732" spans="1:71" x14ac:dyDescent="0.25">
      <c r="A732" t="str">
        <f>$A$332</f>
        <v xml:space="preserve">        Capital One Financial Corp</v>
      </c>
      <c r="B732" t="str">
        <f>$B$332</f>
        <v>COF US Equity</v>
      </c>
      <c r="C732" t="str">
        <f>$C$332</f>
        <v>F0125</v>
      </c>
      <c r="D732" t="str">
        <f>$D$332</f>
        <v>FED_US_BANK_LOANS_%_TOT_LNS_LEAS</v>
      </c>
      <c r="E732" t="str">
        <f>$E$332</f>
        <v>Dynamic</v>
      </c>
      <c r="F732">
        <f ca="1">_xll.BDH($B$332,$C$332,$B$425,$B$426,CONCATENATE("Per=",$B$423),"Dts=H","Dir=H",CONCATENATE("Points=",$B$424),"Sort=R","Days=A","Fill=B",CONCATENATE("FX=", $B$422),"cols=33;rows=1")</f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0.1709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M732" t="str">
        <f>""</f>
        <v/>
      </c>
      <c r="AN732" t="str">
        <f>""</f>
        <v/>
      </c>
      <c r="AO732" t="str">
        <f>""</f>
        <v/>
      </c>
      <c r="AP732" t="str">
        <f>""</f>
        <v/>
      </c>
      <c r="AQ732" t="str">
        <f>""</f>
        <v/>
      </c>
      <c r="AR732" t="str">
        <f>""</f>
        <v/>
      </c>
      <c r="AS732" t="str">
        <f>""</f>
        <v/>
      </c>
      <c r="AT732" t="str">
        <f>""</f>
        <v/>
      </c>
      <c r="AU732" t="str">
        <f>""</f>
        <v/>
      </c>
      <c r="AV732" t="str">
        <f>""</f>
        <v/>
      </c>
      <c r="AW732" t="str">
        <f>""</f>
        <v/>
      </c>
      <c r="AX732" t="str">
        <f>""</f>
        <v/>
      </c>
      <c r="AY732" t="str">
        <f>""</f>
        <v/>
      </c>
      <c r="AZ732" t="str">
        <f>""</f>
        <v/>
      </c>
      <c r="BA732" t="str">
        <f>""</f>
        <v/>
      </c>
      <c r="BB732" t="str">
        <f>""</f>
        <v/>
      </c>
      <c r="BC732" t="str">
        <f>""</f>
        <v/>
      </c>
      <c r="BD732" t="str">
        <f>""</f>
        <v/>
      </c>
      <c r="BE732" t="str">
        <f>""</f>
        <v/>
      </c>
      <c r="BF732" t="str">
        <f>""</f>
        <v/>
      </c>
      <c r="BG732" t="str">
        <f>""</f>
        <v/>
      </c>
      <c r="BH732" t="str">
        <f>""</f>
        <v/>
      </c>
      <c r="BI732" t="str">
        <f>""</f>
        <v/>
      </c>
      <c r="BJ732" t="str">
        <f>""</f>
        <v/>
      </c>
      <c r="BK732" t="str">
        <f>""</f>
        <v/>
      </c>
      <c r="BL732" t="str">
        <f>""</f>
        <v/>
      </c>
      <c r="BM732" t="str">
        <f>""</f>
        <v/>
      </c>
      <c r="BN732" t="str">
        <f>""</f>
        <v/>
      </c>
      <c r="BO732" t="str">
        <f>""</f>
        <v/>
      </c>
      <c r="BP732" t="str">
        <f>""</f>
        <v/>
      </c>
      <c r="BQ732" t="str">
        <f>""</f>
        <v/>
      </c>
      <c r="BR732" t="str">
        <f>""</f>
        <v/>
      </c>
      <c r="BS732" t="str">
        <f>""</f>
        <v/>
      </c>
    </row>
    <row r="733" spans="1:71" x14ac:dyDescent="0.25">
      <c r="A733" t="str">
        <f>$A$333</f>
        <v xml:space="preserve">        Comerica Inc</v>
      </c>
      <c r="B733" t="str">
        <f>$B$333</f>
        <v>CMA US Equity</v>
      </c>
      <c r="C733" t="str">
        <f>$C$333</f>
        <v>F0125</v>
      </c>
      <c r="D733" t="str">
        <f>$D$333</f>
        <v>FED_US_BANK_LOANS_%_TOT_LNS_LEAS</v>
      </c>
      <c r="E733" t="str">
        <f>$E$333</f>
        <v>Dynamic</v>
      </c>
      <c r="F733">
        <f ca="1">_xll.BDH($B$333,$C$333,$B$425,$B$426,CONCATENATE("Per=",$B$423),"Dts=H","Dir=H",CONCATENATE("Points=",$B$424),"Sort=R","Days=A","Fill=B",CONCATENATE("FX=", $B$422),"cols=33;rows=1")</f>
        <v>3.8999999999999998E-3</v>
      </c>
      <c r="G733">
        <v>9.5999999999999992E-3</v>
      </c>
      <c r="H733">
        <v>1.3100000000000001E-2</v>
      </c>
      <c r="I733">
        <v>1.83E-2</v>
      </c>
      <c r="J733">
        <v>0</v>
      </c>
      <c r="K733">
        <v>0</v>
      </c>
      <c r="L733">
        <v>1.6000000000000001E-3</v>
      </c>
      <c r="M733">
        <v>1.1000000000000001E-3</v>
      </c>
      <c r="N733">
        <v>0</v>
      </c>
      <c r="O733">
        <v>1.9E-3</v>
      </c>
      <c r="P733">
        <v>1.37E-2</v>
      </c>
      <c r="Q733">
        <v>1.9599999999999999E-2</v>
      </c>
      <c r="R733">
        <v>1.44E-2</v>
      </c>
      <c r="S733">
        <v>4.7899999999999998E-2</v>
      </c>
      <c r="T733">
        <v>5.8500000000000003E-2</v>
      </c>
      <c r="U733">
        <v>0.12470000000000001</v>
      </c>
      <c r="V733">
        <v>9.3600000000000003E-2</v>
      </c>
      <c r="W733">
        <v>0.1618</v>
      </c>
      <c r="X733">
        <v>9.5699999999999993E-2</v>
      </c>
      <c r="Y733">
        <v>7.0900000000000005E-2</v>
      </c>
      <c r="Z733">
        <v>7.1800000000000003E-2</v>
      </c>
      <c r="AA733">
        <v>9.5999999999999992E-3</v>
      </c>
      <c r="AB733">
        <v>0.115</v>
      </c>
      <c r="AC733">
        <v>6.3399999999999998E-2</v>
      </c>
      <c r="AM733" t="str">
        <f>""</f>
        <v/>
      </c>
      <c r="AN733" t="str">
        <f>""</f>
        <v/>
      </c>
      <c r="AO733" t="str">
        <f>""</f>
        <v/>
      </c>
      <c r="AP733" t="str">
        <f>""</f>
        <v/>
      </c>
      <c r="AQ733" t="str">
        <f>""</f>
        <v/>
      </c>
      <c r="AR733" t="str">
        <f>""</f>
        <v/>
      </c>
      <c r="AS733" t="str">
        <f>""</f>
        <v/>
      </c>
      <c r="AT733" t="str">
        <f>""</f>
        <v/>
      </c>
      <c r="AU733" t="str">
        <f>""</f>
        <v/>
      </c>
      <c r="AV733" t="str">
        <f>""</f>
        <v/>
      </c>
      <c r="AW733" t="str">
        <f>""</f>
        <v/>
      </c>
      <c r="AX733" t="str">
        <f>""</f>
        <v/>
      </c>
      <c r="AY733" t="str">
        <f>""</f>
        <v/>
      </c>
      <c r="AZ733" t="str">
        <f>""</f>
        <v/>
      </c>
      <c r="BA733" t="str">
        <f>""</f>
        <v/>
      </c>
      <c r="BB733" t="str">
        <f>""</f>
        <v/>
      </c>
      <c r="BC733" t="str">
        <f>""</f>
        <v/>
      </c>
      <c r="BD733" t="str">
        <f>""</f>
        <v/>
      </c>
      <c r="BE733" t="str">
        <f>""</f>
        <v/>
      </c>
      <c r="BF733" t="str">
        <f>""</f>
        <v/>
      </c>
      <c r="BG733" t="str">
        <f>""</f>
        <v/>
      </c>
      <c r="BH733" t="str">
        <f>""</f>
        <v/>
      </c>
      <c r="BI733" t="str">
        <f>""</f>
        <v/>
      </c>
      <c r="BJ733" t="str">
        <f>""</f>
        <v/>
      </c>
      <c r="BK733" t="str">
        <f>""</f>
        <v/>
      </c>
      <c r="BL733" t="str">
        <f>""</f>
        <v/>
      </c>
      <c r="BM733" t="str">
        <f>""</f>
        <v/>
      </c>
      <c r="BN733" t="str">
        <f>""</f>
        <v/>
      </c>
      <c r="BO733" t="str">
        <f>""</f>
        <v/>
      </c>
      <c r="BP733" t="str">
        <f>""</f>
        <v/>
      </c>
      <c r="BQ733" t="str">
        <f>""</f>
        <v/>
      </c>
      <c r="BR733" t="str">
        <f>""</f>
        <v/>
      </c>
      <c r="BS733" t="str">
        <f>""</f>
        <v/>
      </c>
    </row>
    <row r="734" spans="1:71" x14ac:dyDescent="0.25">
      <c r="A734" t="str">
        <f>$A$334</f>
        <v xml:space="preserve">        East West Bancorp Inc</v>
      </c>
      <c r="B734" t="str">
        <f>$B$334</f>
        <v>EWBC US Equity</v>
      </c>
      <c r="C734" t="str">
        <f>$C$334</f>
        <v>F0125</v>
      </c>
      <c r="D734" t="str">
        <f>$D$334</f>
        <v>FED_US_BANK_LOANS_%_TOT_LNS_LEAS</v>
      </c>
      <c r="E734" t="str">
        <f>$E$334</f>
        <v>Dynamic</v>
      </c>
      <c r="F734">
        <f ca="1">_xll.BDH($B$334,$C$334,$B$425,$B$426,CONCATENATE("Per=",$B$423),"Dts=H","Dir=H",CONCATENATE("Points=",$B$424),"Sort=R","Days=A","Fill=B",CONCATENATE("FX=", $B$422),"cols=33;rows=1")</f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0.2157</v>
      </c>
      <c r="M734">
        <v>0.17180000000000001</v>
      </c>
      <c r="N734">
        <v>9.7799999999999998E-2</v>
      </c>
      <c r="O734">
        <v>0</v>
      </c>
      <c r="P734">
        <v>0</v>
      </c>
      <c r="Q734">
        <v>0</v>
      </c>
      <c r="R734">
        <v>0</v>
      </c>
      <c r="S734">
        <v>0.1671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M734" t="str">
        <f>""</f>
        <v/>
      </c>
      <c r="AN734" t="str">
        <f>""</f>
        <v/>
      </c>
      <c r="AO734" t="str">
        <f>""</f>
        <v/>
      </c>
      <c r="AP734" t="str">
        <f>""</f>
        <v/>
      </c>
      <c r="AQ734" t="str">
        <f>""</f>
        <v/>
      </c>
      <c r="AR734" t="str">
        <f>""</f>
        <v/>
      </c>
      <c r="AS734" t="str">
        <f>""</f>
        <v/>
      </c>
      <c r="AT734" t="str">
        <f>""</f>
        <v/>
      </c>
      <c r="AU734" t="str">
        <f>""</f>
        <v/>
      </c>
      <c r="AV734" t="str">
        <f>""</f>
        <v/>
      </c>
      <c r="AW734" t="str">
        <f>""</f>
        <v/>
      </c>
      <c r="AX734" t="str">
        <f>""</f>
        <v/>
      </c>
      <c r="AY734" t="str">
        <f>""</f>
        <v/>
      </c>
      <c r="AZ734" t="str">
        <f>""</f>
        <v/>
      </c>
      <c r="BA734" t="str">
        <f>""</f>
        <v/>
      </c>
      <c r="BB734" t="str">
        <f>""</f>
        <v/>
      </c>
      <c r="BC734" t="str">
        <f>""</f>
        <v/>
      </c>
      <c r="BD734" t="str">
        <f>""</f>
        <v/>
      </c>
      <c r="BE734" t="str">
        <f>""</f>
        <v/>
      </c>
      <c r="BF734" t="str">
        <f>""</f>
        <v/>
      </c>
      <c r="BG734" t="str">
        <f>""</f>
        <v/>
      </c>
      <c r="BH734" t="str">
        <f>""</f>
        <v/>
      </c>
      <c r="BI734" t="str">
        <f>""</f>
        <v/>
      </c>
      <c r="BJ734" t="str">
        <f>""</f>
        <v/>
      </c>
      <c r="BK734" t="str">
        <f>""</f>
        <v/>
      </c>
      <c r="BL734" t="str">
        <f>""</f>
        <v/>
      </c>
      <c r="BM734" t="str">
        <f>""</f>
        <v/>
      </c>
      <c r="BN734" t="str">
        <f>""</f>
        <v/>
      </c>
      <c r="BO734" t="str">
        <f>""</f>
        <v/>
      </c>
      <c r="BP734" t="str">
        <f>""</f>
        <v/>
      </c>
      <c r="BQ734" t="str">
        <f>""</f>
        <v/>
      </c>
      <c r="BR734" t="str">
        <f>""</f>
        <v/>
      </c>
      <c r="BS734" t="str">
        <f>""</f>
        <v/>
      </c>
    </row>
    <row r="735" spans="1:71" x14ac:dyDescent="0.25">
      <c r="A735" t="str">
        <f>$A$335</f>
        <v xml:space="preserve">        Fifth Third Bancorp</v>
      </c>
      <c r="B735" t="str">
        <f>$B$335</f>
        <v>FITB US Equity</v>
      </c>
      <c r="C735" t="str">
        <f>$C$335</f>
        <v>F0125</v>
      </c>
      <c r="D735" t="str">
        <f>$D$335</f>
        <v>FED_US_BANK_LOANS_%_TOT_LNS_LEAS</v>
      </c>
      <c r="E735" t="str">
        <f>$E$335</f>
        <v>Dynamic</v>
      </c>
      <c r="F735">
        <f ca="1">_xll.BDH($B$335,$C$335,$B$425,$B$426,CONCATENATE("Per=",$B$423),"Dts=H","Dir=H",CONCATENATE("Points=",$B$424),"Sort=R","Days=A","Fill=B",CONCATENATE("FX=", $B$422),"cols=33;rows=1")</f>
        <v>8.0000000000000004E-4</v>
      </c>
      <c r="G735">
        <v>1.6999999999999999E-3</v>
      </c>
      <c r="H735">
        <v>5.8999999999999999E-3</v>
      </c>
      <c r="I735">
        <v>1.21E-2</v>
      </c>
      <c r="J735">
        <v>2.8299999999999999E-2</v>
      </c>
      <c r="K735">
        <v>8.0999999999999996E-3</v>
      </c>
      <c r="L735">
        <v>0</v>
      </c>
      <c r="M735">
        <v>0</v>
      </c>
      <c r="N735">
        <v>2.1499999999999998E-2</v>
      </c>
      <c r="O735">
        <v>2.1399999999999999E-2</v>
      </c>
      <c r="P735">
        <v>2.1899999999999999E-2</v>
      </c>
      <c r="Q735">
        <v>3.6999999999999998E-2</v>
      </c>
      <c r="R735">
        <v>1.5100000000000001E-2</v>
      </c>
      <c r="S735">
        <v>4.36E-2</v>
      </c>
      <c r="T735">
        <v>1.9199999999999998E-2</v>
      </c>
      <c r="U735">
        <v>2.5399999999999999E-2</v>
      </c>
      <c r="V735">
        <v>0.11269999999999999</v>
      </c>
      <c r="W735">
        <v>2.75E-2</v>
      </c>
      <c r="X735">
        <v>0</v>
      </c>
      <c r="Y735">
        <v>1.8599999999999998E-2</v>
      </c>
      <c r="Z735">
        <v>1.6400000000000001E-2</v>
      </c>
      <c r="AA735">
        <v>2.86E-2</v>
      </c>
      <c r="AB735">
        <v>3.6900000000000002E-2</v>
      </c>
      <c r="AC735">
        <v>0.39329999999999998</v>
      </c>
      <c r="AM735" t="str">
        <f>""</f>
        <v/>
      </c>
      <c r="AN735" t="str">
        <f>""</f>
        <v/>
      </c>
      <c r="AO735" t="str">
        <f>""</f>
        <v/>
      </c>
      <c r="AP735" t="str">
        <f>""</f>
        <v/>
      </c>
      <c r="AQ735" t="str">
        <f>""</f>
        <v/>
      </c>
      <c r="AR735" t="str">
        <f>""</f>
        <v/>
      </c>
      <c r="AS735" t="str">
        <f>""</f>
        <v/>
      </c>
      <c r="AT735" t="str">
        <f>""</f>
        <v/>
      </c>
      <c r="AU735" t="str">
        <f>""</f>
        <v/>
      </c>
      <c r="AV735" t="str">
        <f>""</f>
        <v/>
      </c>
      <c r="AW735" t="str">
        <f>""</f>
        <v/>
      </c>
      <c r="AX735" t="str">
        <f>""</f>
        <v/>
      </c>
      <c r="AY735" t="str">
        <f>""</f>
        <v/>
      </c>
      <c r="AZ735" t="str">
        <f>""</f>
        <v/>
      </c>
      <c r="BA735" t="str">
        <f>""</f>
        <v/>
      </c>
      <c r="BB735" t="str">
        <f>""</f>
        <v/>
      </c>
      <c r="BC735" t="str">
        <f>""</f>
        <v/>
      </c>
      <c r="BD735" t="str">
        <f>""</f>
        <v/>
      </c>
      <c r="BE735" t="str">
        <f>""</f>
        <v/>
      </c>
      <c r="BF735" t="str">
        <f>""</f>
        <v/>
      </c>
      <c r="BG735" t="str">
        <f>""</f>
        <v/>
      </c>
      <c r="BH735" t="str">
        <f>""</f>
        <v/>
      </c>
      <c r="BI735" t="str">
        <f>""</f>
        <v/>
      </c>
      <c r="BJ735" t="str">
        <f>""</f>
        <v/>
      </c>
      <c r="BK735" t="str">
        <f>""</f>
        <v/>
      </c>
      <c r="BL735" t="str">
        <f>""</f>
        <v/>
      </c>
      <c r="BM735" t="str">
        <f>""</f>
        <v/>
      </c>
      <c r="BN735" t="str">
        <f>""</f>
        <v/>
      </c>
      <c r="BO735" t="str">
        <f>""</f>
        <v/>
      </c>
      <c r="BP735" t="str">
        <f>""</f>
        <v/>
      </c>
      <c r="BQ735" t="str">
        <f>""</f>
        <v/>
      </c>
      <c r="BR735" t="str">
        <f>""</f>
        <v/>
      </c>
      <c r="BS735" t="str">
        <f>""</f>
        <v/>
      </c>
    </row>
    <row r="736" spans="1:71" x14ac:dyDescent="0.25">
      <c r="A736" t="str">
        <f>$A$336</f>
        <v xml:space="preserve">        First Citizens BancShares Inc/</v>
      </c>
      <c r="B736" t="str">
        <f>$B$336</f>
        <v>FCNCA US Equity</v>
      </c>
      <c r="C736" t="str">
        <f>$C$336</f>
        <v>F0125</v>
      </c>
      <c r="D736" t="str">
        <f>$D$336</f>
        <v>FED_US_BANK_LOANS_%_TOT_LNS_LEAS</v>
      </c>
      <c r="E736" t="str">
        <f>$E$336</f>
        <v>Dynamic</v>
      </c>
      <c r="F736">
        <f ca="1">_xll.BDH($B$336,$C$336,$B$425,$B$426,CONCATENATE("Per=",$B$423),"Dts=H","Dir=H",CONCATENATE("Points=",$B$424),"Sort=R","Days=A","Fill=B",CONCATENATE("FX=", $B$422),"cols=33;rows=1")</f>
        <v>6.9999999999999999E-4</v>
      </c>
      <c r="G736">
        <v>2.3E-3</v>
      </c>
      <c r="H736">
        <v>4.5999999999999999E-3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M736" t="str">
        <f>""</f>
        <v/>
      </c>
      <c r="AN736" t="str">
        <f>""</f>
        <v/>
      </c>
      <c r="AO736" t="str">
        <f>""</f>
        <v/>
      </c>
      <c r="AP736" t="str">
        <f>""</f>
        <v/>
      </c>
      <c r="AQ736" t="str">
        <f>""</f>
        <v/>
      </c>
      <c r="AR736" t="str">
        <f>""</f>
        <v/>
      </c>
      <c r="AS736" t="str">
        <f>""</f>
        <v/>
      </c>
      <c r="AT736" t="str">
        <f>""</f>
        <v/>
      </c>
      <c r="AU736" t="str">
        <f>""</f>
        <v/>
      </c>
      <c r="AV736" t="str">
        <f>""</f>
        <v/>
      </c>
      <c r="AW736" t="str">
        <f>""</f>
        <v/>
      </c>
      <c r="AX736" t="str">
        <f>""</f>
        <v/>
      </c>
      <c r="AY736" t="str">
        <f>""</f>
        <v/>
      </c>
      <c r="AZ736" t="str">
        <f>""</f>
        <v/>
      </c>
      <c r="BA736" t="str">
        <f>""</f>
        <v/>
      </c>
      <c r="BB736" t="str">
        <f>""</f>
        <v/>
      </c>
      <c r="BC736" t="str">
        <f>""</f>
        <v/>
      </c>
      <c r="BD736" t="str">
        <f>""</f>
        <v/>
      </c>
      <c r="BE736" t="str">
        <f>""</f>
        <v/>
      </c>
      <c r="BF736" t="str">
        <f>""</f>
        <v/>
      </c>
      <c r="BG736" t="str">
        <f>""</f>
        <v/>
      </c>
      <c r="BH736" t="str">
        <f>""</f>
        <v/>
      </c>
      <c r="BI736" t="str">
        <f>""</f>
        <v/>
      </c>
      <c r="BJ736" t="str">
        <f>""</f>
        <v/>
      </c>
      <c r="BK736" t="str">
        <f>""</f>
        <v/>
      </c>
      <c r="BL736" t="str">
        <f>""</f>
        <v/>
      </c>
      <c r="BM736" t="str">
        <f>""</f>
        <v/>
      </c>
      <c r="BN736" t="str">
        <f>""</f>
        <v/>
      </c>
      <c r="BO736" t="str">
        <f>""</f>
        <v/>
      </c>
      <c r="BP736" t="str">
        <f>""</f>
        <v/>
      </c>
      <c r="BQ736" t="str">
        <f>""</f>
        <v/>
      </c>
      <c r="BR736" t="str">
        <f>""</f>
        <v/>
      </c>
      <c r="BS736" t="str">
        <f>""</f>
        <v/>
      </c>
    </row>
    <row r="737" spans="1:71" x14ac:dyDescent="0.25">
      <c r="A737" t="str">
        <f>$A$337</f>
        <v xml:space="preserve">        Flagstar Financial Inc</v>
      </c>
      <c r="B737" t="str">
        <f>$B$337</f>
        <v>FLG US Equity</v>
      </c>
      <c r="C737" t="str">
        <f>$C$337</f>
        <v>F0125</v>
      </c>
      <c r="D737" t="str">
        <f>$D$337</f>
        <v>FED_US_BANK_LOANS_%_TOT_LNS_LEAS</v>
      </c>
      <c r="E737" t="str">
        <f>$E$337</f>
        <v>Dynamic</v>
      </c>
      <c r="F737">
        <f ca="1">_xll.BDH($B$337,$C$337,$B$425,$B$426,CONCATENATE("Per=",$B$423),"Dts=H","Dir=H",CONCATENATE("Points=",$B$424),"Sort=R","Days=A","Fill=B",CONCATENATE("FX=", $B$422),"cols=33;rows=1")</f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M737" t="str">
        <f>""</f>
        <v/>
      </c>
      <c r="AN737" t="str">
        <f>""</f>
        <v/>
      </c>
      <c r="AO737" t="str">
        <f>""</f>
        <v/>
      </c>
      <c r="AP737" t="str">
        <f>""</f>
        <v/>
      </c>
      <c r="AQ737" t="str">
        <f>""</f>
        <v/>
      </c>
      <c r="AR737" t="str">
        <f>""</f>
        <v/>
      </c>
      <c r="AS737" t="str">
        <f>""</f>
        <v/>
      </c>
      <c r="AT737" t="str">
        <f>""</f>
        <v/>
      </c>
      <c r="AU737" t="str">
        <f>""</f>
        <v/>
      </c>
      <c r="AV737" t="str">
        <f>""</f>
        <v/>
      </c>
      <c r="AW737" t="str">
        <f>""</f>
        <v/>
      </c>
      <c r="AX737" t="str">
        <f>""</f>
        <v/>
      </c>
      <c r="AY737" t="str">
        <f>""</f>
        <v/>
      </c>
      <c r="AZ737" t="str">
        <f>""</f>
        <v/>
      </c>
      <c r="BA737" t="str">
        <f>""</f>
        <v/>
      </c>
      <c r="BB737" t="str">
        <f>""</f>
        <v/>
      </c>
      <c r="BC737" t="str">
        <f>""</f>
        <v/>
      </c>
      <c r="BD737" t="str">
        <f>""</f>
        <v/>
      </c>
      <c r="BE737" t="str">
        <f>""</f>
        <v/>
      </c>
      <c r="BF737" t="str">
        <f>""</f>
        <v/>
      </c>
      <c r="BG737" t="str">
        <f>""</f>
        <v/>
      </c>
      <c r="BH737" t="str">
        <f>""</f>
        <v/>
      </c>
      <c r="BI737" t="str">
        <f>""</f>
        <v/>
      </c>
      <c r="BJ737" t="str">
        <f>""</f>
        <v/>
      </c>
      <c r="BK737" t="str">
        <f>""</f>
        <v/>
      </c>
      <c r="BL737" t="str">
        <f>""</f>
        <v/>
      </c>
      <c r="BM737" t="str">
        <f>""</f>
        <v/>
      </c>
      <c r="BN737" t="str">
        <f>""</f>
        <v/>
      </c>
      <c r="BO737" t="str">
        <f>""</f>
        <v/>
      </c>
      <c r="BP737" t="str">
        <f>""</f>
        <v/>
      </c>
      <c r="BQ737" t="str">
        <f>""</f>
        <v/>
      </c>
      <c r="BR737" t="str">
        <f>""</f>
        <v/>
      </c>
      <c r="BS737" t="str">
        <f>""</f>
        <v/>
      </c>
    </row>
    <row r="738" spans="1:71" x14ac:dyDescent="0.25">
      <c r="A738" t="str">
        <f>$A$338</f>
        <v xml:space="preserve">        Huntington Bancshares Inc/OH</v>
      </c>
      <c r="B738" t="str">
        <f>$B$338</f>
        <v>HBAN US Equity</v>
      </c>
      <c r="C738" t="str">
        <f>$C$338</f>
        <v>F0125</v>
      </c>
      <c r="D738" t="str">
        <f>$D$338</f>
        <v>FED_US_BANK_LOANS_%_TOT_LNS_LEAS</v>
      </c>
      <c r="E738" t="str">
        <f>$E$338</f>
        <v>Dynamic</v>
      </c>
      <c r="F738">
        <f ca="1">_xll.BDH($B$338,$C$338,$B$425,$B$426,CONCATENATE("Per=",$B$423),"Dts=H","Dir=H",CONCATENATE("Points=",$B$424),"Sort=R","Days=A","Fill=B",CONCATENATE("FX=", $B$422),"cols=33;rows=1")</f>
        <v>2.3999999999999998E-3</v>
      </c>
      <c r="G738">
        <v>3.2000000000000002E-3</v>
      </c>
      <c r="H738">
        <v>3.8999999999999998E-3</v>
      </c>
      <c r="I738">
        <v>5.8999999999999999E-3</v>
      </c>
      <c r="J738">
        <v>2.0000000000000001E-4</v>
      </c>
      <c r="K738">
        <v>1E-4</v>
      </c>
      <c r="L738">
        <v>1E-4</v>
      </c>
      <c r="M738">
        <v>0.1321</v>
      </c>
      <c r="N738">
        <v>8.9300000000000004E-2</v>
      </c>
      <c r="O738">
        <v>4.0800000000000003E-2</v>
      </c>
      <c r="P738">
        <v>2.0000000000000001E-4</v>
      </c>
      <c r="Q738">
        <v>2.0000000000000001E-4</v>
      </c>
      <c r="R738">
        <v>2.0000000000000001E-4</v>
      </c>
      <c r="S738">
        <v>4.0000000000000002E-4</v>
      </c>
      <c r="T738">
        <v>5.0000000000000001E-4</v>
      </c>
      <c r="U738">
        <v>6.9999999999999999E-4</v>
      </c>
      <c r="V738">
        <v>8.9999999999999998E-4</v>
      </c>
      <c r="W738">
        <v>1E-3</v>
      </c>
      <c r="X738">
        <v>1.1000000000000001E-3</v>
      </c>
      <c r="Y738">
        <v>1.14E-2</v>
      </c>
      <c r="Z738">
        <v>1.5800000000000002E-2</v>
      </c>
      <c r="AA738">
        <v>2.8899999999999999E-2</v>
      </c>
      <c r="AB738">
        <v>9.0499999999999997E-2</v>
      </c>
      <c r="AC738">
        <v>5.2900000000000003E-2</v>
      </c>
      <c r="AM738" t="str">
        <f>""</f>
        <v/>
      </c>
      <c r="AN738" t="str">
        <f>""</f>
        <v/>
      </c>
      <c r="AO738" t="str">
        <f>""</f>
        <v/>
      </c>
      <c r="AP738" t="str">
        <f>""</f>
        <v/>
      </c>
      <c r="AQ738" t="str">
        <f>""</f>
        <v/>
      </c>
      <c r="AR738" t="str">
        <f>""</f>
        <v/>
      </c>
      <c r="AS738" t="str">
        <f>""</f>
        <v/>
      </c>
      <c r="AT738" t="str">
        <f>""</f>
        <v/>
      </c>
      <c r="AU738" t="str">
        <f>""</f>
        <v/>
      </c>
      <c r="AV738" t="str">
        <f>""</f>
        <v/>
      </c>
      <c r="AW738" t="str">
        <f>""</f>
        <v/>
      </c>
      <c r="AX738" t="str">
        <f>""</f>
        <v/>
      </c>
      <c r="AY738" t="str">
        <f>""</f>
        <v/>
      </c>
      <c r="AZ738" t="str">
        <f>""</f>
        <v/>
      </c>
      <c r="BA738" t="str">
        <f>""</f>
        <v/>
      </c>
      <c r="BB738" t="str">
        <f>""</f>
        <v/>
      </c>
      <c r="BC738" t="str">
        <f>""</f>
        <v/>
      </c>
      <c r="BD738" t="str">
        <f>""</f>
        <v/>
      </c>
      <c r="BE738" t="str">
        <f>""</f>
        <v/>
      </c>
      <c r="BF738" t="str">
        <f>""</f>
        <v/>
      </c>
      <c r="BG738" t="str">
        <f>""</f>
        <v/>
      </c>
      <c r="BH738" t="str">
        <f>""</f>
        <v/>
      </c>
      <c r="BI738" t="str">
        <f>""</f>
        <v/>
      </c>
      <c r="BJ738" t="str">
        <f>""</f>
        <v/>
      </c>
      <c r="BK738" t="str">
        <f>""</f>
        <v/>
      </c>
      <c r="BL738" t="str">
        <f>""</f>
        <v/>
      </c>
      <c r="BM738" t="str">
        <f>""</f>
        <v/>
      </c>
      <c r="BN738" t="str">
        <f>""</f>
        <v/>
      </c>
      <c r="BO738" t="str">
        <f>""</f>
        <v/>
      </c>
      <c r="BP738" t="str">
        <f>""</f>
        <v/>
      </c>
      <c r="BQ738" t="str">
        <f>""</f>
        <v/>
      </c>
      <c r="BR738" t="str">
        <f>""</f>
        <v/>
      </c>
      <c r="BS738" t="str">
        <f>""</f>
        <v/>
      </c>
    </row>
    <row r="739" spans="1:71" x14ac:dyDescent="0.25">
      <c r="A739" t="str">
        <f>$A$339</f>
        <v xml:space="preserve">        JPMorgan Chase &amp; Co</v>
      </c>
      <c r="B739" t="str">
        <f>$B$339</f>
        <v>JPM US Equity</v>
      </c>
      <c r="C739" t="str">
        <f>$C$339</f>
        <v>F0125</v>
      </c>
      <c r="D739" t="str">
        <f>$D$339</f>
        <v>FED_US_BANK_LOANS_%_TOT_LNS_LEAS</v>
      </c>
      <c r="E739" t="str">
        <f>$E$339</f>
        <v>Dynamic</v>
      </c>
      <c r="F739">
        <f ca="1">_xll.BDH($B$339,$C$339,$B$425,$B$426,CONCATENATE("Per=",$B$423),"Dts=H","Dir=H",CONCATENATE("Points=",$B$424),"Sort=R","Days=A","Fill=B",CONCATENATE("FX=", $B$422),"cols=33;rows=1")</f>
        <v>4.0000000000000002E-4</v>
      </c>
      <c r="G739">
        <v>6.9999999999999999E-4</v>
      </c>
      <c r="H739">
        <v>1.1000000000000001E-3</v>
      </c>
      <c r="I739">
        <v>1E-3</v>
      </c>
      <c r="J739">
        <v>8.0000000000000004E-4</v>
      </c>
      <c r="K739">
        <v>3.0999999999999999E-3</v>
      </c>
      <c r="L739">
        <v>4.1000000000000003E-3</v>
      </c>
      <c r="M739">
        <v>7.7000000000000002E-3</v>
      </c>
      <c r="N739">
        <v>1.2500000000000001E-2</v>
      </c>
      <c r="O739">
        <v>2.3300000000000001E-2</v>
      </c>
      <c r="P739">
        <v>2.1100000000000001E-2</v>
      </c>
      <c r="Q739">
        <v>2.0400000000000001E-2</v>
      </c>
      <c r="R739">
        <v>3.2599999999999997E-2</v>
      </c>
      <c r="S739">
        <v>2.6499999999999999E-2</v>
      </c>
      <c r="T739">
        <v>1.9699999999999999E-2</v>
      </c>
      <c r="U739">
        <v>1.43E-2</v>
      </c>
      <c r="V739">
        <v>3.2399999999999998E-2</v>
      </c>
      <c r="W739">
        <v>6.7699999999999996E-2</v>
      </c>
      <c r="X739">
        <v>1.5900000000000001E-2</v>
      </c>
      <c r="Y739">
        <v>3.5200000000000002E-2</v>
      </c>
      <c r="Z739">
        <v>0.75509999999999999</v>
      </c>
      <c r="AA739">
        <v>0.20319999999999999</v>
      </c>
      <c r="AB739">
        <v>1.9E-2</v>
      </c>
      <c r="AC739">
        <v>7.0800000000000002E-2</v>
      </c>
      <c r="AM739" t="str">
        <f>""</f>
        <v/>
      </c>
      <c r="AN739" t="str">
        <f>""</f>
        <v/>
      </c>
      <c r="AO739" t="str">
        <f>""</f>
        <v/>
      </c>
      <c r="AP739" t="str">
        <f>""</f>
        <v/>
      </c>
      <c r="AQ739" t="str">
        <f>""</f>
        <v/>
      </c>
      <c r="AR739" t="str">
        <f>""</f>
        <v/>
      </c>
      <c r="AS739" t="str">
        <f>""</f>
        <v/>
      </c>
      <c r="AT739" t="str">
        <f>""</f>
        <v/>
      </c>
      <c r="AU739" t="str">
        <f>""</f>
        <v/>
      </c>
      <c r="AV739" t="str">
        <f>""</f>
        <v/>
      </c>
      <c r="AW739" t="str">
        <f>""</f>
        <v/>
      </c>
      <c r="AX739" t="str">
        <f>""</f>
        <v/>
      </c>
      <c r="AY739" t="str">
        <f>""</f>
        <v/>
      </c>
      <c r="AZ739" t="str">
        <f>""</f>
        <v/>
      </c>
      <c r="BA739" t="str">
        <f>""</f>
        <v/>
      </c>
      <c r="BB739" t="str">
        <f>""</f>
        <v/>
      </c>
      <c r="BC739" t="str">
        <f>""</f>
        <v/>
      </c>
      <c r="BD739" t="str">
        <f>""</f>
        <v/>
      </c>
      <c r="BE739" t="str">
        <f>""</f>
        <v/>
      </c>
      <c r="BF739" t="str">
        <f>""</f>
        <v/>
      </c>
      <c r="BG739" t="str">
        <f>""</f>
        <v/>
      </c>
      <c r="BH739" t="str">
        <f>""</f>
        <v/>
      </c>
      <c r="BI739" t="str">
        <f>""</f>
        <v/>
      </c>
      <c r="BJ739" t="str">
        <f>""</f>
        <v/>
      </c>
      <c r="BK739" t="str">
        <f>""</f>
        <v/>
      </c>
      <c r="BL739" t="str">
        <f>""</f>
        <v/>
      </c>
      <c r="BM739" t="str">
        <f>""</f>
        <v/>
      </c>
      <c r="BN739" t="str">
        <f>""</f>
        <v/>
      </c>
      <c r="BO739" t="str">
        <f>""</f>
        <v/>
      </c>
      <c r="BP739" t="str">
        <f>""</f>
        <v/>
      </c>
      <c r="BQ739" t="str">
        <f>""</f>
        <v/>
      </c>
      <c r="BR739" t="str">
        <f>""</f>
        <v/>
      </c>
      <c r="BS739" t="str">
        <f>""</f>
        <v/>
      </c>
    </row>
    <row r="740" spans="1:71" x14ac:dyDescent="0.25">
      <c r="A740" t="str">
        <f>$A$340</f>
        <v xml:space="preserve">        KeyCorp</v>
      </c>
      <c r="B740" t="str">
        <f>$B$340</f>
        <v>KEY US Equity</v>
      </c>
      <c r="C740" t="str">
        <f>$C$340</f>
        <v>F0125</v>
      </c>
      <c r="D740" t="str">
        <f>$D$340</f>
        <v>FED_US_BANK_LOANS_%_TOT_LNS_LEAS</v>
      </c>
      <c r="E740" t="str">
        <f>$E$340</f>
        <v>Dynamic</v>
      </c>
      <c r="F740">
        <f ca="1">_xll.BDH($B$340,$C$340,$B$425,$B$426,CONCATENATE("Per=",$B$423),"Dts=H","Dir=H",CONCATENATE("Points=",$B$424),"Sort=R","Days=A","Fill=B",CONCATENATE("FX=", $B$422),"cols=33;rows=1")</f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2.0000000000000001E-4</v>
      </c>
      <c r="O740">
        <v>1.06E-2</v>
      </c>
      <c r="P740">
        <v>2.0400000000000001E-2</v>
      </c>
      <c r="Q740">
        <v>3.5700000000000003E-2</v>
      </c>
      <c r="R740">
        <v>4.3900000000000002E-2</v>
      </c>
      <c r="S740">
        <v>5.0000000000000001E-4</v>
      </c>
      <c r="T740">
        <v>1.6000000000000001E-3</v>
      </c>
      <c r="U740">
        <v>2.3E-3</v>
      </c>
      <c r="V740">
        <v>5.9499999999999997E-2</v>
      </c>
      <c r="W740">
        <v>8.0799999999999997E-2</v>
      </c>
      <c r="X740">
        <v>1.17E-2</v>
      </c>
      <c r="Y740">
        <v>4.9799999999999997E-2</v>
      </c>
      <c r="Z740">
        <v>0.13220000000000001</v>
      </c>
      <c r="AA740">
        <v>6.3100000000000003E-2</v>
      </c>
      <c r="AB740">
        <v>6.9099999999999995E-2</v>
      </c>
      <c r="AC740">
        <v>3.4500000000000003E-2</v>
      </c>
      <c r="AM740" t="str">
        <f>""</f>
        <v/>
      </c>
      <c r="AN740" t="str">
        <f>""</f>
        <v/>
      </c>
      <c r="AO740" t="str">
        <f>""</f>
        <v/>
      </c>
      <c r="AP740" t="str">
        <f>""</f>
        <v/>
      </c>
      <c r="AQ740" t="str">
        <f>""</f>
        <v/>
      </c>
      <c r="AR740" t="str">
        <f>""</f>
        <v/>
      </c>
      <c r="AS740" t="str">
        <f>""</f>
        <v/>
      </c>
      <c r="AT740" t="str">
        <f>""</f>
        <v/>
      </c>
      <c r="AU740" t="str">
        <f>""</f>
        <v/>
      </c>
      <c r="AV740" t="str">
        <f>""</f>
        <v/>
      </c>
      <c r="AW740" t="str">
        <f>""</f>
        <v/>
      </c>
      <c r="AX740" t="str">
        <f>""</f>
        <v/>
      </c>
      <c r="AY740" t="str">
        <f>""</f>
        <v/>
      </c>
      <c r="AZ740" t="str">
        <f>""</f>
        <v/>
      </c>
      <c r="BA740" t="str">
        <f>""</f>
        <v/>
      </c>
      <c r="BB740" t="str">
        <f>""</f>
        <v/>
      </c>
      <c r="BC740" t="str">
        <f>""</f>
        <v/>
      </c>
      <c r="BD740" t="str">
        <f>""</f>
        <v/>
      </c>
      <c r="BE740" t="str">
        <f>""</f>
        <v/>
      </c>
      <c r="BF740" t="str">
        <f>""</f>
        <v/>
      </c>
      <c r="BG740" t="str">
        <f>""</f>
        <v/>
      </c>
      <c r="BH740" t="str">
        <f>""</f>
        <v/>
      </c>
      <c r="BI740" t="str">
        <f>""</f>
        <v/>
      </c>
      <c r="BJ740" t="str">
        <f>""</f>
        <v/>
      </c>
      <c r="BK740" t="str">
        <f>""</f>
        <v/>
      </c>
      <c r="BL740" t="str">
        <f>""</f>
        <v/>
      </c>
      <c r="BM740" t="str">
        <f>""</f>
        <v/>
      </c>
      <c r="BN740" t="str">
        <f>""</f>
        <v/>
      </c>
      <c r="BO740" t="str">
        <f>""</f>
        <v/>
      </c>
      <c r="BP740" t="str">
        <f>""</f>
        <v/>
      </c>
      <c r="BQ740" t="str">
        <f>""</f>
        <v/>
      </c>
      <c r="BR740" t="str">
        <f>""</f>
        <v/>
      </c>
      <c r="BS740" t="str">
        <f>""</f>
        <v/>
      </c>
    </row>
    <row r="741" spans="1:71" x14ac:dyDescent="0.25">
      <c r="A741" t="str">
        <f>$A$341</f>
        <v xml:space="preserve">        M&amp;T Bank Corp</v>
      </c>
      <c r="B741" t="str">
        <f>$B$341</f>
        <v>MTB US Equity</v>
      </c>
      <c r="C741" t="str">
        <f>$C$341</f>
        <v>F0125</v>
      </c>
      <c r="D741" t="str">
        <f>$D$341</f>
        <v>FED_US_BANK_LOANS_%_TOT_LNS_LEAS</v>
      </c>
      <c r="E741" t="str">
        <f>$E$341</f>
        <v>Dynamic</v>
      </c>
      <c r="F741">
        <f ca="1">_xll.BDH($B$341,$C$341,$B$425,$B$426,CONCATENATE("Per=",$B$423),"Dts=H","Dir=H",CONCATENATE("Points=",$B$424),"Sort=R","Days=A","Fill=B",CONCATENATE("FX=", $B$422),"cols=33;rows=1")</f>
        <v>6.8999999999999999E-3</v>
      </c>
      <c r="G741">
        <v>9.7000000000000003E-3</v>
      </c>
      <c r="H741">
        <v>9.1999999999999998E-3</v>
      </c>
      <c r="I741">
        <v>3.0000000000000001E-3</v>
      </c>
      <c r="J741">
        <v>2.0999999999999999E-3</v>
      </c>
      <c r="K741">
        <v>2.7000000000000001E-3</v>
      </c>
      <c r="L741">
        <v>3.2000000000000002E-3</v>
      </c>
      <c r="M741">
        <v>3.3E-3</v>
      </c>
      <c r="N741">
        <v>1.9E-3</v>
      </c>
      <c r="O741">
        <v>1.4E-3</v>
      </c>
      <c r="P741">
        <v>1.2999999999999999E-3</v>
      </c>
      <c r="Q741">
        <v>6.9999999999999999E-4</v>
      </c>
      <c r="R741">
        <v>2.5999999999999999E-3</v>
      </c>
      <c r="S741">
        <v>3.8E-3</v>
      </c>
      <c r="T741">
        <v>4.3E-3</v>
      </c>
      <c r="U741">
        <v>1.7500000000000002E-2</v>
      </c>
      <c r="V741">
        <v>1.9599999999999999E-2</v>
      </c>
      <c r="W741">
        <v>1.8700000000000001E-2</v>
      </c>
      <c r="X741">
        <v>1.8800000000000001E-2</v>
      </c>
      <c r="Y741">
        <v>1.3299999999999999E-2</v>
      </c>
      <c r="Z741">
        <v>1.8599999999999998E-2</v>
      </c>
      <c r="AA741">
        <v>5.6800000000000003E-2</v>
      </c>
      <c r="AB741">
        <v>0</v>
      </c>
      <c r="AC741">
        <v>0</v>
      </c>
      <c r="AM741" t="str">
        <f>""</f>
        <v/>
      </c>
      <c r="AN741" t="str">
        <f>""</f>
        <v/>
      </c>
      <c r="AO741" t="str">
        <f>""</f>
        <v/>
      </c>
      <c r="AP741" t="str">
        <f>""</f>
        <v/>
      </c>
      <c r="AQ741" t="str">
        <f>""</f>
        <v/>
      </c>
      <c r="AR741" t="str">
        <f>""</f>
        <v/>
      </c>
      <c r="AS741" t="str">
        <f>""</f>
        <v/>
      </c>
      <c r="AT741" t="str">
        <f>""</f>
        <v/>
      </c>
      <c r="AU741" t="str">
        <f>""</f>
        <v/>
      </c>
      <c r="AV741" t="str">
        <f>""</f>
        <v/>
      </c>
      <c r="AW741" t="str">
        <f>""</f>
        <v/>
      </c>
      <c r="AX741" t="str">
        <f>""</f>
        <v/>
      </c>
      <c r="AY741" t="str">
        <f>""</f>
        <v/>
      </c>
      <c r="AZ741" t="str">
        <f>""</f>
        <v/>
      </c>
      <c r="BA741" t="str">
        <f>""</f>
        <v/>
      </c>
      <c r="BB741" t="str">
        <f>""</f>
        <v/>
      </c>
      <c r="BC741" t="str">
        <f>""</f>
        <v/>
      </c>
      <c r="BD741" t="str">
        <f>""</f>
        <v/>
      </c>
      <c r="BE741" t="str">
        <f>""</f>
        <v/>
      </c>
      <c r="BF741" t="str">
        <f>""</f>
        <v/>
      </c>
      <c r="BG741" t="str">
        <f>""</f>
        <v/>
      </c>
      <c r="BH741" t="str">
        <f>""</f>
        <v/>
      </c>
      <c r="BI741" t="str">
        <f>""</f>
        <v/>
      </c>
      <c r="BJ741" t="str">
        <f>""</f>
        <v/>
      </c>
      <c r="BK741" t="str">
        <f>""</f>
        <v/>
      </c>
      <c r="BL741" t="str">
        <f>""</f>
        <v/>
      </c>
      <c r="BM741" t="str">
        <f>""</f>
        <v/>
      </c>
      <c r="BN741" t="str">
        <f>""</f>
        <v/>
      </c>
      <c r="BO741" t="str">
        <f>""</f>
        <v/>
      </c>
      <c r="BP741" t="str">
        <f>""</f>
        <v/>
      </c>
      <c r="BQ741" t="str">
        <f>""</f>
        <v/>
      </c>
      <c r="BR741" t="str">
        <f>""</f>
        <v/>
      </c>
      <c r="BS741" t="str">
        <f>""</f>
        <v/>
      </c>
    </row>
    <row r="742" spans="1:71" x14ac:dyDescent="0.25">
      <c r="A742" t="str">
        <f>$A$342</f>
        <v xml:space="preserve">        PNC Financial Services Group I</v>
      </c>
      <c r="B742" t="str">
        <f>$B$342</f>
        <v>PNC US Equity</v>
      </c>
      <c r="C742" t="str">
        <f>$C$342</f>
        <v>F0125</v>
      </c>
      <c r="D742" t="str">
        <f>$D$342</f>
        <v>FED_US_BANK_LOANS_%_TOT_LNS_LEAS</v>
      </c>
      <c r="E742" t="str">
        <f>$E$342</f>
        <v>Dynamic</v>
      </c>
      <c r="F742">
        <f ca="1">_xll.BDH($B$342,$C$342,$B$425,$B$426,CONCATENATE("Per=",$B$423),"Dts=H","Dir=H",CONCATENATE("Points=",$B$424),"Sort=R","Days=A","Fill=B",CONCATENATE("FX=", $B$422),"cols=33;rows=1")</f>
        <v>5.3E-3</v>
      </c>
      <c r="G742">
        <v>1.5900000000000001E-2</v>
      </c>
      <c r="H742">
        <v>1.3299999999999999E-2</v>
      </c>
      <c r="I742">
        <v>3.0000000000000001E-3</v>
      </c>
      <c r="J742">
        <v>6.7999999999999996E-3</v>
      </c>
      <c r="K742">
        <v>3.2000000000000002E-3</v>
      </c>
      <c r="L742">
        <v>4.7999999999999996E-3</v>
      </c>
      <c r="M742">
        <v>8.0999999999999996E-3</v>
      </c>
      <c r="N742">
        <v>8.9999999999999998E-4</v>
      </c>
      <c r="O742">
        <v>2.2200000000000001E-2</v>
      </c>
      <c r="P742">
        <v>1.9800000000000002E-2</v>
      </c>
      <c r="Q742">
        <v>2.12E-2</v>
      </c>
      <c r="R742">
        <v>4.0099999999999997E-2</v>
      </c>
      <c r="S742">
        <v>4.8999999999999998E-3</v>
      </c>
      <c r="T742">
        <v>8.6999999999999994E-3</v>
      </c>
      <c r="U742">
        <v>1.8100000000000002E-2</v>
      </c>
      <c r="V742">
        <v>1.38E-2</v>
      </c>
      <c r="W742">
        <v>2.1299999999999999E-2</v>
      </c>
      <c r="X742">
        <v>1.06E-2</v>
      </c>
      <c r="Y742">
        <v>0</v>
      </c>
      <c r="Z742">
        <v>0</v>
      </c>
      <c r="AA742">
        <v>2.9999999999999997E-4</v>
      </c>
      <c r="AB742">
        <v>1E-4</v>
      </c>
      <c r="AC742">
        <v>0</v>
      </c>
      <c r="AM742" t="str">
        <f>""</f>
        <v/>
      </c>
      <c r="AN742" t="str">
        <f>""</f>
        <v/>
      </c>
      <c r="AO742" t="str">
        <f>""</f>
        <v/>
      </c>
      <c r="AP742" t="str">
        <f>""</f>
        <v/>
      </c>
      <c r="AQ742" t="str">
        <f>""</f>
        <v/>
      </c>
      <c r="AR742" t="str">
        <f>""</f>
        <v/>
      </c>
      <c r="AS742" t="str">
        <f>""</f>
        <v/>
      </c>
      <c r="AT742" t="str">
        <f>""</f>
        <v/>
      </c>
      <c r="AU742" t="str">
        <f>""</f>
        <v/>
      </c>
      <c r="AV742" t="str">
        <f>""</f>
        <v/>
      </c>
      <c r="AW742" t="str">
        <f>""</f>
        <v/>
      </c>
      <c r="AX742" t="str">
        <f>""</f>
        <v/>
      </c>
      <c r="AY742" t="str">
        <f>""</f>
        <v/>
      </c>
      <c r="AZ742" t="str">
        <f>""</f>
        <v/>
      </c>
      <c r="BA742" t="str">
        <f>""</f>
        <v/>
      </c>
      <c r="BB742" t="str">
        <f>""</f>
        <v/>
      </c>
      <c r="BC742" t="str">
        <f>""</f>
        <v/>
      </c>
      <c r="BD742" t="str">
        <f>""</f>
        <v/>
      </c>
      <c r="BE742" t="str">
        <f>""</f>
        <v/>
      </c>
      <c r="BF742" t="str">
        <f>""</f>
        <v/>
      </c>
      <c r="BG742" t="str">
        <f>""</f>
        <v/>
      </c>
      <c r="BH742" t="str">
        <f>""</f>
        <v/>
      </c>
      <c r="BI742" t="str">
        <f>""</f>
        <v/>
      </c>
      <c r="BJ742" t="str">
        <f>""</f>
        <v/>
      </c>
      <c r="BK742" t="str">
        <f>""</f>
        <v/>
      </c>
      <c r="BL742" t="str">
        <f>""</f>
        <v/>
      </c>
      <c r="BM742" t="str">
        <f>""</f>
        <v/>
      </c>
      <c r="BN742" t="str">
        <f>""</f>
        <v/>
      </c>
      <c r="BO742" t="str">
        <f>""</f>
        <v/>
      </c>
      <c r="BP742" t="str">
        <f>""</f>
        <v/>
      </c>
      <c r="BQ742" t="str">
        <f>""</f>
        <v/>
      </c>
      <c r="BR742" t="str">
        <f>""</f>
        <v/>
      </c>
      <c r="BS742" t="str">
        <f>""</f>
        <v/>
      </c>
    </row>
    <row r="743" spans="1:71" x14ac:dyDescent="0.25">
      <c r="A743" t="str">
        <f>$A$343</f>
        <v xml:space="preserve">        Regions Financial Corp</v>
      </c>
      <c r="B743" t="str">
        <f>$B$343</f>
        <v>RF US Equity</v>
      </c>
      <c r="C743" t="str">
        <f>$C$343</f>
        <v>F0125</v>
      </c>
      <c r="D743" t="str">
        <f>$D$343</f>
        <v>FED_US_BANK_LOANS_%_TOT_LNS_LEAS</v>
      </c>
      <c r="E743" t="str">
        <f>$E$343</f>
        <v>Dynamic</v>
      </c>
      <c r="F743">
        <f ca="1">_xll.BDH($B$343,$C$343,$B$425,$B$426,CONCATENATE("Per=",$B$423),"Dts=H","Dir=H",CONCATENATE("Points=",$B$424),"Sort=R","Days=A","Fill=B",CONCATENATE("FX=", $B$422),"cols=33;rows=1")</f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2.0000000000000001E-4</v>
      </c>
      <c r="N743">
        <v>2.2000000000000001E-3</v>
      </c>
      <c r="O743">
        <v>5.5999999999999999E-3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0.14710000000000001</v>
      </c>
      <c r="W743">
        <v>0.2072</v>
      </c>
      <c r="X743">
        <v>0.1837</v>
      </c>
      <c r="Y743">
        <v>0.1196</v>
      </c>
      <c r="Z743">
        <v>4.7500000000000001E-2</v>
      </c>
      <c r="AM743" t="str">
        <f>""</f>
        <v/>
      </c>
      <c r="AN743" t="str">
        <f>""</f>
        <v/>
      </c>
      <c r="AO743" t="str">
        <f>""</f>
        <v/>
      </c>
      <c r="AP743" t="str">
        <f>""</f>
        <v/>
      </c>
      <c r="AQ743" t="str">
        <f>""</f>
        <v/>
      </c>
      <c r="AR743" t="str">
        <f>""</f>
        <v/>
      </c>
      <c r="AS743" t="str">
        <f>""</f>
        <v/>
      </c>
      <c r="AT743" t="str">
        <f>""</f>
        <v/>
      </c>
      <c r="AU743" t="str">
        <f>""</f>
        <v/>
      </c>
      <c r="AV743" t="str">
        <f>""</f>
        <v/>
      </c>
      <c r="AW743" t="str">
        <f>""</f>
        <v/>
      </c>
      <c r="AX743" t="str">
        <f>""</f>
        <v/>
      </c>
      <c r="AY743" t="str">
        <f>""</f>
        <v/>
      </c>
      <c r="AZ743" t="str">
        <f>""</f>
        <v/>
      </c>
      <c r="BA743" t="str">
        <f>""</f>
        <v/>
      </c>
      <c r="BB743" t="str">
        <f>""</f>
        <v/>
      </c>
      <c r="BC743" t="str">
        <f>""</f>
        <v/>
      </c>
      <c r="BD743" t="str">
        <f>""</f>
        <v/>
      </c>
      <c r="BE743" t="str">
        <f>""</f>
        <v/>
      </c>
      <c r="BF743" t="str">
        <f>""</f>
        <v/>
      </c>
      <c r="BG743" t="str">
        <f>""</f>
        <v/>
      </c>
      <c r="BH743" t="str">
        <f>""</f>
        <v/>
      </c>
      <c r="BI743" t="str">
        <f>""</f>
        <v/>
      </c>
      <c r="BJ743" t="str">
        <f>""</f>
        <v/>
      </c>
      <c r="BK743" t="str">
        <f>""</f>
        <v/>
      </c>
      <c r="BL743" t="str">
        <f>""</f>
        <v/>
      </c>
      <c r="BM743" t="str">
        <f>""</f>
        <v/>
      </c>
      <c r="BN743" t="str">
        <f>""</f>
        <v/>
      </c>
      <c r="BO743" t="str">
        <f>""</f>
        <v/>
      </c>
      <c r="BP743" t="str">
        <f>""</f>
        <v/>
      </c>
      <c r="BQ743" t="str">
        <f>""</f>
        <v/>
      </c>
      <c r="BR743" t="str">
        <f>""</f>
        <v/>
      </c>
      <c r="BS743" t="str">
        <f>""</f>
        <v/>
      </c>
    </row>
    <row r="744" spans="1:71" x14ac:dyDescent="0.25">
      <c r="A744" t="str">
        <f>$A$344</f>
        <v xml:space="preserve">        Truist Financial Corp</v>
      </c>
      <c r="B744" t="str">
        <f>$B$344</f>
        <v>TFC US Equity</v>
      </c>
      <c r="C744" t="str">
        <f>$C$344</f>
        <v>F0125</v>
      </c>
      <c r="D744" t="str">
        <f>$D$344</f>
        <v>FED_US_BANK_LOANS_%_TOT_LNS_LEAS</v>
      </c>
      <c r="E744" t="str">
        <f>$E$344</f>
        <v>Dynamic</v>
      </c>
      <c r="F744">
        <f ca="1">_xll.BDH($B$344,$C$344,$B$425,$B$426,CONCATENATE("Per=",$B$423),"Dts=H","Dir=H",CONCATENATE("Points=",$B$424),"Sort=R","Days=A","Fill=B",CONCATENATE("FX=", $B$422),"cols=33;rows=1")</f>
        <v>0</v>
      </c>
      <c r="G744">
        <v>0</v>
      </c>
      <c r="H744">
        <v>0</v>
      </c>
      <c r="I744">
        <v>0</v>
      </c>
      <c r="J744">
        <v>2.9999999999999997E-4</v>
      </c>
      <c r="K744">
        <v>3.3399999999999999E-2</v>
      </c>
      <c r="L744">
        <v>6.9999999999999999E-4</v>
      </c>
      <c r="M744">
        <v>1.4E-3</v>
      </c>
      <c r="N744">
        <v>5.9999999999999995E-4</v>
      </c>
      <c r="O744">
        <v>3.3E-3</v>
      </c>
      <c r="P744">
        <v>6.1999999999999998E-3</v>
      </c>
      <c r="Q744">
        <v>1.17E-2</v>
      </c>
      <c r="R744">
        <v>0</v>
      </c>
      <c r="S744">
        <v>0</v>
      </c>
      <c r="T744">
        <v>0</v>
      </c>
      <c r="U744">
        <v>1.7600000000000001E-2</v>
      </c>
      <c r="V744">
        <v>1.4E-3</v>
      </c>
      <c r="W744">
        <v>7.0000000000000001E-3</v>
      </c>
      <c r="X744">
        <v>9.7999999999999997E-3</v>
      </c>
      <c r="Y744">
        <v>1.2E-2</v>
      </c>
      <c r="Z744">
        <v>1.4500000000000001E-2</v>
      </c>
      <c r="AA744">
        <v>5.5800000000000002E-2</v>
      </c>
      <c r="AB744">
        <v>9.7100000000000006E-2</v>
      </c>
      <c r="AC744">
        <v>6.7900000000000002E-2</v>
      </c>
      <c r="AM744" t="str">
        <f>""</f>
        <v/>
      </c>
      <c r="AN744" t="str">
        <f>""</f>
        <v/>
      </c>
      <c r="AO744" t="str">
        <f>""</f>
        <v/>
      </c>
      <c r="AP744" t="str">
        <f>""</f>
        <v/>
      </c>
      <c r="AQ744" t="str">
        <f>""</f>
        <v/>
      </c>
      <c r="AR744" t="str">
        <f>""</f>
        <v/>
      </c>
      <c r="AS744" t="str">
        <f>""</f>
        <v/>
      </c>
      <c r="AT744" t="str">
        <f>""</f>
        <v/>
      </c>
      <c r="AU744" t="str">
        <f>""</f>
        <v/>
      </c>
      <c r="AV744" t="str">
        <f>""</f>
        <v/>
      </c>
      <c r="AW744" t="str">
        <f>""</f>
        <v/>
      </c>
      <c r="AX744" t="str">
        <f>""</f>
        <v/>
      </c>
      <c r="AY744" t="str">
        <f>""</f>
        <v/>
      </c>
      <c r="AZ744" t="str">
        <f>""</f>
        <v/>
      </c>
      <c r="BA744" t="str">
        <f>""</f>
        <v/>
      </c>
      <c r="BB744" t="str">
        <f>""</f>
        <v/>
      </c>
      <c r="BC744" t="str">
        <f>""</f>
        <v/>
      </c>
      <c r="BD744" t="str">
        <f>""</f>
        <v/>
      </c>
      <c r="BE744" t="str">
        <f>""</f>
        <v/>
      </c>
      <c r="BF744" t="str">
        <f>""</f>
        <v/>
      </c>
      <c r="BG744" t="str">
        <f>""</f>
        <v/>
      </c>
      <c r="BH744" t="str">
        <f>""</f>
        <v/>
      </c>
      <c r="BI744" t="str">
        <f>""</f>
        <v/>
      </c>
      <c r="BJ744" t="str">
        <f>""</f>
        <v/>
      </c>
      <c r="BK744" t="str">
        <f>""</f>
        <v/>
      </c>
      <c r="BL744" t="str">
        <f>""</f>
        <v/>
      </c>
      <c r="BM744" t="str">
        <f>""</f>
        <v/>
      </c>
      <c r="BN744" t="str">
        <f>""</f>
        <v/>
      </c>
      <c r="BO744" t="str">
        <f>""</f>
        <v/>
      </c>
      <c r="BP744" t="str">
        <f>""</f>
        <v/>
      </c>
      <c r="BQ744" t="str">
        <f>""</f>
        <v/>
      </c>
      <c r="BR744" t="str">
        <f>""</f>
        <v/>
      </c>
      <c r="BS744" t="str">
        <f>""</f>
        <v/>
      </c>
    </row>
    <row r="745" spans="1:71" x14ac:dyDescent="0.25">
      <c r="A745" t="str">
        <f>$A$345</f>
        <v xml:space="preserve">        US Bancorp</v>
      </c>
      <c r="B745" t="str">
        <f>$B$345</f>
        <v>USB US Equity</v>
      </c>
      <c r="C745" t="str">
        <f>$C$345</f>
        <v>F0125</v>
      </c>
      <c r="D745" t="str">
        <f>$D$345</f>
        <v>FED_US_BANK_LOANS_%_TOT_LNS_LEAS</v>
      </c>
      <c r="E745" t="str">
        <f>$E$345</f>
        <v>Dynamic</v>
      </c>
      <c r="F745">
        <f ca="1">_xll.BDH($B$345,$C$345,$B$425,$B$426,CONCATENATE("Per=",$B$423),"Dts=H","Dir=H",CONCATENATE("Points=",$B$424),"Sort=R","Days=A","Fill=B",CONCATENATE("FX=", $B$422),"cols=33;rows=1")</f>
        <v>1.49E-2</v>
      </c>
      <c r="G745">
        <v>2.1000000000000001E-2</v>
      </c>
      <c r="H745">
        <v>2.0199999999999999E-2</v>
      </c>
      <c r="I745">
        <v>1.8800000000000001E-2</v>
      </c>
      <c r="J745">
        <v>1.7899999999999999E-2</v>
      </c>
      <c r="K745">
        <v>2.1899999999999999E-2</v>
      </c>
      <c r="L745">
        <v>2.5999999999999999E-2</v>
      </c>
      <c r="M745">
        <v>1.55E-2</v>
      </c>
      <c r="N745">
        <v>3.7499999999999999E-2</v>
      </c>
      <c r="O745">
        <v>1.83E-2</v>
      </c>
      <c r="P745">
        <v>8.1900000000000001E-2</v>
      </c>
      <c r="Q745">
        <v>0.15409999999999999</v>
      </c>
      <c r="R745">
        <v>0.21390000000000001</v>
      </c>
      <c r="S745">
        <v>0.2369</v>
      </c>
      <c r="T745">
        <v>0.35289999999999999</v>
      </c>
      <c r="U745">
        <v>0.32179999999999997</v>
      </c>
      <c r="V745">
        <v>0.42199999999999999</v>
      </c>
      <c r="W745">
        <v>0.49359999999999998</v>
      </c>
      <c r="X745">
        <v>0.41060000000000002</v>
      </c>
      <c r="Y745">
        <v>0.2989</v>
      </c>
      <c r="Z745">
        <v>0.2442</v>
      </c>
      <c r="AA745">
        <v>0.20219999999999999</v>
      </c>
      <c r="AB745">
        <v>0.1918</v>
      </c>
      <c r="AC745">
        <v>7.6799999999999993E-2</v>
      </c>
      <c r="AM745" t="str">
        <f>""</f>
        <v/>
      </c>
      <c r="AN745" t="str">
        <f>""</f>
        <v/>
      </c>
      <c r="AO745" t="str">
        <f>""</f>
        <v/>
      </c>
      <c r="AP745" t="str">
        <f>""</f>
        <v/>
      </c>
      <c r="AQ745" t="str">
        <f>""</f>
        <v/>
      </c>
      <c r="AR745" t="str">
        <f>""</f>
        <v/>
      </c>
      <c r="AS745" t="str">
        <f>""</f>
        <v/>
      </c>
      <c r="AT745" t="str">
        <f>""</f>
        <v/>
      </c>
      <c r="AU745" t="str">
        <f>""</f>
        <v/>
      </c>
      <c r="AV745" t="str">
        <f>""</f>
        <v/>
      </c>
      <c r="AW745" t="str">
        <f>""</f>
        <v/>
      </c>
      <c r="AX745" t="str">
        <f>""</f>
        <v/>
      </c>
      <c r="AY745" t="str">
        <f>""</f>
        <v/>
      </c>
      <c r="AZ745" t="str">
        <f>""</f>
        <v/>
      </c>
      <c r="BA745" t="str">
        <f>""</f>
        <v/>
      </c>
      <c r="BB745" t="str">
        <f>""</f>
        <v/>
      </c>
      <c r="BC745" t="str">
        <f>""</f>
        <v/>
      </c>
      <c r="BD745" t="str">
        <f>""</f>
        <v/>
      </c>
      <c r="BE745" t="str">
        <f>""</f>
        <v/>
      </c>
      <c r="BF745" t="str">
        <f>""</f>
        <v/>
      </c>
      <c r="BG745" t="str">
        <f>""</f>
        <v/>
      </c>
      <c r="BH745" t="str">
        <f>""</f>
        <v/>
      </c>
      <c r="BI745" t="str">
        <f>""</f>
        <v/>
      </c>
      <c r="BJ745" t="str">
        <f>""</f>
        <v/>
      </c>
      <c r="BK745" t="str">
        <f>""</f>
        <v/>
      </c>
      <c r="BL745" t="str">
        <f>""</f>
        <v/>
      </c>
      <c r="BM745" t="str">
        <f>""</f>
        <v/>
      </c>
      <c r="BN745" t="str">
        <f>""</f>
        <v/>
      </c>
      <c r="BO745" t="str">
        <f>""</f>
        <v/>
      </c>
      <c r="BP745" t="str">
        <f>""</f>
        <v/>
      </c>
      <c r="BQ745" t="str">
        <f>""</f>
        <v/>
      </c>
      <c r="BR745" t="str">
        <f>""</f>
        <v/>
      </c>
      <c r="BS745" t="str">
        <f>""</f>
        <v/>
      </c>
    </row>
    <row r="746" spans="1:71" x14ac:dyDescent="0.25">
      <c r="A746" t="str">
        <f>$A$346</f>
        <v xml:space="preserve">        Wells Fargo &amp; Co</v>
      </c>
      <c r="B746" t="str">
        <f>$B$346</f>
        <v>WFC US Equity</v>
      </c>
      <c r="C746" t="str">
        <f>$C$346</f>
        <v>F0125</v>
      </c>
      <c r="D746" t="str">
        <f>$D$346</f>
        <v>FED_US_BANK_LOANS_%_TOT_LNS_LEAS</v>
      </c>
      <c r="E746" t="str">
        <f>$E$346</f>
        <v>Dynamic</v>
      </c>
      <c r="F746">
        <f ca="1">_xll.BDH($B$346,$C$346,$B$425,$B$426,CONCATENATE("Per=",$B$423),"Dts=H","Dir=H",CONCATENATE("Points=",$B$424),"Sort=R","Days=A","Fill=B",CONCATENATE("FX=", $B$422),"cols=33;rows=1")</f>
        <v>2.3199999999999998E-2</v>
      </c>
      <c r="G746">
        <v>6.0000000000000001E-3</v>
      </c>
      <c r="H746">
        <v>6.3E-3</v>
      </c>
      <c r="I746">
        <v>2.4899999999999999E-2</v>
      </c>
      <c r="J746">
        <v>3.5000000000000001E-3</v>
      </c>
      <c r="K746">
        <v>3.3999999999999998E-3</v>
      </c>
      <c r="L746">
        <v>5.4000000000000003E-3</v>
      </c>
      <c r="M746">
        <v>4.0000000000000002E-4</v>
      </c>
      <c r="N746">
        <v>2.9999999999999997E-4</v>
      </c>
      <c r="O746">
        <v>6.4999999999999997E-3</v>
      </c>
      <c r="P746">
        <v>2.3999999999999998E-3</v>
      </c>
      <c r="Q746">
        <v>4.0000000000000001E-3</v>
      </c>
      <c r="R746">
        <v>3.5900000000000001E-2</v>
      </c>
      <c r="S746">
        <v>5.4399999999999997E-2</v>
      </c>
      <c r="T746">
        <v>0.17119999999999999</v>
      </c>
      <c r="U746">
        <v>5.57E-2</v>
      </c>
      <c r="V746">
        <v>6.8099999999999994E-2</v>
      </c>
      <c r="W746">
        <v>2.7300000000000001E-2</v>
      </c>
      <c r="X746">
        <v>0.38540000000000002</v>
      </c>
      <c r="Y746">
        <v>4.2900000000000001E-2</v>
      </c>
      <c r="Z746">
        <v>5.0900000000000001E-2</v>
      </c>
      <c r="AA746">
        <v>2.8000000000000001E-2</v>
      </c>
      <c r="AB746">
        <v>3.5400000000000001E-2</v>
      </c>
      <c r="AC746">
        <v>4.0500000000000001E-2</v>
      </c>
      <c r="AM746" t="str">
        <f>""</f>
        <v/>
      </c>
      <c r="AN746" t="str">
        <f>""</f>
        <v/>
      </c>
      <c r="AO746" t="str">
        <f>""</f>
        <v/>
      </c>
      <c r="AP746" t="str">
        <f>""</f>
        <v/>
      </c>
      <c r="AQ746" t="str">
        <f>""</f>
        <v/>
      </c>
      <c r="AR746" t="str">
        <f>""</f>
        <v/>
      </c>
      <c r="AS746" t="str">
        <f>""</f>
        <v/>
      </c>
      <c r="AT746" t="str">
        <f>""</f>
        <v/>
      </c>
      <c r="AU746" t="str">
        <f>""</f>
        <v/>
      </c>
      <c r="AV746" t="str">
        <f>""</f>
        <v/>
      </c>
      <c r="AW746" t="str">
        <f>""</f>
        <v/>
      </c>
      <c r="AX746" t="str">
        <f>""</f>
        <v/>
      </c>
      <c r="AY746" t="str">
        <f>""</f>
        <v/>
      </c>
      <c r="AZ746" t="str">
        <f>""</f>
        <v/>
      </c>
      <c r="BA746" t="str">
        <f>""</f>
        <v/>
      </c>
      <c r="BB746" t="str">
        <f>""</f>
        <v/>
      </c>
      <c r="BC746" t="str">
        <f>""</f>
        <v/>
      </c>
      <c r="BD746" t="str">
        <f>""</f>
        <v/>
      </c>
      <c r="BE746" t="str">
        <f>""</f>
        <v/>
      </c>
      <c r="BF746" t="str">
        <f>""</f>
        <v/>
      </c>
      <c r="BG746" t="str">
        <f>""</f>
        <v/>
      </c>
      <c r="BH746" t="str">
        <f>""</f>
        <v/>
      </c>
      <c r="BI746" t="str">
        <f>""</f>
        <v/>
      </c>
      <c r="BJ746" t="str">
        <f>""</f>
        <v/>
      </c>
      <c r="BK746" t="str">
        <f>""</f>
        <v/>
      </c>
      <c r="BL746" t="str">
        <f>""</f>
        <v/>
      </c>
      <c r="BM746" t="str">
        <f>""</f>
        <v/>
      </c>
      <c r="BN746" t="str">
        <f>""</f>
        <v/>
      </c>
      <c r="BO746" t="str">
        <f>""</f>
        <v/>
      </c>
      <c r="BP746" t="str">
        <f>""</f>
        <v/>
      </c>
      <c r="BQ746" t="str">
        <f>""</f>
        <v/>
      </c>
      <c r="BR746" t="str">
        <f>""</f>
        <v/>
      </c>
      <c r="BS746" t="str">
        <f>""</f>
        <v/>
      </c>
    </row>
    <row r="747" spans="1:71" x14ac:dyDescent="0.25">
      <c r="A747" t="str">
        <f>$A$347</f>
        <v xml:space="preserve">        Western Alliance Bancorp</v>
      </c>
      <c r="B747" t="str">
        <f>$B$347</f>
        <v>WAL US Equity</v>
      </c>
      <c r="C747" t="str">
        <f>$C$347</f>
        <v>F0125</v>
      </c>
      <c r="D747" t="str">
        <f>$D$347</f>
        <v>FED_US_BANK_LOANS_%_TOT_LNS_LEAS</v>
      </c>
      <c r="E747" t="str">
        <f>$E$347</f>
        <v>Dynamic</v>
      </c>
      <c r="F747">
        <f ca="1">_xll.BDH($B$347,$C$347,$B$425,$B$426,CONCATENATE("Per=",$B$423),"Dts=H","Dir=H",CONCATENATE("Points=",$B$424),"Sort=R","Days=A","Fill=B",CONCATENATE("FX=", $B$422),"cols=33;rows=1")</f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M747" t="str">
        <f>""</f>
        <v/>
      </c>
      <c r="AN747" t="str">
        <f>""</f>
        <v/>
      </c>
      <c r="AO747" t="str">
        <f>""</f>
        <v/>
      </c>
      <c r="AP747" t="str">
        <f>""</f>
        <v/>
      </c>
      <c r="AQ747" t="str">
        <f>""</f>
        <v/>
      </c>
      <c r="AR747" t="str">
        <f>""</f>
        <v/>
      </c>
      <c r="AS747" t="str">
        <f>""</f>
        <v/>
      </c>
      <c r="AT747" t="str">
        <f>""</f>
        <v/>
      </c>
      <c r="AU747" t="str">
        <f>""</f>
        <v/>
      </c>
      <c r="AV747" t="str">
        <f>""</f>
        <v/>
      </c>
      <c r="AW747" t="str">
        <f>""</f>
        <v/>
      </c>
      <c r="AX747" t="str">
        <f>""</f>
        <v/>
      </c>
      <c r="AY747" t="str">
        <f>""</f>
        <v/>
      </c>
      <c r="AZ747" t="str">
        <f>""</f>
        <v/>
      </c>
      <c r="BA747" t="str">
        <f>""</f>
        <v/>
      </c>
      <c r="BB747" t="str">
        <f>""</f>
        <v/>
      </c>
      <c r="BC747" t="str">
        <f>""</f>
        <v/>
      </c>
      <c r="BD747" t="str">
        <f>""</f>
        <v/>
      </c>
      <c r="BE747" t="str">
        <f>""</f>
        <v/>
      </c>
      <c r="BF747" t="str">
        <f>""</f>
        <v/>
      </c>
      <c r="BG747" t="str">
        <f>""</f>
        <v/>
      </c>
      <c r="BH747" t="str">
        <f>""</f>
        <v/>
      </c>
      <c r="BI747" t="str">
        <f>""</f>
        <v/>
      </c>
      <c r="BJ747" t="str">
        <f>""</f>
        <v/>
      </c>
      <c r="BK747" t="str">
        <f>""</f>
        <v/>
      </c>
      <c r="BL747" t="str">
        <f>""</f>
        <v/>
      </c>
      <c r="BM747" t="str">
        <f>""</f>
        <v/>
      </c>
      <c r="BN747" t="str">
        <f>""</f>
        <v/>
      </c>
      <c r="BO747" t="str">
        <f>""</f>
        <v/>
      </c>
      <c r="BP747" t="str">
        <f>""</f>
        <v/>
      </c>
      <c r="BQ747" t="str">
        <f>""</f>
        <v/>
      </c>
      <c r="BR747" t="str">
        <f>""</f>
        <v/>
      </c>
      <c r="BS747" t="str">
        <f>""</f>
        <v/>
      </c>
    </row>
    <row r="748" spans="1:71" x14ac:dyDescent="0.25">
      <c r="A748" t="str">
        <f>$A$348</f>
        <v xml:space="preserve">        Zions Bancorp NA</v>
      </c>
      <c r="B748" t="str">
        <f>$B$348</f>
        <v>ZION US Equity</v>
      </c>
      <c r="C748" t="str">
        <f>$C$348</f>
        <v>F0125</v>
      </c>
      <c r="D748" t="str">
        <f>$D$348</f>
        <v>FED_US_BANK_LOANS_%_TOT_LNS_LEAS</v>
      </c>
      <c r="E748" t="str">
        <f>$E$348</f>
        <v>Dynamic</v>
      </c>
      <c r="F748" t="str">
        <f ca="1">_xll.BDH($B$348,$C$348,$B$425,$B$426,CONCATENATE("Per=",$B$423),"Dts=H","Dir=H",CONCATENATE("Points=",$B$424),"Sort=R","Days=A","Fill=B",CONCATENATE("FX=", $B$422) )</f>
        <v/>
      </c>
      <c r="AM748" t="str">
        <f>""</f>
        <v/>
      </c>
      <c r="AN748" t="str">
        <f>""</f>
        <v/>
      </c>
      <c r="AO748" t="str">
        <f>""</f>
        <v/>
      </c>
      <c r="AP748" t="str">
        <f>""</f>
        <v/>
      </c>
      <c r="AQ748" t="str">
        <f>""</f>
        <v/>
      </c>
      <c r="AR748" t="str">
        <f>""</f>
        <v/>
      </c>
      <c r="AS748" t="str">
        <f>""</f>
        <v/>
      </c>
      <c r="AT748" t="str">
        <f>""</f>
        <v/>
      </c>
      <c r="AU748" t="str">
        <f>""</f>
        <v/>
      </c>
      <c r="AV748" t="str">
        <f>""</f>
        <v/>
      </c>
      <c r="AW748" t="str">
        <f>""</f>
        <v/>
      </c>
      <c r="AX748" t="str">
        <f>""</f>
        <v/>
      </c>
      <c r="AY748" t="str">
        <f>""</f>
        <v/>
      </c>
      <c r="AZ748" t="str">
        <f>""</f>
        <v/>
      </c>
      <c r="BA748" t="str">
        <f>""</f>
        <v/>
      </c>
      <c r="BB748" t="str">
        <f>""</f>
        <v/>
      </c>
      <c r="BC748" t="str">
        <f>""</f>
        <v/>
      </c>
      <c r="BD748" t="str">
        <f>""</f>
        <v/>
      </c>
      <c r="BE748" t="str">
        <f>""</f>
        <v/>
      </c>
      <c r="BF748" t="str">
        <f>""</f>
        <v/>
      </c>
      <c r="BG748" t="str">
        <f>""</f>
        <v/>
      </c>
      <c r="BH748" t="str">
        <f>""</f>
        <v/>
      </c>
      <c r="BI748" t="str">
        <f>""</f>
        <v/>
      </c>
      <c r="BJ748" t="str">
        <f>""</f>
        <v/>
      </c>
      <c r="BK748" t="str">
        <f>""</f>
        <v/>
      </c>
      <c r="BL748" t="str">
        <f>""</f>
        <v/>
      </c>
      <c r="BM748" t="str">
        <f>""</f>
        <v/>
      </c>
      <c r="BN748" t="str">
        <f>""</f>
        <v/>
      </c>
      <c r="BO748" t="str">
        <f>""</f>
        <v/>
      </c>
      <c r="BP748" t="str">
        <f>""</f>
        <v/>
      </c>
      <c r="BQ748" t="str">
        <f>""</f>
        <v/>
      </c>
      <c r="BR748" t="str">
        <f>""</f>
        <v/>
      </c>
      <c r="BS748" t="str">
        <f>""</f>
        <v/>
      </c>
    </row>
    <row r="749" spans="1:71" x14ac:dyDescent="0.25">
      <c r="A749" t="str">
        <f>$A$350</f>
        <v xml:space="preserve">        Bank of America Corp</v>
      </c>
      <c r="B749" t="str">
        <f>$B$350</f>
        <v>BAC US Equity</v>
      </c>
      <c r="C749" t="str">
        <f>$C$350</f>
        <v>F0126</v>
      </c>
      <c r="D749" t="str">
        <f>$D$350</f>
        <v>FED_SOV_LOANS_%_TOT_LOANS_LEASES</v>
      </c>
      <c r="E749" t="str">
        <f>$E$350</f>
        <v>Dynamic</v>
      </c>
      <c r="F749">
        <f ca="1">_xll.BDH($B$350,$C$350,$B$425,$B$426,CONCATENATE("Per=",$B$423),"Dts=H","Dir=H",CONCATENATE("Points=",$B$424),"Sort=R","Days=A","Fill=B",CONCATENATE("FX=", $B$422),"cols=33;rows=1")</f>
        <v>3.7199999999999997E-2</v>
      </c>
      <c r="G749">
        <v>3.9300000000000002E-2</v>
      </c>
      <c r="H749">
        <v>8.2600000000000007E-2</v>
      </c>
      <c r="I749">
        <v>0.10929999999999999</v>
      </c>
      <c r="J749">
        <v>0.13869999999999999</v>
      </c>
      <c r="K749">
        <v>0.21659999999999999</v>
      </c>
      <c r="L749">
        <v>0.15740000000000001</v>
      </c>
      <c r="M749">
        <v>0.14929999999999999</v>
      </c>
      <c r="N749">
        <v>0.27010000000000001</v>
      </c>
      <c r="O749">
        <v>0.2868</v>
      </c>
      <c r="P749">
        <v>0.14249999999999999</v>
      </c>
      <c r="Q749">
        <v>9.8000000000000004E-2</v>
      </c>
      <c r="R749">
        <v>0.1002</v>
      </c>
      <c r="S749">
        <v>9.4600000000000004E-2</v>
      </c>
      <c r="T749">
        <v>6.1499999999999999E-2</v>
      </c>
      <c r="U749">
        <v>3.5499999999999997E-2</v>
      </c>
      <c r="V749">
        <v>1.9900000000000001E-2</v>
      </c>
      <c r="W749">
        <v>2.69E-2</v>
      </c>
      <c r="X749">
        <v>5.8599999999999999E-2</v>
      </c>
      <c r="Y749">
        <v>6.25E-2</v>
      </c>
      <c r="Z749">
        <v>6.6100000000000006E-2</v>
      </c>
      <c r="AA749">
        <v>7.7899999999999997E-2</v>
      </c>
      <c r="AB749">
        <v>7.2900000000000006E-2</v>
      </c>
      <c r="AC749">
        <v>0.1331</v>
      </c>
      <c r="AM749" t="str">
        <f>""</f>
        <v/>
      </c>
      <c r="AN749" t="str">
        <f>""</f>
        <v/>
      </c>
      <c r="AO749" t="str">
        <f>""</f>
        <v/>
      </c>
      <c r="AP749" t="str">
        <f>""</f>
        <v/>
      </c>
      <c r="AQ749" t="str">
        <f>""</f>
        <v/>
      </c>
      <c r="AR749" t="str">
        <f>""</f>
        <v/>
      </c>
      <c r="AS749" t="str">
        <f>""</f>
        <v/>
      </c>
      <c r="AT749" t="str">
        <f>""</f>
        <v/>
      </c>
      <c r="AU749" t="str">
        <f>""</f>
        <v/>
      </c>
      <c r="AV749" t="str">
        <f>""</f>
        <v/>
      </c>
      <c r="AW749" t="str">
        <f>""</f>
        <v/>
      </c>
      <c r="AX749" t="str">
        <f>""</f>
        <v/>
      </c>
      <c r="AY749" t="str">
        <f>""</f>
        <v/>
      </c>
      <c r="AZ749" t="str">
        <f>""</f>
        <v/>
      </c>
      <c r="BA749" t="str">
        <f>""</f>
        <v/>
      </c>
      <c r="BB749" t="str">
        <f>""</f>
        <v/>
      </c>
      <c r="BC749" t="str">
        <f>""</f>
        <v/>
      </c>
      <c r="BD749" t="str">
        <f>""</f>
        <v/>
      </c>
      <c r="BE749" t="str">
        <f>""</f>
        <v/>
      </c>
      <c r="BF749" t="str">
        <f>""</f>
        <v/>
      </c>
      <c r="BG749" t="str">
        <f>""</f>
        <v/>
      </c>
      <c r="BH749" t="str">
        <f>""</f>
        <v/>
      </c>
      <c r="BI749" t="str">
        <f>""</f>
        <v/>
      </c>
      <c r="BJ749" t="str">
        <f>""</f>
        <v/>
      </c>
      <c r="BK749" t="str">
        <f>""</f>
        <v/>
      </c>
      <c r="BL749" t="str">
        <f>""</f>
        <v/>
      </c>
      <c r="BM749" t="str">
        <f>""</f>
        <v/>
      </c>
      <c r="BN749" t="str">
        <f>""</f>
        <v/>
      </c>
      <c r="BO749" t="str">
        <f>""</f>
        <v/>
      </c>
      <c r="BP749" t="str">
        <f>""</f>
        <v/>
      </c>
      <c r="BQ749" t="str">
        <f>""</f>
        <v/>
      </c>
      <c r="BR749" t="str">
        <f>""</f>
        <v/>
      </c>
      <c r="BS749" t="str">
        <f>""</f>
        <v/>
      </c>
    </row>
    <row r="750" spans="1:71" x14ac:dyDescent="0.25">
      <c r="A750" t="str">
        <f>$A$351</f>
        <v xml:space="preserve">        Citigroup Inc</v>
      </c>
      <c r="B750" t="str">
        <f>$B$351</f>
        <v>C US Equity</v>
      </c>
      <c r="C750" t="str">
        <f>$C$351</f>
        <v>F0126</v>
      </c>
      <c r="D750" t="str">
        <f>$D$351</f>
        <v>FED_SOV_LOANS_%_TOT_LOANS_LEASES</v>
      </c>
      <c r="E750" t="str">
        <f>$E$351</f>
        <v>Dynamic</v>
      </c>
      <c r="F750">
        <f ca="1">_xll.BDH($B$351,$C$351,$B$425,$B$426,CONCATENATE("Per=",$B$423),"Dts=H","Dir=H",CONCATENATE("Points=",$B$424),"Sort=R","Days=A","Fill=B",CONCATENATE("FX=", $B$422),"cols=33;rows=1")</f>
        <v>0.73270000000000002</v>
      </c>
      <c r="G750">
        <v>0.68189999999999995</v>
      </c>
      <c r="H750">
        <v>0.77100000000000002</v>
      </c>
      <c r="I750">
        <v>0.78100000000000003</v>
      </c>
      <c r="J750">
        <v>0.69979999999999998</v>
      </c>
      <c r="K750">
        <v>0.7157</v>
      </c>
      <c r="L750">
        <v>0.93110000000000004</v>
      </c>
      <c r="M750">
        <v>1.0818000000000001</v>
      </c>
      <c r="N750">
        <v>1.2873000000000001</v>
      </c>
      <c r="O750">
        <v>1.1922999999999999</v>
      </c>
      <c r="P750">
        <v>0.75419999999999998</v>
      </c>
      <c r="Q750">
        <v>0.76690000000000003</v>
      </c>
      <c r="R750">
        <v>0.60780000000000001</v>
      </c>
      <c r="S750">
        <v>0.65629999999999999</v>
      </c>
      <c r="T750">
        <v>0.84079999999999999</v>
      </c>
      <c r="U750">
        <v>0.22359999999999999</v>
      </c>
      <c r="V750">
        <v>8.2900000000000001E-2</v>
      </c>
      <c r="W750">
        <v>9.06E-2</v>
      </c>
      <c r="X750">
        <v>0.28360000000000002</v>
      </c>
      <c r="Y750">
        <v>0.18260000000000001</v>
      </c>
      <c r="Z750">
        <v>0.2414</v>
      </c>
      <c r="AA750">
        <v>0.52439999999999998</v>
      </c>
      <c r="AB750">
        <v>0.93989999999999996</v>
      </c>
      <c r="AC750">
        <v>1.2471000000000001</v>
      </c>
      <c r="AM750" t="str">
        <f>""</f>
        <v/>
      </c>
      <c r="AN750" t="str">
        <f>""</f>
        <v/>
      </c>
      <c r="AO750" t="str">
        <f>""</f>
        <v/>
      </c>
      <c r="AP750" t="str">
        <f>""</f>
        <v/>
      </c>
      <c r="AQ750" t="str">
        <f>""</f>
        <v/>
      </c>
      <c r="AR750" t="str">
        <f>""</f>
        <v/>
      </c>
      <c r="AS750" t="str">
        <f>""</f>
        <v/>
      </c>
      <c r="AT750" t="str">
        <f>""</f>
        <v/>
      </c>
      <c r="AU750" t="str">
        <f>""</f>
        <v/>
      </c>
      <c r="AV750" t="str">
        <f>""</f>
        <v/>
      </c>
      <c r="AW750" t="str">
        <f>""</f>
        <v/>
      </c>
      <c r="AX750" t="str">
        <f>""</f>
        <v/>
      </c>
      <c r="AY750" t="str">
        <f>""</f>
        <v/>
      </c>
      <c r="AZ750" t="str">
        <f>""</f>
        <v/>
      </c>
      <c r="BA750" t="str">
        <f>""</f>
        <v/>
      </c>
      <c r="BB750" t="str">
        <f>""</f>
        <v/>
      </c>
      <c r="BC750" t="str">
        <f>""</f>
        <v/>
      </c>
      <c r="BD750" t="str">
        <f>""</f>
        <v/>
      </c>
      <c r="BE750" t="str">
        <f>""</f>
        <v/>
      </c>
      <c r="BF750" t="str">
        <f>""</f>
        <v/>
      </c>
      <c r="BG750" t="str">
        <f>""</f>
        <v/>
      </c>
      <c r="BH750" t="str">
        <f>""</f>
        <v/>
      </c>
      <c r="BI750" t="str">
        <f>""</f>
        <v/>
      </c>
      <c r="BJ750" t="str">
        <f>""</f>
        <v/>
      </c>
      <c r="BK750" t="str">
        <f>""</f>
        <v/>
      </c>
      <c r="BL750" t="str">
        <f>""</f>
        <v/>
      </c>
      <c r="BM750" t="str">
        <f>""</f>
        <v/>
      </c>
      <c r="BN750" t="str">
        <f>""</f>
        <v/>
      </c>
      <c r="BO750" t="str">
        <f>""</f>
        <v/>
      </c>
      <c r="BP750" t="str">
        <f>""</f>
        <v/>
      </c>
      <c r="BQ750" t="str">
        <f>""</f>
        <v/>
      </c>
      <c r="BR750" t="str">
        <f>""</f>
        <v/>
      </c>
      <c r="BS750" t="str">
        <f>""</f>
        <v/>
      </c>
    </row>
    <row r="751" spans="1:71" x14ac:dyDescent="0.25">
      <c r="A751" t="str">
        <f>$A$352</f>
        <v xml:space="preserve">        Citizens Financial Group Inc</v>
      </c>
      <c r="B751" t="str">
        <f>$B$352</f>
        <v>CFG US Equity</v>
      </c>
      <c r="C751" t="str">
        <f>$C$352</f>
        <v>F0126</v>
      </c>
      <c r="D751" t="str">
        <f>$D$352</f>
        <v>FED_SOV_LOANS_%_TOT_LOANS_LEASES</v>
      </c>
      <c r="E751" t="str">
        <f>$E$352</f>
        <v>Dynamic</v>
      </c>
      <c r="F751">
        <f ca="1">_xll.BDH($B$352,$C$352,$B$425,$B$426,CONCATENATE("Per=",$B$423),"Dts=H","Dir=H",CONCATENATE("Points=",$B$424),"Sort=R","Days=A","Fill=B",CONCATENATE("FX=", $B$422),"cols=33;rows=1")</f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M751" t="str">
        <f>""</f>
        <v/>
      </c>
      <c r="AN751" t="str">
        <f>""</f>
        <v/>
      </c>
      <c r="AO751" t="str">
        <f>""</f>
        <v/>
      </c>
      <c r="AP751" t="str">
        <f>""</f>
        <v/>
      </c>
      <c r="AQ751" t="str">
        <f>""</f>
        <v/>
      </c>
      <c r="AR751" t="str">
        <f>""</f>
        <v/>
      </c>
      <c r="AS751" t="str">
        <f>""</f>
        <v/>
      </c>
      <c r="AT751" t="str">
        <f>""</f>
        <v/>
      </c>
      <c r="AU751" t="str">
        <f>""</f>
        <v/>
      </c>
      <c r="AV751" t="str">
        <f>""</f>
        <v/>
      </c>
      <c r="AW751" t="str">
        <f>""</f>
        <v/>
      </c>
      <c r="AX751" t="str">
        <f>""</f>
        <v/>
      </c>
      <c r="AY751" t="str">
        <f>""</f>
        <v/>
      </c>
      <c r="AZ751" t="str">
        <f>""</f>
        <v/>
      </c>
      <c r="BA751" t="str">
        <f>""</f>
        <v/>
      </c>
      <c r="BB751" t="str">
        <f>""</f>
        <v/>
      </c>
      <c r="BC751" t="str">
        <f>""</f>
        <v/>
      </c>
      <c r="BD751" t="str">
        <f>""</f>
        <v/>
      </c>
      <c r="BE751" t="str">
        <f>""</f>
        <v/>
      </c>
      <c r="BF751" t="str">
        <f>""</f>
        <v/>
      </c>
      <c r="BG751" t="str">
        <f>""</f>
        <v/>
      </c>
      <c r="BH751" t="str">
        <f>""</f>
        <v/>
      </c>
      <c r="BI751" t="str">
        <f>""</f>
        <v/>
      </c>
      <c r="BJ751" t="str">
        <f>""</f>
        <v/>
      </c>
      <c r="BK751" t="str">
        <f>""</f>
        <v/>
      </c>
      <c r="BL751" t="str">
        <f>""</f>
        <v/>
      </c>
      <c r="BM751" t="str">
        <f>""</f>
        <v/>
      </c>
      <c r="BN751" t="str">
        <f>""</f>
        <v/>
      </c>
      <c r="BO751" t="str">
        <f>""</f>
        <v/>
      </c>
      <c r="BP751" t="str">
        <f>""</f>
        <v/>
      </c>
      <c r="BQ751" t="str">
        <f>""</f>
        <v/>
      </c>
      <c r="BR751" t="str">
        <f>""</f>
        <v/>
      </c>
      <c r="BS751" t="str">
        <f>""</f>
        <v/>
      </c>
    </row>
    <row r="752" spans="1:71" x14ac:dyDescent="0.25">
      <c r="A752" t="str">
        <f>$A$353</f>
        <v xml:space="preserve">        Capital One Financial Corp</v>
      </c>
      <c r="B752" t="str">
        <f>$B$353</f>
        <v>COF US Equity</v>
      </c>
      <c r="C752" t="str">
        <f>$C$353</f>
        <v>F0126</v>
      </c>
      <c r="D752" t="str">
        <f>$D$353</f>
        <v>FED_SOV_LOANS_%_TOT_LOANS_LEASES</v>
      </c>
      <c r="E752" t="str">
        <f>$E$353</f>
        <v>Dynamic</v>
      </c>
      <c r="F752">
        <f ca="1">_xll.BDH($B$353,$C$353,$B$425,$B$426,CONCATENATE("Per=",$B$423),"Dts=H","Dir=H",CONCATENATE("Points=",$B$424),"Sort=R","Days=A","Fill=B",CONCATENATE("FX=", $B$422),"cols=33;rows=1")</f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M752" t="str">
        <f>""</f>
        <v/>
      </c>
      <c r="AN752" t="str">
        <f>""</f>
        <v/>
      </c>
      <c r="AO752" t="str">
        <f>""</f>
        <v/>
      </c>
      <c r="AP752" t="str">
        <f>""</f>
        <v/>
      </c>
      <c r="AQ752" t="str">
        <f>""</f>
        <v/>
      </c>
      <c r="AR752" t="str">
        <f>""</f>
        <v/>
      </c>
      <c r="AS752" t="str">
        <f>""</f>
        <v/>
      </c>
      <c r="AT752" t="str">
        <f>""</f>
        <v/>
      </c>
      <c r="AU752" t="str">
        <f>""</f>
        <v/>
      </c>
      <c r="AV752" t="str">
        <f>""</f>
        <v/>
      </c>
      <c r="AW752" t="str">
        <f>""</f>
        <v/>
      </c>
      <c r="AX752" t="str">
        <f>""</f>
        <v/>
      </c>
      <c r="AY752" t="str">
        <f>""</f>
        <v/>
      </c>
      <c r="AZ752" t="str">
        <f>""</f>
        <v/>
      </c>
      <c r="BA752" t="str">
        <f>""</f>
        <v/>
      </c>
      <c r="BB752" t="str">
        <f>""</f>
        <v/>
      </c>
      <c r="BC752" t="str">
        <f>""</f>
        <v/>
      </c>
      <c r="BD752" t="str">
        <f>""</f>
        <v/>
      </c>
      <c r="BE752" t="str">
        <f>""</f>
        <v/>
      </c>
      <c r="BF752" t="str">
        <f>""</f>
        <v/>
      </c>
      <c r="BG752" t="str">
        <f>""</f>
        <v/>
      </c>
      <c r="BH752" t="str">
        <f>""</f>
        <v/>
      </c>
      <c r="BI752" t="str">
        <f>""</f>
        <v/>
      </c>
      <c r="BJ752" t="str">
        <f>""</f>
        <v/>
      </c>
      <c r="BK752" t="str">
        <f>""</f>
        <v/>
      </c>
      <c r="BL752" t="str">
        <f>""</f>
        <v/>
      </c>
      <c r="BM752" t="str">
        <f>""</f>
        <v/>
      </c>
      <c r="BN752" t="str">
        <f>""</f>
        <v/>
      </c>
      <c r="BO752" t="str">
        <f>""</f>
        <v/>
      </c>
      <c r="BP752" t="str">
        <f>""</f>
        <v/>
      </c>
      <c r="BQ752" t="str">
        <f>""</f>
        <v/>
      </c>
      <c r="BR752" t="str">
        <f>""</f>
        <v/>
      </c>
      <c r="BS752" t="str">
        <f>""</f>
        <v/>
      </c>
    </row>
    <row r="753" spans="1:71" x14ac:dyDescent="0.25">
      <c r="A753" t="str">
        <f>$A$354</f>
        <v xml:space="preserve">        Comerica Inc</v>
      </c>
      <c r="B753" t="str">
        <f>$B$354</f>
        <v>CMA US Equity</v>
      </c>
      <c r="C753" t="str">
        <f>$C$354</f>
        <v>F0126</v>
      </c>
      <c r="D753" t="str">
        <f>$D$354</f>
        <v>FED_SOV_LOANS_%_TOT_LOANS_LEASES</v>
      </c>
      <c r="E753" t="str">
        <f>$E$354</f>
        <v>Dynamic</v>
      </c>
      <c r="F753">
        <f ca="1">_xll.BDH($B$354,$C$354,$B$425,$B$426,CONCATENATE("Per=",$B$423),"Dts=H","Dir=H",CONCATENATE("Points=",$B$424),"Sort=R","Days=A","Fill=B",CONCATENATE("FX=", $B$422),"cols=33;rows=1")</f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4.4999999999999997E-3</v>
      </c>
      <c r="Z753">
        <v>8.3999999999999995E-3</v>
      </c>
      <c r="AA753">
        <v>1.3599999999999999E-2</v>
      </c>
      <c r="AB753">
        <v>2.1700000000000001E-2</v>
      </c>
      <c r="AC753">
        <v>2.1499999999999998E-2</v>
      </c>
      <c r="AM753" t="str">
        <f>""</f>
        <v/>
      </c>
      <c r="AN753" t="str">
        <f>""</f>
        <v/>
      </c>
      <c r="AO753" t="str">
        <f>""</f>
        <v/>
      </c>
      <c r="AP753" t="str">
        <f>""</f>
        <v/>
      </c>
      <c r="AQ753" t="str">
        <f>""</f>
        <v/>
      </c>
      <c r="AR753" t="str">
        <f>""</f>
        <v/>
      </c>
      <c r="AS753" t="str">
        <f>""</f>
        <v/>
      </c>
      <c r="AT753" t="str">
        <f>""</f>
        <v/>
      </c>
      <c r="AU753" t="str">
        <f>""</f>
        <v/>
      </c>
      <c r="AV753" t="str">
        <f>""</f>
        <v/>
      </c>
      <c r="AW753" t="str">
        <f>""</f>
        <v/>
      </c>
      <c r="AX753" t="str">
        <f>""</f>
        <v/>
      </c>
      <c r="AY753" t="str">
        <f>""</f>
        <v/>
      </c>
      <c r="AZ753" t="str">
        <f>""</f>
        <v/>
      </c>
      <c r="BA753" t="str">
        <f>""</f>
        <v/>
      </c>
      <c r="BB753" t="str">
        <f>""</f>
        <v/>
      </c>
      <c r="BC753" t="str">
        <f>""</f>
        <v/>
      </c>
      <c r="BD753" t="str">
        <f>""</f>
        <v/>
      </c>
      <c r="BE753" t="str">
        <f>""</f>
        <v/>
      </c>
      <c r="BF753" t="str">
        <f>""</f>
        <v/>
      </c>
      <c r="BG753" t="str">
        <f>""</f>
        <v/>
      </c>
      <c r="BH753" t="str">
        <f>""</f>
        <v/>
      </c>
      <c r="BI753" t="str">
        <f>""</f>
        <v/>
      </c>
      <c r="BJ753" t="str">
        <f>""</f>
        <v/>
      </c>
      <c r="BK753" t="str">
        <f>""</f>
        <v/>
      </c>
      <c r="BL753" t="str">
        <f>""</f>
        <v/>
      </c>
      <c r="BM753" t="str">
        <f>""</f>
        <v/>
      </c>
      <c r="BN753" t="str">
        <f>""</f>
        <v/>
      </c>
      <c r="BO753" t="str">
        <f>""</f>
        <v/>
      </c>
      <c r="BP753" t="str">
        <f>""</f>
        <v/>
      </c>
      <c r="BQ753" t="str">
        <f>""</f>
        <v/>
      </c>
      <c r="BR753" t="str">
        <f>""</f>
        <v/>
      </c>
      <c r="BS753" t="str">
        <f>""</f>
        <v/>
      </c>
    </row>
    <row r="754" spans="1:71" x14ac:dyDescent="0.25">
      <c r="A754" t="str">
        <f>$A$355</f>
        <v xml:space="preserve">        East West Bancorp Inc</v>
      </c>
      <c r="B754" t="str">
        <f>$B$355</f>
        <v>EWBC US Equity</v>
      </c>
      <c r="C754" t="str">
        <f>$C$355</f>
        <v>F0126</v>
      </c>
      <c r="D754" t="str">
        <f>$D$355</f>
        <v>FED_SOV_LOANS_%_TOT_LOANS_LEASES</v>
      </c>
      <c r="E754" t="str">
        <f>$E$355</f>
        <v>Dynamic</v>
      </c>
      <c r="F754">
        <f ca="1">_xll.BDH($B$355,$C$355,$B$425,$B$426,CONCATENATE("Per=",$B$423),"Dts=H","Dir=H",CONCATENATE("Points=",$B$424),"Sort=R","Days=A","Fill=B",CONCATENATE("FX=", $B$422),"cols=33;rows=1")</f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0.4194</v>
      </c>
      <c r="Q754">
        <v>0.49070000000000003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7.3599999999999999E-2</v>
      </c>
      <c r="Z754">
        <v>9.7299999999999998E-2</v>
      </c>
      <c r="AA754">
        <v>0.15260000000000001</v>
      </c>
      <c r="AB754">
        <v>0</v>
      </c>
      <c r="AC754">
        <v>0</v>
      </c>
      <c r="AM754" t="str">
        <f>""</f>
        <v/>
      </c>
      <c r="AN754" t="str">
        <f>""</f>
        <v/>
      </c>
      <c r="AO754" t="str">
        <f>""</f>
        <v/>
      </c>
      <c r="AP754" t="str">
        <f>""</f>
        <v/>
      </c>
      <c r="AQ754" t="str">
        <f>""</f>
        <v/>
      </c>
      <c r="AR754" t="str">
        <f>""</f>
        <v/>
      </c>
      <c r="AS754" t="str">
        <f>""</f>
        <v/>
      </c>
      <c r="AT754" t="str">
        <f>""</f>
        <v/>
      </c>
      <c r="AU754" t="str">
        <f>""</f>
        <v/>
      </c>
      <c r="AV754" t="str">
        <f>""</f>
        <v/>
      </c>
      <c r="AW754" t="str">
        <f>""</f>
        <v/>
      </c>
      <c r="AX754" t="str">
        <f>""</f>
        <v/>
      </c>
      <c r="AY754" t="str">
        <f>""</f>
        <v/>
      </c>
      <c r="AZ754" t="str">
        <f>""</f>
        <v/>
      </c>
      <c r="BA754" t="str">
        <f>""</f>
        <v/>
      </c>
      <c r="BB754" t="str">
        <f>""</f>
        <v/>
      </c>
      <c r="BC754" t="str">
        <f>""</f>
        <v/>
      </c>
      <c r="BD754" t="str">
        <f>""</f>
        <v/>
      </c>
      <c r="BE754" t="str">
        <f>""</f>
        <v/>
      </c>
      <c r="BF754" t="str">
        <f>""</f>
        <v/>
      </c>
      <c r="BG754" t="str">
        <f>""</f>
        <v/>
      </c>
      <c r="BH754" t="str">
        <f>""</f>
        <v/>
      </c>
      <c r="BI754" t="str">
        <f>""</f>
        <v/>
      </c>
      <c r="BJ754" t="str">
        <f>""</f>
        <v/>
      </c>
      <c r="BK754" t="str">
        <f>""</f>
        <v/>
      </c>
      <c r="BL754" t="str">
        <f>""</f>
        <v/>
      </c>
      <c r="BM754" t="str">
        <f>""</f>
        <v/>
      </c>
      <c r="BN754" t="str">
        <f>""</f>
        <v/>
      </c>
      <c r="BO754" t="str">
        <f>""</f>
        <v/>
      </c>
      <c r="BP754" t="str">
        <f>""</f>
        <v/>
      </c>
      <c r="BQ754" t="str">
        <f>""</f>
        <v/>
      </c>
      <c r="BR754" t="str">
        <f>""</f>
        <v/>
      </c>
      <c r="BS754" t="str">
        <f>""</f>
        <v/>
      </c>
    </row>
    <row r="755" spans="1:71" x14ac:dyDescent="0.25">
      <c r="A755" t="str">
        <f>$A$356</f>
        <v xml:space="preserve">        Fifth Third Bancorp</v>
      </c>
      <c r="B755" t="str">
        <f>$B$356</f>
        <v>FITB US Equity</v>
      </c>
      <c r="C755" t="str">
        <f>$C$356</f>
        <v>F0126</v>
      </c>
      <c r="D755" t="str">
        <f>$D$356</f>
        <v>FED_SOV_LOANS_%_TOT_LOANS_LEASES</v>
      </c>
      <c r="E755" t="str">
        <f>$E$356</f>
        <v>Dynamic</v>
      </c>
      <c r="F755">
        <f ca="1">_xll.BDH($B$356,$C$356,$B$425,$B$426,CONCATENATE("Per=",$B$423),"Dts=H","Dir=H",CONCATENATE("Points=",$B$424),"Sort=R","Days=A","Fill=B",CONCATENATE("FX=", $B$422),"cols=33;rows=1")</f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5.0000000000000001E-4</v>
      </c>
      <c r="AM755" t="str">
        <f>""</f>
        <v/>
      </c>
      <c r="AN755" t="str">
        <f>""</f>
        <v/>
      </c>
      <c r="AO755" t="str">
        <f>""</f>
        <v/>
      </c>
      <c r="AP755" t="str">
        <f>""</f>
        <v/>
      </c>
      <c r="AQ755" t="str">
        <f>""</f>
        <v/>
      </c>
      <c r="AR755" t="str">
        <f>""</f>
        <v/>
      </c>
      <c r="AS755" t="str">
        <f>""</f>
        <v/>
      </c>
      <c r="AT755" t="str">
        <f>""</f>
        <v/>
      </c>
      <c r="AU755" t="str">
        <f>""</f>
        <v/>
      </c>
      <c r="AV755" t="str">
        <f>""</f>
        <v/>
      </c>
      <c r="AW755" t="str">
        <f>""</f>
        <v/>
      </c>
      <c r="AX755" t="str">
        <f>""</f>
        <v/>
      </c>
      <c r="AY755" t="str">
        <f>""</f>
        <v/>
      </c>
      <c r="AZ755" t="str">
        <f>""</f>
        <v/>
      </c>
      <c r="BA755" t="str">
        <f>""</f>
        <v/>
      </c>
      <c r="BB755" t="str">
        <f>""</f>
        <v/>
      </c>
      <c r="BC755" t="str">
        <f>""</f>
        <v/>
      </c>
      <c r="BD755" t="str">
        <f>""</f>
        <v/>
      </c>
      <c r="BE755" t="str">
        <f>""</f>
        <v/>
      </c>
      <c r="BF755" t="str">
        <f>""</f>
        <v/>
      </c>
      <c r="BG755" t="str">
        <f>""</f>
        <v/>
      </c>
      <c r="BH755" t="str">
        <f>""</f>
        <v/>
      </c>
      <c r="BI755" t="str">
        <f>""</f>
        <v/>
      </c>
      <c r="BJ755" t="str">
        <f>""</f>
        <v/>
      </c>
      <c r="BK755" t="str">
        <f>""</f>
        <v/>
      </c>
      <c r="BL755" t="str">
        <f>""</f>
        <v/>
      </c>
      <c r="BM755" t="str">
        <f>""</f>
        <v/>
      </c>
      <c r="BN755" t="str">
        <f>""</f>
        <v/>
      </c>
      <c r="BO755" t="str">
        <f>""</f>
        <v/>
      </c>
      <c r="BP755" t="str">
        <f>""</f>
        <v/>
      </c>
      <c r="BQ755" t="str">
        <f>""</f>
        <v/>
      </c>
      <c r="BR755" t="str">
        <f>""</f>
        <v/>
      </c>
      <c r="BS755" t="str">
        <f>""</f>
        <v/>
      </c>
    </row>
    <row r="756" spans="1:71" x14ac:dyDescent="0.25">
      <c r="A756" t="str">
        <f>$A$357</f>
        <v xml:space="preserve">        First Citizens BancShares Inc/</v>
      </c>
      <c r="B756" t="str">
        <f>$B$357</f>
        <v>FCNCA US Equity</v>
      </c>
      <c r="C756" t="str">
        <f>$C$357</f>
        <v>F0126</v>
      </c>
      <c r="D756" t="str">
        <f>$D$357</f>
        <v>FED_SOV_LOANS_%_TOT_LOANS_LEASES</v>
      </c>
      <c r="E756" t="str">
        <f>$E$357</f>
        <v>Dynamic</v>
      </c>
      <c r="F756">
        <f ca="1">_xll.BDH($B$357,$C$357,$B$425,$B$426,CONCATENATE("Per=",$B$423),"Dts=H","Dir=H",CONCATENATE("Points=",$B$424),"Sort=R","Days=A","Fill=B",CONCATENATE("FX=", $B$422),"cols=33;rows=1")</f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M756" t="str">
        <f>""</f>
        <v/>
      </c>
      <c r="AN756" t="str">
        <f>""</f>
        <v/>
      </c>
      <c r="AO756" t="str">
        <f>""</f>
        <v/>
      </c>
      <c r="AP756" t="str">
        <f>""</f>
        <v/>
      </c>
      <c r="AQ756" t="str">
        <f>""</f>
        <v/>
      </c>
      <c r="AR756" t="str">
        <f>""</f>
        <v/>
      </c>
      <c r="AS756" t="str">
        <f>""</f>
        <v/>
      </c>
      <c r="AT756" t="str">
        <f>""</f>
        <v/>
      </c>
      <c r="AU756" t="str">
        <f>""</f>
        <v/>
      </c>
      <c r="AV756" t="str">
        <f>""</f>
        <v/>
      </c>
      <c r="AW756" t="str">
        <f>""</f>
        <v/>
      </c>
      <c r="AX756" t="str">
        <f>""</f>
        <v/>
      </c>
      <c r="AY756" t="str">
        <f>""</f>
        <v/>
      </c>
      <c r="AZ756" t="str">
        <f>""</f>
        <v/>
      </c>
      <c r="BA756" t="str">
        <f>""</f>
        <v/>
      </c>
      <c r="BB756" t="str">
        <f>""</f>
        <v/>
      </c>
      <c r="BC756" t="str">
        <f>""</f>
        <v/>
      </c>
      <c r="BD756" t="str">
        <f>""</f>
        <v/>
      </c>
      <c r="BE756" t="str">
        <f>""</f>
        <v/>
      </c>
      <c r="BF756" t="str">
        <f>""</f>
        <v/>
      </c>
      <c r="BG756" t="str">
        <f>""</f>
        <v/>
      </c>
      <c r="BH756" t="str">
        <f>""</f>
        <v/>
      </c>
      <c r="BI756" t="str">
        <f>""</f>
        <v/>
      </c>
      <c r="BJ756" t="str">
        <f>""</f>
        <v/>
      </c>
      <c r="BK756" t="str">
        <f>""</f>
        <v/>
      </c>
      <c r="BL756" t="str">
        <f>""</f>
        <v/>
      </c>
      <c r="BM756" t="str">
        <f>""</f>
        <v/>
      </c>
      <c r="BN756" t="str">
        <f>""</f>
        <v/>
      </c>
      <c r="BO756" t="str">
        <f>""</f>
        <v/>
      </c>
      <c r="BP756" t="str">
        <f>""</f>
        <v/>
      </c>
      <c r="BQ756" t="str">
        <f>""</f>
        <v/>
      </c>
      <c r="BR756" t="str">
        <f>""</f>
        <v/>
      </c>
      <c r="BS756" t="str">
        <f>""</f>
        <v/>
      </c>
    </row>
    <row r="757" spans="1:71" x14ac:dyDescent="0.25">
      <c r="A757" t="str">
        <f>$A$358</f>
        <v xml:space="preserve">        Flagstar Financial Inc</v>
      </c>
      <c r="B757" t="str">
        <f>$B$358</f>
        <v>FLG US Equity</v>
      </c>
      <c r="C757" t="str">
        <f>$C$358</f>
        <v>F0126</v>
      </c>
      <c r="D757" t="str">
        <f>$D$358</f>
        <v>FED_SOV_LOANS_%_TOT_LOANS_LEASES</v>
      </c>
      <c r="E757" t="str">
        <f>$E$358</f>
        <v>Dynamic</v>
      </c>
      <c r="F757">
        <f ca="1">_xll.BDH($B$358,$C$358,$B$425,$B$426,CONCATENATE("Per=",$B$423),"Dts=H","Dir=H",CONCATENATE("Points=",$B$424),"Sort=R","Days=A","Fill=B",CONCATENATE("FX=", $B$422),"cols=33;rows=1")</f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M757" t="str">
        <f>""</f>
        <v/>
      </c>
      <c r="AN757" t="str">
        <f>""</f>
        <v/>
      </c>
      <c r="AO757" t="str">
        <f>""</f>
        <v/>
      </c>
      <c r="AP757" t="str">
        <f>""</f>
        <v/>
      </c>
      <c r="AQ757" t="str">
        <f>""</f>
        <v/>
      </c>
      <c r="AR757" t="str">
        <f>""</f>
        <v/>
      </c>
      <c r="AS757" t="str">
        <f>""</f>
        <v/>
      </c>
      <c r="AT757" t="str">
        <f>""</f>
        <v/>
      </c>
      <c r="AU757" t="str">
        <f>""</f>
        <v/>
      </c>
      <c r="AV757" t="str">
        <f>""</f>
        <v/>
      </c>
      <c r="AW757" t="str">
        <f>""</f>
        <v/>
      </c>
      <c r="AX757" t="str">
        <f>""</f>
        <v/>
      </c>
      <c r="AY757" t="str">
        <f>""</f>
        <v/>
      </c>
      <c r="AZ757" t="str">
        <f>""</f>
        <v/>
      </c>
      <c r="BA757" t="str">
        <f>""</f>
        <v/>
      </c>
      <c r="BB757" t="str">
        <f>""</f>
        <v/>
      </c>
      <c r="BC757" t="str">
        <f>""</f>
        <v/>
      </c>
      <c r="BD757" t="str">
        <f>""</f>
        <v/>
      </c>
      <c r="BE757" t="str">
        <f>""</f>
        <v/>
      </c>
      <c r="BF757" t="str">
        <f>""</f>
        <v/>
      </c>
      <c r="BG757" t="str">
        <f>""</f>
        <v/>
      </c>
      <c r="BH757" t="str">
        <f>""</f>
        <v/>
      </c>
      <c r="BI757" t="str">
        <f>""</f>
        <v/>
      </c>
      <c r="BJ757" t="str">
        <f>""</f>
        <v/>
      </c>
      <c r="BK757" t="str">
        <f>""</f>
        <v/>
      </c>
      <c r="BL757" t="str">
        <f>""</f>
        <v/>
      </c>
      <c r="BM757" t="str">
        <f>""</f>
        <v/>
      </c>
      <c r="BN757" t="str">
        <f>""</f>
        <v/>
      </c>
      <c r="BO757" t="str">
        <f>""</f>
        <v/>
      </c>
      <c r="BP757" t="str">
        <f>""</f>
        <v/>
      </c>
      <c r="BQ757" t="str">
        <f>""</f>
        <v/>
      </c>
      <c r="BR757" t="str">
        <f>""</f>
        <v/>
      </c>
      <c r="BS757" t="str">
        <f>""</f>
        <v/>
      </c>
    </row>
    <row r="758" spans="1:71" x14ac:dyDescent="0.25">
      <c r="A758" t="str">
        <f>$A$359</f>
        <v xml:space="preserve">        Huntington Bancshares Inc/OH</v>
      </c>
      <c r="B758" t="str">
        <f>$B$359</f>
        <v>HBAN US Equity</v>
      </c>
      <c r="C758" t="str">
        <f>$C$359</f>
        <v>F0126</v>
      </c>
      <c r="D758" t="str">
        <f>$D$359</f>
        <v>FED_SOV_LOANS_%_TOT_LOANS_LEASES</v>
      </c>
      <c r="E758" t="str">
        <f>$E$359</f>
        <v>Dynamic</v>
      </c>
      <c r="F758">
        <f ca="1">_xll.BDH($B$359,$C$359,$B$425,$B$426,CONCATENATE("Per=",$B$423),"Dts=H","Dir=H",CONCATENATE("Points=",$B$424),"Sort=R","Days=A","Fill=B",CONCATENATE("FX=", $B$422),"cols=33;rows=1")</f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M758" t="str">
        <f>""</f>
        <v/>
      </c>
      <c r="AN758" t="str">
        <f>""</f>
        <v/>
      </c>
      <c r="AO758" t="str">
        <f>""</f>
        <v/>
      </c>
      <c r="AP758" t="str">
        <f>""</f>
        <v/>
      </c>
      <c r="AQ758" t="str">
        <f>""</f>
        <v/>
      </c>
      <c r="AR758" t="str">
        <f>""</f>
        <v/>
      </c>
      <c r="AS758" t="str">
        <f>""</f>
        <v/>
      </c>
      <c r="AT758" t="str">
        <f>""</f>
        <v/>
      </c>
      <c r="AU758" t="str">
        <f>""</f>
        <v/>
      </c>
      <c r="AV758" t="str">
        <f>""</f>
        <v/>
      </c>
      <c r="AW758" t="str">
        <f>""</f>
        <v/>
      </c>
      <c r="AX758" t="str">
        <f>""</f>
        <v/>
      </c>
      <c r="AY758" t="str">
        <f>""</f>
        <v/>
      </c>
      <c r="AZ758" t="str">
        <f>""</f>
        <v/>
      </c>
      <c r="BA758" t="str">
        <f>""</f>
        <v/>
      </c>
      <c r="BB758" t="str">
        <f>""</f>
        <v/>
      </c>
      <c r="BC758" t="str">
        <f>""</f>
        <v/>
      </c>
      <c r="BD758" t="str">
        <f>""</f>
        <v/>
      </c>
      <c r="BE758" t="str">
        <f>""</f>
        <v/>
      </c>
      <c r="BF758" t="str">
        <f>""</f>
        <v/>
      </c>
      <c r="BG758" t="str">
        <f>""</f>
        <v/>
      </c>
      <c r="BH758" t="str">
        <f>""</f>
        <v/>
      </c>
      <c r="BI758" t="str">
        <f>""</f>
        <v/>
      </c>
      <c r="BJ758" t="str">
        <f>""</f>
        <v/>
      </c>
      <c r="BK758" t="str">
        <f>""</f>
        <v/>
      </c>
      <c r="BL758" t="str">
        <f>""</f>
        <v/>
      </c>
      <c r="BM758" t="str">
        <f>""</f>
        <v/>
      </c>
      <c r="BN758" t="str">
        <f>""</f>
        <v/>
      </c>
      <c r="BO758" t="str">
        <f>""</f>
        <v/>
      </c>
      <c r="BP758" t="str">
        <f>""</f>
        <v/>
      </c>
      <c r="BQ758" t="str">
        <f>""</f>
        <v/>
      </c>
      <c r="BR758" t="str">
        <f>""</f>
        <v/>
      </c>
      <c r="BS758" t="str">
        <f>""</f>
        <v/>
      </c>
    </row>
    <row r="759" spans="1:71" x14ac:dyDescent="0.25">
      <c r="A759" t="str">
        <f>$A$360</f>
        <v xml:space="preserve">        JPMorgan Chase &amp; Co</v>
      </c>
      <c r="B759" t="str">
        <f>$B$360</f>
        <v>JPM US Equity</v>
      </c>
      <c r="C759" t="str">
        <f>$C$360</f>
        <v>F0126</v>
      </c>
      <c r="D759" t="str">
        <f>$D$360</f>
        <v>FED_SOV_LOANS_%_TOT_LOANS_LEASES</v>
      </c>
      <c r="E759" t="str">
        <f>$E$360</f>
        <v>Dynamic</v>
      </c>
      <c r="F759">
        <f ca="1">_xll.BDH($B$360,$C$360,$B$425,$B$426,CONCATENATE("Per=",$B$423),"Dts=H","Dir=H",CONCATENATE("Points=",$B$424),"Sort=R","Days=A","Fill=B",CONCATENATE("FX=", $B$422),"cols=33;rows=1")</f>
        <v>0.29139999999999999</v>
      </c>
      <c r="G759">
        <v>0.35770000000000002</v>
      </c>
      <c r="H759">
        <v>0.2586</v>
      </c>
      <c r="I759">
        <v>0.1749</v>
      </c>
      <c r="J759">
        <v>0.2447</v>
      </c>
      <c r="K759">
        <v>0.2989</v>
      </c>
      <c r="L759">
        <v>0.30449999999999999</v>
      </c>
      <c r="M759">
        <v>0.23300000000000001</v>
      </c>
      <c r="N759">
        <v>0.33110000000000001</v>
      </c>
      <c r="O759">
        <v>0.10589999999999999</v>
      </c>
      <c r="P759">
        <v>0.1236</v>
      </c>
      <c r="Q759">
        <v>0.1348</v>
      </c>
      <c r="R759">
        <v>1.4200000000000001E-2</v>
      </c>
      <c r="S759">
        <v>1.12E-2</v>
      </c>
      <c r="T759">
        <v>1.6999999999999999E-3</v>
      </c>
      <c r="U759">
        <v>0.2114</v>
      </c>
      <c r="V759">
        <v>4.3200000000000002E-2</v>
      </c>
      <c r="W759">
        <v>2.92E-2</v>
      </c>
      <c r="X759">
        <v>0.52680000000000005</v>
      </c>
      <c r="Y759">
        <v>0.28889999999999999</v>
      </c>
      <c r="Z759">
        <v>0.64129999999999998</v>
      </c>
      <c r="AA759">
        <v>0.32119999999999999</v>
      </c>
      <c r="AB759">
        <v>0.27929999999999999</v>
      </c>
      <c r="AC759">
        <v>0.64580000000000004</v>
      </c>
      <c r="AM759" t="str">
        <f>""</f>
        <v/>
      </c>
      <c r="AN759" t="str">
        <f>""</f>
        <v/>
      </c>
      <c r="AO759" t="str">
        <f>""</f>
        <v/>
      </c>
      <c r="AP759" t="str">
        <f>""</f>
        <v/>
      </c>
      <c r="AQ759" t="str">
        <f>""</f>
        <v/>
      </c>
      <c r="AR759" t="str">
        <f>""</f>
        <v/>
      </c>
      <c r="AS759" t="str">
        <f>""</f>
        <v/>
      </c>
      <c r="AT759" t="str">
        <f>""</f>
        <v/>
      </c>
      <c r="AU759" t="str">
        <f>""</f>
        <v/>
      </c>
      <c r="AV759" t="str">
        <f>""</f>
        <v/>
      </c>
      <c r="AW759" t="str">
        <f>""</f>
        <v/>
      </c>
      <c r="AX759" t="str">
        <f>""</f>
        <v/>
      </c>
      <c r="AY759" t="str">
        <f>""</f>
        <v/>
      </c>
      <c r="AZ759" t="str">
        <f>""</f>
        <v/>
      </c>
      <c r="BA759" t="str">
        <f>""</f>
        <v/>
      </c>
      <c r="BB759" t="str">
        <f>""</f>
        <v/>
      </c>
      <c r="BC759" t="str">
        <f>""</f>
        <v/>
      </c>
      <c r="BD759" t="str">
        <f>""</f>
        <v/>
      </c>
      <c r="BE759" t="str">
        <f>""</f>
        <v/>
      </c>
      <c r="BF759" t="str">
        <f>""</f>
        <v/>
      </c>
      <c r="BG759" t="str">
        <f>""</f>
        <v/>
      </c>
      <c r="BH759" t="str">
        <f>""</f>
        <v/>
      </c>
      <c r="BI759" t="str">
        <f>""</f>
        <v/>
      </c>
      <c r="BJ759" t="str">
        <f>""</f>
        <v/>
      </c>
      <c r="BK759" t="str">
        <f>""</f>
        <v/>
      </c>
      <c r="BL759" t="str">
        <f>""</f>
        <v/>
      </c>
      <c r="BM759" t="str">
        <f>""</f>
        <v/>
      </c>
      <c r="BN759" t="str">
        <f>""</f>
        <v/>
      </c>
      <c r="BO759" t="str">
        <f>""</f>
        <v/>
      </c>
      <c r="BP759" t="str">
        <f>""</f>
        <v/>
      </c>
      <c r="BQ759" t="str">
        <f>""</f>
        <v/>
      </c>
      <c r="BR759" t="str">
        <f>""</f>
        <v/>
      </c>
      <c r="BS759" t="str">
        <f>""</f>
        <v/>
      </c>
    </row>
    <row r="760" spans="1:71" x14ac:dyDescent="0.25">
      <c r="A760" t="str">
        <f>$A$361</f>
        <v xml:space="preserve">        KeyCorp</v>
      </c>
      <c r="B760" t="str">
        <f>$B$361</f>
        <v>KEY US Equity</v>
      </c>
      <c r="C760" t="str">
        <f>$C$361</f>
        <v>F0126</v>
      </c>
      <c r="D760" t="str">
        <f>$D$361</f>
        <v>FED_SOV_LOANS_%_TOT_LOANS_LEASES</v>
      </c>
      <c r="E760" t="str">
        <f>$E$361</f>
        <v>Dynamic</v>
      </c>
      <c r="F760">
        <f ca="1">_xll.BDH($B$361,$C$361,$B$425,$B$426,CONCATENATE("Per=",$B$423),"Dts=H","Dir=H",CONCATENATE("Points=",$B$424),"Sort=R","Days=A","Fill=B",CONCATENATE("FX=", $B$422),"cols=33;rows=1")</f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4.3E-3</v>
      </c>
      <c r="Y760">
        <v>2.0999999999999999E-3</v>
      </c>
      <c r="Z760">
        <v>8.9999999999999998E-4</v>
      </c>
      <c r="AA760">
        <v>1.6999999999999999E-3</v>
      </c>
      <c r="AB760">
        <v>4.4299999999999999E-2</v>
      </c>
      <c r="AC760">
        <v>0.12790000000000001</v>
      </c>
      <c r="AM760" t="str">
        <f>""</f>
        <v/>
      </c>
      <c r="AN760" t="str">
        <f>""</f>
        <v/>
      </c>
      <c r="AO760" t="str">
        <f>""</f>
        <v/>
      </c>
      <c r="AP760" t="str">
        <f>""</f>
        <v/>
      </c>
      <c r="AQ760" t="str">
        <f>""</f>
        <v/>
      </c>
      <c r="AR760" t="str">
        <f>""</f>
        <v/>
      </c>
      <c r="AS760" t="str">
        <f>""</f>
        <v/>
      </c>
      <c r="AT760" t="str">
        <f>""</f>
        <v/>
      </c>
      <c r="AU760" t="str">
        <f>""</f>
        <v/>
      </c>
      <c r="AV760" t="str">
        <f>""</f>
        <v/>
      </c>
      <c r="AW760" t="str">
        <f>""</f>
        <v/>
      </c>
      <c r="AX760" t="str">
        <f>""</f>
        <v/>
      </c>
      <c r="AY760" t="str">
        <f>""</f>
        <v/>
      </c>
      <c r="AZ760" t="str">
        <f>""</f>
        <v/>
      </c>
      <c r="BA760" t="str">
        <f>""</f>
        <v/>
      </c>
      <c r="BB760" t="str">
        <f>""</f>
        <v/>
      </c>
      <c r="BC760" t="str">
        <f>""</f>
        <v/>
      </c>
      <c r="BD760" t="str">
        <f>""</f>
        <v/>
      </c>
      <c r="BE760" t="str">
        <f>""</f>
        <v/>
      </c>
      <c r="BF760" t="str">
        <f>""</f>
        <v/>
      </c>
      <c r="BG760" t="str">
        <f>""</f>
        <v/>
      </c>
      <c r="BH760" t="str">
        <f>""</f>
        <v/>
      </c>
      <c r="BI760" t="str">
        <f>""</f>
        <v/>
      </c>
      <c r="BJ760" t="str">
        <f>""</f>
        <v/>
      </c>
      <c r="BK760" t="str">
        <f>""</f>
        <v/>
      </c>
      <c r="BL760" t="str">
        <f>""</f>
        <v/>
      </c>
      <c r="BM760" t="str">
        <f>""</f>
        <v/>
      </c>
      <c r="BN760" t="str">
        <f>""</f>
        <v/>
      </c>
      <c r="BO760" t="str">
        <f>""</f>
        <v/>
      </c>
      <c r="BP760" t="str">
        <f>""</f>
        <v/>
      </c>
      <c r="BQ760" t="str">
        <f>""</f>
        <v/>
      </c>
      <c r="BR760" t="str">
        <f>""</f>
        <v/>
      </c>
      <c r="BS760" t="str">
        <f>""</f>
        <v/>
      </c>
    </row>
    <row r="761" spans="1:71" x14ac:dyDescent="0.25">
      <c r="A761" t="str">
        <f>$A$362</f>
        <v xml:space="preserve">        M&amp;T Bank Corp</v>
      </c>
      <c r="B761" t="str">
        <f>$B$362</f>
        <v>MTB US Equity</v>
      </c>
      <c r="C761" t="str">
        <f>$C$362</f>
        <v>F0126</v>
      </c>
      <c r="D761" t="str">
        <f>$D$362</f>
        <v>FED_SOV_LOANS_%_TOT_LOANS_LEASES</v>
      </c>
      <c r="E761" t="str">
        <f>$E$362</f>
        <v>Dynamic</v>
      </c>
      <c r="F761">
        <f ca="1">_xll.BDH($B$362,$C$362,$B$425,$B$426,CONCATENATE("Per=",$B$423),"Dts=H","Dir=H",CONCATENATE("Points=",$B$424),"Sort=R","Days=A","Fill=B",CONCATENATE("FX=", $B$422),"cols=33;rows=1")</f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2.2000000000000001E-3</v>
      </c>
      <c r="T761">
        <v>7.3000000000000001E-3</v>
      </c>
      <c r="U761">
        <v>1.5900000000000001E-2</v>
      </c>
      <c r="V761">
        <v>2.58E-2</v>
      </c>
      <c r="W761">
        <v>3.0599999999999999E-2</v>
      </c>
      <c r="X761">
        <v>4.5900000000000003E-2</v>
      </c>
      <c r="Y761">
        <v>0.13389999999999999</v>
      </c>
      <c r="Z761">
        <v>0.14349999999999999</v>
      </c>
      <c r="AA761">
        <v>9.4799999999999995E-2</v>
      </c>
      <c r="AB761">
        <v>0</v>
      </c>
      <c r="AC761">
        <v>0</v>
      </c>
      <c r="AM761" t="str">
        <f>""</f>
        <v/>
      </c>
      <c r="AN761" t="str">
        <f>""</f>
        <v/>
      </c>
      <c r="AO761" t="str">
        <f>""</f>
        <v/>
      </c>
      <c r="AP761" t="str">
        <f>""</f>
        <v/>
      </c>
      <c r="AQ761" t="str">
        <f>""</f>
        <v/>
      </c>
      <c r="AR761" t="str">
        <f>""</f>
        <v/>
      </c>
      <c r="AS761" t="str">
        <f>""</f>
        <v/>
      </c>
      <c r="AT761" t="str">
        <f>""</f>
        <v/>
      </c>
      <c r="AU761" t="str">
        <f>""</f>
        <v/>
      </c>
      <c r="AV761" t="str">
        <f>""</f>
        <v/>
      </c>
      <c r="AW761" t="str">
        <f>""</f>
        <v/>
      </c>
      <c r="AX761" t="str">
        <f>""</f>
        <v/>
      </c>
      <c r="AY761" t="str">
        <f>""</f>
        <v/>
      </c>
      <c r="AZ761" t="str">
        <f>""</f>
        <v/>
      </c>
      <c r="BA761" t="str">
        <f>""</f>
        <v/>
      </c>
      <c r="BB761" t="str">
        <f>""</f>
        <v/>
      </c>
      <c r="BC761" t="str">
        <f>""</f>
        <v/>
      </c>
      <c r="BD761" t="str">
        <f>""</f>
        <v/>
      </c>
      <c r="BE761" t="str">
        <f>""</f>
        <v/>
      </c>
      <c r="BF761" t="str">
        <f>""</f>
        <v/>
      </c>
      <c r="BG761" t="str">
        <f>""</f>
        <v/>
      </c>
      <c r="BH761" t="str">
        <f>""</f>
        <v/>
      </c>
      <c r="BI761" t="str">
        <f>""</f>
        <v/>
      </c>
      <c r="BJ761" t="str">
        <f>""</f>
        <v/>
      </c>
      <c r="BK761" t="str">
        <f>""</f>
        <v/>
      </c>
      <c r="BL761" t="str">
        <f>""</f>
        <v/>
      </c>
      <c r="BM761" t="str">
        <f>""</f>
        <v/>
      </c>
      <c r="BN761" t="str">
        <f>""</f>
        <v/>
      </c>
      <c r="BO761" t="str">
        <f>""</f>
        <v/>
      </c>
      <c r="BP761" t="str">
        <f>""</f>
        <v/>
      </c>
      <c r="BQ761" t="str">
        <f>""</f>
        <v/>
      </c>
      <c r="BR761" t="str">
        <f>""</f>
        <v/>
      </c>
      <c r="BS761" t="str">
        <f>""</f>
        <v/>
      </c>
    </row>
    <row r="762" spans="1:71" x14ac:dyDescent="0.25">
      <c r="A762" t="str">
        <f>$A$363</f>
        <v xml:space="preserve">        PNC Financial Services Group I</v>
      </c>
      <c r="B762" t="str">
        <f>$B$363</f>
        <v>PNC US Equity</v>
      </c>
      <c r="C762" t="str">
        <f>$C$363</f>
        <v>F0126</v>
      </c>
      <c r="D762" t="str">
        <f>$D$363</f>
        <v>FED_SOV_LOANS_%_TOT_LOANS_LEASES</v>
      </c>
      <c r="E762" t="str">
        <f>$E$363</f>
        <v>Dynamic</v>
      </c>
      <c r="F762">
        <f ca="1">_xll.BDH($B$363,$C$363,$B$425,$B$426,CONCATENATE("Per=",$B$423),"Dts=H","Dir=H",CONCATENATE("Points=",$B$424),"Sort=R","Days=A","Fill=B",CONCATENATE("FX=", $B$422),"cols=33;rows=1")</f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1E-4</v>
      </c>
      <c r="O762">
        <v>2.9999999999999997E-4</v>
      </c>
      <c r="P762">
        <v>4.0000000000000002E-4</v>
      </c>
      <c r="Q762">
        <v>1.1000000000000001E-3</v>
      </c>
      <c r="R762">
        <v>2.3999999999999998E-3</v>
      </c>
      <c r="S762">
        <v>6.6E-3</v>
      </c>
      <c r="T762">
        <v>8.8999999999999999E-3</v>
      </c>
      <c r="U762">
        <v>1.06E-2</v>
      </c>
      <c r="V762">
        <v>1.11E-2</v>
      </c>
      <c r="W762">
        <v>1.2999999999999999E-2</v>
      </c>
      <c r="X762">
        <v>1.9099999999999999E-2</v>
      </c>
      <c r="Y762">
        <v>2.0299999999999999E-2</v>
      </c>
      <c r="Z762">
        <v>0</v>
      </c>
      <c r="AA762">
        <v>0</v>
      </c>
      <c r="AB762">
        <v>0</v>
      </c>
      <c r="AC762">
        <v>0</v>
      </c>
      <c r="AM762" t="str">
        <f>""</f>
        <v/>
      </c>
      <c r="AN762" t="str">
        <f>""</f>
        <v/>
      </c>
      <c r="AO762" t="str">
        <f>""</f>
        <v/>
      </c>
      <c r="AP762" t="str">
        <f>""</f>
        <v/>
      </c>
      <c r="AQ762" t="str">
        <f>""</f>
        <v/>
      </c>
      <c r="AR762" t="str">
        <f>""</f>
        <v/>
      </c>
      <c r="AS762" t="str">
        <f>""</f>
        <v/>
      </c>
      <c r="AT762" t="str">
        <f>""</f>
        <v/>
      </c>
      <c r="AU762" t="str">
        <f>""</f>
        <v/>
      </c>
      <c r="AV762" t="str">
        <f>""</f>
        <v/>
      </c>
      <c r="AW762" t="str">
        <f>""</f>
        <v/>
      </c>
      <c r="AX762" t="str">
        <f>""</f>
        <v/>
      </c>
      <c r="AY762" t="str">
        <f>""</f>
        <v/>
      </c>
      <c r="AZ762" t="str">
        <f>""</f>
        <v/>
      </c>
      <c r="BA762" t="str">
        <f>""</f>
        <v/>
      </c>
      <c r="BB762" t="str">
        <f>""</f>
        <v/>
      </c>
      <c r="BC762" t="str">
        <f>""</f>
        <v/>
      </c>
      <c r="BD762" t="str">
        <f>""</f>
        <v/>
      </c>
      <c r="BE762" t="str">
        <f>""</f>
        <v/>
      </c>
      <c r="BF762" t="str">
        <f>""</f>
        <v/>
      </c>
      <c r="BG762" t="str">
        <f>""</f>
        <v/>
      </c>
      <c r="BH762" t="str">
        <f>""</f>
        <v/>
      </c>
      <c r="BI762" t="str">
        <f>""</f>
        <v/>
      </c>
      <c r="BJ762" t="str">
        <f>""</f>
        <v/>
      </c>
      <c r="BK762" t="str">
        <f>""</f>
        <v/>
      </c>
      <c r="BL762" t="str">
        <f>""</f>
        <v/>
      </c>
      <c r="BM762" t="str">
        <f>""</f>
        <v/>
      </c>
      <c r="BN762" t="str">
        <f>""</f>
        <v/>
      </c>
      <c r="BO762" t="str">
        <f>""</f>
        <v/>
      </c>
      <c r="BP762" t="str">
        <f>""</f>
        <v/>
      </c>
      <c r="BQ762" t="str">
        <f>""</f>
        <v/>
      </c>
      <c r="BR762" t="str">
        <f>""</f>
        <v/>
      </c>
      <c r="BS762" t="str">
        <f>""</f>
        <v/>
      </c>
    </row>
    <row r="763" spans="1:71" x14ac:dyDescent="0.25">
      <c r="A763" t="str">
        <f>$A$364</f>
        <v xml:space="preserve">        Regions Financial Corp</v>
      </c>
      <c r="B763" t="str">
        <f>$B$364</f>
        <v>RF US Equity</v>
      </c>
      <c r="C763" t="str">
        <f>$C$364</f>
        <v>F0126</v>
      </c>
      <c r="D763" t="str">
        <f>$D$364</f>
        <v>FED_SOV_LOANS_%_TOT_LOANS_LEASES</v>
      </c>
      <c r="E763" t="str">
        <f>$E$364</f>
        <v>Dynamic</v>
      </c>
      <c r="F763">
        <f ca="1">_xll.BDH($B$364,$C$364,$B$425,$B$426,CONCATENATE("Per=",$B$423),"Dts=H","Dir=H",CONCATENATE("Points=",$B$424),"Sort=R","Days=A","Fill=B",CONCATENATE("FX=", $B$422),"cols=33;rows=1")</f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4.0000000000000002E-4</v>
      </c>
      <c r="T763">
        <v>1.6000000000000001E-3</v>
      </c>
      <c r="U763">
        <v>3.2000000000000002E-3</v>
      </c>
      <c r="V763">
        <v>6.8999999999999999E-3</v>
      </c>
      <c r="W763">
        <v>1.11E-2</v>
      </c>
      <c r="X763">
        <v>1.4500000000000001E-2</v>
      </c>
      <c r="Y763">
        <v>2.53E-2</v>
      </c>
      <c r="Z763">
        <v>3.4299999999999997E-2</v>
      </c>
      <c r="AM763" t="str">
        <f>""</f>
        <v/>
      </c>
      <c r="AN763" t="str">
        <f>""</f>
        <v/>
      </c>
      <c r="AO763" t="str">
        <f>""</f>
        <v/>
      </c>
      <c r="AP763" t="str">
        <f>""</f>
        <v/>
      </c>
      <c r="AQ763" t="str">
        <f>""</f>
        <v/>
      </c>
      <c r="AR763" t="str">
        <f>""</f>
        <v/>
      </c>
      <c r="AS763" t="str">
        <f>""</f>
        <v/>
      </c>
      <c r="AT763" t="str">
        <f>""</f>
        <v/>
      </c>
      <c r="AU763" t="str">
        <f>""</f>
        <v/>
      </c>
      <c r="AV763" t="str">
        <f>""</f>
        <v/>
      </c>
      <c r="AW763" t="str">
        <f>""</f>
        <v/>
      </c>
      <c r="AX763" t="str">
        <f>""</f>
        <v/>
      </c>
      <c r="AY763" t="str">
        <f>""</f>
        <v/>
      </c>
      <c r="AZ763" t="str">
        <f>""</f>
        <v/>
      </c>
      <c r="BA763" t="str">
        <f>""</f>
        <v/>
      </c>
      <c r="BB763" t="str">
        <f>""</f>
        <v/>
      </c>
      <c r="BC763" t="str">
        <f>""</f>
        <v/>
      </c>
      <c r="BD763" t="str">
        <f>""</f>
        <v/>
      </c>
      <c r="BE763" t="str">
        <f>""</f>
        <v/>
      </c>
      <c r="BF763" t="str">
        <f>""</f>
        <v/>
      </c>
      <c r="BG763" t="str">
        <f>""</f>
        <v/>
      </c>
      <c r="BH763" t="str">
        <f>""</f>
        <v/>
      </c>
      <c r="BI763" t="str">
        <f>""</f>
        <v/>
      </c>
      <c r="BJ763" t="str">
        <f>""</f>
        <v/>
      </c>
      <c r="BK763" t="str">
        <f>""</f>
        <v/>
      </c>
      <c r="BL763" t="str">
        <f>""</f>
        <v/>
      </c>
      <c r="BM763" t="str">
        <f>""</f>
        <v/>
      </c>
      <c r="BN763" t="str">
        <f>""</f>
        <v/>
      </c>
      <c r="BO763" t="str">
        <f>""</f>
        <v/>
      </c>
      <c r="BP763" t="str">
        <f>""</f>
        <v/>
      </c>
      <c r="BQ763" t="str">
        <f>""</f>
        <v/>
      </c>
      <c r="BR763" t="str">
        <f>""</f>
        <v/>
      </c>
      <c r="BS763" t="str">
        <f>""</f>
        <v/>
      </c>
    </row>
    <row r="764" spans="1:71" x14ac:dyDescent="0.25">
      <c r="A764" t="str">
        <f>$A$365</f>
        <v xml:space="preserve">        Truist Financial Corp</v>
      </c>
      <c r="B764" t="str">
        <f>$B$365</f>
        <v>TFC US Equity</v>
      </c>
      <c r="C764" t="str">
        <f>$C$365</f>
        <v>F0126</v>
      </c>
      <c r="D764" t="str">
        <f>$D$365</f>
        <v>FED_SOV_LOANS_%_TOT_LOANS_LEASES</v>
      </c>
      <c r="E764" t="str">
        <f>$E$365</f>
        <v>Dynamic</v>
      </c>
      <c r="F764">
        <f ca="1">_xll.BDH($B$365,$C$365,$B$425,$B$426,CONCATENATE("Per=",$B$423),"Dts=H","Dir=H",CONCATENATE("Points=",$B$424),"Sort=R","Days=A","Fill=B",CONCATENATE("FX=", $B$422),"cols=33;rows=1")</f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M764" t="str">
        <f>""</f>
        <v/>
      </c>
      <c r="AN764" t="str">
        <f>""</f>
        <v/>
      </c>
      <c r="AO764" t="str">
        <f>""</f>
        <v/>
      </c>
      <c r="AP764" t="str">
        <f>""</f>
        <v/>
      </c>
      <c r="AQ764" t="str">
        <f>""</f>
        <v/>
      </c>
      <c r="AR764" t="str">
        <f>""</f>
        <v/>
      </c>
      <c r="AS764" t="str">
        <f>""</f>
        <v/>
      </c>
      <c r="AT764" t="str">
        <f>""</f>
        <v/>
      </c>
      <c r="AU764" t="str">
        <f>""</f>
        <v/>
      </c>
      <c r="AV764" t="str">
        <f>""</f>
        <v/>
      </c>
      <c r="AW764" t="str">
        <f>""</f>
        <v/>
      </c>
      <c r="AX764" t="str">
        <f>""</f>
        <v/>
      </c>
      <c r="AY764" t="str">
        <f>""</f>
        <v/>
      </c>
      <c r="AZ764" t="str">
        <f>""</f>
        <v/>
      </c>
      <c r="BA764" t="str">
        <f>""</f>
        <v/>
      </c>
      <c r="BB764" t="str">
        <f>""</f>
        <v/>
      </c>
      <c r="BC764" t="str">
        <f>""</f>
        <v/>
      </c>
      <c r="BD764" t="str">
        <f>""</f>
        <v/>
      </c>
      <c r="BE764" t="str">
        <f>""</f>
        <v/>
      </c>
      <c r="BF764" t="str">
        <f>""</f>
        <v/>
      </c>
      <c r="BG764" t="str">
        <f>""</f>
        <v/>
      </c>
      <c r="BH764" t="str">
        <f>""</f>
        <v/>
      </c>
      <c r="BI764" t="str">
        <f>""</f>
        <v/>
      </c>
      <c r="BJ764" t="str">
        <f>""</f>
        <v/>
      </c>
      <c r="BK764" t="str">
        <f>""</f>
        <v/>
      </c>
      <c r="BL764" t="str">
        <f>""</f>
        <v/>
      </c>
      <c r="BM764" t="str">
        <f>""</f>
        <v/>
      </c>
      <c r="BN764" t="str">
        <f>""</f>
        <v/>
      </c>
      <c r="BO764" t="str">
        <f>""</f>
        <v/>
      </c>
      <c r="BP764" t="str">
        <f>""</f>
        <v/>
      </c>
      <c r="BQ764" t="str">
        <f>""</f>
        <v/>
      </c>
      <c r="BR764" t="str">
        <f>""</f>
        <v/>
      </c>
      <c r="BS764" t="str">
        <f>""</f>
        <v/>
      </c>
    </row>
    <row r="765" spans="1:71" x14ac:dyDescent="0.25">
      <c r="A765" t="str">
        <f>$A$366</f>
        <v xml:space="preserve">        US Bancorp</v>
      </c>
      <c r="B765" t="str">
        <f>$B$366</f>
        <v>USB US Equity</v>
      </c>
      <c r="C765" t="str">
        <f>$C$366</f>
        <v>F0126</v>
      </c>
      <c r="D765" t="str">
        <f>$D$366</f>
        <v>FED_SOV_LOANS_%_TOT_LOANS_LEASES</v>
      </c>
      <c r="E765" t="str">
        <f>$E$366</f>
        <v>Dynamic</v>
      </c>
      <c r="F765">
        <f ca="1">_xll.BDH($B$366,$C$366,$B$425,$B$426,CONCATENATE("Per=",$B$423),"Dts=H","Dir=H",CONCATENATE("Points=",$B$424),"Sort=R","Days=A","Fill=B",CONCATENATE("FX=", $B$422),"cols=33;rows=1")</f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M765" t="str">
        <f>""</f>
        <v/>
      </c>
      <c r="AN765" t="str">
        <f>""</f>
        <v/>
      </c>
      <c r="AO765" t="str">
        <f>""</f>
        <v/>
      </c>
      <c r="AP765" t="str">
        <f>""</f>
        <v/>
      </c>
      <c r="AQ765" t="str">
        <f>""</f>
        <v/>
      </c>
      <c r="AR765" t="str">
        <f>""</f>
        <v/>
      </c>
      <c r="AS765" t="str">
        <f>""</f>
        <v/>
      </c>
      <c r="AT765" t="str">
        <f>""</f>
        <v/>
      </c>
      <c r="AU765" t="str">
        <f>""</f>
        <v/>
      </c>
      <c r="AV765" t="str">
        <f>""</f>
        <v/>
      </c>
      <c r="AW765" t="str">
        <f>""</f>
        <v/>
      </c>
      <c r="AX765" t="str">
        <f>""</f>
        <v/>
      </c>
      <c r="AY765" t="str">
        <f>""</f>
        <v/>
      </c>
      <c r="AZ765" t="str">
        <f>""</f>
        <v/>
      </c>
      <c r="BA765" t="str">
        <f>""</f>
        <v/>
      </c>
      <c r="BB765" t="str">
        <f>""</f>
        <v/>
      </c>
      <c r="BC765" t="str">
        <f>""</f>
        <v/>
      </c>
      <c r="BD765" t="str">
        <f>""</f>
        <v/>
      </c>
      <c r="BE765" t="str">
        <f>""</f>
        <v/>
      </c>
      <c r="BF765" t="str">
        <f>""</f>
        <v/>
      </c>
      <c r="BG765" t="str">
        <f>""</f>
        <v/>
      </c>
      <c r="BH765" t="str">
        <f>""</f>
        <v/>
      </c>
      <c r="BI765" t="str">
        <f>""</f>
        <v/>
      </c>
      <c r="BJ765" t="str">
        <f>""</f>
        <v/>
      </c>
      <c r="BK765" t="str">
        <f>""</f>
        <v/>
      </c>
      <c r="BL765" t="str">
        <f>""</f>
        <v/>
      </c>
      <c r="BM765" t="str">
        <f>""</f>
        <v/>
      </c>
      <c r="BN765" t="str">
        <f>""</f>
        <v/>
      </c>
      <c r="BO765" t="str">
        <f>""</f>
        <v/>
      </c>
      <c r="BP765" t="str">
        <f>""</f>
        <v/>
      </c>
      <c r="BQ765" t="str">
        <f>""</f>
        <v/>
      </c>
      <c r="BR765" t="str">
        <f>""</f>
        <v/>
      </c>
      <c r="BS765" t="str">
        <f>""</f>
        <v/>
      </c>
    </row>
    <row r="766" spans="1:71" x14ac:dyDescent="0.25">
      <c r="A766" t="str">
        <f>$A$367</f>
        <v xml:space="preserve">        Wells Fargo &amp; Co</v>
      </c>
      <c r="B766" t="str">
        <f>$B$367</f>
        <v>WFC US Equity</v>
      </c>
      <c r="C766" t="str">
        <f>$C$367</f>
        <v>F0126</v>
      </c>
      <c r="D766" t="str">
        <f>$D$367</f>
        <v>FED_SOV_LOANS_%_TOT_LOANS_LEASES</v>
      </c>
      <c r="E766" t="str">
        <f>$E$367</f>
        <v>Dynamic</v>
      </c>
      <c r="F766">
        <f ca="1">_xll.BDH($B$367,$C$367,$B$425,$B$426,CONCATENATE("Per=",$B$423),"Dts=H","Dir=H",CONCATENATE("Points=",$B$424),"Sort=R","Days=A","Fill=B",CONCATENATE("FX=", $B$422),"cols=33;rows=1")</f>
        <v>1.32E-2</v>
      </c>
      <c r="G766">
        <v>2.5999999999999999E-3</v>
      </c>
      <c r="H766">
        <v>2.3999999999999998E-3</v>
      </c>
      <c r="I766">
        <v>2.0000000000000001E-4</v>
      </c>
      <c r="J766">
        <v>2.0000000000000001E-4</v>
      </c>
      <c r="K766">
        <v>2.7000000000000001E-3</v>
      </c>
      <c r="L766">
        <v>3.8100000000000002E-2</v>
      </c>
      <c r="M766">
        <v>3.4200000000000001E-2</v>
      </c>
      <c r="N766">
        <v>4.82E-2</v>
      </c>
      <c r="O766">
        <v>5.0900000000000001E-2</v>
      </c>
      <c r="P766">
        <v>6.2E-2</v>
      </c>
      <c r="Q766">
        <v>7.5499999999999998E-2</v>
      </c>
      <c r="R766">
        <v>1.7899999999999999E-2</v>
      </c>
      <c r="S766">
        <v>3.7199999999999997E-2</v>
      </c>
      <c r="T766">
        <v>6.59E-2</v>
      </c>
      <c r="U766">
        <v>6.6199999999999995E-2</v>
      </c>
      <c r="V766">
        <v>2.8299999999999999E-2</v>
      </c>
      <c r="W766">
        <v>0</v>
      </c>
      <c r="X766">
        <v>0</v>
      </c>
      <c r="Y766">
        <v>0</v>
      </c>
      <c r="Z766">
        <v>0</v>
      </c>
      <c r="AA766">
        <v>6.9999999999999999E-4</v>
      </c>
      <c r="AB766">
        <v>1.1999999999999999E-3</v>
      </c>
      <c r="AC766">
        <v>1.4E-3</v>
      </c>
      <c r="AM766" t="str">
        <f>""</f>
        <v/>
      </c>
      <c r="AN766" t="str">
        <f>""</f>
        <v/>
      </c>
      <c r="AO766" t="str">
        <f>""</f>
        <v/>
      </c>
      <c r="AP766" t="str">
        <f>""</f>
        <v/>
      </c>
      <c r="AQ766" t="str">
        <f>""</f>
        <v/>
      </c>
      <c r="AR766" t="str">
        <f>""</f>
        <v/>
      </c>
      <c r="AS766" t="str">
        <f>""</f>
        <v/>
      </c>
      <c r="AT766" t="str">
        <f>""</f>
        <v/>
      </c>
      <c r="AU766" t="str">
        <f>""</f>
        <v/>
      </c>
      <c r="AV766" t="str">
        <f>""</f>
        <v/>
      </c>
      <c r="AW766" t="str">
        <f>""</f>
        <v/>
      </c>
      <c r="AX766" t="str">
        <f>""</f>
        <v/>
      </c>
      <c r="AY766" t="str">
        <f>""</f>
        <v/>
      </c>
      <c r="AZ766" t="str">
        <f>""</f>
        <v/>
      </c>
      <c r="BA766" t="str">
        <f>""</f>
        <v/>
      </c>
      <c r="BB766" t="str">
        <f>""</f>
        <v/>
      </c>
      <c r="BC766" t="str">
        <f>""</f>
        <v/>
      </c>
      <c r="BD766" t="str">
        <f>""</f>
        <v/>
      </c>
      <c r="BE766" t="str">
        <f>""</f>
        <v/>
      </c>
      <c r="BF766" t="str">
        <f>""</f>
        <v/>
      </c>
      <c r="BG766" t="str">
        <f>""</f>
        <v/>
      </c>
      <c r="BH766" t="str">
        <f>""</f>
        <v/>
      </c>
      <c r="BI766" t="str">
        <f>""</f>
        <v/>
      </c>
      <c r="BJ766" t="str">
        <f>""</f>
        <v/>
      </c>
      <c r="BK766" t="str">
        <f>""</f>
        <v/>
      </c>
      <c r="BL766" t="str">
        <f>""</f>
        <v/>
      </c>
      <c r="BM766" t="str">
        <f>""</f>
        <v/>
      </c>
      <c r="BN766" t="str">
        <f>""</f>
        <v/>
      </c>
      <c r="BO766" t="str">
        <f>""</f>
        <v/>
      </c>
      <c r="BP766" t="str">
        <f>""</f>
        <v/>
      </c>
      <c r="BQ766" t="str">
        <f>""</f>
        <v/>
      </c>
      <c r="BR766" t="str">
        <f>""</f>
        <v/>
      </c>
      <c r="BS766" t="str">
        <f>""</f>
        <v/>
      </c>
    </row>
    <row r="767" spans="1:71" x14ac:dyDescent="0.25">
      <c r="A767" t="str">
        <f>$A$368</f>
        <v xml:space="preserve">        Western Alliance Bancorp</v>
      </c>
      <c r="B767" t="str">
        <f>$B$368</f>
        <v>WAL US Equity</v>
      </c>
      <c r="C767" t="str">
        <f>$C$368</f>
        <v>F0126</v>
      </c>
      <c r="D767" t="str">
        <f>$D$368</f>
        <v>FED_SOV_LOANS_%_TOT_LOANS_LEASES</v>
      </c>
      <c r="E767" t="str">
        <f>$E$368</f>
        <v>Dynamic</v>
      </c>
      <c r="F767">
        <f ca="1">_xll.BDH($B$368,$C$368,$B$425,$B$426,CONCATENATE("Per=",$B$423),"Dts=H","Dir=H",CONCATENATE("Points=",$B$424),"Sort=R","Days=A","Fill=B",CONCATENATE("FX=", $B$422),"cols=33;rows=1")</f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M767" t="str">
        <f>""</f>
        <v/>
      </c>
      <c r="AN767" t="str">
        <f>""</f>
        <v/>
      </c>
      <c r="AO767" t="str">
        <f>""</f>
        <v/>
      </c>
      <c r="AP767" t="str">
        <f>""</f>
        <v/>
      </c>
      <c r="AQ767" t="str">
        <f>""</f>
        <v/>
      </c>
      <c r="AR767" t="str">
        <f>""</f>
        <v/>
      </c>
      <c r="AS767" t="str">
        <f>""</f>
        <v/>
      </c>
      <c r="AT767" t="str">
        <f>""</f>
        <v/>
      </c>
      <c r="AU767" t="str">
        <f>""</f>
        <v/>
      </c>
      <c r="AV767" t="str">
        <f>""</f>
        <v/>
      </c>
      <c r="AW767" t="str">
        <f>""</f>
        <v/>
      </c>
      <c r="AX767" t="str">
        <f>""</f>
        <v/>
      </c>
      <c r="AY767" t="str">
        <f>""</f>
        <v/>
      </c>
      <c r="AZ767" t="str">
        <f>""</f>
        <v/>
      </c>
      <c r="BA767" t="str">
        <f>""</f>
        <v/>
      </c>
      <c r="BB767" t="str">
        <f>""</f>
        <v/>
      </c>
      <c r="BC767" t="str">
        <f>""</f>
        <v/>
      </c>
      <c r="BD767" t="str">
        <f>""</f>
        <v/>
      </c>
      <c r="BE767" t="str">
        <f>""</f>
        <v/>
      </c>
      <c r="BF767" t="str">
        <f>""</f>
        <v/>
      </c>
      <c r="BG767" t="str">
        <f>""</f>
        <v/>
      </c>
      <c r="BH767" t="str">
        <f>""</f>
        <v/>
      </c>
      <c r="BI767" t="str">
        <f>""</f>
        <v/>
      </c>
      <c r="BJ767" t="str">
        <f>""</f>
        <v/>
      </c>
      <c r="BK767" t="str">
        <f>""</f>
        <v/>
      </c>
      <c r="BL767" t="str">
        <f>""</f>
        <v/>
      </c>
      <c r="BM767" t="str">
        <f>""</f>
        <v/>
      </c>
      <c r="BN767" t="str">
        <f>""</f>
        <v/>
      </c>
      <c r="BO767" t="str">
        <f>""</f>
        <v/>
      </c>
      <c r="BP767" t="str">
        <f>""</f>
        <v/>
      </c>
      <c r="BQ767" t="str">
        <f>""</f>
        <v/>
      </c>
      <c r="BR767" t="str">
        <f>""</f>
        <v/>
      </c>
      <c r="BS767" t="str">
        <f>""</f>
        <v/>
      </c>
    </row>
    <row r="768" spans="1:71" x14ac:dyDescent="0.25">
      <c r="A768" t="str">
        <f>$A$369</f>
        <v xml:space="preserve">        Zions Bancorp NA</v>
      </c>
      <c r="B768" t="str">
        <f>$B$369</f>
        <v>ZION US Equity</v>
      </c>
      <c r="C768" t="str">
        <f>$C$369</f>
        <v>F0126</v>
      </c>
      <c r="D768" t="str">
        <f>$D$369</f>
        <v>FED_SOV_LOANS_%_TOT_LOANS_LEASES</v>
      </c>
      <c r="E768" t="str">
        <f>$E$369</f>
        <v>Dynamic</v>
      </c>
      <c r="F768" t="str">
        <f ca="1">_xll.BDH($B$369,$C$369,$B$425,$B$426,CONCATENATE("Per=",$B$423),"Dts=H","Dir=H",CONCATENATE("Points=",$B$424),"Sort=R","Days=A","Fill=B",CONCATENATE("FX=", $B$422) )</f>
        <v/>
      </c>
      <c r="AM768" t="str">
        <f>""</f>
        <v/>
      </c>
      <c r="AN768" t="str">
        <f>""</f>
        <v/>
      </c>
      <c r="AO768" t="str">
        <f>""</f>
        <v/>
      </c>
      <c r="AP768" t="str">
        <f>""</f>
        <v/>
      </c>
      <c r="AQ768" t="str">
        <f>""</f>
        <v/>
      </c>
      <c r="AR768" t="str">
        <f>""</f>
        <v/>
      </c>
      <c r="AS768" t="str">
        <f>""</f>
        <v/>
      </c>
      <c r="AT768" t="str">
        <f>""</f>
        <v/>
      </c>
      <c r="AU768" t="str">
        <f>""</f>
        <v/>
      </c>
      <c r="AV768" t="str">
        <f>""</f>
        <v/>
      </c>
      <c r="AW768" t="str">
        <f>""</f>
        <v/>
      </c>
      <c r="AX768" t="str">
        <f>""</f>
        <v/>
      </c>
      <c r="AY768" t="str">
        <f>""</f>
        <v/>
      </c>
      <c r="AZ768" t="str">
        <f>""</f>
        <v/>
      </c>
      <c r="BA768" t="str">
        <f>""</f>
        <v/>
      </c>
      <c r="BB768" t="str">
        <f>""</f>
        <v/>
      </c>
      <c r="BC768" t="str">
        <f>""</f>
        <v/>
      </c>
      <c r="BD768" t="str">
        <f>""</f>
        <v/>
      </c>
      <c r="BE768" t="str">
        <f>""</f>
        <v/>
      </c>
      <c r="BF768" t="str">
        <f>""</f>
        <v/>
      </c>
      <c r="BG768" t="str">
        <f>""</f>
        <v/>
      </c>
      <c r="BH768" t="str">
        <f>""</f>
        <v/>
      </c>
      <c r="BI768" t="str">
        <f>""</f>
        <v/>
      </c>
      <c r="BJ768" t="str">
        <f>""</f>
        <v/>
      </c>
      <c r="BK768" t="str">
        <f>""</f>
        <v/>
      </c>
      <c r="BL768" t="str">
        <f>""</f>
        <v/>
      </c>
      <c r="BM768" t="str">
        <f>""</f>
        <v/>
      </c>
      <c r="BN768" t="str">
        <f>""</f>
        <v/>
      </c>
      <c r="BO768" t="str">
        <f>""</f>
        <v/>
      </c>
      <c r="BP768" t="str">
        <f>""</f>
        <v/>
      </c>
      <c r="BQ768" t="str">
        <f>""</f>
        <v/>
      </c>
      <c r="BR768" t="str">
        <f>""</f>
        <v/>
      </c>
      <c r="BS768" t="str">
        <f>""</f>
        <v/>
      </c>
    </row>
    <row r="769" spans="1:71" x14ac:dyDescent="0.25">
      <c r="A769" t="str">
        <f>$A$371</f>
        <v xml:space="preserve">        Bank of America Corp</v>
      </c>
      <c r="B769" t="str">
        <f>$B$371</f>
        <v>BAC US Equity</v>
      </c>
      <c r="C769" t="str">
        <f>$C$371</f>
        <v>F0127</v>
      </c>
      <c r="D769" t="str">
        <f>$D$371</f>
        <v>FED_FARMERS_LOANS_%_TOT_LNS_LEAS</v>
      </c>
      <c r="E769" t="str">
        <f>$E$371</f>
        <v>Dynamic</v>
      </c>
      <c r="F769">
        <f ca="1">_xll.BDH($B$371,$C$371,$B$425,$B$426,CONCATENATE("Per=",$B$423),"Dts=H","Dir=H",CONCATENATE("Points=",$B$424),"Sort=R","Days=A","Fill=B",CONCATENATE("FX=", $B$422),"cols=33;rows=1")</f>
        <v>0.26540000000000002</v>
      </c>
      <c r="G769">
        <v>0.314</v>
      </c>
      <c r="H769">
        <v>0.29470000000000002</v>
      </c>
      <c r="I769">
        <v>0.28120000000000001</v>
      </c>
      <c r="J769">
        <v>6.3899999999999998E-2</v>
      </c>
      <c r="K769">
        <v>6.08E-2</v>
      </c>
      <c r="L769">
        <v>5.74E-2</v>
      </c>
      <c r="M769">
        <v>6.25E-2</v>
      </c>
      <c r="N769">
        <v>7.0800000000000002E-2</v>
      </c>
      <c r="O769">
        <v>0.12909999999999999</v>
      </c>
      <c r="P769">
        <v>0.15160000000000001</v>
      </c>
      <c r="Q769">
        <v>0.12139999999999999</v>
      </c>
      <c r="R769">
        <v>0.11849999999999999</v>
      </c>
      <c r="S769">
        <v>0.1077</v>
      </c>
      <c r="T769">
        <v>0.1179</v>
      </c>
      <c r="U769">
        <v>0.15740000000000001</v>
      </c>
      <c r="V769">
        <v>0.16669999999999999</v>
      </c>
      <c r="W769">
        <v>0.17180000000000001</v>
      </c>
      <c r="X769">
        <v>0.22539999999999999</v>
      </c>
      <c r="Y769">
        <v>0.34589999999999999</v>
      </c>
      <c r="Z769">
        <v>0.32519999999999999</v>
      </c>
      <c r="AA769">
        <v>0.42699999999999999</v>
      </c>
      <c r="AB769">
        <v>0.1237</v>
      </c>
      <c r="AC769">
        <v>0.5494</v>
      </c>
      <c r="AM769" t="str">
        <f>""</f>
        <v/>
      </c>
      <c r="AN769" t="str">
        <f>""</f>
        <v/>
      </c>
      <c r="AO769" t="str">
        <f>""</f>
        <v/>
      </c>
      <c r="AP769" t="str">
        <f>""</f>
        <v/>
      </c>
      <c r="AQ769" t="str">
        <f>""</f>
        <v/>
      </c>
      <c r="AR769" t="str">
        <f>""</f>
        <v/>
      </c>
      <c r="AS769" t="str">
        <f>""</f>
        <v/>
      </c>
      <c r="AT769" t="str">
        <f>""</f>
        <v/>
      </c>
      <c r="AU769" t="str">
        <f>""</f>
        <v/>
      </c>
      <c r="AV769" t="str">
        <f>""</f>
        <v/>
      </c>
      <c r="AW769" t="str">
        <f>""</f>
        <v/>
      </c>
      <c r="AX769" t="str">
        <f>""</f>
        <v/>
      </c>
      <c r="AY769" t="str">
        <f>""</f>
        <v/>
      </c>
      <c r="AZ769" t="str">
        <f>""</f>
        <v/>
      </c>
      <c r="BA769" t="str">
        <f>""</f>
        <v/>
      </c>
      <c r="BB769" t="str">
        <f>""</f>
        <v/>
      </c>
      <c r="BC769" t="str">
        <f>""</f>
        <v/>
      </c>
      <c r="BD769" t="str">
        <f>""</f>
        <v/>
      </c>
      <c r="BE769" t="str">
        <f>""</f>
        <v/>
      </c>
      <c r="BF769" t="str">
        <f>""</f>
        <v/>
      </c>
      <c r="BG769" t="str">
        <f>""</f>
        <v/>
      </c>
      <c r="BH769" t="str">
        <f>""</f>
        <v/>
      </c>
      <c r="BI769" t="str">
        <f>""</f>
        <v/>
      </c>
      <c r="BJ769" t="str">
        <f>""</f>
        <v/>
      </c>
      <c r="BK769" t="str">
        <f>""</f>
        <v/>
      </c>
      <c r="BL769" t="str">
        <f>""</f>
        <v/>
      </c>
      <c r="BM769" t="str">
        <f>""</f>
        <v/>
      </c>
      <c r="BN769" t="str">
        <f>""</f>
        <v/>
      </c>
      <c r="BO769" t="str">
        <f>""</f>
        <v/>
      </c>
      <c r="BP769" t="str">
        <f>""</f>
        <v/>
      </c>
      <c r="BQ769" t="str">
        <f>""</f>
        <v/>
      </c>
      <c r="BR769" t="str">
        <f>""</f>
        <v/>
      </c>
      <c r="BS769" t="str">
        <f>""</f>
        <v/>
      </c>
    </row>
    <row r="770" spans="1:71" x14ac:dyDescent="0.25">
      <c r="A770" t="str">
        <f>$A$372</f>
        <v xml:space="preserve">        Citigroup Inc</v>
      </c>
      <c r="B770" t="str">
        <f>$B$372</f>
        <v>C US Equity</v>
      </c>
      <c r="C770" t="str">
        <f>$C$372</f>
        <v>F0127</v>
      </c>
      <c r="D770" t="str">
        <f>$D$372</f>
        <v>FED_FARMERS_LOANS_%_TOT_LNS_LEAS</v>
      </c>
      <c r="E770" t="str">
        <f>$E$372</f>
        <v>Dynamic</v>
      </c>
      <c r="F770">
        <f ca="1">_xll.BDH($B$372,$C$372,$B$425,$B$426,CONCATENATE("Per=",$B$423),"Dts=H","Dir=H",CONCATENATE("Points=",$B$424),"Sort=R","Days=A","Fill=B",CONCATENATE("FX=", $B$422),"cols=33;rows=1")</f>
        <v>7.3700000000000002E-2</v>
      </c>
      <c r="G770">
        <v>0.1242</v>
      </c>
      <c r="H770">
        <v>0.1114</v>
      </c>
      <c r="I770">
        <v>9.35E-2</v>
      </c>
      <c r="J770">
        <v>9.4500000000000001E-2</v>
      </c>
      <c r="K770">
        <v>0.18310000000000001</v>
      </c>
      <c r="L770">
        <v>0.1487</v>
      </c>
      <c r="M770">
        <v>0.1933</v>
      </c>
      <c r="N770">
        <v>0.2213</v>
      </c>
      <c r="O770">
        <v>0.28960000000000002</v>
      </c>
      <c r="P770">
        <v>0.20269999999999999</v>
      </c>
      <c r="Q770">
        <v>0.16619999999999999</v>
      </c>
      <c r="R770">
        <v>0.16420000000000001</v>
      </c>
      <c r="S770">
        <v>0.1671</v>
      </c>
      <c r="T770">
        <v>0.16900000000000001</v>
      </c>
      <c r="U770">
        <v>0.1855</v>
      </c>
      <c r="V770">
        <v>0.15890000000000001</v>
      </c>
      <c r="W770">
        <v>0.1275</v>
      </c>
      <c r="X770">
        <v>0.126</v>
      </c>
      <c r="Y770">
        <v>0.13689999999999999</v>
      </c>
      <c r="Z770">
        <v>7.5399999999999995E-2</v>
      </c>
      <c r="AA770">
        <v>6.3399999999999998E-2</v>
      </c>
      <c r="AB770">
        <v>7.4700000000000003E-2</v>
      </c>
      <c r="AC770">
        <v>9.4600000000000004E-2</v>
      </c>
      <c r="AM770" t="str">
        <f>""</f>
        <v/>
      </c>
      <c r="AN770" t="str">
        <f>""</f>
        <v/>
      </c>
      <c r="AO770" t="str">
        <f>""</f>
        <v/>
      </c>
      <c r="AP770" t="str">
        <f>""</f>
        <v/>
      </c>
      <c r="AQ770" t="str">
        <f>""</f>
        <v/>
      </c>
      <c r="AR770" t="str">
        <f>""</f>
        <v/>
      </c>
      <c r="AS770" t="str">
        <f>""</f>
        <v/>
      </c>
      <c r="AT770" t="str">
        <f>""</f>
        <v/>
      </c>
      <c r="AU770" t="str">
        <f>""</f>
        <v/>
      </c>
      <c r="AV770" t="str">
        <f>""</f>
        <v/>
      </c>
      <c r="AW770" t="str">
        <f>""</f>
        <v/>
      </c>
      <c r="AX770" t="str">
        <f>""</f>
        <v/>
      </c>
      <c r="AY770" t="str">
        <f>""</f>
        <v/>
      </c>
      <c r="AZ770" t="str">
        <f>""</f>
        <v/>
      </c>
      <c r="BA770" t="str">
        <f>""</f>
        <v/>
      </c>
      <c r="BB770" t="str">
        <f>""</f>
        <v/>
      </c>
      <c r="BC770" t="str">
        <f>""</f>
        <v/>
      </c>
      <c r="BD770" t="str">
        <f>""</f>
        <v/>
      </c>
      <c r="BE770" t="str">
        <f>""</f>
        <v/>
      </c>
      <c r="BF770" t="str">
        <f>""</f>
        <v/>
      </c>
      <c r="BG770" t="str">
        <f>""</f>
        <v/>
      </c>
      <c r="BH770" t="str">
        <f>""</f>
        <v/>
      </c>
      <c r="BI770" t="str">
        <f>""</f>
        <v/>
      </c>
      <c r="BJ770" t="str">
        <f>""</f>
        <v/>
      </c>
      <c r="BK770" t="str">
        <f>""</f>
        <v/>
      </c>
      <c r="BL770" t="str">
        <f>""</f>
        <v/>
      </c>
      <c r="BM770" t="str">
        <f>""</f>
        <v/>
      </c>
      <c r="BN770" t="str">
        <f>""</f>
        <v/>
      </c>
      <c r="BO770" t="str">
        <f>""</f>
        <v/>
      </c>
      <c r="BP770" t="str">
        <f>""</f>
        <v/>
      </c>
      <c r="BQ770" t="str">
        <f>""</f>
        <v/>
      </c>
      <c r="BR770" t="str">
        <f>""</f>
        <v/>
      </c>
      <c r="BS770" t="str">
        <f>""</f>
        <v/>
      </c>
    </row>
    <row r="771" spans="1:71" x14ac:dyDescent="0.25">
      <c r="A771" t="str">
        <f>$A$373</f>
        <v xml:space="preserve">        Citizens Financial Group Inc</v>
      </c>
      <c r="B771" t="str">
        <f>$B$373</f>
        <v>CFG US Equity</v>
      </c>
      <c r="C771" t="str">
        <f>$C$373</f>
        <v>F0127</v>
      </c>
      <c r="D771" t="str">
        <f>$D$373</f>
        <v>FED_FARMERS_LOANS_%_TOT_LNS_LEAS</v>
      </c>
      <c r="E771" t="str">
        <f>$E$373</f>
        <v>Dynamic</v>
      </c>
      <c r="F771">
        <f ca="1">_xll.BDH($B$373,$C$373,$B$425,$B$426,CONCATENATE("Per=",$B$423),"Dts=H","Dir=H",CONCATENATE("Points=",$B$424),"Sort=R","Days=A","Fill=B",CONCATENATE("FX=", $B$422),"cols=33;rows=1")</f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5.9999999999999995E-4</v>
      </c>
      <c r="R771">
        <v>6.9999999999999999E-4</v>
      </c>
      <c r="S771">
        <v>2.0000000000000001E-4</v>
      </c>
      <c r="T771">
        <v>5.0000000000000001E-4</v>
      </c>
      <c r="U771">
        <v>6.9999999999999999E-4</v>
      </c>
      <c r="V771">
        <v>2.9999999999999997E-4</v>
      </c>
      <c r="W771">
        <v>2.9999999999999997E-4</v>
      </c>
      <c r="X771">
        <v>5.0000000000000001E-4</v>
      </c>
      <c r="Y771">
        <v>5.9999999999999995E-4</v>
      </c>
      <c r="Z771">
        <v>4.7999999999999996E-3</v>
      </c>
      <c r="AA771">
        <v>1E-3</v>
      </c>
      <c r="AB771">
        <v>3.3500000000000002E-2</v>
      </c>
      <c r="AC771">
        <v>5.7799999999999997E-2</v>
      </c>
      <c r="AM771" t="str">
        <f>""</f>
        <v/>
      </c>
      <c r="AN771" t="str">
        <f>""</f>
        <v/>
      </c>
      <c r="AO771" t="str">
        <f>""</f>
        <v/>
      </c>
      <c r="AP771" t="str">
        <f>""</f>
        <v/>
      </c>
      <c r="AQ771" t="str">
        <f>""</f>
        <v/>
      </c>
      <c r="AR771" t="str">
        <f>""</f>
        <v/>
      </c>
      <c r="AS771" t="str">
        <f>""</f>
        <v/>
      </c>
      <c r="AT771" t="str">
        <f>""</f>
        <v/>
      </c>
      <c r="AU771" t="str">
        <f>""</f>
        <v/>
      </c>
      <c r="AV771" t="str">
        <f>""</f>
        <v/>
      </c>
      <c r="AW771" t="str">
        <f>""</f>
        <v/>
      </c>
      <c r="AX771" t="str">
        <f>""</f>
        <v/>
      </c>
      <c r="AY771" t="str">
        <f>""</f>
        <v/>
      </c>
      <c r="AZ771" t="str">
        <f>""</f>
        <v/>
      </c>
      <c r="BA771" t="str">
        <f>""</f>
        <v/>
      </c>
      <c r="BB771" t="str">
        <f>""</f>
        <v/>
      </c>
      <c r="BC771" t="str">
        <f>""</f>
        <v/>
      </c>
      <c r="BD771" t="str">
        <f>""</f>
        <v/>
      </c>
      <c r="BE771" t="str">
        <f>""</f>
        <v/>
      </c>
      <c r="BF771" t="str">
        <f>""</f>
        <v/>
      </c>
      <c r="BG771" t="str">
        <f>""</f>
        <v/>
      </c>
      <c r="BH771" t="str">
        <f>""</f>
        <v/>
      </c>
      <c r="BI771" t="str">
        <f>""</f>
        <v/>
      </c>
      <c r="BJ771" t="str">
        <f>""</f>
        <v/>
      </c>
      <c r="BK771" t="str">
        <f>""</f>
        <v/>
      </c>
      <c r="BL771" t="str">
        <f>""</f>
        <v/>
      </c>
      <c r="BM771" t="str">
        <f>""</f>
        <v/>
      </c>
      <c r="BN771" t="str">
        <f>""</f>
        <v/>
      </c>
      <c r="BO771" t="str">
        <f>""</f>
        <v/>
      </c>
      <c r="BP771" t="str">
        <f>""</f>
        <v/>
      </c>
      <c r="BQ771" t="str">
        <f>""</f>
        <v/>
      </c>
      <c r="BR771" t="str">
        <f>""</f>
        <v/>
      </c>
      <c r="BS771" t="str">
        <f>""</f>
        <v/>
      </c>
    </row>
    <row r="772" spans="1:71" x14ac:dyDescent="0.25">
      <c r="A772" t="str">
        <f>$A$374</f>
        <v xml:space="preserve">        Capital One Financial Corp</v>
      </c>
      <c r="B772" t="str">
        <f>$B$374</f>
        <v>COF US Equity</v>
      </c>
      <c r="C772" t="str">
        <f>$C$374</f>
        <v>F0127</v>
      </c>
      <c r="D772" t="str">
        <f>$D$374</f>
        <v>FED_FARMERS_LOANS_%_TOT_LNS_LEAS</v>
      </c>
      <c r="E772" t="str">
        <f>$E$374</f>
        <v>Dynamic</v>
      </c>
      <c r="F772">
        <f ca="1">_xll.BDH($B$374,$C$374,$B$425,$B$426,CONCATENATE("Per=",$B$423),"Dts=H","Dir=H",CONCATENATE("Points=",$B$424),"Sort=R","Days=A","Fill=B",CONCATENATE("FX=", $B$422),"cols=33;rows=1")</f>
        <v>2.9999999999999997E-4</v>
      </c>
      <c r="G772">
        <v>2.9999999999999997E-4</v>
      </c>
      <c r="H772">
        <v>2.9999999999999997E-4</v>
      </c>
      <c r="I772">
        <v>6.1999999999999998E-3</v>
      </c>
      <c r="J772">
        <v>1.09E-2</v>
      </c>
      <c r="K772">
        <v>9.1999999999999998E-3</v>
      </c>
      <c r="L772">
        <v>1.4E-3</v>
      </c>
      <c r="M772">
        <v>4.5999999999999999E-3</v>
      </c>
      <c r="N772">
        <v>5.4999999999999997E-3</v>
      </c>
      <c r="O772">
        <v>1.9E-3</v>
      </c>
      <c r="P772">
        <v>3.5999999999999999E-3</v>
      </c>
      <c r="Q772">
        <v>4.1000000000000003E-3</v>
      </c>
      <c r="R772">
        <v>2.8999999999999998E-3</v>
      </c>
      <c r="S772">
        <v>4.5999999999999999E-3</v>
      </c>
      <c r="T772">
        <v>2.1700000000000001E-2</v>
      </c>
      <c r="U772">
        <v>2.4199999999999999E-2</v>
      </c>
      <c r="V772">
        <v>2.9499999999999998E-2</v>
      </c>
      <c r="W772">
        <v>1.04E-2</v>
      </c>
      <c r="X772">
        <v>2.2700000000000001E-2</v>
      </c>
      <c r="Y772">
        <v>7.3400000000000007E-2</v>
      </c>
      <c r="Z772">
        <v>0</v>
      </c>
      <c r="AM772" t="str">
        <f>""</f>
        <v/>
      </c>
      <c r="AN772" t="str">
        <f>""</f>
        <v/>
      </c>
      <c r="AO772" t="str">
        <f>""</f>
        <v/>
      </c>
      <c r="AP772" t="str">
        <f>""</f>
        <v/>
      </c>
      <c r="AQ772" t="str">
        <f>""</f>
        <v/>
      </c>
      <c r="AR772" t="str">
        <f>""</f>
        <v/>
      </c>
      <c r="AS772" t="str">
        <f>""</f>
        <v/>
      </c>
      <c r="AT772" t="str">
        <f>""</f>
        <v/>
      </c>
      <c r="AU772" t="str">
        <f>""</f>
        <v/>
      </c>
      <c r="AV772" t="str">
        <f>""</f>
        <v/>
      </c>
      <c r="AW772" t="str">
        <f>""</f>
        <v/>
      </c>
      <c r="AX772" t="str">
        <f>""</f>
        <v/>
      </c>
      <c r="AY772" t="str">
        <f>""</f>
        <v/>
      </c>
      <c r="AZ772" t="str">
        <f>""</f>
        <v/>
      </c>
      <c r="BA772" t="str">
        <f>""</f>
        <v/>
      </c>
      <c r="BB772" t="str">
        <f>""</f>
        <v/>
      </c>
      <c r="BC772" t="str">
        <f>""</f>
        <v/>
      </c>
      <c r="BD772" t="str">
        <f>""</f>
        <v/>
      </c>
      <c r="BE772" t="str">
        <f>""</f>
        <v/>
      </c>
      <c r="BF772" t="str">
        <f>""</f>
        <v/>
      </c>
      <c r="BG772" t="str">
        <f>""</f>
        <v/>
      </c>
      <c r="BH772" t="str">
        <f>""</f>
        <v/>
      </c>
      <c r="BI772" t="str">
        <f>""</f>
        <v/>
      </c>
      <c r="BJ772" t="str">
        <f>""</f>
        <v/>
      </c>
      <c r="BK772" t="str">
        <f>""</f>
        <v/>
      </c>
      <c r="BL772" t="str">
        <f>""</f>
        <v/>
      </c>
      <c r="BM772" t="str">
        <f>""</f>
        <v/>
      </c>
      <c r="BN772" t="str">
        <f>""</f>
        <v/>
      </c>
      <c r="BO772" t="str">
        <f>""</f>
        <v/>
      </c>
      <c r="BP772" t="str">
        <f>""</f>
        <v/>
      </c>
      <c r="BQ772" t="str">
        <f>""</f>
        <v/>
      </c>
      <c r="BR772" t="str">
        <f>""</f>
        <v/>
      </c>
      <c r="BS772" t="str">
        <f>""</f>
        <v/>
      </c>
    </row>
    <row r="773" spans="1:71" x14ac:dyDescent="0.25">
      <c r="A773" t="str">
        <f>$A$375</f>
        <v xml:space="preserve">        Comerica Inc</v>
      </c>
      <c r="B773" t="str">
        <f>$B$375</f>
        <v>CMA US Equity</v>
      </c>
      <c r="C773" t="str">
        <f>$C$375</f>
        <v>F0127</v>
      </c>
      <c r="D773" t="str">
        <f>$D$375</f>
        <v>FED_FARMERS_LOANS_%_TOT_LNS_LEAS</v>
      </c>
      <c r="E773" t="str">
        <f>$E$375</f>
        <v>Dynamic</v>
      </c>
      <c r="F773">
        <f ca="1">_xll.BDH($B$375,$C$375,$B$425,$B$426,CONCATENATE("Per=",$B$423),"Dts=H","Dir=H",CONCATENATE("Points=",$B$424),"Sort=R","Days=A","Fill=B",CONCATENATE("FX=", $B$422),"cols=33;rows=1")</f>
        <v>7.4899999999999994E-2</v>
      </c>
      <c r="G773">
        <v>7.8299999999999995E-2</v>
      </c>
      <c r="H773">
        <v>7.6799999999999993E-2</v>
      </c>
      <c r="I773">
        <v>7.0999999999999994E-2</v>
      </c>
      <c r="J773">
        <v>5.9299999999999999E-2</v>
      </c>
      <c r="K773">
        <v>4.5699999999999998E-2</v>
      </c>
      <c r="L773">
        <v>6.4199999999999993E-2</v>
      </c>
      <c r="M773">
        <v>6.2700000000000006E-2</v>
      </c>
      <c r="N773">
        <v>0.10290000000000001</v>
      </c>
      <c r="O773">
        <v>0.18410000000000001</v>
      </c>
      <c r="P773">
        <v>9.9299999999999999E-2</v>
      </c>
      <c r="Q773">
        <v>0.1588</v>
      </c>
      <c r="R773">
        <v>0.127</v>
      </c>
      <c r="S773">
        <v>2.8899999999999999E-2</v>
      </c>
      <c r="T773">
        <v>2.7699999999999999E-2</v>
      </c>
      <c r="U773">
        <v>1.95E-2</v>
      </c>
      <c r="V773">
        <v>1.67E-2</v>
      </c>
      <c r="W773">
        <v>1.55E-2</v>
      </c>
      <c r="X773">
        <v>0.1774</v>
      </c>
      <c r="Y773">
        <v>0.1527</v>
      </c>
      <c r="Z773">
        <v>0.1691</v>
      </c>
      <c r="AA773">
        <v>0.1643</v>
      </c>
      <c r="AB773">
        <v>0.22439999999999999</v>
      </c>
      <c r="AC773">
        <v>0.2326</v>
      </c>
      <c r="AM773" t="str">
        <f>""</f>
        <v/>
      </c>
      <c r="AN773" t="str">
        <f>""</f>
        <v/>
      </c>
      <c r="AO773" t="str">
        <f>""</f>
        <v/>
      </c>
      <c r="AP773" t="str">
        <f>""</f>
        <v/>
      </c>
      <c r="AQ773" t="str">
        <f>""</f>
        <v/>
      </c>
      <c r="AR773" t="str">
        <f>""</f>
        <v/>
      </c>
      <c r="AS773" t="str">
        <f>""</f>
        <v/>
      </c>
      <c r="AT773" t="str">
        <f>""</f>
        <v/>
      </c>
      <c r="AU773" t="str">
        <f>""</f>
        <v/>
      </c>
      <c r="AV773" t="str">
        <f>""</f>
        <v/>
      </c>
      <c r="AW773" t="str">
        <f>""</f>
        <v/>
      </c>
      <c r="AX773" t="str">
        <f>""</f>
        <v/>
      </c>
      <c r="AY773" t="str">
        <f>""</f>
        <v/>
      </c>
      <c r="AZ773" t="str">
        <f>""</f>
        <v/>
      </c>
      <c r="BA773" t="str">
        <f>""</f>
        <v/>
      </c>
      <c r="BB773" t="str">
        <f>""</f>
        <v/>
      </c>
      <c r="BC773" t="str">
        <f>""</f>
        <v/>
      </c>
      <c r="BD773" t="str">
        <f>""</f>
        <v/>
      </c>
      <c r="BE773" t="str">
        <f>""</f>
        <v/>
      </c>
      <c r="BF773" t="str">
        <f>""</f>
        <v/>
      </c>
      <c r="BG773" t="str">
        <f>""</f>
        <v/>
      </c>
      <c r="BH773" t="str">
        <f>""</f>
        <v/>
      </c>
      <c r="BI773" t="str">
        <f>""</f>
        <v/>
      </c>
      <c r="BJ773" t="str">
        <f>""</f>
        <v/>
      </c>
      <c r="BK773" t="str">
        <f>""</f>
        <v/>
      </c>
      <c r="BL773" t="str">
        <f>""</f>
        <v/>
      </c>
      <c r="BM773" t="str">
        <f>""</f>
        <v/>
      </c>
      <c r="BN773" t="str">
        <f>""</f>
        <v/>
      </c>
      <c r="BO773" t="str">
        <f>""</f>
        <v/>
      </c>
      <c r="BP773" t="str">
        <f>""</f>
        <v/>
      </c>
      <c r="BQ773" t="str">
        <f>""</f>
        <v/>
      </c>
      <c r="BR773" t="str">
        <f>""</f>
        <v/>
      </c>
      <c r="BS773" t="str">
        <f>""</f>
        <v/>
      </c>
    </row>
    <row r="774" spans="1:71" x14ac:dyDescent="0.25">
      <c r="A774" t="str">
        <f>$A$376</f>
        <v xml:space="preserve">        East West Bancorp Inc</v>
      </c>
      <c r="B774" t="str">
        <f>$B$376</f>
        <v>EWBC US Equity</v>
      </c>
      <c r="C774" t="str">
        <f>$C$376</f>
        <v>F0127</v>
      </c>
      <c r="D774" t="str">
        <f>$D$376</f>
        <v>FED_FARMERS_LOANS_%_TOT_LNS_LEAS</v>
      </c>
      <c r="E774" t="str">
        <f>$E$376</f>
        <v>Dynamic</v>
      </c>
      <c r="F774">
        <f ca="1">_xll.BDH($B$376,$C$376,$B$425,$B$426,CONCATENATE("Per=",$B$423),"Dts=H","Dir=H",CONCATENATE("Points=",$B$424),"Sort=R","Days=A","Fill=B",CONCATENATE("FX=", $B$422),"cols=33;rows=1")</f>
        <v>1.8700000000000001E-2</v>
      </c>
      <c r="G774">
        <v>1.21E-2</v>
      </c>
      <c r="H774">
        <v>1.6999999999999999E-3</v>
      </c>
      <c r="I774">
        <v>2.93E-2</v>
      </c>
      <c r="J774">
        <v>3.6999999999999998E-2</v>
      </c>
      <c r="K774">
        <v>4.9299999999999997E-2</v>
      </c>
      <c r="L774">
        <v>6.7999999999999996E-3</v>
      </c>
      <c r="M774">
        <v>4.4400000000000002E-2</v>
      </c>
      <c r="N774">
        <v>0.35680000000000001</v>
      </c>
      <c r="O774">
        <v>0.15859999999999999</v>
      </c>
      <c r="P774">
        <v>5.91E-2</v>
      </c>
      <c r="Q774">
        <v>6.4799999999999996E-2</v>
      </c>
      <c r="R774">
        <v>7.0999999999999994E-2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M774" t="str">
        <f>""</f>
        <v/>
      </c>
      <c r="AN774" t="str">
        <f>""</f>
        <v/>
      </c>
      <c r="AO774" t="str">
        <f>""</f>
        <v/>
      </c>
      <c r="AP774" t="str">
        <f>""</f>
        <v/>
      </c>
      <c r="AQ774" t="str">
        <f>""</f>
        <v/>
      </c>
      <c r="AR774" t="str">
        <f>""</f>
        <v/>
      </c>
      <c r="AS774" t="str">
        <f>""</f>
        <v/>
      </c>
      <c r="AT774" t="str">
        <f>""</f>
        <v/>
      </c>
      <c r="AU774" t="str">
        <f>""</f>
        <v/>
      </c>
      <c r="AV774" t="str">
        <f>""</f>
        <v/>
      </c>
      <c r="AW774" t="str">
        <f>""</f>
        <v/>
      </c>
      <c r="AX774" t="str">
        <f>""</f>
        <v/>
      </c>
      <c r="AY774" t="str">
        <f>""</f>
        <v/>
      </c>
      <c r="AZ774" t="str">
        <f>""</f>
        <v/>
      </c>
      <c r="BA774" t="str">
        <f>""</f>
        <v/>
      </c>
      <c r="BB774" t="str">
        <f>""</f>
        <v/>
      </c>
      <c r="BC774" t="str">
        <f>""</f>
        <v/>
      </c>
      <c r="BD774" t="str">
        <f>""</f>
        <v/>
      </c>
      <c r="BE774" t="str">
        <f>""</f>
        <v/>
      </c>
      <c r="BF774" t="str">
        <f>""</f>
        <v/>
      </c>
      <c r="BG774" t="str">
        <f>""</f>
        <v/>
      </c>
      <c r="BH774" t="str">
        <f>""</f>
        <v/>
      </c>
      <c r="BI774" t="str">
        <f>""</f>
        <v/>
      </c>
      <c r="BJ774" t="str">
        <f>""</f>
        <v/>
      </c>
      <c r="BK774" t="str">
        <f>""</f>
        <v/>
      </c>
      <c r="BL774" t="str">
        <f>""</f>
        <v/>
      </c>
      <c r="BM774" t="str">
        <f>""</f>
        <v/>
      </c>
      <c r="BN774" t="str">
        <f>""</f>
        <v/>
      </c>
      <c r="BO774" t="str">
        <f>""</f>
        <v/>
      </c>
      <c r="BP774" t="str">
        <f>""</f>
        <v/>
      </c>
      <c r="BQ774" t="str">
        <f>""</f>
        <v/>
      </c>
      <c r="BR774" t="str">
        <f>""</f>
        <v/>
      </c>
      <c r="BS774" t="str">
        <f>""</f>
        <v/>
      </c>
    </row>
    <row r="775" spans="1:71" x14ac:dyDescent="0.25">
      <c r="A775" t="str">
        <f>$A$377</f>
        <v xml:space="preserve">        Fifth Third Bancorp</v>
      </c>
      <c r="B775" t="str">
        <f>$B$377</f>
        <v>FITB US Equity</v>
      </c>
      <c r="C775" t="str">
        <f>$C$377</f>
        <v>F0127</v>
      </c>
      <c r="D775" t="str">
        <f>$D$377</f>
        <v>FED_FARMERS_LOANS_%_TOT_LNS_LEAS</v>
      </c>
      <c r="E775" t="str">
        <f>$E$377</f>
        <v>Dynamic</v>
      </c>
      <c r="F775">
        <f ca="1">_xll.BDH($B$377,$C$377,$B$425,$B$426,CONCATENATE("Per=",$B$423),"Dts=H","Dir=H",CONCATENATE("Points=",$B$424),"Sort=R","Days=A","Fill=B",CONCATENATE("FX=", $B$422),"cols=33;rows=1")</f>
        <v>1.49E-2</v>
      </c>
      <c r="G775">
        <v>2.64E-2</v>
      </c>
      <c r="H775">
        <v>2.6599999999999999E-2</v>
      </c>
      <c r="I775">
        <v>2.3400000000000001E-2</v>
      </c>
      <c r="J775">
        <v>1.9599999999999999E-2</v>
      </c>
      <c r="K775">
        <v>1.78E-2</v>
      </c>
      <c r="L775">
        <v>3.7900000000000003E-2</v>
      </c>
      <c r="M775">
        <v>4.7600000000000003E-2</v>
      </c>
      <c r="N775">
        <v>5.7299999999999997E-2</v>
      </c>
      <c r="O775">
        <v>9.0499999999999997E-2</v>
      </c>
      <c r="P775">
        <v>0.12</v>
      </c>
      <c r="Q775">
        <v>8.9399999999999993E-2</v>
      </c>
      <c r="R775">
        <v>0.12189999999999999</v>
      </c>
      <c r="S775">
        <v>0.17829999999999999</v>
      </c>
      <c r="T775">
        <v>0.30409999999999998</v>
      </c>
      <c r="U775">
        <v>0.46239999999999998</v>
      </c>
      <c r="V775">
        <v>0.45619999999999999</v>
      </c>
      <c r="W775">
        <v>0.40600000000000003</v>
      </c>
      <c r="X775">
        <v>0.42399999999999999</v>
      </c>
      <c r="Y775">
        <v>0.46189999999999998</v>
      </c>
      <c r="Z775">
        <v>0.4662</v>
      </c>
      <c r="AA775">
        <v>0.47939999999999999</v>
      </c>
      <c r="AB775">
        <v>0.50239999999999996</v>
      </c>
      <c r="AC775">
        <v>0.44400000000000001</v>
      </c>
      <c r="AM775" t="str">
        <f>""</f>
        <v/>
      </c>
      <c r="AN775" t="str">
        <f>""</f>
        <v/>
      </c>
      <c r="AO775" t="str">
        <f>""</f>
        <v/>
      </c>
      <c r="AP775" t="str">
        <f>""</f>
        <v/>
      </c>
      <c r="AQ775" t="str">
        <f>""</f>
        <v/>
      </c>
      <c r="AR775" t="str">
        <f>""</f>
        <v/>
      </c>
      <c r="AS775" t="str">
        <f>""</f>
        <v/>
      </c>
      <c r="AT775" t="str">
        <f>""</f>
        <v/>
      </c>
      <c r="AU775" t="str">
        <f>""</f>
        <v/>
      </c>
      <c r="AV775" t="str">
        <f>""</f>
        <v/>
      </c>
      <c r="AW775" t="str">
        <f>""</f>
        <v/>
      </c>
      <c r="AX775" t="str">
        <f>""</f>
        <v/>
      </c>
      <c r="AY775" t="str">
        <f>""</f>
        <v/>
      </c>
      <c r="AZ775" t="str">
        <f>""</f>
        <v/>
      </c>
      <c r="BA775" t="str">
        <f>""</f>
        <v/>
      </c>
      <c r="BB775" t="str">
        <f>""</f>
        <v/>
      </c>
      <c r="BC775" t="str">
        <f>""</f>
        <v/>
      </c>
      <c r="BD775" t="str">
        <f>""</f>
        <v/>
      </c>
      <c r="BE775" t="str">
        <f>""</f>
        <v/>
      </c>
      <c r="BF775" t="str">
        <f>""</f>
        <v/>
      </c>
      <c r="BG775" t="str">
        <f>""</f>
        <v/>
      </c>
      <c r="BH775" t="str">
        <f>""</f>
        <v/>
      </c>
      <c r="BI775" t="str">
        <f>""</f>
        <v/>
      </c>
      <c r="BJ775" t="str">
        <f>""</f>
        <v/>
      </c>
      <c r="BK775" t="str">
        <f>""</f>
        <v/>
      </c>
      <c r="BL775" t="str">
        <f>""</f>
        <v/>
      </c>
      <c r="BM775" t="str">
        <f>""</f>
        <v/>
      </c>
      <c r="BN775" t="str">
        <f>""</f>
        <v/>
      </c>
      <c r="BO775" t="str">
        <f>""</f>
        <v/>
      </c>
      <c r="BP775" t="str">
        <f>""</f>
        <v/>
      </c>
      <c r="BQ775" t="str">
        <f>""</f>
        <v/>
      </c>
      <c r="BR775" t="str">
        <f>""</f>
        <v/>
      </c>
      <c r="BS775" t="str">
        <f>""</f>
        <v/>
      </c>
    </row>
    <row r="776" spans="1:71" x14ac:dyDescent="0.25">
      <c r="A776" t="str">
        <f>$A$378</f>
        <v xml:space="preserve">        First Citizens BancShares Inc/</v>
      </c>
      <c r="B776" t="str">
        <f>$B$378</f>
        <v>FCNCA US Equity</v>
      </c>
      <c r="C776" t="str">
        <f>$C$378</f>
        <v>F0127</v>
      </c>
      <c r="D776" t="str">
        <f>$D$378</f>
        <v>FED_FARMERS_LOANS_%_TOT_LNS_LEAS</v>
      </c>
      <c r="E776" t="str">
        <f>$E$378</f>
        <v>Dynamic</v>
      </c>
      <c r="F776">
        <f ca="1">_xll.BDH($B$378,$C$378,$B$425,$B$426,CONCATENATE("Per=",$B$423),"Dts=H","Dir=H",CONCATENATE("Points=",$B$424),"Sort=R","Days=A","Fill=B",CONCATENATE("FX=", $B$422),"cols=33;rows=1")</f>
        <v>0.29289999999999999</v>
      </c>
      <c r="G776">
        <v>0.26129999999999998</v>
      </c>
      <c r="H776">
        <v>0.4476</v>
      </c>
      <c r="I776">
        <v>0.6361</v>
      </c>
      <c r="J776">
        <v>0.7228</v>
      </c>
      <c r="K776">
        <v>0.72170000000000001</v>
      </c>
      <c r="L776">
        <v>0.72570000000000001</v>
      </c>
      <c r="M776">
        <v>0.61850000000000005</v>
      </c>
      <c r="N776">
        <v>0.52849999999999997</v>
      </c>
      <c r="O776">
        <v>0.5454</v>
      </c>
      <c r="P776">
        <v>0.49209999999999998</v>
      </c>
      <c r="Q776">
        <v>0.57140000000000002</v>
      </c>
      <c r="R776">
        <v>0.69879999999999998</v>
      </c>
      <c r="S776">
        <v>0.80759999999999998</v>
      </c>
      <c r="T776">
        <v>0.996</v>
      </c>
      <c r="U776">
        <v>1.2578</v>
      </c>
      <c r="V776">
        <v>1.4584999999999999</v>
      </c>
      <c r="W776">
        <v>1.7696000000000001</v>
      </c>
      <c r="X776">
        <v>2.0423</v>
      </c>
      <c r="Y776">
        <v>1.4138999999999999</v>
      </c>
      <c r="Z776">
        <v>0.66649999999999998</v>
      </c>
      <c r="AA776">
        <v>0.69220000000000004</v>
      </c>
      <c r="AB776">
        <v>0.78039999999999998</v>
      </c>
      <c r="AC776">
        <v>0.71719999999999995</v>
      </c>
      <c r="AM776" t="str">
        <f>""</f>
        <v/>
      </c>
      <c r="AN776" t="str">
        <f>""</f>
        <v/>
      </c>
      <c r="AO776" t="str">
        <f>""</f>
        <v/>
      </c>
      <c r="AP776" t="str">
        <f>""</f>
        <v/>
      </c>
      <c r="AQ776" t="str">
        <f>""</f>
        <v/>
      </c>
      <c r="AR776" t="str">
        <f>""</f>
        <v/>
      </c>
      <c r="AS776" t="str">
        <f>""</f>
        <v/>
      </c>
      <c r="AT776" t="str">
        <f>""</f>
        <v/>
      </c>
      <c r="AU776" t="str">
        <f>""</f>
        <v/>
      </c>
      <c r="AV776" t="str">
        <f>""</f>
        <v/>
      </c>
      <c r="AW776" t="str">
        <f>""</f>
        <v/>
      </c>
      <c r="AX776" t="str">
        <f>""</f>
        <v/>
      </c>
      <c r="AY776" t="str">
        <f>""</f>
        <v/>
      </c>
      <c r="AZ776" t="str">
        <f>""</f>
        <v/>
      </c>
      <c r="BA776" t="str">
        <f>""</f>
        <v/>
      </c>
      <c r="BB776" t="str">
        <f>""</f>
        <v/>
      </c>
      <c r="BC776" t="str">
        <f>""</f>
        <v/>
      </c>
      <c r="BD776" t="str">
        <f>""</f>
        <v/>
      </c>
      <c r="BE776" t="str">
        <f>""</f>
        <v/>
      </c>
      <c r="BF776" t="str">
        <f>""</f>
        <v/>
      </c>
      <c r="BG776" t="str">
        <f>""</f>
        <v/>
      </c>
      <c r="BH776" t="str">
        <f>""</f>
        <v/>
      </c>
      <c r="BI776" t="str">
        <f>""</f>
        <v/>
      </c>
      <c r="BJ776" t="str">
        <f>""</f>
        <v/>
      </c>
      <c r="BK776" t="str">
        <f>""</f>
        <v/>
      </c>
      <c r="BL776" t="str">
        <f>""</f>
        <v/>
      </c>
      <c r="BM776" t="str">
        <f>""</f>
        <v/>
      </c>
      <c r="BN776" t="str">
        <f>""</f>
        <v/>
      </c>
      <c r="BO776" t="str">
        <f>""</f>
        <v/>
      </c>
      <c r="BP776" t="str">
        <f>""</f>
        <v/>
      </c>
      <c r="BQ776" t="str">
        <f>""</f>
        <v/>
      </c>
      <c r="BR776" t="str">
        <f>""</f>
        <v/>
      </c>
      <c r="BS776" t="str">
        <f>""</f>
        <v/>
      </c>
    </row>
    <row r="777" spans="1:71" x14ac:dyDescent="0.25">
      <c r="A777" t="str">
        <f>$A$379</f>
        <v xml:space="preserve">        Flagstar Financial Inc</v>
      </c>
      <c r="B777" t="str">
        <f>$B$379</f>
        <v>FLG US Equity</v>
      </c>
      <c r="C777" t="str">
        <f>$C$379</f>
        <v>F0127</v>
      </c>
      <c r="D777" t="str">
        <f>$D$379</f>
        <v>FED_FARMERS_LOANS_%_TOT_LNS_LEAS</v>
      </c>
      <c r="E777" t="str">
        <f>$E$379</f>
        <v>Dynamic</v>
      </c>
      <c r="F777">
        <f ca="1">_xll.BDH($B$379,$C$379,$B$425,$B$426,CONCATENATE("Per=",$B$423),"Dts=H","Dir=H",CONCATENATE("Points=",$B$424),"Sort=R","Days=A","Fill=B",CONCATENATE("FX=", $B$422),"cols=33;rows=1")</f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M777" t="str">
        <f>""</f>
        <v/>
      </c>
      <c r="AN777" t="str">
        <f>""</f>
        <v/>
      </c>
      <c r="AO777" t="str">
        <f>""</f>
        <v/>
      </c>
      <c r="AP777" t="str">
        <f>""</f>
        <v/>
      </c>
      <c r="AQ777" t="str">
        <f>""</f>
        <v/>
      </c>
      <c r="AR777" t="str">
        <f>""</f>
        <v/>
      </c>
      <c r="AS777" t="str">
        <f>""</f>
        <v/>
      </c>
      <c r="AT777" t="str">
        <f>""</f>
        <v/>
      </c>
      <c r="AU777" t="str">
        <f>""</f>
        <v/>
      </c>
      <c r="AV777" t="str">
        <f>""</f>
        <v/>
      </c>
      <c r="AW777" t="str">
        <f>""</f>
        <v/>
      </c>
      <c r="AX777" t="str">
        <f>""</f>
        <v/>
      </c>
      <c r="AY777" t="str">
        <f>""</f>
        <v/>
      </c>
      <c r="AZ777" t="str">
        <f>""</f>
        <v/>
      </c>
      <c r="BA777" t="str">
        <f>""</f>
        <v/>
      </c>
      <c r="BB777" t="str">
        <f>""</f>
        <v/>
      </c>
      <c r="BC777" t="str">
        <f>""</f>
        <v/>
      </c>
      <c r="BD777" t="str">
        <f>""</f>
        <v/>
      </c>
      <c r="BE777" t="str">
        <f>""</f>
        <v/>
      </c>
      <c r="BF777" t="str">
        <f>""</f>
        <v/>
      </c>
      <c r="BG777" t="str">
        <f>""</f>
        <v/>
      </c>
      <c r="BH777" t="str">
        <f>""</f>
        <v/>
      </c>
      <c r="BI777" t="str">
        <f>""</f>
        <v/>
      </c>
      <c r="BJ777" t="str">
        <f>""</f>
        <v/>
      </c>
      <c r="BK777" t="str">
        <f>""</f>
        <v/>
      </c>
      <c r="BL777" t="str">
        <f>""</f>
        <v/>
      </c>
      <c r="BM777" t="str">
        <f>""</f>
        <v/>
      </c>
      <c r="BN777" t="str">
        <f>""</f>
        <v/>
      </c>
      <c r="BO777" t="str">
        <f>""</f>
        <v/>
      </c>
      <c r="BP777" t="str">
        <f>""</f>
        <v/>
      </c>
      <c r="BQ777" t="str">
        <f>""</f>
        <v/>
      </c>
      <c r="BR777" t="str">
        <f>""</f>
        <v/>
      </c>
      <c r="BS777" t="str">
        <f>""</f>
        <v/>
      </c>
    </row>
    <row r="778" spans="1:71" x14ac:dyDescent="0.25">
      <c r="A778" t="str">
        <f>$A$380</f>
        <v xml:space="preserve">        Huntington Bancshares Inc/OH</v>
      </c>
      <c r="B778" t="str">
        <f>$B$380</f>
        <v>HBAN US Equity</v>
      </c>
      <c r="C778" t="str">
        <f>$C$380</f>
        <v>F0127</v>
      </c>
      <c r="D778" t="str">
        <f>$D$380</f>
        <v>FED_FARMERS_LOANS_%_TOT_LNS_LEAS</v>
      </c>
      <c r="E778" t="str">
        <f>$E$380</f>
        <v>Dynamic</v>
      </c>
      <c r="F778">
        <f ca="1">_xll.BDH($B$380,$C$380,$B$425,$B$426,CONCATENATE("Per=",$B$423),"Dts=H","Dir=H",CONCATENATE("Points=",$B$424),"Sort=R","Days=A","Fill=B",CONCATENATE("FX=", $B$422),"cols=33;rows=1")</f>
        <v>0.20419999999999999</v>
      </c>
      <c r="G778">
        <v>0.17849999999999999</v>
      </c>
      <c r="H778">
        <v>0.19059999999999999</v>
      </c>
      <c r="I778">
        <v>0.18290000000000001</v>
      </c>
      <c r="J778">
        <v>9.8699999999999996E-2</v>
      </c>
      <c r="K778">
        <v>9.2700000000000005E-2</v>
      </c>
      <c r="L778">
        <v>9.9199999999999997E-2</v>
      </c>
      <c r="M778">
        <v>0.09</v>
      </c>
      <c r="N778">
        <v>9.5500000000000002E-2</v>
      </c>
      <c r="O778">
        <v>0.1036</v>
      </c>
      <c r="P778">
        <v>0.16520000000000001</v>
      </c>
      <c r="Q778">
        <v>0.11940000000000001</v>
      </c>
      <c r="R778">
        <v>0.128</v>
      </c>
      <c r="S778">
        <v>0.1585</v>
      </c>
      <c r="T778">
        <v>0.18240000000000001</v>
      </c>
      <c r="U778">
        <v>0.18129999999999999</v>
      </c>
      <c r="V778">
        <v>0.32240000000000002</v>
      </c>
      <c r="W778">
        <v>0.1862</v>
      </c>
      <c r="X778">
        <v>0.1201</v>
      </c>
      <c r="Y778">
        <v>0.1244</v>
      </c>
      <c r="Z778">
        <v>0.13739999999999999</v>
      </c>
      <c r="AA778">
        <v>0.18290000000000001</v>
      </c>
      <c r="AB778">
        <v>0.2228</v>
      </c>
      <c r="AC778">
        <v>0.2616</v>
      </c>
      <c r="AM778" t="str">
        <f>""</f>
        <v/>
      </c>
      <c r="AN778" t="str">
        <f>""</f>
        <v/>
      </c>
      <c r="AO778" t="str">
        <f>""</f>
        <v/>
      </c>
      <c r="AP778" t="str">
        <f>""</f>
        <v/>
      </c>
      <c r="AQ778" t="str">
        <f>""</f>
        <v/>
      </c>
      <c r="AR778" t="str">
        <f>""</f>
        <v/>
      </c>
      <c r="AS778" t="str">
        <f>""</f>
        <v/>
      </c>
      <c r="AT778" t="str">
        <f>""</f>
        <v/>
      </c>
      <c r="AU778" t="str">
        <f>""</f>
        <v/>
      </c>
      <c r="AV778" t="str">
        <f>""</f>
        <v/>
      </c>
      <c r="AW778" t="str">
        <f>""</f>
        <v/>
      </c>
      <c r="AX778" t="str">
        <f>""</f>
        <v/>
      </c>
      <c r="AY778" t="str">
        <f>""</f>
        <v/>
      </c>
      <c r="AZ778" t="str">
        <f>""</f>
        <v/>
      </c>
      <c r="BA778" t="str">
        <f>""</f>
        <v/>
      </c>
      <c r="BB778" t="str">
        <f>""</f>
        <v/>
      </c>
      <c r="BC778" t="str">
        <f>""</f>
        <v/>
      </c>
      <c r="BD778" t="str">
        <f>""</f>
        <v/>
      </c>
      <c r="BE778" t="str">
        <f>""</f>
        <v/>
      </c>
      <c r="BF778" t="str">
        <f>""</f>
        <v/>
      </c>
      <c r="BG778" t="str">
        <f>""</f>
        <v/>
      </c>
      <c r="BH778" t="str">
        <f>""</f>
        <v/>
      </c>
      <c r="BI778" t="str">
        <f>""</f>
        <v/>
      </c>
      <c r="BJ778" t="str">
        <f>""</f>
        <v/>
      </c>
      <c r="BK778" t="str">
        <f>""</f>
        <v/>
      </c>
      <c r="BL778" t="str">
        <f>""</f>
        <v/>
      </c>
      <c r="BM778" t="str">
        <f>""</f>
        <v/>
      </c>
      <c r="BN778" t="str">
        <f>""</f>
        <v/>
      </c>
      <c r="BO778" t="str">
        <f>""</f>
        <v/>
      </c>
      <c r="BP778" t="str">
        <f>""</f>
        <v/>
      </c>
      <c r="BQ778" t="str">
        <f>""</f>
        <v/>
      </c>
      <c r="BR778" t="str">
        <f>""</f>
        <v/>
      </c>
      <c r="BS778" t="str">
        <f>""</f>
        <v/>
      </c>
    </row>
    <row r="779" spans="1:71" x14ac:dyDescent="0.25">
      <c r="A779" t="str">
        <f>$A$381</f>
        <v xml:space="preserve">        JPMorgan Chase &amp; Co</v>
      </c>
      <c r="B779" t="str">
        <f>$B$381</f>
        <v>JPM US Equity</v>
      </c>
      <c r="C779" t="str">
        <f>$C$381</f>
        <v>F0127</v>
      </c>
      <c r="D779" t="str">
        <f>$D$381</f>
        <v>FED_FARMERS_LOANS_%_TOT_LNS_LEAS</v>
      </c>
      <c r="E779" t="str">
        <f>$E$381</f>
        <v>Dynamic</v>
      </c>
      <c r="F779">
        <f ca="1">_xll.BDH($B$381,$C$381,$B$425,$B$426,CONCATENATE("Per=",$B$423),"Dts=H","Dir=H",CONCATENATE("Points=",$B$424),"Sort=R","Days=A","Fill=B",CONCATENATE("FX=", $B$422),"cols=33;rows=1")</f>
        <v>3.5099999999999999E-2</v>
      </c>
      <c r="G779">
        <v>3.9100000000000003E-2</v>
      </c>
      <c r="H779">
        <v>7.3200000000000001E-2</v>
      </c>
      <c r="I779">
        <v>7.4399999999999994E-2</v>
      </c>
      <c r="J779">
        <v>6.2399999999999997E-2</v>
      </c>
      <c r="K779">
        <v>7.0499999999999993E-2</v>
      </c>
      <c r="L779">
        <v>6.4899999999999999E-2</v>
      </c>
      <c r="M779">
        <v>7.3599999999999999E-2</v>
      </c>
      <c r="N779">
        <v>5.5800000000000002E-2</v>
      </c>
      <c r="O779">
        <v>9.6199999999999994E-2</v>
      </c>
      <c r="P779">
        <v>9.1399999999999995E-2</v>
      </c>
      <c r="Q779">
        <v>0.10299999999999999</v>
      </c>
      <c r="R779">
        <v>8.4900000000000003E-2</v>
      </c>
      <c r="S779">
        <v>9.7900000000000001E-2</v>
      </c>
      <c r="T779">
        <v>8.6400000000000005E-2</v>
      </c>
      <c r="U779">
        <v>6.4699999999999994E-2</v>
      </c>
      <c r="V779">
        <v>6.0299999999999999E-2</v>
      </c>
      <c r="W779">
        <v>0.1103</v>
      </c>
      <c r="X779">
        <v>0.1232</v>
      </c>
      <c r="Y779">
        <v>0.15640000000000001</v>
      </c>
      <c r="Z779">
        <v>0.1694</v>
      </c>
      <c r="AA779">
        <v>1.46E-2</v>
      </c>
      <c r="AB779">
        <v>3.9300000000000002E-2</v>
      </c>
      <c r="AC779">
        <v>5.3800000000000001E-2</v>
      </c>
      <c r="AM779" t="str">
        <f>""</f>
        <v/>
      </c>
      <c r="AN779" t="str">
        <f>""</f>
        <v/>
      </c>
      <c r="AO779" t="str">
        <f>""</f>
        <v/>
      </c>
      <c r="AP779" t="str">
        <f>""</f>
        <v/>
      </c>
      <c r="AQ779" t="str">
        <f>""</f>
        <v/>
      </c>
      <c r="AR779" t="str">
        <f>""</f>
        <v/>
      </c>
      <c r="AS779" t="str">
        <f>""</f>
        <v/>
      </c>
      <c r="AT779" t="str">
        <f>""</f>
        <v/>
      </c>
      <c r="AU779" t="str">
        <f>""</f>
        <v/>
      </c>
      <c r="AV779" t="str">
        <f>""</f>
        <v/>
      </c>
      <c r="AW779" t="str">
        <f>""</f>
        <v/>
      </c>
      <c r="AX779" t="str">
        <f>""</f>
        <v/>
      </c>
      <c r="AY779" t="str">
        <f>""</f>
        <v/>
      </c>
      <c r="AZ779" t="str">
        <f>""</f>
        <v/>
      </c>
      <c r="BA779" t="str">
        <f>""</f>
        <v/>
      </c>
      <c r="BB779" t="str">
        <f>""</f>
        <v/>
      </c>
      <c r="BC779" t="str">
        <f>""</f>
        <v/>
      </c>
      <c r="BD779" t="str">
        <f>""</f>
        <v/>
      </c>
      <c r="BE779" t="str">
        <f>""</f>
        <v/>
      </c>
      <c r="BF779" t="str">
        <f>""</f>
        <v/>
      </c>
      <c r="BG779" t="str">
        <f>""</f>
        <v/>
      </c>
      <c r="BH779" t="str">
        <f>""</f>
        <v/>
      </c>
      <c r="BI779" t="str">
        <f>""</f>
        <v/>
      </c>
      <c r="BJ779" t="str">
        <f>""</f>
        <v/>
      </c>
      <c r="BK779" t="str">
        <f>""</f>
        <v/>
      </c>
      <c r="BL779" t="str">
        <f>""</f>
        <v/>
      </c>
      <c r="BM779" t="str">
        <f>""</f>
        <v/>
      </c>
      <c r="BN779" t="str">
        <f>""</f>
        <v/>
      </c>
      <c r="BO779" t="str">
        <f>""</f>
        <v/>
      </c>
      <c r="BP779" t="str">
        <f>""</f>
        <v/>
      </c>
      <c r="BQ779" t="str">
        <f>""</f>
        <v/>
      </c>
      <c r="BR779" t="str">
        <f>""</f>
        <v/>
      </c>
      <c r="BS779" t="str">
        <f>""</f>
        <v/>
      </c>
    </row>
    <row r="780" spans="1:71" x14ac:dyDescent="0.25">
      <c r="A780" t="str">
        <f>$A$382</f>
        <v xml:space="preserve">        KeyCorp</v>
      </c>
      <c r="B780" t="str">
        <f>$B$382</f>
        <v>KEY US Equity</v>
      </c>
      <c r="C780" t="str">
        <f>$C$382</f>
        <v>F0127</v>
      </c>
      <c r="D780" t="str">
        <f>$D$382</f>
        <v>FED_FARMERS_LOANS_%_TOT_LNS_LEAS</v>
      </c>
      <c r="E780" t="str">
        <f>$E$382</f>
        <v>Dynamic</v>
      </c>
      <c r="F780">
        <f ca="1">_xll.BDH($B$382,$C$382,$B$425,$B$426,CONCATENATE("Per=",$B$423),"Dts=H","Dir=H",CONCATENATE("Points=",$B$424),"Sort=R","Days=A","Fill=B",CONCATENATE("FX=", $B$422),"cols=33;rows=1")</f>
        <v>0.61060000000000003</v>
      </c>
      <c r="G780">
        <v>0.60309999999999997</v>
      </c>
      <c r="H780">
        <v>0.48249999999999998</v>
      </c>
      <c r="I780">
        <v>0.46700000000000003</v>
      </c>
      <c r="J780">
        <v>0.4506</v>
      </c>
      <c r="K780">
        <v>0.64900000000000002</v>
      </c>
      <c r="L780">
        <v>0.77200000000000002</v>
      </c>
      <c r="M780">
        <v>0.76670000000000005</v>
      </c>
      <c r="N780">
        <v>0.80420000000000003</v>
      </c>
      <c r="O780">
        <v>0.99319999999999997</v>
      </c>
      <c r="P780">
        <v>0.90349999999999997</v>
      </c>
      <c r="Q780">
        <v>0.86980000000000002</v>
      </c>
      <c r="R780">
        <v>0.9486</v>
      </c>
      <c r="S780">
        <v>0.96540000000000004</v>
      </c>
      <c r="T780">
        <v>0.97409999999999997</v>
      </c>
      <c r="U780">
        <v>0.83789999999999998</v>
      </c>
      <c r="V780">
        <v>0.62749999999999995</v>
      </c>
      <c r="W780">
        <v>0.50380000000000003</v>
      </c>
      <c r="X780">
        <v>0.6</v>
      </c>
      <c r="Y780">
        <v>0.61080000000000001</v>
      </c>
      <c r="Z780">
        <v>0.71179999999999999</v>
      </c>
      <c r="AA780">
        <v>0.77600000000000002</v>
      </c>
      <c r="AB780">
        <v>0.73209999999999997</v>
      </c>
      <c r="AC780">
        <v>0.85209999999999997</v>
      </c>
      <c r="AM780" t="str">
        <f>""</f>
        <v/>
      </c>
      <c r="AN780" t="str">
        <f>""</f>
        <v/>
      </c>
      <c r="AO780" t="str">
        <f>""</f>
        <v/>
      </c>
      <c r="AP780" t="str">
        <f>""</f>
        <v/>
      </c>
      <c r="AQ780" t="str">
        <f>""</f>
        <v/>
      </c>
      <c r="AR780" t="str">
        <f>""</f>
        <v/>
      </c>
      <c r="AS780" t="str">
        <f>""</f>
        <v/>
      </c>
      <c r="AT780" t="str">
        <f>""</f>
        <v/>
      </c>
      <c r="AU780" t="str">
        <f>""</f>
        <v/>
      </c>
      <c r="AV780" t="str">
        <f>""</f>
        <v/>
      </c>
      <c r="AW780" t="str">
        <f>""</f>
        <v/>
      </c>
      <c r="AX780" t="str">
        <f>""</f>
        <v/>
      </c>
      <c r="AY780" t="str">
        <f>""</f>
        <v/>
      </c>
      <c r="AZ780" t="str">
        <f>""</f>
        <v/>
      </c>
      <c r="BA780" t="str">
        <f>""</f>
        <v/>
      </c>
      <c r="BB780" t="str">
        <f>""</f>
        <v/>
      </c>
      <c r="BC780" t="str">
        <f>""</f>
        <v/>
      </c>
      <c r="BD780" t="str">
        <f>""</f>
        <v/>
      </c>
      <c r="BE780" t="str">
        <f>""</f>
        <v/>
      </c>
      <c r="BF780" t="str">
        <f>""</f>
        <v/>
      </c>
      <c r="BG780" t="str">
        <f>""</f>
        <v/>
      </c>
      <c r="BH780" t="str">
        <f>""</f>
        <v/>
      </c>
      <c r="BI780" t="str">
        <f>""</f>
        <v/>
      </c>
      <c r="BJ780" t="str">
        <f>""</f>
        <v/>
      </c>
      <c r="BK780" t="str">
        <f>""</f>
        <v/>
      </c>
      <c r="BL780" t="str">
        <f>""</f>
        <v/>
      </c>
      <c r="BM780" t="str">
        <f>""</f>
        <v/>
      </c>
      <c r="BN780" t="str">
        <f>""</f>
        <v/>
      </c>
      <c r="BO780" t="str">
        <f>""</f>
        <v/>
      </c>
      <c r="BP780" t="str">
        <f>""</f>
        <v/>
      </c>
      <c r="BQ780" t="str">
        <f>""</f>
        <v/>
      </c>
      <c r="BR780" t="str">
        <f>""</f>
        <v/>
      </c>
      <c r="BS780" t="str">
        <f>""</f>
        <v/>
      </c>
    </row>
    <row r="781" spans="1:71" x14ac:dyDescent="0.25">
      <c r="A781" t="str">
        <f>$A$383</f>
        <v xml:space="preserve">        M&amp;T Bank Corp</v>
      </c>
      <c r="B781" t="str">
        <f>$B$383</f>
        <v>MTB US Equity</v>
      </c>
      <c r="C781" t="str">
        <f>$C$383</f>
        <v>F0127</v>
      </c>
      <c r="D781" t="str">
        <f>$D$383</f>
        <v>FED_FARMERS_LOANS_%_TOT_LNS_LEAS</v>
      </c>
      <c r="E781" t="str">
        <f>$E$383</f>
        <v>Dynamic</v>
      </c>
      <c r="F781">
        <f ca="1">_xll.BDH($B$383,$C$383,$B$425,$B$426,CONCATENATE("Per=",$B$423),"Dts=H","Dir=H",CONCATENATE("Points=",$B$424),"Sort=R","Days=A","Fill=B",CONCATENATE("FX=", $B$422),"cols=33;rows=1")</f>
        <v>4.5199999999999997E-2</v>
      </c>
      <c r="G781">
        <v>4.65E-2</v>
      </c>
      <c r="H781">
        <v>4.65E-2</v>
      </c>
      <c r="I781">
        <v>2.4299999999999999E-2</v>
      </c>
      <c r="J781">
        <v>2.5999999999999999E-2</v>
      </c>
      <c r="K781">
        <v>0.02</v>
      </c>
      <c r="L781">
        <v>2.7699999999999999E-2</v>
      </c>
      <c r="M781">
        <v>7.8299999999999995E-2</v>
      </c>
      <c r="N781">
        <v>0.09</v>
      </c>
      <c r="O781">
        <v>8.9599999999999999E-2</v>
      </c>
      <c r="P781">
        <v>8.8300000000000003E-2</v>
      </c>
      <c r="Q781">
        <v>9.5699999999999993E-2</v>
      </c>
      <c r="R781">
        <v>9.2999999999999999E-2</v>
      </c>
      <c r="S781">
        <v>0.11650000000000001</v>
      </c>
      <c r="T781">
        <v>5.6800000000000003E-2</v>
      </c>
      <c r="U781">
        <v>4.0800000000000003E-2</v>
      </c>
      <c r="V781">
        <v>6.1199999999999997E-2</v>
      </c>
      <c r="W781">
        <v>5.91E-2</v>
      </c>
      <c r="X781">
        <v>4.7800000000000002E-2</v>
      </c>
      <c r="Y781">
        <v>5.1900000000000002E-2</v>
      </c>
      <c r="Z781">
        <v>6.54E-2</v>
      </c>
      <c r="AA781">
        <v>3.39E-2</v>
      </c>
      <c r="AB781">
        <v>4.19E-2</v>
      </c>
      <c r="AC781">
        <v>5.2699999999999997E-2</v>
      </c>
      <c r="AM781" t="str">
        <f>""</f>
        <v/>
      </c>
      <c r="AN781" t="str">
        <f>""</f>
        <v/>
      </c>
      <c r="AO781" t="str">
        <f>""</f>
        <v/>
      </c>
      <c r="AP781" t="str">
        <f>""</f>
        <v/>
      </c>
      <c r="AQ781" t="str">
        <f>""</f>
        <v/>
      </c>
      <c r="AR781" t="str">
        <f>""</f>
        <v/>
      </c>
      <c r="AS781" t="str">
        <f>""</f>
        <v/>
      </c>
      <c r="AT781" t="str">
        <f>""</f>
        <v/>
      </c>
      <c r="AU781" t="str">
        <f>""</f>
        <v/>
      </c>
      <c r="AV781" t="str">
        <f>""</f>
        <v/>
      </c>
      <c r="AW781" t="str">
        <f>""</f>
        <v/>
      </c>
      <c r="AX781" t="str">
        <f>""</f>
        <v/>
      </c>
      <c r="AY781" t="str">
        <f>""</f>
        <v/>
      </c>
      <c r="AZ781" t="str">
        <f>""</f>
        <v/>
      </c>
      <c r="BA781" t="str">
        <f>""</f>
        <v/>
      </c>
      <c r="BB781" t="str">
        <f>""</f>
        <v/>
      </c>
      <c r="BC781" t="str">
        <f>""</f>
        <v/>
      </c>
      <c r="BD781" t="str">
        <f>""</f>
        <v/>
      </c>
      <c r="BE781" t="str">
        <f>""</f>
        <v/>
      </c>
      <c r="BF781" t="str">
        <f>""</f>
        <v/>
      </c>
      <c r="BG781" t="str">
        <f>""</f>
        <v/>
      </c>
      <c r="BH781" t="str">
        <f>""</f>
        <v/>
      </c>
      <c r="BI781" t="str">
        <f>""</f>
        <v/>
      </c>
      <c r="BJ781" t="str">
        <f>""</f>
        <v/>
      </c>
      <c r="BK781" t="str">
        <f>""</f>
        <v/>
      </c>
      <c r="BL781" t="str">
        <f>""</f>
        <v/>
      </c>
      <c r="BM781" t="str">
        <f>""</f>
        <v/>
      </c>
      <c r="BN781" t="str">
        <f>""</f>
        <v/>
      </c>
      <c r="BO781" t="str">
        <f>""</f>
        <v/>
      </c>
      <c r="BP781" t="str">
        <f>""</f>
        <v/>
      </c>
      <c r="BQ781" t="str">
        <f>""</f>
        <v/>
      </c>
      <c r="BR781" t="str">
        <f>""</f>
        <v/>
      </c>
      <c r="BS781" t="str">
        <f>""</f>
        <v/>
      </c>
    </row>
    <row r="782" spans="1:71" x14ac:dyDescent="0.25">
      <c r="A782" t="str">
        <f>$A$384</f>
        <v xml:space="preserve">        PNC Financial Services Group I</v>
      </c>
      <c r="B782" t="str">
        <f>$B$384</f>
        <v>PNC US Equity</v>
      </c>
      <c r="C782" t="str">
        <f>$C$384</f>
        <v>F0127</v>
      </c>
      <c r="D782" t="str">
        <f>$D$384</f>
        <v>FED_FARMERS_LOANS_%_TOT_LNS_LEAS</v>
      </c>
      <c r="E782" t="str">
        <f>$E$384</f>
        <v>Dynamic</v>
      </c>
      <c r="F782">
        <f ca="1">_xll.BDH($B$384,$C$384,$B$425,$B$426,CONCATENATE("Per=",$B$423),"Dts=H","Dir=H",CONCATENATE("Points=",$B$424),"Sort=R","Days=A","Fill=B",CONCATENATE("FX=", $B$422),"cols=33;rows=1")</f>
        <v>2.7799999999999998E-2</v>
      </c>
      <c r="G782">
        <v>3.3099999999999997E-2</v>
      </c>
      <c r="H782">
        <v>5.8500000000000003E-2</v>
      </c>
      <c r="I782">
        <v>7.9100000000000004E-2</v>
      </c>
      <c r="J782">
        <v>8.43E-2</v>
      </c>
      <c r="K782">
        <v>7.6600000000000001E-2</v>
      </c>
      <c r="L782">
        <v>4.5600000000000002E-2</v>
      </c>
      <c r="M782">
        <v>5.0599999999999999E-2</v>
      </c>
      <c r="N782">
        <v>6.0999999999999999E-2</v>
      </c>
      <c r="O782">
        <v>6.4600000000000005E-2</v>
      </c>
      <c r="P782">
        <v>6.2700000000000006E-2</v>
      </c>
      <c r="Q782">
        <v>5.9499999999999997E-2</v>
      </c>
      <c r="R782">
        <v>5.7500000000000002E-2</v>
      </c>
      <c r="S782">
        <v>5.0500000000000003E-2</v>
      </c>
      <c r="T782">
        <v>5.5899999999999998E-2</v>
      </c>
      <c r="U782">
        <v>8.9700000000000002E-2</v>
      </c>
      <c r="V782">
        <v>0.12759999999999999</v>
      </c>
      <c r="W782">
        <v>1.06E-2</v>
      </c>
      <c r="X782">
        <v>1.6999999999999999E-3</v>
      </c>
      <c r="Y782">
        <v>2.3999999999999998E-3</v>
      </c>
      <c r="Z782">
        <v>3.3999999999999998E-3</v>
      </c>
      <c r="AA782">
        <v>3.0000000000000001E-3</v>
      </c>
      <c r="AB782">
        <v>6.0000000000000001E-3</v>
      </c>
      <c r="AC782">
        <v>8.8999999999999999E-3</v>
      </c>
      <c r="AM782" t="str">
        <f>""</f>
        <v/>
      </c>
      <c r="AN782" t="str">
        <f>""</f>
        <v/>
      </c>
      <c r="AO782" t="str">
        <f>""</f>
        <v/>
      </c>
      <c r="AP782" t="str">
        <f>""</f>
        <v/>
      </c>
      <c r="AQ782" t="str">
        <f>""</f>
        <v/>
      </c>
      <c r="AR782" t="str">
        <f>""</f>
        <v/>
      </c>
      <c r="AS782" t="str">
        <f>""</f>
        <v/>
      </c>
      <c r="AT782" t="str">
        <f>""</f>
        <v/>
      </c>
      <c r="AU782" t="str">
        <f>""</f>
        <v/>
      </c>
      <c r="AV782" t="str">
        <f>""</f>
        <v/>
      </c>
      <c r="AW782" t="str">
        <f>""</f>
        <v/>
      </c>
      <c r="AX782" t="str">
        <f>""</f>
        <v/>
      </c>
      <c r="AY782" t="str">
        <f>""</f>
        <v/>
      </c>
      <c r="AZ782" t="str">
        <f>""</f>
        <v/>
      </c>
      <c r="BA782" t="str">
        <f>""</f>
        <v/>
      </c>
      <c r="BB782" t="str">
        <f>""</f>
        <v/>
      </c>
      <c r="BC782" t="str">
        <f>""</f>
        <v/>
      </c>
      <c r="BD782" t="str">
        <f>""</f>
        <v/>
      </c>
      <c r="BE782" t="str">
        <f>""</f>
        <v/>
      </c>
      <c r="BF782" t="str">
        <f>""</f>
        <v/>
      </c>
      <c r="BG782" t="str">
        <f>""</f>
        <v/>
      </c>
      <c r="BH782" t="str">
        <f>""</f>
        <v/>
      </c>
      <c r="BI782" t="str">
        <f>""</f>
        <v/>
      </c>
      <c r="BJ782" t="str">
        <f>""</f>
        <v/>
      </c>
      <c r="BK782" t="str">
        <f>""</f>
        <v/>
      </c>
      <c r="BL782" t="str">
        <f>""</f>
        <v/>
      </c>
      <c r="BM782" t="str">
        <f>""</f>
        <v/>
      </c>
      <c r="BN782" t="str">
        <f>""</f>
        <v/>
      </c>
      <c r="BO782" t="str">
        <f>""</f>
        <v/>
      </c>
      <c r="BP782" t="str">
        <f>""</f>
        <v/>
      </c>
      <c r="BQ782" t="str">
        <f>""</f>
        <v/>
      </c>
      <c r="BR782" t="str">
        <f>""</f>
        <v/>
      </c>
      <c r="BS782" t="str">
        <f>""</f>
        <v/>
      </c>
    </row>
    <row r="783" spans="1:71" x14ac:dyDescent="0.25">
      <c r="A783" t="str">
        <f>$A$385</f>
        <v xml:space="preserve">        Regions Financial Corp</v>
      </c>
      <c r="B783" t="str">
        <f>$B$385</f>
        <v>RF US Equity</v>
      </c>
      <c r="C783" t="str">
        <f>$C$385</f>
        <v>F0127</v>
      </c>
      <c r="D783" t="str">
        <f>$D$385</f>
        <v>FED_FARMERS_LOANS_%_TOT_LNS_LEAS</v>
      </c>
      <c r="E783" t="str">
        <f>$E$385</f>
        <v>Dynamic</v>
      </c>
      <c r="F783">
        <f ca="1">_xll.BDH($B$385,$C$385,$B$425,$B$426,CONCATENATE("Per=",$B$423),"Dts=H","Dir=H",CONCATENATE("Points=",$B$424),"Sort=R","Days=A","Fill=B",CONCATENATE("FX=", $B$422),"cols=33;rows=1")</f>
        <v>0.12640000000000001</v>
      </c>
      <c r="G783">
        <v>0.14990000000000001</v>
      </c>
      <c r="H783">
        <v>0.22389999999999999</v>
      </c>
      <c r="I783">
        <v>0.2084</v>
      </c>
      <c r="J783">
        <v>0.2535</v>
      </c>
      <c r="K783">
        <v>0.29189999999999999</v>
      </c>
      <c r="L783">
        <v>0.35799999999999998</v>
      </c>
      <c r="M783">
        <v>0.27750000000000002</v>
      </c>
      <c r="N783">
        <v>0.32</v>
      </c>
      <c r="O783">
        <v>0.39529999999999998</v>
      </c>
      <c r="P783">
        <v>0.47410000000000002</v>
      </c>
      <c r="Q783">
        <v>0.47739999999999999</v>
      </c>
      <c r="R783">
        <v>0.44729999999999998</v>
      </c>
      <c r="S783">
        <v>0.438</v>
      </c>
      <c r="T783">
        <v>0.39219999999999999</v>
      </c>
      <c r="U783">
        <v>0.33360000000000001</v>
      </c>
      <c r="V783">
        <v>0.435</v>
      </c>
      <c r="W783">
        <v>0.38240000000000002</v>
      </c>
      <c r="X783">
        <v>0.45569999999999999</v>
      </c>
      <c r="Y783">
        <v>0.7883</v>
      </c>
      <c r="Z783">
        <v>0.75160000000000005</v>
      </c>
      <c r="AM783" t="str">
        <f>""</f>
        <v/>
      </c>
      <c r="AN783" t="str">
        <f>""</f>
        <v/>
      </c>
      <c r="AO783" t="str">
        <f>""</f>
        <v/>
      </c>
      <c r="AP783" t="str">
        <f>""</f>
        <v/>
      </c>
      <c r="AQ783" t="str">
        <f>""</f>
        <v/>
      </c>
      <c r="AR783" t="str">
        <f>""</f>
        <v/>
      </c>
      <c r="AS783" t="str">
        <f>""</f>
        <v/>
      </c>
      <c r="AT783" t="str">
        <f>""</f>
        <v/>
      </c>
      <c r="AU783" t="str">
        <f>""</f>
        <v/>
      </c>
      <c r="AV783" t="str">
        <f>""</f>
        <v/>
      </c>
      <c r="AW783" t="str">
        <f>""</f>
        <v/>
      </c>
      <c r="AX783" t="str">
        <f>""</f>
        <v/>
      </c>
      <c r="AY783" t="str">
        <f>""</f>
        <v/>
      </c>
      <c r="AZ783" t="str">
        <f>""</f>
        <v/>
      </c>
      <c r="BA783" t="str">
        <f>""</f>
        <v/>
      </c>
      <c r="BB783" t="str">
        <f>""</f>
        <v/>
      </c>
      <c r="BC783" t="str">
        <f>""</f>
        <v/>
      </c>
      <c r="BD783" t="str">
        <f>""</f>
        <v/>
      </c>
      <c r="BE783" t="str">
        <f>""</f>
        <v/>
      </c>
      <c r="BF783" t="str">
        <f>""</f>
        <v/>
      </c>
      <c r="BG783" t="str">
        <f>""</f>
        <v/>
      </c>
      <c r="BH783" t="str">
        <f>""</f>
        <v/>
      </c>
      <c r="BI783" t="str">
        <f>""</f>
        <v/>
      </c>
      <c r="BJ783" t="str">
        <f>""</f>
        <v/>
      </c>
      <c r="BK783" t="str">
        <f>""</f>
        <v/>
      </c>
      <c r="BL783" t="str">
        <f>""</f>
        <v/>
      </c>
      <c r="BM783" t="str">
        <f>""</f>
        <v/>
      </c>
      <c r="BN783" t="str">
        <f>""</f>
        <v/>
      </c>
      <c r="BO783" t="str">
        <f>""</f>
        <v/>
      </c>
      <c r="BP783" t="str">
        <f>""</f>
        <v/>
      </c>
      <c r="BQ783" t="str">
        <f>""</f>
        <v/>
      </c>
      <c r="BR783" t="str">
        <f>""</f>
        <v/>
      </c>
      <c r="BS783" t="str">
        <f>""</f>
        <v/>
      </c>
    </row>
    <row r="784" spans="1:71" x14ac:dyDescent="0.25">
      <c r="A784" t="str">
        <f>$A$386</f>
        <v xml:space="preserve">        Truist Financial Corp</v>
      </c>
      <c r="B784" t="str">
        <f>$B$386</f>
        <v>TFC US Equity</v>
      </c>
      <c r="C784" t="str">
        <f>$C$386</f>
        <v>F0127</v>
      </c>
      <c r="D784" t="str">
        <f>$D$386</f>
        <v>FED_FARMERS_LOANS_%_TOT_LNS_LEAS</v>
      </c>
      <c r="E784" t="str">
        <f>$E$386</f>
        <v>Dynamic</v>
      </c>
      <c r="F784">
        <f ca="1">_xll.BDH($B$386,$C$386,$B$425,$B$426,CONCATENATE("Per=",$B$423),"Dts=H","Dir=H",CONCATENATE("Points=",$B$424),"Sort=R","Days=A","Fill=B",CONCATENATE("FX=", $B$422),"cols=33;rows=1")</f>
        <v>8.3199999999999996E-2</v>
      </c>
      <c r="G784">
        <v>9.5699999999999993E-2</v>
      </c>
      <c r="H784">
        <v>0.1148</v>
      </c>
      <c r="I784">
        <v>0.15429999999999999</v>
      </c>
      <c r="J784">
        <v>0.17169999999999999</v>
      </c>
      <c r="K784">
        <v>8.8900000000000007E-2</v>
      </c>
      <c r="L784">
        <v>0.1547</v>
      </c>
      <c r="M784">
        <v>0.15329999999999999</v>
      </c>
      <c r="N784">
        <v>0.1578</v>
      </c>
      <c r="O784">
        <v>0.1459</v>
      </c>
      <c r="P784">
        <v>0.1211</v>
      </c>
      <c r="Q784">
        <v>0.1179</v>
      </c>
      <c r="R784">
        <v>0.13170000000000001</v>
      </c>
      <c r="S784">
        <v>0.12640000000000001</v>
      </c>
      <c r="T784">
        <v>0.1242</v>
      </c>
      <c r="U784">
        <v>0.12690000000000001</v>
      </c>
      <c r="V784">
        <v>0.12609999999999999</v>
      </c>
      <c r="W784">
        <v>0.1045</v>
      </c>
      <c r="X784">
        <v>0.13089999999999999</v>
      </c>
      <c r="Y784">
        <v>0.1212</v>
      </c>
      <c r="Z784">
        <v>0.1573</v>
      </c>
      <c r="AA784">
        <v>0.13339999999999999</v>
      </c>
      <c r="AB784">
        <v>0.18229999999999999</v>
      </c>
      <c r="AC784">
        <v>0.14249999999999999</v>
      </c>
      <c r="AM784" t="str">
        <f>""</f>
        <v/>
      </c>
      <c r="AN784" t="str">
        <f>""</f>
        <v/>
      </c>
      <c r="AO784" t="str">
        <f>""</f>
        <v/>
      </c>
      <c r="AP784" t="str">
        <f>""</f>
        <v/>
      </c>
      <c r="AQ784" t="str">
        <f>""</f>
        <v/>
      </c>
      <c r="AR784" t="str">
        <f>""</f>
        <v/>
      </c>
      <c r="AS784" t="str">
        <f>""</f>
        <v/>
      </c>
      <c r="AT784" t="str">
        <f>""</f>
        <v/>
      </c>
      <c r="AU784" t="str">
        <f>""</f>
        <v/>
      </c>
      <c r="AV784" t="str">
        <f>""</f>
        <v/>
      </c>
      <c r="AW784" t="str">
        <f>""</f>
        <v/>
      </c>
      <c r="AX784" t="str">
        <f>""</f>
        <v/>
      </c>
      <c r="AY784" t="str">
        <f>""</f>
        <v/>
      </c>
      <c r="AZ784" t="str">
        <f>""</f>
        <v/>
      </c>
      <c r="BA784" t="str">
        <f>""</f>
        <v/>
      </c>
      <c r="BB784" t="str">
        <f>""</f>
        <v/>
      </c>
      <c r="BC784" t="str">
        <f>""</f>
        <v/>
      </c>
      <c r="BD784" t="str">
        <f>""</f>
        <v/>
      </c>
      <c r="BE784" t="str">
        <f>""</f>
        <v/>
      </c>
      <c r="BF784" t="str">
        <f>""</f>
        <v/>
      </c>
      <c r="BG784" t="str">
        <f>""</f>
        <v/>
      </c>
      <c r="BH784" t="str">
        <f>""</f>
        <v/>
      </c>
      <c r="BI784" t="str">
        <f>""</f>
        <v/>
      </c>
      <c r="BJ784" t="str">
        <f>""</f>
        <v/>
      </c>
      <c r="BK784" t="str">
        <f>""</f>
        <v/>
      </c>
      <c r="BL784" t="str">
        <f>""</f>
        <v/>
      </c>
      <c r="BM784" t="str">
        <f>""</f>
        <v/>
      </c>
      <c r="BN784" t="str">
        <f>""</f>
        <v/>
      </c>
      <c r="BO784" t="str">
        <f>""</f>
        <v/>
      </c>
      <c r="BP784" t="str">
        <f>""</f>
        <v/>
      </c>
      <c r="BQ784" t="str">
        <f>""</f>
        <v/>
      </c>
      <c r="BR784" t="str">
        <f>""</f>
        <v/>
      </c>
      <c r="BS784" t="str">
        <f>""</f>
        <v/>
      </c>
    </row>
    <row r="785" spans="1:71" x14ac:dyDescent="0.25">
      <c r="A785" t="str">
        <f>$A$387</f>
        <v xml:space="preserve">        US Bancorp</v>
      </c>
      <c r="B785" t="str">
        <f>$B$387</f>
        <v>USB US Equity</v>
      </c>
      <c r="C785" t="str">
        <f>$C$387</f>
        <v>F0127</v>
      </c>
      <c r="D785" t="str">
        <f>$D$387</f>
        <v>FED_FARMERS_LOANS_%_TOT_LNS_LEAS</v>
      </c>
      <c r="E785" t="str">
        <f>$E$387</f>
        <v>Dynamic</v>
      </c>
      <c r="F785">
        <f ca="1">_xll.BDH($B$387,$C$387,$B$425,$B$426,CONCATENATE("Per=",$B$423),"Dts=H","Dir=H",CONCATENATE("Points=",$B$424),"Sort=R","Days=A","Fill=B",CONCATENATE("FX=", $B$422),"cols=33;rows=1")</f>
        <v>0.27329999999999999</v>
      </c>
      <c r="G785">
        <v>0.31409999999999999</v>
      </c>
      <c r="H785">
        <v>0.30659999999999998</v>
      </c>
      <c r="I785">
        <v>0.16569999999999999</v>
      </c>
      <c r="J785">
        <v>0.215</v>
      </c>
      <c r="K785">
        <v>0.22639999999999999</v>
      </c>
      <c r="L785">
        <v>0.27460000000000001</v>
      </c>
      <c r="M785">
        <v>0.34399999999999997</v>
      </c>
      <c r="N785">
        <v>0.3705</v>
      </c>
      <c r="O785">
        <v>0.44219999999999998</v>
      </c>
      <c r="P785">
        <v>0.49270000000000003</v>
      </c>
      <c r="Q785">
        <v>0.44740000000000002</v>
      </c>
      <c r="R785">
        <v>0.47389999999999999</v>
      </c>
      <c r="S785">
        <v>0.48259999999999997</v>
      </c>
      <c r="T785">
        <v>0.4919</v>
      </c>
      <c r="U785">
        <v>0.52270000000000005</v>
      </c>
      <c r="V785">
        <v>0.55700000000000005</v>
      </c>
      <c r="W785">
        <v>0.69210000000000005</v>
      </c>
      <c r="X785">
        <v>0.7681</v>
      </c>
      <c r="Y785">
        <v>0.87250000000000005</v>
      </c>
      <c r="Z785">
        <v>1.0098</v>
      </c>
      <c r="AA785">
        <v>1.0680000000000001</v>
      </c>
      <c r="AB785">
        <v>1.1036999999999999</v>
      </c>
      <c r="AC785">
        <v>0.91359999999999997</v>
      </c>
      <c r="AM785" t="str">
        <f>""</f>
        <v/>
      </c>
      <c r="AN785" t="str">
        <f>""</f>
        <v/>
      </c>
      <c r="AO785" t="str">
        <f>""</f>
        <v/>
      </c>
      <c r="AP785" t="str">
        <f>""</f>
        <v/>
      </c>
      <c r="AQ785" t="str">
        <f>""</f>
        <v/>
      </c>
      <c r="AR785" t="str">
        <f>""</f>
        <v/>
      </c>
      <c r="AS785" t="str">
        <f>""</f>
        <v/>
      </c>
      <c r="AT785" t="str">
        <f>""</f>
        <v/>
      </c>
      <c r="AU785" t="str">
        <f>""</f>
        <v/>
      </c>
      <c r="AV785" t="str">
        <f>""</f>
        <v/>
      </c>
      <c r="AW785" t="str">
        <f>""</f>
        <v/>
      </c>
      <c r="AX785" t="str">
        <f>""</f>
        <v/>
      </c>
      <c r="AY785" t="str">
        <f>""</f>
        <v/>
      </c>
      <c r="AZ785" t="str">
        <f>""</f>
        <v/>
      </c>
      <c r="BA785" t="str">
        <f>""</f>
        <v/>
      </c>
      <c r="BB785" t="str">
        <f>""</f>
        <v/>
      </c>
      <c r="BC785" t="str">
        <f>""</f>
        <v/>
      </c>
      <c r="BD785" t="str">
        <f>""</f>
        <v/>
      </c>
      <c r="BE785" t="str">
        <f>""</f>
        <v/>
      </c>
      <c r="BF785" t="str">
        <f>""</f>
        <v/>
      </c>
      <c r="BG785" t="str">
        <f>""</f>
        <v/>
      </c>
      <c r="BH785" t="str">
        <f>""</f>
        <v/>
      </c>
      <c r="BI785" t="str">
        <f>""</f>
        <v/>
      </c>
      <c r="BJ785" t="str">
        <f>""</f>
        <v/>
      </c>
      <c r="BK785" t="str">
        <f>""</f>
        <v/>
      </c>
      <c r="BL785" t="str">
        <f>""</f>
        <v/>
      </c>
      <c r="BM785" t="str">
        <f>""</f>
        <v/>
      </c>
      <c r="BN785" t="str">
        <f>""</f>
        <v/>
      </c>
      <c r="BO785" t="str">
        <f>""</f>
        <v/>
      </c>
      <c r="BP785" t="str">
        <f>""</f>
        <v/>
      </c>
      <c r="BQ785" t="str">
        <f>""</f>
        <v/>
      </c>
      <c r="BR785" t="str">
        <f>""</f>
        <v/>
      </c>
      <c r="BS785" t="str">
        <f>""</f>
        <v/>
      </c>
    </row>
    <row r="786" spans="1:71" x14ac:dyDescent="0.25">
      <c r="A786" t="str">
        <f>$A$388</f>
        <v xml:space="preserve">        Wells Fargo &amp; Co</v>
      </c>
      <c r="B786" t="str">
        <f>$B$388</f>
        <v>WFC US Equity</v>
      </c>
      <c r="C786" t="str">
        <f>$C$388</f>
        <v>F0127</v>
      </c>
      <c r="D786" t="str">
        <f>$D$388</f>
        <v>FED_FARMERS_LOANS_%_TOT_LNS_LEAS</v>
      </c>
      <c r="E786" t="str">
        <f>$E$388</f>
        <v>Dynamic</v>
      </c>
      <c r="F786">
        <f ca="1">_xll.BDH($B$388,$C$388,$B$425,$B$426,CONCATENATE("Per=",$B$423),"Dts=H","Dir=H",CONCATENATE("Points=",$B$424),"Sort=R","Days=A","Fill=B",CONCATENATE("FX=", $B$422),"cols=33;rows=1")</f>
        <v>0.37819999999999998</v>
      </c>
      <c r="G786">
        <v>0.38169999999999998</v>
      </c>
      <c r="H786">
        <v>0.40079999999999999</v>
      </c>
      <c r="I786">
        <v>0.37090000000000001</v>
      </c>
      <c r="J786">
        <v>0.3952</v>
      </c>
      <c r="K786">
        <v>0.47339999999999999</v>
      </c>
      <c r="L786">
        <v>0.5353</v>
      </c>
      <c r="M786">
        <v>0.51270000000000004</v>
      </c>
      <c r="N786">
        <v>0.54100000000000004</v>
      </c>
      <c r="O786">
        <v>0.58640000000000003</v>
      </c>
      <c r="P786">
        <v>0.63460000000000005</v>
      </c>
      <c r="Q786">
        <v>0.68300000000000005</v>
      </c>
      <c r="R786">
        <v>0.75280000000000002</v>
      </c>
      <c r="S786">
        <v>0.80349999999999999</v>
      </c>
      <c r="T786">
        <v>0.7732</v>
      </c>
      <c r="U786">
        <v>0.79400000000000004</v>
      </c>
      <c r="V786">
        <v>0.72570000000000001</v>
      </c>
      <c r="W786">
        <v>1.2621</v>
      </c>
      <c r="X786">
        <v>1.4822</v>
      </c>
      <c r="Y786">
        <v>1.3431999999999999</v>
      </c>
      <c r="Z786">
        <v>1.3421000000000001</v>
      </c>
      <c r="AA786">
        <v>1.3918999999999999</v>
      </c>
      <c r="AB786">
        <v>1.7579</v>
      </c>
      <c r="AC786">
        <v>2.0924999999999998</v>
      </c>
      <c r="AM786" t="str">
        <f>""</f>
        <v/>
      </c>
      <c r="AN786" t="str">
        <f>""</f>
        <v/>
      </c>
      <c r="AO786" t="str">
        <f>""</f>
        <v/>
      </c>
      <c r="AP786" t="str">
        <f>""</f>
        <v/>
      </c>
      <c r="AQ786" t="str">
        <f>""</f>
        <v/>
      </c>
      <c r="AR786" t="str">
        <f>""</f>
        <v/>
      </c>
      <c r="AS786" t="str">
        <f>""</f>
        <v/>
      </c>
      <c r="AT786" t="str">
        <f>""</f>
        <v/>
      </c>
      <c r="AU786" t="str">
        <f>""</f>
        <v/>
      </c>
      <c r="AV786" t="str">
        <f>""</f>
        <v/>
      </c>
      <c r="AW786" t="str">
        <f>""</f>
        <v/>
      </c>
      <c r="AX786" t="str">
        <f>""</f>
        <v/>
      </c>
      <c r="AY786" t="str">
        <f>""</f>
        <v/>
      </c>
      <c r="AZ786" t="str">
        <f>""</f>
        <v/>
      </c>
      <c r="BA786" t="str">
        <f>""</f>
        <v/>
      </c>
      <c r="BB786" t="str">
        <f>""</f>
        <v/>
      </c>
      <c r="BC786" t="str">
        <f>""</f>
        <v/>
      </c>
      <c r="BD786" t="str">
        <f>""</f>
        <v/>
      </c>
      <c r="BE786" t="str">
        <f>""</f>
        <v/>
      </c>
      <c r="BF786" t="str">
        <f>""</f>
        <v/>
      </c>
      <c r="BG786" t="str">
        <f>""</f>
        <v/>
      </c>
      <c r="BH786" t="str">
        <f>""</f>
        <v/>
      </c>
      <c r="BI786" t="str">
        <f>""</f>
        <v/>
      </c>
      <c r="BJ786" t="str">
        <f>""</f>
        <v/>
      </c>
      <c r="BK786" t="str">
        <f>""</f>
        <v/>
      </c>
      <c r="BL786" t="str">
        <f>""</f>
        <v/>
      </c>
      <c r="BM786" t="str">
        <f>""</f>
        <v/>
      </c>
      <c r="BN786" t="str">
        <f>""</f>
        <v/>
      </c>
      <c r="BO786" t="str">
        <f>""</f>
        <v/>
      </c>
      <c r="BP786" t="str">
        <f>""</f>
        <v/>
      </c>
      <c r="BQ786" t="str">
        <f>""</f>
        <v/>
      </c>
      <c r="BR786" t="str">
        <f>""</f>
        <v/>
      </c>
      <c r="BS786" t="str">
        <f>""</f>
        <v/>
      </c>
    </row>
    <row r="787" spans="1:71" x14ac:dyDescent="0.25">
      <c r="A787" t="str">
        <f>$A$389</f>
        <v xml:space="preserve">        Western Alliance Bancorp</v>
      </c>
      <c r="B787" t="str">
        <f>$B$389</f>
        <v>WAL US Equity</v>
      </c>
      <c r="C787" t="str">
        <f>$C$389</f>
        <v>F0127</v>
      </c>
      <c r="D787" t="str">
        <f>$D$389</f>
        <v>FED_FARMERS_LOANS_%_TOT_LNS_LEAS</v>
      </c>
      <c r="E787" t="str">
        <f>$E$389</f>
        <v>Dynamic</v>
      </c>
      <c r="F787">
        <f ca="1">_xll.BDH($B$389,$C$389,$B$425,$B$426,CONCATENATE("Per=",$B$423),"Dts=H","Dir=H",CONCATENATE("Points=",$B$424),"Sort=R","Days=A","Fill=B",CONCATENATE("FX=", $B$422),"cols=33;rows=1")</f>
        <v>2.0000000000000001E-4</v>
      </c>
      <c r="G787">
        <v>0</v>
      </c>
      <c r="H787">
        <v>0</v>
      </c>
      <c r="I787">
        <v>6.9999999999999999E-4</v>
      </c>
      <c r="J787">
        <v>1.1000000000000001E-3</v>
      </c>
      <c r="K787">
        <v>6.9999999999999999E-4</v>
      </c>
      <c r="L787">
        <v>5.3E-3</v>
      </c>
      <c r="M787">
        <v>5.5999999999999999E-3</v>
      </c>
      <c r="N787">
        <v>6.7999999999999996E-3</v>
      </c>
      <c r="O787">
        <v>2.3E-2</v>
      </c>
      <c r="P787">
        <v>2.7199999999999998E-2</v>
      </c>
      <c r="Q787">
        <v>3.2899999999999999E-2</v>
      </c>
      <c r="R787">
        <v>2.7300000000000001E-2</v>
      </c>
      <c r="S787">
        <v>3.6799999999999999E-2</v>
      </c>
      <c r="T787">
        <v>3.0599999999999999E-2</v>
      </c>
      <c r="U787">
        <v>8.6099999999999996E-2</v>
      </c>
      <c r="V787">
        <v>7.7700000000000005E-2</v>
      </c>
      <c r="W787">
        <v>9.8000000000000004E-2</v>
      </c>
      <c r="X787">
        <v>3.7000000000000002E-3</v>
      </c>
      <c r="Y787">
        <v>8.0000000000000004E-4</v>
      </c>
      <c r="Z787">
        <v>0</v>
      </c>
      <c r="AA787">
        <v>0</v>
      </c>
      <c r="AB787">
        <v>0</v>
      </c>
      <c r="AC787">
        <v>0</v>
      </c>
      <c r="AM787" t="str">
        <f>""</f>
        <v/>
      </c>
      <c r="AN787" t="str">
        <f>""</f>
        <v/>
      </c>
      <c r="AO787" t="str">
        <f>""</f>
        <v/>
      </c>
      <c r="AP787" t="str">
        <f>""</f>
        <v/>
      </c>
      <c r="AQ787" t="str">
        <f>""</f>
        <v/>
      </c>
      <c r="AR787" t="str">
        <f>""</f>
        <v/>
      </c>
      <c r="AS787" t="str">
        <f>""</f>
        <v/>
      </c>
      <c r="AT787" t="str">
        <f>""</f>
        <v/>
      </c>
      <c r="AU787" t="str">
        <f>""</f>
        <v/>
      </c>
      <c r="AV787" t="str">
        <f>""</f>
        <v/>
      </c>
      <c r="AW787" t="str">
        <f>""</f>
        <v/>
      </c>
      <c r="AX787" t="str">
        <f>""</f>
        <v/>
      </c>
      <c r="AY787" t="str">
        <f>""</f>
        <v/>
      </c>
      <c r="AZ787" t="str">
        <f>""</f>
        <v/>
      </c>
      <c r="BA787" t="str">
        <f>""</f>
        <v/>
      </c>
      <c r="BB787" t="str">
        <f>""</f>
        <v/>
      </c>
      <c r="BC787" t="str">
        <f>""</f>
        <v/>
      </c>
      <c r="BD787" t="str">
        <f>""</f>
        <v/>
      </c>
      <c r="BE787" t="str">
        <f>""</f>
        <v/>
      </c>
      <c r="BF787" t="str">
        <f>""</f>
        <v/>
      </c>
      <c r="BG787" t="str">
        <f>""</f>
        <v/>
      </c>
      <c r="BH787" t="str">
        <f>""</f>
        <v/>
      </c>
      <c r="BI787" t="str">
        <f>""</f>
        <v/>
      </c>
      <c r="BJ787" t="str">
        <f>""</f>
        <v/>
      </c>
      <c r="BK787" t="str">
        <f>""</f>
        <v/>
      </c>
      <c r="BL787" t="str">
        <f>""</f>
        <v/>
      </c>
      <c r="BM787" t="str">
        <f>""</f>
        <v/>
      </c>
      <c r="BN787" t="str">
        <f>""</f>
        <v/>
      </c>
      <c r="BO787" t="str">
        <f>""</f>
        <v/>
      </c>
      <c r="BP787" t="str">
        <f>""</f>
        <v/>
      </c>
      <c r="BQ787" t="str">
        <f>""</f>
        <v/>
      </c>
      <c r="BR787" t="str">
        <f>""</f>
        <v/>
      </c>
      <c r="BS787" t="str">
        <f>""</f>
        <v/>
      </c>
    </row>
    <row r="788" spans="1:71" x14ac:dyDescent="0.25">
      <c r="A788" t="str">
        <f>$A$390</f>
        <v xml:space="preserve">        Zions Bancorp NA</v>
      </c>
      <c r="B788" t="str">
        <f>$B$390</f>
        <v>ZION US Equity</v>
      </c>
      <c r="C788" t="str">
        <f>$C$390</f>
        <v>F0127</v>
      </c>
      <c r="D788" t="str">
        <f>$D$390</f>
        <v>FED_FARMERS_LOANS_%_TOT_LNS_LEAS</v>
      </c>
      <c r="E788" t="str">
        <f>$E$390</f>
        <v>Dynamic</v>
      </c>
      <c r="F788" t="str">
        <f ca="1">_xll.BDH($B$390,$C$390,$B$425,$B$426,CONCATENATE("Per=",$B$423),"Dts=H","Dir=H",CONCATENATE("Points=",$B$424),"Sort=R","Days=A","Fill=B",CONCATENATE("FX=", $B$422) )</f>
        <v/>
      </c>
      <c r="AM788" t="str">
        <f>""</f>
        <v/>
      </c>
      <c r="AN788" t="str">
        <f>""</f>
        <v/>
      </c>
      <c r="AO788" t="str">
        <f>""</f>
        <v/>
      </c>
      <c r="AP788" t="str">
        <f>""</f>
        <v/>
      </c>
      <c r="AQ788" t="str">
        <f>""</f>
        <v/>
      </c>
      <c r="AR788" t="str">
        <f>""</f>
        <v/>
      </c>
      <c r="AS788" t="str">
        <f>""</f>
        <v/>
      </c>
      <c r="AT788" t="str">
        <f>""</f>
        <v/>
      </c>
      <c r="AU788" t="str">
        <f>""</f>
        <v/>
      </c>
      <c r="AV788" t="str">
        <f>""</f>
        <v/>
      </c>
      <c r="AW788" t="str">
        <f>""</f>
        <v/>
      </c>
      <c r="AX788" t="str">
        <f>""</f>
        <v/>
      </c>
      <c r="AY788" t="str">
        <f>""</f>
        <v/>
      </c>
      <c r="AZ788" t="str">
        <f>""</f>
        <v/>
      </c>
      <c r="BA788" t="str">
        <f>""</f>
        <v/>
      </c>
      <c r="BB788" t="str">
        <f>""</f>
        <v/>
      </c>
      <c r="BC788" t="str">
        <f>""</f>
        <v/>
      </c>
      <c r="BD788" t="str">
        <f>""</f>
        <v/>
      </c>
      <c r="BE788" t="str">
        <f>""</f>
        <v/>
      </c>
      <c r="BF788" t="str">
        <f>""</f>
        <v/>
      </c>
      <c r="BG788" t="str">
        <f>""</f>
        <v/>
      </c>
      <c r="BH788" t="str">
        <f>""</f>
        <v/>
      </c>
      <c r="BI788" t="str">
        <f>""</f>
        <v/>
      </c>
      <c r="BJ788" t="str">
        <f>""</f>
        <v/>
      </c>
      <c r="BK788" t="str">
        <f>""</f>
        <v/>
      </c>
      <c r="BL788" t="str">
        <f>""</f>
        <v/>
      </c>
      <c r="BM788" t="str">
        <f>""</f>
        <v/>
      </c>
      <c r="BN788" t="str">
        <f>""</f>
        <v/>
      </c>
      <c r="BO788" t="str">
        <f>""</f>
        <v/>
      </c>
      <c r="BP788" t="str">
        <f>""</f>
        <v/>
      </c>
      <c r="BQ788" t="str">
        <f>""</f>
        <v/>
      </c>
      <c r="BR788" t="str">
        <f>""</f>
        <v/>
      </c>
      <c r="BS788" t="str">
        <f>""</f>
        <v/>
      </c>
    </row>
    <row r="789" spans="1:71" x14ac:dyDescent="0.25">
      <c r="A789" t="str">
        <f>$A$392</f>
        <v xml:space="preserve">        Bank of America Corp</v>
      </c>
      <c r="B789" t="str">
        <f>$B$392</f>
        <v>BAC US Equity</v>
      </c>
      <c r="C789" t="str">
        <f>$C$392</f>
        <v>F0128</v>
      </c>
      <c r="D789" t="str">
        <f>$D$392</f>
        <v>FED_OTH_NONCONS_LNS_%_TOT_LNS_LS</v>
      </c>
      <c r="E789" t="str">
        <f>$E$392</f>
        <v>Dynamic</v>
      </c>
      <c r="F789">
        <f ca="1">_xll.BDH($B$392,$C$392,$B$425,$B$426,CONCATENATE("Per=",$B$423),"Dts=H","Dir=H",CONCATENATE("Points=",$B$424),"Sort=R","Days=A","Fill=B",CONCATENATE("FX=", $B$422),"cols=33;rows=1")</f>
        <v>6.7996999999999996</v>
      </c>
      <c r="G789">
        <v>6.3471000000000002</v>
      </c>
      <c r="H789">
        <v>7.0404999999999998</v>
      </c>
      <c r="I789">
        <v>6.8080999999999996</v>
      </c>
      <c r="J789">
        <v>5.3529</v>
      </c>
      <c r="K789">
        <v>4.6513999999999998</v>
      </c>
      <c r="L789">
        <v>5.0944000000000003</v>
      </c>
      <c r="M789">
        <v>4.7027999999999999</v>
      </c>
      <c r="N789">
        <v>4.7465999999999999</v>
      </c>
      <c r="O789">
        <v>4.7957000000000001</v>
      </c>
      <c r="P789">
        <v>3.8344</v>
      </c>
      <c r="Q789">
        <v>3.6861999999999999</v>
      </c>
      <c r="R789">
        <v>3.3965000000000001</v>
      </c>
      <c r="S789">
        <v>3.1453000000000002</v>
      </c>
      <c r="T789">
        <v>3.1011000000000002</v>
      </c>
      <c r="AM789" t="str">
        <f>""</f>
        <v/>
      </c>
      <c r="AN789" t="str">
        <f>""</f>
        <v/>
      </c>
      <c r="AO789" t="str">
        <f>""</f>
        <v/>
      </c>
      <c r="AP789" t="str">
        <f>""</f>
        <v/>
      </c>
      <c r="AQ789" t="str">
        <f>""</f>
        <v/>
      </c>
      <c r="AR789" t="str">
        <f>""</f>
        <v/>
      </c>
      <c r="AS789" t="str">
        <f>""</f>
        <v/>
      </c>
      <c r="AT789" t="str">
        <f>""</f>
        <v/>
      </c>
      <c r="AU789" t="str">
        <f>""</f>
        <v/>
      </c>
      <c r="AV789" t="str">
        <f>""</f>
        <v/>
      </c>
      <c r="AW789" t="str">
        <f>""</f>
        <v/>
      </c>
      <c r="AX789" t="str">
        <f>""</f>
        <v/>
      </c>
      <c r="AY789" t="str">
        <f>""</f>
        <v/>
      </c>
      <c r="AZ789" t="str">
        <f>""</f>
        <v/>
      </c>
      <c r="BA789" t="str">
        <f>""</f>
        <v/>
      </c>
      <c r="BB789" t="str">
        <f>""</f>
        <v/>
      </c>
      <c r="BC789" t="str">
        <f>""</f>
        <v/>
      </c>
      <c r="BD789" t="str">
        <f>""</f>
        <v/>
      </c>
      <c r="BE789" t="str">
        <f>""</f>
        <v/>
      </c>
      <c r="BF789" t="str">
        <f>""</f>
        <v/>
      </c>
      <c r="BG789" t="str">
        <f>""</f>
        <v/>
      </c>
      <c r="BH789" t="str">
        <f>""</f>
        <v/>
      </c>
      <c r="BI789" t="str">
        <f>""</f>
        <v/>
      </c>
      <c r="BJ789" t="str">
        <f>""</f>
        <v/>
      </c>
      <c r="BK789" t="str">
        <f>""</f>
        <v/>
      </c>
      <c r="BL789" t="str">
        <f>""</f>
        <v/>
      </c>
      <c r="BM789" t="str">
        <f>""</f>
        <v/>
      </c>
      <c r="BN789" t="str">
        <f>""</f>
        <v/>
      </c>
      <c r="BO789" t="str">
        <f>""</f>
        <v/>
      </c>
      <c r="BP789" t="str">
        <f>""</f>
        <v/>
      </c>
      <c r="BQ789" t="str">
        <f>""</f>
        <v/>
      </c>
      <c r="BR789" t="str">
        <f>""</f>
        <v/>
      </c>
      <c r="BS789" t="str">
        <f>""</f>
        <v/>
      </c>
    </row>
    <row r="790" spans="1:71" x14ac:dyDescent="0.25">
      <c r="A790" t="str">
        <f>$A$393</f>
        <v xml:space="preserve">        Citigroup Inc</v>
      </c>
      <c r="B790" t="str">
        <f>$B$393</f>
        <v>C US Equity</v>
      </c>
      <c r="C790" t="str">
        <f>$C$393</f>
        <v>F0128</v>
      </c>
      <c r="D790" t="str">
        <f>$D$393</f>
        <v>FED_OTH_NONCONS_LNS_%_TOT_LNS_LS</v>
      </c>
      <c r="E790" t="str">
        <f>$E$393</f>
        <v>Dynamic</v>
      </c>
      <c r="F790">
        <f ca="1">_xll.BDH($B$393,$C$393,$B$425,$B$426,CONCATENATE("Per=",$B$423),"Dts=H","Dir=H",CONCATENATE("Points=",$B$424),"Sort=R","Days=A","Fill=B",CONCATENATE("FX=", $B$422),"cols=33;rows=1")</f>
        <v>5.5034999999999998</v>
      </c>
      <c r="G790">
        <v>5.2939999999999996</v>
      </c>
      <c r="H790">
        <v>9.1607000000000003</v>
      </c>
      <c r="I790">
        <v>8.8914000000000009</v>
      </c>
      <c r="J790">
        <v>8.3890999999999991</v>
      </c>
      <c r="K790">
        <v>8.0337999999999994</v>
      </c>
      <c r="L790">
        <v>8.6202000000000005</v>
      </c>
      <c r="M790">
        <v>8.1089000000000002</v>
      </c>
      <c r="N790">
        <v>8.4783000000000008</v>
      </c>
      <c r="O790">
        <v>7.9249000000000001</v>
      </c>
      <c r="P790">
        <v>6.6422999999999996</v>
      </c>
      <c r="Q790">
        <v>7.2282000000000002</v>
      </c>
      <c r="R790">
        <v>5.9039000000000001</v>
      </c>
      <c r="S790">
        <v>5.9829999999999997</v>
      </c>
      <c r="T790">
        <v>5.7549999999999999</v>
      </c>
      <c r="AM790" t="str">
        <f>""</f>
        <v/>
      </c>
      <c r="AN790" t="str">
        <f>""</f>
        <v/>
      </c>
      <c r="AO790" t="str">
        <f>""</f>
        <v/>
      </c>
      <c r="AP790" t="str">
        <f>""</f>
        <v/>
      </c>
      <c r="AQ790" t="str">
        <f>""</f>
        <v/>
      </c>
      <c r="AR790" t="str">
        <f>""</f>
        <v/>
      </c>
      <c r="AS790" t="str">
        <f>""</f>
        <v/>
      </c>
      <c r="AT790" t="str">
        <f>""</f>
        <v/>
      </c>
      <c r="AU790" t="str">
        <f>""</f>
        <v/>
      </c>
      <c r="AV790" t="str">
        <f>""</f>
        <v/>
      </c>
      <c r="AW790" t="str">
        <f>""</f>
        <v/>
      </c>
      <c r="AX790" t="str">
        <f>""</f>
        <v/>
      </c>
      <c r="AY790" t="str">
        <f>""</f>
        <v/>
      </c>
      <c r="AZ790" t="str">
        <f>""</f>
        <v/>
      </c>
      <c r="BA790" t="str">
        <f>""</f>
        <v/>
      </c>
      <c r="BB790" t="str">
        <f>""</f>
        <v/>
      </c>
      <c r="BC790" t="str">
        <f>""</f>
        <v/>
      </c>
      <c r="BD790" t="str">
        <f>""</f>
        <v/>
      </c>
      <c r="BE790" t="str">
        <f>""</f>
        <v/>
      </c>
      <c r="BF790" t="str">
        <f>""</f>
        <v/>
      </c>
      <c r="BG790" t="str">
        <f>""</f>
        <v/>
      </c>
      <c r="BH790" t="str">
        <f>""</f>
        <v/>
      </c>
      <c r="BI790" t="str">
        <f>""</f>
        <v/>
      </c>
      <c r="BJ790" t="str">
        <f>""</f>
        <v/>
      </c>
      <c r="BK790" t="str">
        <f>""</f>
        <v/>
      </c>
      <c r="BL790" t="str">
        <f>""</f>
        <v/>
      </c>
      <c r="BM790" t="str">
        <f>""</f>
        <v/>
      </c>
      <c r="BN790" t="str">
        <f>""</f>
        <v/>
      </c>
      <c r="BO790" t="str">
        <f>""</f>
        <v/>
      </c>
      <c r="BP790" t="str">
        <f>""</f>
        <v/>
      </c>
      <c r="BQ790" t="str">
        <f>""</f>
        <v/>
      </c>
      <c r="BR790" t="str">
        <f>""</f>
        <v/>
      </c>
      <c r="BS790" t="str">
        <f>""</f>
        <v/>
      </c>
    </row>
    <row r="791" spans="1:71" x14ac:dyDescent="0.25">
      <c r="A791" t="str">
        <f>$A$394</f>
        <v xml:space="preserve">        Citizens Financial Group Inc</v>
      </c>
      <c r="B791" t="str">
        <f>$B$394</f>
        <v>CFG US Equity</v>
      </c>
      <c r="C791" t="str">
        <f>$C$394</f>
        <v>F0128</v>
      </c>
      <c r="D791" t="str">
        <f>$D$394</f>
        <v>FED_OTH_NONCONS_LNS_%_TOT_LNS_LS</v>
      </c>
      <c r="E791" t="str">
        <f>$E$394</f>
        <v>Dynamic</v>
      </c>
      <c r="F791">
        <f ca="1">_xll.BDH($B$394,$C$394,$B$425,$B$426,CONCATENATE("Per=",$B$423),"Dts=H","Dir=H",CONCATENATE("Points=",$B$424),"Sort=R","Days=A","Fill=B",CONCATENATE("FX=", $B$422),"cols=33;rows=1")</f>
        <v>0.43049999999999999</v>
      </c>
      <c r="G791">
        <v>0.66239999999999999</v>
      </c>
      <c r="H791">
        <v>0.74</v>
      </c>
      <c r="I791">
        <v>0.71899999999999997</v>
      </c>
      <c r="J791">
        <v>0.99450000000000005</v>
      </c>
      <c r="K791">
        <v>0.877</v>
      </c>
      <c r="L791">
        <v>1.0927</v>
      </c>
      <c r="M791">
        <v>1.3378000000000001</v>
      </c>
      <c r="N791">
        <v>1.5676000000000001</v>
      </c>
      <c r="O791">
        <v>1.7829999999999999</v>
      </c>
      <c r="P791">
        <v>1.9277</v>
      </c>
      <c r="Q791">
        <v>1.3798999999999999</v>
      </c>
      <c r="R791">
        <v>1.1716</v>
      </c>
      <c r="S791">
        <v>1.1507000000000001</v>
      </c>
      <c r="T791">
        <v>1.2068000000000001</v>
      </c>
      <c r="AM791" t="str">
        <f>""</f>
        <v/>
      </c>
      <c r="AN791" t="str">
        <f>""</f>
        <v/>
      </c>
      <c r="AO791" t="str">
        <f>""</f>
        <v/>
      </c>
      <c r="AP791" t="str">
        <f>""</f>
        <v/>
      </c>
      <c r="AQ791" t="str">
        <f>""</f>
        <v/>
      </c>
      <c r="AR791" t="str">
        <f>""</f>
        <v/>
      </c>
      <c r="AS791" t="str">
        <f>""</f>
        <v/>
      </c>
      <c r="AT791" t="str">
        <f>""</f>
        <v/>
      </c>
      <c r="AU791" t="str">
        <f>""</f>
        <v/>
      </c>
      <c r="AV791" t="str">
        <f>""</f>
        <v/>
      </c>
      <c r="AW791" t="str">
        <f>""</f>
        <v/>
      </c>
      <c r="AX791" t="str">
        <f>""</f>
        <v/>
      </c>
      <c r="AY791" t="str">
        <f>""</f>
        <v/>
      </c>
      <c r="AZ791" t="str">
        <f>""</f>
        <v/>
      </c>
      <c r="BA791" t="str">
        <f>""</f>
        <v/>
      </c>
      <c r="BB791" t="str">
        <f>""</f>
        <v/>
      </c>
      <c r="BC791" t="str">
        <f>""</f>
        <v/>
      </c>
      <c r="BD791" t="str">
        <f>""</f>
        <v/>
      </c>
      <c r="BE791" t="str">
        <f>""</f>
        <v/>
      </c>
      <c r="BF791" t="str">
        <f>""</f>
        <v/>
      </c>
      <c r="BG791" t="str">
        <f>""</f>
        <v/>
      </c>
      <c r="BH791" t="str">
        <f>""</f>
        <v/>
      </c>
      <c r="BI791" t="str">
        <f>""</f>
        <v/>
      </c>
      <c r="BJ791" t="str">
        <f>""</f>
        <v/>
      </c>
      <c r="BK791" t="str">
        <f>""</f>
        <v/>
      </c>
      <c r="BL791" t="str">
        <f>""</f>
        <v/>
      </c>
      <c r="BM791" t="str">
        <f>""</f>
        <v/>
      </c>
      <c r="BN791" t="str">
        <f>""</f>
        <v/>
      </c>
      <c r="BO791" t="str">
        <f>""</f>
        <v/>
      </c>
      <c r="BP791" t="str">
        <f>""</f>
        <v/>
      </c>
      <c r="BQ791" t="str">
        <f>""</f>
        <v/>
      </c>
      <c r="BR791" t="str">
        <f>""</f>
        <v/>
      </c>
      <c r="BS791" t="str">
        <f>""</f>
        <v/>
      </c>
    </row>
    <row r="792" spans="1:71" x14ac:dyDescent="0.25">
      <c r="A792" t="str">
        <f>$A$395</f>
        <v xml:space="preserve">        Capital One Financial Corp</v>
      </c>
      <c r="B792" t="str">
        <f>$B$395</f>
        <v>COF US Equity</v>
      </c>
      <c r="C792" t="str">
        <f>$C$395</f>
        <v>F0128</v>
      </c>
      <c r="D792" t="str">
        <f>$D$395</f>
        <v>FED_OTH_NONCONS_LNS_%_TOT_LNS_LS</v>
      </c>
      <c r="E792" t="str">
        <f>$E$395</f>
        <v>Dynamic</v>
      </c>
      <c r="F792">
        <f ca="1">_xll.BDH($B$395,$C$395,$B$425,$B$426,CONCATENATE("Per=",$B$423),"Dts=H","Dir=H",CONCATENATE("Points=",$B$424),"Sort=R","Days=A","Fill=B",CONCATENATE("FX=", $B$422),"cols=33;rows=1")</f>
        <v>2.5446</v>
      </c>
      <c r="G792">
        <v>2.6061000000000001</v>
      </c>
      <c r="H792">
        <v>2.6294</v>
      </c>
      <c r="I792">
        <v>2.5722</v>
      </c>
      <c r="J792">
        <v>2.9655</v>
      </c>
      <c r="K792">
        <v>2.6057000000000001</v>
      </c>
      <c r="L792">
        <v>2.6951999999999998</v>
      </c>
      <c r="M792">
        <v>2.6459000000000001</v>
      </c>
      <c r="N792">
        <v>2.6817000000000002</v>
      </c>
      <c r="O792">
        <v>2.6871</v>
      </c>
      <c r="P792">
        <v>2.7486999999999999</v>
      </c>
      <c r="Q792">
        <v>2.5087000000000002</v>
      </c>
      <c r="R792">
        <v>1.1471</v>
      </c>
      <c r="S792">
        <v>1.4703999999999999</v>
      </c>
      <c r="T792">
        <v>1.3129</v>
      </c>
      <c r="AM792" t="str">
        <f>""</f>
        <v/>
      </c>
      <c r="AN792" t="str">
        <f>""</f>
        <v/>
      </c>
      <c r="AO792" t="str">
        <f>""</f>
        <v/>
      </c>
      <c r="AP792" t="str">
        <f>""</f>
        <v/>
      </c>
      <c r="AQ792" t="str">
        <f>""</f>
        <v/>
      </c>
      <c r="AR792" t="str">
        <f>""</f>
        <v/>
      </c>
      <c r="AS792" t="str">
        <f>""</f>
        <v/>
      </c>
      <c r="AT792" t="str">
        <f>""</f>
        <v/>
      </c>
      <c r="AU792" t="str">
        <f>""</f>
        <v/>
      </c>
      <c r="AV792" t="str">
        <f>""</f>
        <v/>
      </c>
      <c r="AW792" t="str">
        <f>""</f>
        <v/>
      </c>
      <c r="AX792" t="str">
        <f>""</f>
        <v/>
      </c>
      <c r="AY792" t="str">
        <f>""</f>
        <v/>
      </c>
      <c r="AZ792" t="str">
        <f>""</f>
        <v/>
      </c>
      <c r="BA792" t="str">
        <f>""</f>
        <v/>
      </c>
      <c r="BB792" t="str">
        <f>""</f>
        <v/>
      </c>
      <c r="BC792" t="str">
        <f>""</f>
        <v/>
      </c>
      <c r="BD792" t="str">
        <f>""</f>
        <v/>
      </c>
      <c r="BE792" t="str">
        <f>""</f>
        <v/>
      </c>
      <c r="BF792" t="str">
        <f>""</f>
        <v/>
      </c>
      <c r="BG792" t="str">
        <f>""</f>
        <v/>
      </c>
      <c r="BH792" t="str">
        <f>""</f>
        <v/>
      </c>
      <c r="BI792" t="str">
        <f>""</f>
        <v/>
      </c>
      <c r="BJ792" t="str">
        <f>""</f>
        <v/>
      </c>
      <c r="BK792" t="str">
        <f>""</f>
        <v/>
      </c>
      <c r="BL792" t="str">
        <f>""</f>
        <v/>
      </c>
      <c r="BM792" t="str">
        <f>""</f>
        <v/>
      </c>
      <c r="BN792" t="str">
        <f>""</f>
        <v/>
      </c>
      <c r="BO792" t="str">
        <f>""</f>
        <v/>
      </c>
      <c r="BP792" t="str">
        <f>""</f>
        <v/>
      </c>
      <c r="BQ792" t="str">
        <f>""</f>
        <v/>
      </c>
      <c r="BR792" t="str">
        <f>""</f>
        <v/>
      </c>
      <c r="BS792" t="str">
        <f>""</f>
        <v/>
      </c>
    </row>
    <row r="793" spans="1:71" x14ac:dyDescent="0.25">
      <c r="A793" t="str">
        <f>$A$396</f>
        <v xml:space="preserve">        Comerica Inc</v>
      </c>
      <c r="B793" t="str">
        <f>$B$396</f>
        <v>CMA US Equity</v>
      </c>
      <c r="C793" t="str">
        <f>$C$396</f>
        <v>F0128</v>
      </c>
      <c r="D793" t="str">
        <f>$D$396</f>
        <v>FED_OTH_NONCONS_LNS_%_TOT_LNS_LS</v>
      </c>
      <c r="E793" t="str">
        <f>$E$396</f>
        <v>Dynamic</v>
      </c>
      <c r="F793">
        <f ca="1">_xll.BDH($B$396,$C$396,$B$425,$B$426,CONCATENATE("Per=",$B$423),"Dts=H","Dir=H",CONCATENATE("Points=",$B$424),"Sort=R","Days=A","Fill=B",CONCATENATE("FX=", $B$422),"cols=33;rows=1")</f>
        <v>1.0854999999999999</v>
      </c>
      <c r="G793">
        <v>0.83099999999999996</v>
      </c>
      <c r="H793">
        <v>0.78090000000000004</v>
      </c>
      <c r="I793">
        <v>0.81759999999999999</v>
      </c>
      <c r="J793">
        <v>0.91790000000000005</v>
      </c>
      <c r="K793">
        <v>0.8992</v>
      </c>
      <c r="L793">
        <v>1.0414000000000001</v>
      </c>
      <c r="M793">
        <v>0.97560000000000002</v>
      </c>
      <c r="N793">
        <v>1.3684000000000001</v>
      </c>
      <c r="O793">
        <v>1.3408</v>
      </c>
      <c r="P793">
        <v>1.4384999999999999</v>
      </c>
      <c r="Q793">
        <v>1.8653999999999999</v>
      </c>
      <c r="R793">
        <v>1.5145</v>
      </c>
      <c r="S793">
        <v>1.5014000000000001</v>
      </c>
      <c r="T793">
        <v>1.5251999999999999</v>
      </c>
      <c r="AM793" t="str">
        <f>""</f>
        <v/>
      </c>
      <c r="AN793" t="str">
        <f>""</f>
        <v/>
      </c>
      <c r="AO793" t="str">
        <f>""</f>
        <v/>
      </c>
      <c r="AP793" t="str">
        <f>""</f>
        <v/>
      </c>
      <c r="AQ793" t="str">
        <f>""</f>
        <v/>
      </c>
      <c r="AR793" t="str">
        <f>""</f>
        <v/>
      </c>
      <c r="AS793" t="str">
        <f>""</f>
        <v/>
      </c>
      <c r="AT793" t="str">
        <f>""</f>
        <v/>
      </c>
      <c r="AU793" t="str">
        <f>""</f>
        <v/>
      </c>
      <c r="AV793" t="str">
        <f>""</f>
        <v/>
      </c>
      <c r="AW793" t="str">
        <f>""</f>
        <v/>
      </c>
      <c r="AX793" t="str">
        <f>""</f>
        <v/>
      </c>
      <c r="AY793" t="str">
        <f>""</f>
        <v/>
      </c>
      <c r="AZ793" t="str">
        <f>""</f>
        <v/>
      </c>
      <c r="BA793" t="str">
        <f>""</f>
        <v/>
      </c>
      <c r="BB793" t="str">
        <f>""</f>
        <v/>
      </c>
      <c r="BC793" t="str">
        <f>""</f>
        <v/>
      </c>
      <c r="BD793" t="str">
        <f>""</f>
        <v/>
      </c>
      <c r="BE793" t="str">
        <f>""</f>
        <v/>
      </c>
      <c r="BF793" t="str">
        <f>""</f>
        <v/>
      </c>
      <c r="BG793" t="str">
        <f>""</f>
        <v/>
      </c>
      <c r="BH793" t="str">
        <f>""</f>
        <v/>
      </c>
      <c r="BI793" t="str">
        <f>""</f>
        <v/>
      </c>
      <c r="BJ793" t="str">
        <f>""</f>
        <v/>
      </c>
      <c r="BK793" t="str">
        <f>""</f>
        <v/>
      </c>
      <c r="BL793" t="str">
        <f>""</f>
        <v/>
      </c>
      <c r="BM793" t="str">
        <f>""</f>
        <v/>
      </c>
      <c r="BN793" t="str">
        <f>""</f>
        <v/>
      </c>
      <c r="BO793" t="str">
        <f>""</f>
        <v/>
      </c>
      <c r="BP793" t="str">
        <f>""</f>
        <v/>
      </c>
      <c r="BQ793" t="str">
        <f>""</f>
        <v/>
      </c>
      <c r="BR793" t="str">
        <f>""</f>
        <v/>
      </c>
      <c r="BS793" t="str">
        <f>""</f>
        <v/>
      </c>
    </row>
    <row r="794" spans="1:71" x14ac:dyDescent="0.25">
      <c r="A794" t="str">
        <f>$A$397</f>
        <v xml:space="preserve">        East West Bancorp Inc</v>
      </c>
      <c r="B794" t="str">
        <f>$B$397</f>
        <v>EWBC US Equity</v>
      </c>
      <c r="C794" t="str">
        <f>$C$397</f>
        <v>F0128</v>
      </c>
      <c r="D794" t="str">
        <f>$D$397</f>
        <v>FED_OTH_NONCONS_LNS_%_TOT_LNS_LS</v>
      </c>
      <c r="E794" t="str">
        <f>$E$397</f>
        <v>Dynamic</v>
      </c>
      <c r="F794">
        <f ca="1">_xll.BDH($B$397,$C$397,$B$425,$B$426,CONCATENATE("Per=",$B$423),"Dts=H","Dir=H",CONCATENATE("Points=",$B$424),"Sort=R","Days=A","Fill=B",CONCATENATE("FX=", $B$422),"cols=33;rows=1")</f>
        <v>0.5383</v>
      </c>
      <c r="G794">
        <v>0.1237</v>
      </c>
      <c r="H794">
        <v>0.2354</v>
      </c>
      <c r="I794">
        <v>2.6835</v>
      </c>
      <c r="J794">
        <v>1.1775</v>
      </c>
      <c r="K794">
        <v>0.77490000000000003</v>
      </c>
      <c r="L794">
        <v>0.91790000000000005</v>
      </c>
      <c r="M794">
        <v>1.1507000000000001</v>
      </c>
      <c r="N794">
        <v>1.653</v>
      </c>
      <c r="O794">
        <v>1.6384000000000001</v>
      </c>
      <c r="P794">
        <v>1.8016000000000001</v>
      </c>
      <c r="Q794">
        <v>1.7246999999999999</v>
      </c>
      <c r="R794">
        <v>0.11609999999999999</v>
      </c>
      <c r="S794">
        <v>0.1434</v>
      </c>
      <c r="T794">
        <v>4.48E-2</v>
      </c>
      <c r="AM794" t="str">
        <f>""</f>
        <v/>
      </c>
      <c r="AN794" t="str">
        <f>""</f>
        <v/>
      </c>
      <c r="AO794" t="str">
        <f>""</f>
        <v/>
      </c>
      <c r="AP794" t="str">
        <f>""</f>
        <v/>
      </c>
      <c r="AQ794" t="str">
        <f>""</f>
        <v/>
      </c>
      <c r="AR794" t="str">
        <f>""</f>
        <v/>
      </c>
      <c r="AS794" t="str">
        <f>""</f>
        <v/>
      </c>
      <c r="AT794" t="str">
        <f>""</f>
        <v/>
      </c>
      <c r="AU794" t="str">
        <f>""</f>
        <v/>
      </c>
      <c r="AV794" t="str">
        <f>""</f>
        <v/>
      </c>
      <c r="AW794" t="str">
        <f>""</f>
        <v/>
      </c>
      <c r="AX794" t="str">
        <f>""</f>
        <v/>
      </c>
      <c r="AY794" t="str">
        <f>""</f>
        <v/>
      </c>
      <c r="AZ794" t="str">
        <f>""</f>
        <v/>
      </c>
      <c r="BA794" t="str">
        <f>""</f>
        <v/>
      </c>
      <c r="BB794" t="str">
        <f>""</f>
        <v/>
      </c>
      <c r="BC794" t="str">
        <f>""</f>
        <v/>
      </c>
      <c r="BD794" t="str">
        <f>""</f>
        <v/>
      </c>
      <c r="BE794" t="str">
        <f>""</f>
        <v/>
      </c>
      <c r="BF794" t="str">
        <f>""</f>
        <v/>
      </c>
      <c r="BG794" t="str">
        <f>""</f>
        <v/>
      </c>
      <c r="BH794" t="str">
        <f>""</f>
        <v/>
      </c>
      <c r="BI794" t="str">
        <f>""</f>
        <v/>
      </c>
      <c r="BJ794" t="str">
        <f>""</f>
        <v/>
      </c>
      <c r="BK794" t="str">
        <f>""</f>
        <v/>
      </c>
      <c r="BL794" t="str">
        <f>""</f>
        <v/>
      </c>
      <c r="BM794" t="str">
        <f>""</f>
        <v/>
      </c>
      <c r="BN794" t="str">
        <f>""</f>
        <v/>
      </c>
      <c r="BO794" t="str">
        <f>""</f>
        <v/>
      </c>
      <c r="BP794" t="str">
        <f>""</f>
        <v/>
      </c>
      <c r="BQ794" t="str">
        <f>""</f>
        <v/>
      </c>
      <c r="BR794" t="str">
        <f>""</f>
        <v/>
      </c>
      <c r="BS794" t="str">
        <f>""</f>
        <v/>
      </c>
    </row>
    <row r="795" spans="1:71" x14ac:dyDescent="0.25">
      <c r="A795" t="str">
        <f>$A$398</f>
        <v xml:space="preserve">        Fifth Third Bancorp</v>
      </c>
      <c r="B795" t="str">
        <f>$B$398</f>
        <v>FITB US Equity</v>
      </c>
      <c r="C795" t="str">
        <f>$C$398</f>
        <v>F0128</v>
      </c>
      <c r="D795" t="str">
        <f>$D$398</f>
        <v>FED_OTH_NONCONS_LNS_%_TOT_LNS_LS</v>
      </c>
      <c r="E795" t="str">
        <f>$E$398</f>
        <v>Dynamic</v>
      </c>
      <c r="F795">
        <f ca="1">_xll.BDH($B$398,$C$398,$B$425,$B$426,CONCATENATE("Per=",$B$423),"Dts=H","Dir=H",CONCATENATE("Points=",$B$424),"Sort=R","Days=A","Fill=B",CONCATENATE("FX=", $B$422),"cols=33;rows=1")</f>
        <v>1.6075999999999999</v>
      </c>
      <c r="G795">
        <v>2.1886000000000001</v>
      </c>
      <c r="H795">
        <v>2.2902999999999998</v>
      </c>
      <c r="I795">
        <v>2.4226000000000001</v>
      </c>
      <c r="J795">
        <v>3.1044999999999998</v>
      </c>
      <c r="K795">
        <v>3.0493999999999999</v>
      </c>
      <c r="L795">
        <v>3.2355</v>
      </c>
      <c r="M795">
        <v>3.5682999999999998</v>
      </c>
      <c r="N795">
        <v>3.4167000000000001</v>
      </c>
      <c r="O795">
        <v>3.4659</v>
      </c>
      <c r="P795">
        <v>3.2913000000000001</v>
      </c>
      <c r="Q795">
        <v>2.7826</v>
      </c>
      <c r="R795">
        <v>2.266</v>
      </c>
      <c r="S795">
        <v>1.9185000000000001</v>
      </c>
      <c r="T795">
        <v>1.6281000000000001</v>
      </c>
      <c r="AM795" t="str">
        <f>""</f>
        <v/>
      </c>
      <c r="AN795" t="str">
        <f>""</f>
        <v/>
      </c>
      <c r="AO795" t="str">
        <f>""</f>
        <v/>
      </c>
      <c r="AP795" t="str">
        <f>""</f>
        <v/>
      </c>
      <c r="AQ795" t="str">
        <f>""</f>
        <v/>
      </c>
      <c r="AR795" t="str">
        <f>""</f>
        <v/>
      </c>
      <c r="AS795" t="str">
        <f>""</f>
        <v/>
      </c>
      <c r="AT795" t="str">
        <f>""</f>
        <v/>
      </c>
      <c r="AU795" t="str">
        <f>""</f>
        <v/>
      </c>
      <c r="AV795" t="str">
        <f>""</f>
        <v/>
      </c>
      <c r="AW795" t="str">
        <f>""</f>
        <v/>
      </c>
      <c r="AX795" t="str">
        <f>""</f>
        <v/>
      </c>
      <c r="AY795" t="str">
        <f>""</f>
        <v/>
      </c>
      <c r="AZ795" t="str">
        <f>""</f>
        <v/>
      </c>
      <c r="BA795" t="str">
        <f>""</f>
        <v/>
      </c>
      <c r="BB795" t="str">
        <f>""</f>
        <v/>
      </c>
      <c r="BC795" t="str">
        <f>""</f>
        <v/>
      </c>
      <c r="BD795" t="str">
        <f>""</f>
        <v/>
      </c>
      <c r="BE795" t="str">
        <f>""</f>
        <v/>
      </c>
      <c r="BF795" t="str">
        <f>""</f>
        <v/>
      </c>
      <c r="BG795" t="str">
        <f>""</f>
        <v/>
      </c>
      <c r="BH795" t="str">
        <f>""</f>
        <v/>
      </c>
      <c r="BI795" t="str">
        <f>""</f>
        <v/>
      </c>
      <c r="BJ795" t="str">
        <f>""</f>
        <v/>
      </c>
      <c r="BK795" t="str">
        <f>""</f>
        <v/>
      </c>
      <c r="BL795" t="str">
        <f>""</f>
        <v/>
      </c>
      <c r="BM795" t="str">
        <f>""</f>
        <v/>
      </c>
      <c r="BN795" t="str">
        <f>""</f>
        <v/>
      </c>
      <c r="BO795" t="str">
        <f>""</f>
        <v/>
      </c>
      <c r="BP795" t="str">
        <f>""</f>
        <v/>
      </c>
      <c r="BQ795" t="str">
        <f>""</f>
        <v/>
      </c>
      <c r="BR795" t="str">
        <f>""</f>
        <v/>
      </c>
      <c r="BS795" t="str">
        <f>""</f>
        <v/>
      </c>
    </row>
    <row r="796" spans="1:71" x14ac:dyDescent="0.25">
      <c r="A796" t="str">
        <f>$A$399</f>
        <v xml:space="preserve">        First Citizens BancShares Inc/</v>
      </c>
      <c r="B796" t="str">
        <f>$B$399</f>
        <v>FCNCA US Equity</v>
      </c>
      <c r="C796" t="str">
        <f>$C$399</f>
        <v>F0128</v>
      </c>
      <c r="D796" t="str">
        <f>$D$399</f>
        <v>FED_OTH_NONCONS_LNS_%_TOT_LNS_LS</v>
      </c>
      <c r="E796" t="str">
        <f>$E$399</f>
        <v>Dynamic</v>
      </c>
      <c r="F796">
        <f ca="1">_xll.BDH($B$399,$C$399,$B$425,$B$426,CONCATENATE("Per=",$B$423),"Dts=H","Dir=H",CONCATENATE("Points=",$B$424),"Sort=R","Days=A","Fill=B",CONCATENATE("FX=", $B$422),"cols=33;rows=1")</f>
        <v>3.2252000000000001</v>
      </c>
      <c r="G796">
        <v>3.1164000000000001</v>
      </c>
      <c r="H796">
        <v>2.8454000000000002</v>
      </c>
      <c r="I796">
        <v>2.3498999999999999</v>
      </c>
      <c r="J796">
        <v>2.0893000000000002</v>
      </c>
      <c r="K796">
        <v>2.1251000000000002</v>
      </c>
      <c r="L796">
        <v>2.3193999999999999</v>
      </c>
      <c r="M796">
        <v>2.5005999999999999</v>
      </c>
      <c r="N796">
        <v>2.9232999999999998</v>
      </c>
      <c r="O796">
        <v>3.0383</v>
      </c>
      <c r="P796">
        <v>3.3218999999999999</v>
      </c>
      <c r="Q796">
        <v>1.7662</v>
      </c>
      <c r="R796">
        <v>1.0344</v>
      </c>
      <c r="S796">
        <v>1.1775</v>
      </c>
      <c r="T796">
        <v>1.3681000000000001</v>
      </c>
      <c r="AM796" t="str">
        <f>""</f>
        <v/>
      </c>
      <c r="AN796" t="str">
        <f>""</f>
        <v/>
      </c>
      <c r="AO796" t="str">
        <f>""</f>
        <v/>
      </c>
      <c r="AP796" t="str">
        <f>""</f>
        <v/>
      </c>
      <c r="AQ796" t="str">
        <f>""</f>
        <v/>
      </c>
      <c r="AR796" t="str">
        <f>""</f>
        <v/>
      </c>
      <c r="AS796" t="str">
        <f>""</f>
        <v/>
      </c>
      <c r="AT796" t="str">
        <f>""</f>
        <v/>
      </c>
      <c r="AU796" t="str">
        <f>""</f>
        <v/>
      </c>
      <c r="AV796" t="str">
        <f>""</f>
        <v/>
      </c>
      <c r="AW796" t="str">
        <f>""</f>
        <v/>
      </c>
      <c r="AX796" t="str">
        <f>""</f>
        <v/>
      </c>
      <c r="AY796" t="str">
        <f>""</f>
        <v/>
      </c>
      <c r="AZ796" t="str">
        <f>""</f>
        <v/>
      </c>
      <c r="BA796" t="str">
        <f>""</f>
        <v/>
      </c>
      <c r="BB796" t="str">
        <f>""</f>
        <v/>
      </c>
      <c r="BC796" t="str">
        <f>""</f>
        <v/>
      </c>
      <c r="BD796" t="str">
        <f>""</f>
        <v/>
      </c>
      <c r="BE796" t="str">
        <f>""</f>
        <v/>
      </c>
      <c r="BF796" t="str">
        <f>""</f>
        <v/>
      </c>
      <c r="BG796" t="str">
        <f>""</f>
        <v/>
      </c>
      <c r="BH796" t="str">
        <f>""</f>
        <v/>
      </c>
      <c r="BI796" t="str">
        <f>""</f>
        <v/>
      </c>
      <c r="BJ796" t="str">
        <f>""</f>
        <v/>
      </c>
      <c r="BK796" t="str">
        <f>""</f>
        <v/>
      </c>
      <c r="BL796" t="str">
        <f>""</f>
        <v/>
      </c>
      <c r="BM796" t="str">
        <f>""</f>
        <v/>
      </c>
      <c r="BN796" t="str">
        <f>""</f>
        <v/>
      </c>
      <c r="BO796" t="str">
        <f>""</f>
        <v/>
      </c>
      <c r="BP796" t="str">
        <f>""</f>
        <v/>
      </c>
      <c r="BQ796" t="str">
        <f>""</f>
        <v/>
      </c>
      <c r="BR796" t="str">
        <f>""</f>
        <v/>
      </c>
      <c r="BS796" t="str">
        <f>""</f>
        <v/>
      </c>
    </row>
    <row r="797" spans="1:71" x14ac:dyDescent="0.25">
      <c r="A797" t="str">
        <f>$A$400</f>
        <v xml:space="preserve">        Flagstar Financial Inc</v>
      </c>
      <c r="B797" t="str">
        <f>$B$400</f>
        <v>FLG US Equity</v>
      </c>
      <c r="C797" t="str">
        <f>$C$400</f>
        <v>F0128</v>
      </c>
      <c r="D797" t="str">
        <f>$D$400</f>
        <v>FED_OTH_NONCONS_LNS_%_TOT_LNS_LS</v>
      </c>
      <c r="E797" t="str">
        <f>$E$400</f>
        <v>Dynamic</v>
      </c>
      <c r="F797">
        <f ca="1">_xll.BDH($B$400,$C$400,$B$425,$B$426,CONCATENATE("Per=",$B$423),"Dts=H","Dir=H",CONCATENATE("Points=",$B$424),"Sort=R","Days=A","Fill=B",CONCATENATE("FX=", $B$422),"cols=33;rows=1")</f>
        <v>1.5553999999999999</v>
      </c>
      <c r="G797">
        <v>1.2729999999999999</v>
      </c>
      <c r="H797">
        <v>3.8600000000000002E-2</v>
      </c>
      <c r="I797">
        <v>9.2999999999999992E-3</v>
      </c>
      <c r="J797">
        <v>1.03E-2</v>
      </c>
      <c r="K797">
        <v>1.1900000000000001E-2</v>
      </c>
      <c r="L797">
        <v>1.34E-2</v>
      </c>
      <c r="M797">
        <v>1.41E-2</v>
      </c>
      <c r="N797">
        <v>2.1600000000000001E-2</v>
      </c>
      <c r="O797">
        <v>2.8299999999999999E-2</v>
      </c>
      <c r="P797">
        <v>1.1599999999999999E-2</v>
      </c>
      <c r="Q797">
        <v>1.49E-2</v>
      </c>
      <c r="R797">
        <v>1.5699999999999999E-2</v>
      </c>
      <c r="S797">
        <v>3.27E-2</v>
      </c>
      <c r="T797">
        <v>7.7299999999999994E-2</v>
      </c>
      <c r="AM797" t="str">
        <f>""</f>
        <v/>
      </c>
      <c r="AN797" t="str">
        <f>""</f>
        <v/>
      </c>
      <c r="AO797" t="str">
        <f>""</f>
        <v/>
      </c>
      <c r="AP797" t="str">
        <f>""</f>
        <v/>
      </c>
      <c r="AQ797" t="str">
        <f>""</f>
        <v/>
      </c>
      <c r="AR797" t="str">
        <f>""</f>
        <v/>
      </c>
      <c r="AS797" t="str">
        <f>""</f>
        <v/>
      </c>
      <c r="AT797" t="str">
        <f>""</f>
        <v/>
      </c>
      <c r="AU797" t="str">
        <f>""</f>
        <v/>
      </c>
      <c r="AV797" t="str">
        <f>""</f>
        <v/>
      </c>
      <c r="AW797" t="str">
        <f>""</f>
        <v/>
      </c>
      <c r="AX797" t="str">
        <f>""</f>
        <v/>
      </c>
      <c r="AY797" t="str">
        <f>""</f>
        <v/>
      </c>
      <c r="AZ797" t="str">
        <f>""</f>
        <v/>
      </c>
      <c r="BA797" t="str">
        <f>""</f>
        <v/>
      </c>
      <c r="BB797" t="str">
        <f>""</f>
        <v/>
      </c>
      <c r="BC797" t="str">
        <f>""</f>
        <v/>
      </c>
      <c r="BD797" t="str">
        <f>""</f>
        <v/>
      </c>
      <c r="BE797" t="str">
        <f>""</f>
        <v/>
      </c>
      <c r="BF797" t="str">
        <f>""</f>
        <v/>
      </c>
      <c r="BG797" t="str">
        <f>""</f>
        <v/>
      </c>
      <c r="BH797" t="str">
        <f>""</f>
        <v/>
      </c>
      <c r="BI797" t="str">
        <f>""</f>
        <v/>
      </c>
      <c r="BJ797" t="str">
        <f>""</f>
        <v/>
      </c>
      <c r="BK797" t="str">
        <f>""</f>
        <v/>
      </c>
      <c r="BL797" t="str">
        <f>""</f>
        <v/>
      </c>
      <c r="BM797" t="str">
        <f>""</f>
        <v/>
      </c>
      <c r="BN797" t="str">
        <f>""</f>
        <v/>
      </c>
      <c r="BO797" t="str">
        <f>""</f>
        <v/>
      </c>
      <c r="BP797" t="str">
        <f>""</f>
        <v/>
      </c>
      <c r="BQ797" t="str">
        <f>""</f>
        <v/>
      </c>
      <c r="BR797" t="str">
        <f>""</f>
        <v/>
      </c>
      <c r="BS797" t="str">
        <f>""</f>
        <v/>
      </c>
    </row>
    <row r="798" spans="1:71" x14ac:dyDescent="0.25">
      <c r="A798" t="str">
        <f>$A$401</f>
        <v xml:space="preserve">        Huntington Bancshares Inc/OH</v>
      </c>
      <c r="B798" t="str">
        <f>$B$401</f>
        <v>HBAN US Equity</v>
      </c>
      <c r="C798" t="str">
        <f>$C$401</f>
        <v>F0128</v>
      </c>
      <c r="D798" t="str">
        <f>$D$401</f>
        <v>FED_OTH_NONCONS_LNS_%_TOT_LNS_LS</v>
      </c>
      <c r="E798" t="str">
        <f>$E$401</f>
        <v>Dynamic</v>
      </c>
      <c r="F798">
        <f ca="1">_xll.BDH($B$401,$C$401,$B$425,$B$426,CONCATENATE("Per=",$B$423),"Dts=H","Dir=H",CONCATENATE("Points=",$B$424),"Sort=R","Days=A","Fill=B",CONCATENATE("FX=", $B$422),"cols=33;rows=1")</f>
        <v>1.0375000000000001</v>
      </c>
      <c r="G798">
        <v>1.1919999999999999</v>
      </c>
      <c r="H798">
        <v>1.3837999999999999</v>
      </c>
      <c r="I798">
        <v>1.8777999999999999</v>
      </c>
      <c r="J798">
        <v>2.2627999999999999</v>
      </c>
      <c r="K798">
        <v>1.3616999999999999</v>
      </c>
      <c r="L798">
        <v>1.2835000000000001</v>
      </c>
      <c r="M798">
        <v>1.4529000000000001</v>
      </c>
      <c r="N798">
        <v>1.5150999999999999</v>
      </c>
      <c r="O798">
        <v>1.3836999999999999</v>
      </c>
      <c r="P798">
        <v>1.306</v>
      </c>
      <c r="Q798">
        <v>1.0167999999999999</v>
      </c>
      <c r="R798">
        <v>1.6761999999999999</v>
      </c>
      <c r="S798">
        <v>1.2121</v>
      </c>
      <c r="T798">
        <v>1.4379</v>
      </c>
      <c r="AM798" t="str">
        <f>""</f>
        <v/>
      </c>
      <c r="AN798" t="str">
        <f>""</f>
        <v/>
      </c>
      <c r="AO798" t="str">
        <f>""</f>
        <v/>
      </c>
      <c r="AP798" t="str">
        <f>""</f>
        <v/>
      </c>
      <c r="AQ798" t="str">
        <f>""</f>
        <v/>
      </c>
      <c r="AR798" t="str">
        <f>""</f>
        <v/>
      </c>
      <c r="AS798" t="str">
        <f>""</f>
        <v/>
      </c>
      <c r="AT798" t="str">
        <f>""</f>
        <v/>
      </c>
      <c r="AU798" t="str">
        <f>""</f>
        <v/>
      </c>
      <c r="AV798" t="str">
        <f>""</f>
        <v/>
      </c>
      <c r="AW798" t="str">
        <f>""</f>
        <v/>
      </c>
      <c r="AX798" t="str">
        <f>""</f>
        <v/>
      </c>
      <c r="AY798" t="str">
        <f>""</f>
        <v/>
      </c>
      <c r="AZ798" t="str">
        <f>""</f>
        <v/>
      </c>
      <c r="BA798" t="str">
        <f>""</f>
        <v/>
      </c>
      <c r="BB798" t="str">
        <f>""</f>
        <v/>
      </c>
      <c r="BC798" t="str">
        <f>""</f>
        <v/>
      </c>
      <c r="BD798" t="str">
        <f>""</f>
        <v/>
      </c>
      <c r="BE798" t="str">
        <f>""</f>
        <v/>
      </c>
      <c r="BF798" t="str">
        <f>""</f>
        <v/>
      </c>
      <c r="BG798" t="str">
        <f>""</f>
        <v/>
      </c>
      <c r="BH798" t="str">
        <f>""</f>
        <v/>
      </c>
      <c r="BI798" t="str">
        <f>""</f>
        <v/>
      </c>
      <c r="BJ798" t="str">
        <f>""</f>
        <v/>
      </c>
      <c r="BK798" t="str">
        <f>""</f>
        <v/>
      </c>
      <c r="BL798" t="str">
        <f>""</f>
        <v/>
      </c>
      <c r="BM798" t="str">
        <f>""</f>
        <v/>
      </c>
      <c r="BN798" t="str">
        <f>""</f>
        <v/>
      </c>
      <c r="BO798" t="str">
        <f>""</f>
        <v/>
      </c>
      <c r="BP798" t="str">
        <f>""</f>
        <v/>
      </c>
      <c r="BQ798" t="str">
        <f>""</f>
        <v/>
      </c>
      <c r="BR798" t="str">
        <f>""</f>
        <v/>
      </c>
      <c r="BS798" t="str">
        <f>""</f>
        <v/>
      </c>
    </row>
    <row r="799" spans="1:71" x14ac:dyDescent="0.25">
      <c r="A799" t="str">
        <f>$A$402</f>
        <v xml:space="preserve">        JPMorgan Chase &amp; Co</v>
      </c>
      <c r="B799" t="str">
        <f>$B$402</f>
        <v>JPM US Equity</v>
      </c>
      <c r="C799" t="str">
        <f>$C$402</f>
        <v>F0128</v>
      </c>
      <c r="D799" t="str">
        <f>$D$402</f>
        <v>FED_OTH_NONCONS_LNS_%_TOT_LNS_LS</v>
      </c>
      <c r="E799" t="str">
        <f>$E$402</f>
        <v>Dynamic</v>
      </c>
      <c r="F799">
        <f ca="1">_xll.BDH($B$402,$C$402,$B$425,$B$426,CONCATENATE("Per=",$B$423),"Dts=H","Dir=H",CONCATENATE("Points=",$B$424),"Sort=R","Days=A","Fill=B",CONCATENATE("FX=", $B$422),"cols=33;rows=1")</f>
        <v>12.158899999999999</v>
      </c>
      <c r="G799">
        <v>12.1267</v>
      </c>
      <c r="H799">
        <v>12.7155</v>
      </c>
      <c r="I799">
        <v>12.921099999999999</v>
      </c>
      <c r="J799">
        <v>13.5718</v>
      </c>
      <c r="K799">
        <v>13.004300000000001</v>
      </c>
      <c r="L799">
        <v>11.8522</v>
      </c>
      <c r="M799">
        <v>11.4991</v>
      </c>
      <c r="N799">
        <v>11.3154</v>
      </c>
      <c r="O799">
        <v>12.2258</v>
      </c>
      <c r="P799">
        <v>11.900700000000001</v>
      </c>
      <c r="Q799">
        <v>11.4863</v>
      </c>
      <c r="R799">
        <v>8.2957999999999998</v>
      </c>
      <c r="S799">
        <v>8.1525999999999996</v>
      </c>
      <c r="T799">
        <v>6.7691999999999997</v>
      </c>
      <c r="AM799" t="str">
        <f>""</f>
        <v/>
      </c>
      <c r="AN799" t="str">
        <f>""</f>
        <v/>
      </c>
      <c r="AO799" t="str">
        <f>""</f>
        <v/>
      </c>
      <c r="AP799" t="str">
        <f>""</f>
        <v/>
      </c>
      <c r="AQ799" t="str">
        <f>""</f>
        <v/>
      </c>
      <c r="AR799" t="str">
        <f>""</f>
        <v/>
      </c>
      <c r="AS799" t="str">
        <f>""</f>
        <v/>
      </c>
      <c r="AT799" t="str">
        <f>""</f>
        <v/>
      </c>
      <c r="AU799" t="str">
        <f>""</f>
        <v/>
      </c>
      <c r="AV799" t="str">
        <f>""</f>
        <v/>
      </c>
      <c r="AW799" t="str">
        <f>""</f>
        <v/>
      </c>
      <c r="AX799" t="str">
        <f>""</f>
        <v/>
      </c>
      <c r="AY799" t="str">
        <f>""</f>
        <v/>
      </c>
      <c r="AZ799" t="str">
        <f>""</f>
        <v/>
      </c>
      <c r="BA799" t="str">
        <f>""</f>
        <v/>
      </c>
      <c r="BB799" t="str">
        <f>""</f>
        <v/>
      </c>
      <c r="BC799" t="str">
        <f>""</f>
        <v/>
      </c>
      <c r="BD799" t="str">
        <f>""</f>
        <v/>
      </c>
      <c r="BE799" t="str">
        <f>""</f>
        <v/>
      </c>
      <c r="BF799" t="str">
        <f>""</f>
        <v/>
      </c>
      <c r="BG799" t="str">
        <f>""</f>
        <v/>
      </c>
      <c r="BH799" t="str">
        <f>""</f>
        <v/>
      </c>
      <c r="BI799" t="str">
        <f>""</f>
        <v/>
      </c>
      <c r="BJ799" t="str">
        <f>""</f>
        <v/>
      </c>
      <c r="BK799" t="str">
        <f>""</f>
        <v/>
      </c>
      <c r="BL799" t="str">
        <f>""</f>
        <v/>
      </c>
      <c r="BM799" t="str">
        <f>""</f>
        <v/>
      </c>
      <c r="BN799" t="str">
        <f>""</f>
        <v/>
      </c>
      <c r="BO799" t="str">
        <f>""</f>
        <v/>
      </c>
      <c r="BP799" t="str">
        <f>""</f>
        <v/>
      </c>
      <c r="BQ799" t="str">
        <f>""</f>
        <v/>
      </c>
      <c r="BR799" t="str">
        <f>""</f>
        <v/>
      </c>
      <c r="BS799" t="str">
        <f>""</f>
        <v/>
      </c>
    </row>
    <row r="800" spans="1:71" x14ac:dyDescent="0.25">
      <c r="A800" t="str">
        <f>$A$403</f>
        <v xml:space="preserve">        KeyCorp</v>
      </c>
      <c r="B800" t="str">
        <f>$B$403</f>
        <v>KEY US Equity</v>
      </c>
      <c r="C800" t="str">
        <f>$C$403</f>
        <v>F0128</v>
      </c>
      <c r="D800" t="str">
        <f>$D$403</f>
        <v>FED_OTH_NONCONS_LNS_%_TOT_LNS_LS</v>
      </c>
      <c r="E800" t="str">
        <f>$E$403</f>
        <v>Dynamic</v>
      </c>
      <c r="F800">
        <f ca="1">_xll.BDH($B$403,$C$403,$B$425,$B$426,CONCATENATE("Per=",$B$423),"Dts=H","Dir=H",CONCATENATE("Points=",$B$424),"Sort=R","Days=A","Fill=B",CONCATENATE("FX=", $B$422),"cols=33;rows=1")</f>
        <v>4.6958000000000002</v>
      </c>
      <c r="G800">
        <v>4.8474000000000004</v>
      </c>
      <c r="H800">
        <v>4.7070999999999996</v>
      </c>
      <c r="I800">
        <v>6.226</v>
      </c>
      <c r="J800">
        <v>5.9886999999999997</v>
      </c>
      <c r="K800">
        <v>6.7083000000000004</v>
      </c>
      <c r="L800">
        <v>7.0099</v>
      </c>
      <c r="M800">
        <v>7.2977999999999996</v>
      </c>
      <c r="N800">
        <v>6.1463999999999999</v>
      </c>
      <c r="O800">
        <v>7.55</v>
      </c>
      <c r="P800">
        <v>7.2613000000000003</v>
      </c>
      <c r="Q800">
        <v>6.6759000000000004</v>
      </c>
      <c r="R800">
        <v>6.1791</v>
      </c>
      <c r="S800">
        <v>5.0885999999999996</v>
      </c>
      <c r="T800">
        <v>3.9817</v>
      </c>
      <c r="AM800" t="str">
        <f>""</f>
        <v/>
      </c>
      <c r="AN800" t="str">
        <f>""</f>
        <v/>
      </c>
      <c r="AO800" t="str">
        <f>""</f>
        <v/>
      </c>
      <c r="AP800" t="str">
        <f>""</f>
        <v/>
      </c>
      <c r="AQ800" t="str">
        <f>""</f>
        <v/>
      </c>
      <c r="AR800" t="str">
        <f>""</f>
        <v/>
      </c>
      <c r="AS800" t="str">
        <f>""</f>
        <v/>
      </c>
      <c r="AT800" t="str">
        <f>""</f>
        <v/>
      </c>
      <c r="AU800" t="str">
        <f>""</f>
        <v/>
      </c>
      <c r="AV800" t="str">
        <f>""</f>
        <v/>
      </c>
      <c r="AW800" t="str">
        <f>""</f>
        <v/>
      </c>
      <c r="AX800" t="str">
        <f>""</f>
        <v/>
      </c>
      <c r="AY800" t="str">
        <f>""</f>
        <v/>
      </c>
      <c r="AZ800" t="str">
        <f>""</f>
        <v/>
      </c>
      <c r="BA800" t="str">
        <f>""</f>
        <v/>
      </c>
      <c r="BB800" t="str">
        <f>""</f>
        <v/>
      </c>
      <c r="BC800" t="str">
        <f>""</f>
        <v/>
      </c>
      <c r="BD800" t="str">
        <f>""</f>
        <v/>
      </c>
      <c r="BE800" t="str">
        <f>""</f>
        <v/>
      </c>
      <c r="BF800" t="str">
        <f>""</f>
        <v/>
      </c>
      <c r="BG800" t="str">
        <f>""</f>
        <v/>
      </c>
      <c r="BH800" t="str">
        <f>""</f>
        <v/>
      </c>
      <c r="BI800" t="str">
        <f>""</f>
        <v/>
      </c>
      <c r="BJ800" t="str">
        <f>""</f>
        <v/>
      </c>
      <c r="BK800" t="str">
        <f>""</f>
        <v/>
      </c>
      <c r="BL800" t="str">
        <f>""</f>
        <v/>
      </c>
      <c r="BM800" t="str">
        <f>""</f>
        <v/>
      </c>
      <c r="BN800" t="str">
        <f>""</f>
        <v/>
      </c>
      <c r="BO800" t="str">
        <f>""</f>
        <v/>
      </c>
      <c r="BP800" t="str">
        <f>""</f>
        <v/>
      </c>
      <c r="BQ800" t="str">
        <f>""</f>
        <v/>
      </c>
      <c r="BR800" t="str">
        <f>""</f>
        <v/>
      </c>
      <c r="BS800" t="str">
        <f>""</f>
        <v/>
      </c>
    </row>
    <row r="801" spans="1:71" x14ac:dyDescent="0.25">
      <c r="A801" t="str">
        <f>$A$404</f>
        <v xml:space="preserve">        M&amp;T Bank Corp</v>
      </c>
      <c r="B801" t="str">
        <f>$B$404</f>
        <v>MTB US Equity</v>
      </c>
      <c r="C801" t="str">
        <f>$C$404</f>
        <v>F0128</v>
      </c>
      <c r="D801" t="str">
        <f>$D$404</f>
        <v>FED_OTH_NONCONS_LNS_%_TOT_LNS_LS</v>
      </c>
      <c r="E801" t="str">
        <f>$E$404</f>
        <v>Dynamic</v>
      </c>
      <c r="F801">
        <f ca="1">_xll.BDH($B$404,$C$404,$B$425,$B$426,CONCATENATE("Per=",$B$423),"Dts=H","Dir=H",CONCATENATE("Points=",$B$424),"Sort=R","Days=A","Fill=B",CONCATENATE("FX=", $B$422),"cols=33;rows=1")</f>
        <v>3.1741999999999999</v>
      </c>
      <c r="G801">
        <v>3.1432000000000002</v>
      </c>
      <c r="H801">
        <v>2.9933999999999998</v>
      </c>
      <c r="I801">
        <v>2.6991999999999998</v>
      </c>
      <c r="J801">
        <v>2.5057</v>
      </c>
      <c r="K801">
        <v>2.4018999999999999</v>
      </c>
      <c r="L801">
        <v>2.3841999999999999</v>
      </c>
      <c r="M801">
        <v>2.2991000000000001</v>
      </c>
      <c r="N801">
        <v>2.2269000000000001</v>
      </c>
      <c r="O801">
        <v>1.9735</v>
      </c>
      <c r="P801">
        <v>2.2534000000000001</v>
      </c>
      <c r="Q801">
        <v>2.1736</v>
      </c>
      <c r="R801">
        <v>2.3399000000000001</v>
      </c>
      <c r="S801">
        <v>1.8722000000000001</v>
      </c>
      <c r="T801">
        <v>1.9012</v>
      </c>
      <c r="AM801" t="str">
        <f>""</f>
        <v/>
      </c>
      <c r="AN801" t="str">
        <f>""</f>
        <v/>
      </c>
      <c r="AO801" t="str">
        <f>""</f>
        <v/>
      </c>
      <c r="AP801" t="str">
        <f>""</f>
        <v/>
      </c>
      <c r="AQ801" t="str">
        <f>""</f>
        <v/>
      </c>
      <c r="AR801" t="str">
        <f>""</f>
        <v/>
      </c>
      <c r="AS801" t="str">
        <f>""</f>
        <v/>
      </c>
      <c r="AT801" t="str">
        <f>""</f>
        <v/>
      </c>
      <c r="AU801" t="str">
        <f>""</f>
        <v/>
      </c>
      <c r="AV801" t="str">
        <f>""</f>
        <v/>
      </c>
      <c r="AW801" t="str">
        <f>""</f>
        <v/>
      </c>
      <c r="AX801" t="str">
        <f>""</f>
        <v/>
      </c>
      <c r="AY801" t="str">
        <f>""</f>
        <v/>
      </c>
      <c r="AZ801" t="str">
        <f>""</f>
        <v/>
      </c>
      <c r="BA801" t="str">
        <f>""</f>
        <v/>
      </c>
      <c r="BB801" t="str">
        <f>""</f>
        <v/>
      </c>
      <c r="BC801" t="str">
        <f>""</f>
        <v/>
      </c>
      <c r="BD801" t="str">
        <f>""</f>
        <v/>
      </c>
      <c r="BE801" t="str">
        <f>""</f>
        <v/>
      </c>
      <c r="BF801" t="str">
        <f>""</f>
        <v/>
      </c>
      <c r="BG801" t="str">
        <f>""</f>
        <v/>
      </c>
      <c r="BH801" t="str">
        <f>""</f>
        <v/>
      </c>
      <c r="BI801" t="str">
        <f>""</f>
        <v/>
      </c>
      <c r="BJ801" t="str">
        <f>""</f>
        <v/>
      </c>
      <c r="BK801" t="str">
        <f>""</f>
        <v/>
      </c>
      <c r="BL801" t="str">
        <f>""</f>
        <v/>
      </c>
      <c r="BM801" t="str">
        <f>""</f>
        <v/>
      </c>
      <c r="BN801" t="str">
        <f>""</f>
        <v/>
      </c>
      <c r="BO801" t="str">
        <f>""</f>
        <v/>
      </c>
      <c r="BP801" t="str">
        <f>""</f>
        <v/>
      </c>
      <c r="BQ801" t="str">
        <f>""</f>
        <v/>
      </c>
      <c r="BR801" t="str">
        <f>""</f>
        <v/>
      </c>
      <c r="BS801" t="str">
        <f>""</f>
        <v/>
      </c>
    </row>
    <row r="802" spans="1:71" x14ac:dyDescent="0.25">
      <c r="A802" t="str">
        <f>$A$405</f>
        <v xml:space="preserve">        PNC Financial Services Group I</v>
      </c>
      <c r="B802" t="str">
        <f>$B$405</f>
        <v>PNC US Equity</v>
      </c>
      <c r="C802" t="str">
        <f>$C$405</f>
        <v>F0128</v>
      </c>
      <c r="D802" t="str">
        <f>$D$405</f>
        <v>FED_OTH_NONCONS_LNS_%_TOT_LNS_LS</v>
      </c>
      <c r="E802" t="str">
        <f>$E$405</f>
        <v>Dynamic</v>
      </c>
      <c r="F802">
        <f ca="1">_xll.BDH($B$405,$C$405,$B$425,$B$426,CONCATENATE("Per=",$B$423),"Dts=H","Dir=H",CONCATENATE("Points=",$B$424),"Sort=R","Days=A","Fill=B",CONCATENATE("FX=", $B$422),"cols=33;rows=1")</f>
        <v>5.1580000000000004</v>
      </c>
      <c r="G802">
        <v>5.5354999999999999</v>
      </c>
      <c r="H802">
        <v>6.4055999999999997</v>
      </c>
      <c r="I802">
        <v>6.71</v>
      </c>
      <c r="J802">
        <v>6.1867999999999999</v>
      </c>
      <c r="K802">
        <v>5.4633000000000003</v>
      </c>
      <c r="L802">
        <v>6.1853999999999996</v>
      </c>
      <c r="M802">
        <v>7.7125000000000004</v>
      </c>
      <c r="N802">
        <v>7.4290000000000003</v>
      </c>
      <c r="O802">
        <v>7.6531000000000002</v>
      </c>
      <c r="P802">
        <v>7.7065000000000001</v>
      </c>
      <c r="Q802">
        <v>7.4829999999999997</v>
      </c>
      <c r="R802">
        <v>6.1451000000000002</v>
      </c>
      <c r="S802">
        <v>4.0052000000000003</v>
      </c>
      <c r="T802">
        <v>2.5878999999999999</v>
      </c>
      <c r="AM802" t="str">
        <f>""</f>
        <v/>
      </c>
      <c r="AN802" t="str">
        <f>""</f>
        <v/>
      </c>
      <c r="AO802" t="str">
        <f>""</f>
        <v/>
      </c>
      <c r="AP802" t="str">
        <f>""</f>
        <v/>
      </c>
      <c r="AQ802" t="str">
        <f>""</f>
        <v/>
      </c>
      <c r="AR802" t="str">
        <f>""</f>
        <v/>
      </c>
      <c r="AS802" t="str">
        <f>""</f>
        <v/>
      </c>
      <c r="AT802" t="str">
        <f>""</f>
        <v/>
      </c>
      <c r="AU802" t="str">
        <f>""</f>
        <v/>
      </c>
      <c r="AV802" t="str">
        <f>""</f>
        <v/>
      </c>
      <c r="AW802" t="str">
        <f>""</f>
        <v/>
      </c>
      <c r="AX802" t="str">
        <f>""</f>
        <v/>
      </c>
      <c r="AY802" t="str">
        <f>""</f>
        <v/>
      </c>
      <c r="AZ802" t="str">
        <f>""</f>
        <v/>
      </c>
      <c r="BA802" t="str">
        <f>""</f>
        <v/>
      </c>
      <c r="BB802" t="str">
        <f>""</f>
        <v/>
      </c>
      <c r="BC802" t="str">
        <f>""</f>
        <v/>
      </c>
      <c r="BD802" t="str">
        <f>""</f>
        <v/>
      </c>
      <c r="BE802" t="str">
        <f>""</f>
        <v/>
      </c>
      <c r="BF802" t="str">
        <f>""</f>
        <v/>
      </c>
      <c r="BG802" t="str">
        <f>""</f>
        <v/>
      </c>
      <c r="BH802" t="str">
        <f>""</f>
        <v/>
      </c>
      <c r="BI802" t="str">
        <f>""</f>
        <v/>
      </c>
      <c r="BJ802" t="str">
        <f>""</f>
        <v/>
      </c>
      <c r="BK802" t="str">
        <f>""</f>
        <v/>
      </c>
      <c r="BL802" t="str">
        <f>""</f>
        <v/>
      </c>
      <c r="BM802" t="str">
        <f>""</f>
        <v/>
      </c>
      <c r="BN802" t="str">
        <f>""</f>
        <v/>
      </c>
      <c r="BO802" t="str">
        <f>""</f>
        <v/>
      </c>
      <c r="BP802" t="str">
        <f>""</f>
        <v/>
      </c>
      <c r="BQ802" t="str">
        <f>""</f>
        <v/>
      </c>
      <c r="BR802" t="str">
        <f>""</f>
        <v/>
      </c>
      <c r="BS802" t="str">
        <f>""</f>
        <v/>
      </c>
    </row>
    <row r="803" spans="1:71" x14ac:dyDescent="0.25">
      <c r="A803" t="str">
        <f>$A$406</f>
        <v xml:space="preserve">        Regions Financial Corp</v>
      </c>
      <c r="B803" t="str">
        <f>$B$406</f>
        <v>RF US Equity</v>
      </c>
      <c r="C803" t="str">
        <f>$C$406</f>
        <v>F0128</v>
      </c>
      <c r="D803" t="str">
        <f>$D$406</f>
        <v>FED_OTH_NONCONS_LNS_%_TOT_LNS_LS</v>
      </c>
      <c r="E803" t="str">
        <f>$E$406</f>
        <v>Dynamic</v>
      </c>
      <c r="F803">
        <f ca="1">_xll.BDH($B$406,$C$406,$B$425,$B$426,CONCATENATE("Per=",$B$423),"Dts=H","Dir=H",CONCATENATE("Points=",$B$424),"Sort=R","Days=A","Fill=B",CONCATENATE("FX=", $B$422),"cols=33;rows=1")</f>
        <v>7.9983000000000004</v>
      </c>
      <c r="G803">
        <v>8.1712000000000007</v>
      </c>
      <c r="H803">
        <v>7.9283000000000001</v>
      </c>
      <c r="I803">
        <v>7.9200999999999997</v>
      </c>
      <c r="J803">
        <v>8.2051999999999996</v>
      </c>
      <c r="K803">
        <v>7.8312999999999997</v>
      </c>
      <c r="L803">
        <v>8.2484999999999999</v>
      </c>
      <c r="M803">
        <v>7.9226999999999999</v>
      </c>
      <c r="N803">
        <v>6.9161999999999999</v>
      </c>
      <c r="O803">
        <v>5.4965000000000002</v>
      </c>
      <c r="P803">
        <v>3.5541999999999998</v>
      </c>
      <c r="Q803">
        <v>3.9339</v>
      </c>
      <c r="R803">
        <v>4.1395999999999997</v>
      </c>
      <c r="S803">
        <v>4.2325999999999997</v>
      </c>
      <c r="T803">
        <v>3.8843000000000001</v>
      </c>
      <c r="AM803" t="str">
        <f>""</f>
        <v/>
      </c>
      <c r="AN803" t="str">
        <f>""</f>
        <v/>
      </c>
      <c r="AO803" t="str">
        <f>""</f>
        <v/>
      </c>
      <c r="AP803" t="str">
        <f>""</f>
        <v/>
      </c>
      <c r="AQ803" t="str">
        <f>""</f>
        <v/>
      </c>
      <c r="AR803" t="str">
        <f>""</f>
        <v/>
      </c>
      <c r="AS803" t="str">
        <f>""</f>
        <v/>
      </c>
      <c r="AT803" t="str">
        <f>""</f>
        <v/>
      </c>
      <c r="AU803" t="str">
        <f>""</f>
        <v/>
      </c>
      <c r="AV803" t="str">
        <f>""</f>
        <v/>
      </c>
      <c r="AW803" t="str">
        <f>""</f>
        <v/>
      </c>
      <c r="AX803" t="str">
        <f>""</f>
        <v/>
      </c>
      <c r="AY803" t="str">
        <f>""</f>
        <v/>
      </c>
      <c r="AZ803" t="str">
        <f>""</f>
        <v/>
      </c>
      <c r="BA803" t="str">
        <f>""</f>
        <v/>
      </c>
      <c r="BB803" t="str">
        <f>""</f>
        <v/>
      </c>
      <c r="BC803" t="str">
        <f>""</f>
        <v/>
      </c>
      <c r="BD803" t="str">
        <f>""</f>
        <v/>
      </c>
      <c r="BE803" t="str">
        <f>""</f>
        <v/>
      </c>
      <c r="BF803" t="str">
        <f>""</f>
        <v/>
      </c>
      <c r="BG803" t="str">
        <f>""</f>
        <v/>
      </c>
      <c r="BH803" t="str">
        <f>""</f>
        <v/>
      </c>
      <c r="BI803" t="str">
        <f>""</f>
        <v/>
      </c>
      <c r="BJ803" t="str">
        <f>""</f>
        <v/>
      </c>
      <c r="BK803" t="str">
        <f>""</f>
        <v/>
      </c>
      <c r="BL803" t="str">
        <f>""</f>
        <v/>
      </c>
      <c r="BM803" t="str">
        <f>""</f>
        <v/>
      </c>
      <c r="BN803" t="str">
        <f>""</f>
        <v/>
      </c>
      <c r="BO803" t="str">
        <f>""</f>
        <v/>
      </c>
      <c r="BP803" t="str">
        <f>""</f>
        <v/>
      </c>
      <c r="BQ803" t="str">
        <f>""</f>
        <v/>
      </c>
      <c r="BR803" t="str">
        <f>""</f>
        <v/>
      </c>
      <c r="BS803" t="str">
        <f>""</f>
        <v/>
      </c>
    </row>
    <row r="804" spans="1:71" x14ac:dyDescent="0.25">
      <c r="A804" t="str">
        <f>$A$407</f>
        <v xml:space="preserve">        Truist Financial Corp</v>
      </c>
      <c r="B804" t="str">
        <f>$B$407</f>
        <v>TFC US Equity</v>
      </c>
      <c r="C804" t="str">
        <f>$C$407</f>
        <v>F0128</v>
      </c>
      <c r="D804" t="str">
        <f>$D$407</f>
        <v>FED_OTH_NONCONS_LNS_%_TOT_LNS_LS</v>
      </c>
      <c r="E804" t="str">
        <f>$E$407</f>
        <v>Dynamic</v>
      </c>
      <c r="F804">
        <f ca="1">_xll.BDH($B$407,$C$407,$B$425,$B$426,CONCATENATE("Per=",$B$423),"Dts=H","Dir=H",CONCATENATE("Points=",$B$424),"Sort=R","Days=A","Fill=B",CONCATENATE("FX=", $B$422),"cols=33;rows=1")</f>
        <v>9.8001000000000005</v>
      </c>
      <c r="G804">
        <v>9.8640000000000008</v>
      </c>
      <c r="H804">
        <v>8.4093</v>
      </c>
      <c r="I804">
        <v>8.3071000000000002</v>
      </c>
      <c r="J804">
        <v>7.6997</v>
      </c>
      <c r="K804">
        <v>6.8147000000000002</v>
      </c>
      <c r="L804">
        <v>7.7412999999999998</v>
      </c>
      <c r="M804">
        <v>8.0256000000000007</v>
      </c>
      <c r="N804">
        <v>6.843</v>
      </c>
      <c r="O804">
        <v>6.7168000000000001</v>
      </c>
      <c r="P804">
        <v>6.6608999999999998</v>
      </c>
      <c r="Q804">
        <v>6.6275000000000004</v>
      </c>
      <c r="R804">
        <v>6.1864999999999997</v>
      </c>
      <c r="S804">
        <v>5.3583999999999996</v>
      </c>
      <c r="T804">
        <v>4.9855</v>
      </c>
      <c r="AM804" t="str">
        <f>""</f>
        <v/>
      </c>
      <c r="AN804" t="str">
        <f>""</f>
        <v/>
      </c>
      <c r="AO804" t="str">
        <f>""</f>
        <v/>
      </c>
      <c r="AP804" t="str">
        <f>""</f>
        <v/>
      </c>
      <c r="AQ804" t="str">
        <f>""</f>
        <v/>
      </c>
      <c r="AR804" t="str">
        <f>""</f>
        <v/>
      </c>
      <c r="AS804" t="str">
        <f>""</f>
        <v/>
      </c>
      <c r="AT804" t="str">
        <f>""</f>
        <v/>
      </c>
      <c r="AU804" t="str">
        <f>""</f>
        <v/>
      </c>
      <c r="AV804" t="str">
        <f>""</f>
        <v/>
      </c>
      <c r="AW804" t="str">
        <f>""</f>
        <v/>
      </c>
      <c r="AX804" t="str">
        <f>""</f>
        <v/>
      </c>
      <c r="AY804" t="str">
        <f>""</f>
        <v/>
      </c>
      <c r="AZ804" t="str">
        <f>""</f>
        <v/>
      </c>
      <c r="BA804" t="str">
        <f>""</f>
        <v/>
      </c>
      <c r="BB804" t="str">
        <f>""</f>
        <v/>
      </c>
      <c r="BC804" t="str">
        <f>""</f>
        <v/>
      </c>
      <c r="BD804" t="str">
        <f>""</f>
        <v/>
      </c>
      <c r="BE804" t="str">
        <f>""</f>
        <v/>
      </c>
      <c r="BF804" t="str">
        <f>""</f>
        <v/>
      </c>
      <c r="BG804" t="str">
        <f>""</f>
        <v/>
      </c>
      <c r="BH804" t="str">
        <f>""</f>
        <v/>
      </c>
      <c r="BI804" t="str">
        <f>""</f>
        <v/>
      </c>
      <c r="BJ804" t="str">
        <f>""</f>
        <v/>
      </c>
      <c r="BK804" t="str">
        <f>""</f>
        <v/>
      </c>
      <c r="BL804" t="str">
        <f>""</f>
        <v/>
      </c>
      <c r="BM804" t="str">
        <f>""</f>
        <v/>
      </c>
      <c r="BN804" t="str">
        <f>""</f>
        <v/>
      </c>
      <c r="BO804" t="str">
        <f>""</f>
        <v/>
      </c>
      <c r="BP804" t="str">
        <f>""</f>
        <v/>
      </c>
      <c r="BQ804" t="str">
        <f>""</f>
        <v/>
      </c>
      <c r="BR804" t="str">
        <f>""</f>
        <v/>
      </c>
      <c r="BS804" t="str">
        <f>""</f>
        <v/>
      </c>
    </row>
    <row r="805" spans="1:71" x14ac:dyDescent="0.25">
      <c r="A805" t="str">
        <f>$A$408</f>
        <v xml:space="preserve">        US Bancorp</v>
      </c>
      <c r="B805" t="str">
        <f>$B$408</f>
        <v>USB US Equity</v>
      </c>
      <c r="C805" t="str">
        <f>$C$408</f>
        <v>F0128</v>
      </c>
      <c r="D805" t="str">
        <f>$D$408</f>
        <v>FED_OTH_NONCONS_LNS_%_TOT_LNS_LS</v>
      </c>
      <c r="E805" t="str">
        <f>$E$408</f>
        <v>Dynamic</v>
      </c>
      <c r="F805">
        <f ca="1">_xll.BDH($B$408,$C$408,$B$425,$B$426,CONCATENATE("Per=",$B$423),"Dts=H","Dir=H",CONCATENATE("Points=",$B$424),"Sort=R","Days=A","Fill=B",CONCATENATE("FX=", $B$422),"cols=33;rows=1")</f>
        <v>3.9224999999999999</v>
      </c>
      <c r="G805">
        <v>4.1584000000000003</v>
      </c>
      <c r="H805">
        <v>3.9253</v>
      </c>
      <c r="I805">
        <v>4.6166</v>
      </c>
      <c r="J805">
        <v>4.9447000000000001</v>
      </c>
      <c r="K805">
        <v>4.6913999999999998</v>
      </c>
      <c r="L805">
        <v>5.4679000000000002</v>
      </c>
      <c r="M805">
        <v>5.9764999999999997</v>
      </c>
      <c r="N805">
        <v>5.9203999999999999</v>
      </c>
      <c r="O805">
        <v>5.5483000000000002</v>
      </c>
      <c r="P805">
        <v>5.0114000000000001</v>
      </c>
      <c r="Q805">
        <v>5.0923999999999996</v>
      </c>
      <c r="R805">
        <v>4.9295</v>
      </c>
      <c r="S805">
        <v>3.9060000000000001</v>
      </c>
      <c r="T805">
        <v>3.1869000000000001</v>
      </c>
      <c r="AM805" t="str">
        <f>""</f>
        <v/>
      </c>
      <c r="AN805" t="str">
        <f>""</f>
        <v/>
      </c>
      <c r="AO805" t="str">
        <f>""</f>
        <v/>
      </c>
      <c r="AP805" t="str">
        <f>""</f>
        <v/>
      </c>
      <c r="AQ805" t="str">
        <f>""</f>
        <v/>
      </c>
      <c r="AR805" t="str">
        <f>""</f>
        <v/>
      </c>
      <c r="AS805" t="str">
        <f>""</f>
        <v/>
      </c>
      <c r="AT805" t="str">
        <f>""</f>
        <v/>
      </c>
      <c r="AU805" t="str">
        <f>""</f>
        <v/>
      </c>
      <c r="AV805" t="str">
        <f>""</f>
        <v/>
      </c>
      <c r="AW805" t="str">
        <f>""</f>
        <v/>
      </c>
      <c r="AX805" t="str">
        <f>""</f>
        <v/>
      </c>
      <c r="AY805" t="str">
        <f>""</f>
        <v/>
      </c>
      <c r="AZ805" t="str">
        <f>""</f>
        <v/>
      </c>
      <c r="BA805" t="str">
        <f>""</f>
        <v/>
      </c>
      <c r="BB805" t="str">
        <f>""</f>
        <v/>
      </c>
      <c r="BC805" t="str">
        <f>""</f>
        <v/>
      </c>
      <c r="BD805" t="str">
        <f>""</f>
        <v/>
      </c>
      <c r="BE805" t="str">
        <f>""</f>
        <v/>
      </c>
      <c r="BF805" t="str">
        <f>""</f>
        <v/>
      </c>
      <c r="BG805" t="str">
        <f>""</f>
        <v/>
      </c>
      <c r="BH805" t="str">
        <f>""</f>
        <v/>
      </c>
      <c r="BI805" t="str">
        <f>""</f>
        <v/>
      </c>
      <c r="BJ805" t="str">
        <f>""</f>
        <v/>
      </c>
      <c r="BK805" t="str">
        <f>""</f>
        <v/>
      </c>
      <c r="BL805" t="str">
        <f>""</f>
        <v/>
      </c>
      <c r="BM805" t="str">
        <f>""</f>
        <v/>
      </c>
      <c r="BN805" t="str">
        <f>""</f>
        <v/>
      </c>
      <c r="BO805" t="str">
        <f>""</f>
        <v/>
      </c>
      <c r="BP805" t="str">
        <f>""</f>
        <v/>
      </c>
      <c r="BQ805" t="str">
        <f>""</f>
        <v/>
      </c>
      <c r="BR805" t="str">
        <f>""</f>
        <v/>
      </c>
      <c r="BS805" t="str">
        <f>""</f>
        <v/>
      </c>
    </row>
    <row r="806" spans="1:71" x14ac:dyDescent="0.25">
      <c r="A806" t="str">
        <f>$A$409</f>
        <v xml:space="preserve">        Wells Fargo &amp; Co</v>
      </c>
      <c r="B806" t="str">
        <f>$B$409</f>
        <v>WFC US Equity</v>
      </c>
      <c r="C806" t="str">
        <f>$C$409</f>
        <v>F0128</v>
      </c>
      <c r="D806" t="str">
        <f>$D$409</f>
        <v>FED_OTH_NONCONS_LNS_%_TOT_LNS_LS</v>
      </c>
      <c r="E806" t="str">
        <f>$E$409</f>
        <v>Dynamic</v>
      </c>
      <c r="F806">
        <f ca="1">_xll.BDH($B$409,$C$409,$B$425,$B$426,CONCATENATE("Per=",$B$423),"Dts=H","Dir=H",CONCATENATE("Points=",$B$424),"Sort=R","Days=A","Fill=B",CONCATENATE("FX=", $B$422),"cols=33;rows=1")</f>
        <v>2.9588000000000001</v>
      </c>
      <c r="G806">
        <v>2.8029000000000002</v>
      </c>
      <c r="H806">
        <v>2.8258999999999999</v>
      </c>
      <c r="I806">
        <v>2.6509999999999998</v>
      </c>
      <c r="J806">
        <v>2.8771</v>
      </c>
      <c r="K806">
        <v>2.6166</v>
      </c>
      <c r="L806">
        <v>2.8685</v>
      </c>
      <c r="M806">
        <v>3.1234999999999999</v>
      </c>
      <c r="N806">
        <v>3.0948000000000002</v>
      </c>
      <c r="O806">
        <v>2.7938999999999998</v>
      </c>
      <c r="P806">
        <v>2.7061999999999999</v>
      </c>
      <c r="Q806">
        <v>1.5547</v>
      </c>
      <c r="R806">
        <v>1.1117999999999999</v>
      </c>
      <c r="S806">
        <v>1.9197</v>
      </c>
      <c r="T806">
        <v>2.0874999999999999</v>
      </c>
      <c r="AM806" t="str">
        <f>""</f>
        <v/>
      </c>
      <c r="AN806" t="str">
        <f>""</f>
        <v/>
      </c>
      <c r="AO806" t="str">
        <f>""</f>
        <v/>
      </c>
      <c r="AP806" t="str">
        <f>""</f>
        <v/>
      </c>
      <c r="AQ806" t="str">
        <f>""</f>
        <v/>
      </c>
      <c r="AR806" t="str">
        <f>""</f>
        <v/>
      </c>
      <c r="AS806" t="str">
        <f>""</f>
        <v/>
      </c>
      <c r="AT806" t="str">
        <f>""</f>
        <v/>
      </c>
      <c r="AU806" t="str">
        <f>""</f>
        <v/>
      </c>
      <c r="AV806" t="str">
        <f>""</f>
        <v/>
      </c>
      <c r="AW806" t="str">
        <f>""</f>
        <v/>
      </c>
      <c r="AX806" t="str">
        <f>""</f>
        <v/>
      </c>
      <c r="AY806" t="str">
        <f>""</f>
        <v/>
      </c>
      <c r="AZ806" t="str">
        <f>""</f>
        <v/>
      </c>
      <c r="BA806" t="str">
        <f>""</f>
        <v/>
      </c>
      <c r="BB806" t="str">
        <f>""</f>
        <v/>
      </c>
      <c r="BC806" t="str">
        <f>""</f>
        <v/>
      </c>
      <c r="BD806" t="str">
        <f>""</f>
        <v/>
      </c>
      <c r="BE806" t="str">
        <f>""</f>
        <v/>
      </c>
      <c r="BF806" t="str">
        <f>""</f>
        <v/>
      </c>
      <c r="BG806" t="str">
        <f>""</f>
        <v/>
      </c>
      <c r="BH806" t="str">
        <f>""</f>
        <v/>
      </c>
      <c r="BI806" t="str">
        <f>""</f>
        <v/>
      </c>
      <c r="BJ806" t="str">
        <f>""</f>
        <v/>
      </c>
      <c r="BK806" t="str">
        <f>""</f>
        <v/>
      </c>
      <c r="BL806" t="str">
        <f>""</f>
        <v/>
      </c>
      <c r="BM806" t="str">
        <f>""</f>
        <v/>
      </c>
      <c r="BN806" t="str">
        <f>""</f>
        <v/>
      </c>
      <c r="BO806" t="str">
        <f>""</f>
        <v/>
      </c>
      <c r="BP806" t="str">
        <f>""</f>
        <v/>
      </c>
      <c r="BQ806" t="str">
        <f>""</f>
        <v/>
      </c>
      <c r="BR806" t="str">
        <f>""</f>
        <v/>
      </c>
      <c r="BS806" t="str">
        <f>""</f>
        <v/>
      </c>
    </row>
    <row r="807" spans="1:71" x14ac:dyDescent="0.25">
      <c r="A807" t="str">
        <f>$A$410</f>
        <v xml:space="preserve">        Western Alliance Bancorp</v>
      </c>
      <c r="B807" t="str">
        <f>$B$410</f>
        <v>WAL US Equity</v>
      </c>
      <c r="C807" t="str">
        <f>$C$410</f>
        <v>F0128</v>
      </c>
      <c r="D807" t="str">
        <f>$D$410</f>
        <v>FED_OTH_NONCONS_LNS_%_TOT_LNS_LS</v>
      </c>
      <c r="E807" t="str">
        <f>$E$410</f>
        <v>Dynamic</v>
      </c>
      <c r="F807">
        <f ca="1">_xll.BDH($B$410,$C$410,$B$425,$B$426,CONCATENATE("Per=",$B$423),"Dts=H","Dir=H",CONCATENATE("Points=",$B$424),"Sort=R","Days=A","Fill=B",CONCATENATE("FX=", $B$422),"cols=33;rows=1")</f>
        <v>3.645</v>
      </c>
      <c r="G807">
        <v>4.0480999999999998</v>
      </c>
      <c r="H807">
        <v>3.8344999999999998</v>
      </c>
      <c r="I807">
        <v>4.6441999999999997</v>
      </c>
      <c r="J807">
        <v>8.5904000000000007</v>
      </c>
      <c r="K807">
        <v>10.263400000000001</v>
      </c>
      <c r="L807">
        <v>11.6259</v>
      </c>
      <c r="M807">
        <v>13.252700000000001</v>
      </c>
      <c r="N807">
        <v>13.7583</v>
      </c>
      <c r="O807">
        <v>15.355600000000001</v>
      </c>
      <c r="P807">
        <v>12.9834</v>
      </c>
      <c r="Q807">
        <v>12.0129</v>
      </c>
      <c r="R807">
        <v>6.4436999999999998</v>
      </c>
      <c r="S807">
        <v>2.7467000000000001</v>
      </c>
      <c r="T807">
        <v>6.6699999999999995E-2</v>
      </c>
      <c r="AM807" t="str">
        <f>""</f>
        <v/>
      </c>
      <c r="AN807" t="str">
        <f>""</f>
        <v/>
      </c>
      <c r="AO807" t="str">
        <f>""</f>
        <v/>
      </c>
      <c r="AP807" t="str">
        <f>""</f>
        <v/>
      </c>
      <c r="AQ807" t="str">
        <f>""</f>
        <v/>
      </c>
      <c r="AR807" t="str">
        <f>""</f>
        <v/>
      </c>
      <c r="AS807" t="str">
        <f>""</f>
        <v/>
      </c>
      <c r="AT807" t="str">
        <f>""</f>
        <v/>
      </c>
      <c r="AU807" t="str">
        <f>""</f>
        <v/>
      </c>
      <c r="AV807" t="str">
        <f>""</f>
        <v/>
      </c>
      <c r="AW807" t="str">
        <f>""</f>
        <v/>
      </c>
      <c r="AX807" t="str">
        <f>""</f>
        <v/>
      </c>
      <c r="AY807" t="str">
        <f>""</f>
        <v/>
      </c>
      <c r="AZ807" t="str">
        <f>""</f>
        <v/>
      </c>
      <c r="BA807" t="str">
        <f>""</f>
        <v/>
      </c>
      <c r="BB807" t="str">
        <f>""</f>
        <v/>
      </c>
      <c r="BC807" t="str">
        <f>""</f>
        <v/>
      </c>
      <c r="BD807" t="str">
        <f>""</f>
        <v/>
      </c>
      <c r="BE807" t="str">
        <f>""</f>
        <v/>
      </c>
      <c r="BF807" t="str">
        <f>""</f>
        <v/>
      </c>
      <c r="BG807" t="str">
        <f>""</f>
        <v/>
      </c>
      <c r="BH807" t="str">
        <f>""</f>
        <v/>
      </c>
      <c r="BI807" t="str">
        <f>""</f>
        <v/>
      </c>
      <c r="BJ807" t="str">
        <f>""</f>
        <v/>
      </c>
      <c r="BK807" t="str">
        <f>""</f>
        <v/>
      </c>
      <c r="BL807" t="str">
        <f>""</f>
        <v/>
      </c>
      <c r="BM807" t="str">
        <f>""</f>
        <v/>
      </c>
      <c r="BN807" t="str">
        <f>""</f>
        <v/>
      </c>
      <c r="BO807" t="str">
        <f>""</f>
        <v/>
      </c>
      <c r="BP807" t="str">
        <f>""</f>
        <v/>
      </c>
      <c r="BQ807" t="str">
        <f>""</f>
        <v/>
      </c>
      <c r="BR807" t="str">
        <f>""</f>
        <v/>
      </c>
      <c r="BS807" t="str">
        <f>""</f>
        <v/>
      </c>
    </row>
    <row r="808" spans="1:71" x14ac:dyDescent="0.25">
      <c r="A808" t="str">
        <f>$A$411</f>
        <v xml:space="preserve">        Zions Bancorp NA</v>
      </c>
      <c r="B808" t="str">
        <f>$B$411</f>
        <v>ZION US Equity</v>
      </c>
      <c r="C808" t="str">
        <f>$C$411</f>
        <v>F0128</v>
      </c>
      <c r="D808" t="str">
        <f>$D$411</f>
        <v>FED_OTH_NONCONS_LNS_%_TOT_LNS_LS</v>
      </c>
      <c r="E808" t="str">
        <f>$E$411</f>
        <v>Dynamic</v>
      </c>
      <c r="F808" t="str">
        <f ca="1">_xll.BDH($B$411,$C$411,$B$425,$B$426,CONCATENATE("Per=",$B$423),"Dts=H","Dir=H",CONCATENATE("Points=",$B$424),"Sort=R","Days=A","Fill=B",CONCATENATE("FX=", $B$422) )</f>
        <v/>
      </c>
      <c r="AM808" t="str">
        <f>""</f>
        <v/>
      </c>
      <c r="AN808" t="str">
        <f>""</f>
        <v/>
      </c>
      <c r="AO808" t="str">
        <f>""</f>
        <v/>
      </c>
      <c r="AP808" t="str">
        <f>""</f>
        <v/>
      </c>
      <c r="AQ808" t="str">
        <f>""</f>
        <v/>
      </c>
      <c r="AR808" t="str">
        <f>""</f>
        <v/>
      </c>
      <c r="AS808" t="str">
        <f>""</f>
        <v/>
      </c>
      <c r="AT808" t="str">
        <f>""</f>
        <v/>
      </c>
      <c r="AU808" t="str">
        <f>""</f>
        <v/>
      </c>
      <c r="AV808" t="str">
        <f>""</f>
        <v/>
      </c>
      <c r="AW808" t="str">
        <f>""</f>
        <v/>
      </c>
      <c r="AX808" t="str">
        <f>""</f>
        <v/>
      </c>
      <c r="AY808" t="str">
        <f>""</f>
        <v/>
      </c>
      <c r="AZ808" t="str">
        <f>""</f>
        <v/>
      </c>
      <c r="BA808" t="str">
        <f>""</f>
        <v/>
      </c>
      <c r="BB808" t="str">
        <f>""</f>
        <v/>
      </c>
      <c r="BC808" t="str">
        <f>""</f>
        <v/>
      </c>
      <c r="BD808" t="str">
        <f>""</f>
        <v/>
      </c>
      <c r="BE808" t="str">
        <f>""</f>
        <v/>
      </c>
      <c r="BF808" t="str">
        <f>""</f>
        <v/>
      </c>
      <c r="BG808" t="str">
        <f>""</f>
        <v/>
      </c>
      <c r="BH808" t="str">
        <f>""</f>
        <v/>
      </c>
      <c r="BI808" t="str">
        <f>""</f>
        <v/>
      </c>
      <c r="BJ808" t="str">
        <f>""</f>
        <v/>
      </c>
      <c r="BK808" t="str">
        <f>""</f>
        <v/>
      </c>
      <c r="BL808" t="str">
        <f>""</f>
        <v/>
      </c>
      <c r="BM808" t="str">
        <f>""</f>
        <v/>
      </c>
      <c r="BN808" t="str">
        <f>""</f>
        <v/>
      </c>
      <c r="BO808" t="str">
        <f>""</f>
        <v/>
      </c>
      <c r="BP808" t="str">
        <f>""</f>
        <v/>
      </c>
      <c r="BQ808" t="str">
        <f>""</f>
        <v/>
      </c>
      <c r="BR808" t="str">
        <f>""</f>
        <v/>
      </c>
      <c r="BS808" t="str">
        <f>""</f>
        <v/>
      </c>
    </row>
    <row r="809" spans="1:71" x14ac:dyDescent="0.25">
      <c r="A809" t="str">
        <f>""</f>
        <v/>
      </c>
      <c r="B809" t="str">
        <f>""</f>
        <v/>
      </c>
      <c r="C809" t="str">
        <f>""</f>
        <v/>
      </c>
      <c r="D809" t="str">
        <f>""</f>
        <v/>
      </c>
      <c r="E809" t="str">
        <f>""</f>
        <v/>
      </c>
      <c r="AM809" t="str">
        <f>""</f>
        <v/>
      </c>
      <c r="AN809" t="str">
        <f>""</f>
        <v/>
      </c>
      <c r="AO809" t="str">
        <f>""</f>
        <v/>
      </c>
      <c r="AP809" t="str">
        <f>""</f>
        <v/>
      </c>
      <c r="AQ809" t="str">
        <f>""</f>
        <v/>
      </c>
      <c r="AR809" t="str">
        <f>""</f>
        <v/>
      </c>
      <c r="AS809" t="str">
        <f>""</f>
        <v/>
      </c>
      <c r="AT809" t="str">
        <f>""</f>
        <v/>
      </c>
      <c r="AU809" t="str">
        <f>""</f>
        <v/>
      </c>
      <c r="AV809" t="str">
        <f>""</f>
        <v/>
      </c>
      <c r="AW809" t="str">
        <f>""</f>
        <v/>
      </c>
      <c r="AX809" t="str">
        <f>""</f>
        <v/>
      </c>
      <c r="AY809" t="str">
        <f>""</f>
        <v/>
      </c>
      <c r="AZ809" t="str">
        <f>""</f>
        <v/>
      </c>
      <c r="BA809" t="str">
        <f>""</f>
        <v/>
      </c>
      <c r="BB809" t="str">
        <f>""</f>
        <v/>
      </c>
      <c r="BC809" t="str">
        <f>""</f>
        <v/>
      </c>
      <c r="BD809" t="str">
        <f>""</f>
        <v/>
      </c>
      <c r="BE809" t="str">
        <f>""</f>
        <v/>
      </c>
      <c r="BF809" t="str">
        <f>""</f>
        <v/>
      </c>
      <c r="BG809" t="str">
        <f>""</f>
        <v/>
      </c>
      <c r="BH809" t="str">
        <f>""</f>
        <v/>
      </c>
      <c r="BI809" t="str">
        <f>""</f>
        <v/>
      </c>
      <c r="BJ809" t="str">
        <f>""</f>
        <v/>
      </c>
      <c r="BK809" t="str">
        <f>""</f>
        <v/>
      </c>
      <c r="BL809" t="str">
        <f>""</f>
        <v/>
      </c>
      <c r="BM809" t="str">
        <f>""</f>
        <v/>
      </c>
      <c r="BN809" t="str">
        <f>""</f>
        <v/>
      </c>
      <c r="BO809" t="str">
        <f>""</f>
        <v/>
      </c>
      <c r="BP809" t="str">
        <f>""</f>
        <v/>
      </c>
      <c r="BQ809" t="str">
        <f>""</f>
        <v/>
      </c>
      <c r="BR809" t="str">
        <f>""</f>
        <v/>
      </c>
      <c r="BS809" t="str">
        <f>""</f>
        <v/>
      </c>
    </row>
    <row r="810" spans="1:71" x14ac:dyDescent="0.25">
      <c r="A810" t="str">
        <f>""</f>
        <v/>
      </c>
      <c r="B810" t="str">
        <f>""</f>
        <v/>
      </c>
      <c r="C810" t="str">
        <f>""</f>
        <v/>
      </c>
      <c r="D810" t="str">
        <f>""</f>
        <v/>
      </c>
      <c r="E810" t="str">
        <f>""</f>
        <v/>
      </c>
      <c r="AM810" t="str">
        <f>""</f>
        <v/>
      </c>
      <c r="AN810" t="str">
        <f>""</f>
        <v/>
      </c>
      <c r="AO810" t="str">
        <f>""</f>
        <v/>
      </c>
      <c r="AP810" t="str">
        <f>""</f>
        <v/>
      </c>
      <c r="AQ810" t="str">
        <f>""</f>
        <v/>
      </c>
      <c r="AR810" t="str">
        <f>""</f>
        <v/>
      </c>
      <c r="AS810" t="str">
        <f>""</f>
        <v/>
      </c>
      <c r="AT810" t="str">
        <f>""</f>
        <v/>
      </c>
      <c r="AU810" t="str">
        <f>""</f>
        <v/>
      </c>
      <c r="AV810" t="str">
        <f>""</f>
        <v/>
      </c>
      <c r="AW810" t="str">
        <f>""</f>
        <v/>
      </c>
      <c r="AX810" t="str">
        <f>""</f>
        <v/>
      </c>
      <c r="AY810" t="str">
        <f>""</f>
        <v/>
      </c>
      <c r="AZ810" t="str">
        <f>""</f>
        <v/>
      </c>
      <c r="BA810" t="str">
        <f>""</f>
        <v/>
      </c>
      <c r="BB810" t="str">
        <f>""</f>
        <v/>
      </c>
      <c r="BC810" t="str">
        <f>""</f>
        <v/>
      </c>
      <c r="BD810" t="str">
        <f>""</f>
        <v/>
      </c>
      <c r="BE810" t="str">
        <f>""</f>
        <v/>
      </c>
      <c r="BF810" t="str">
        <f>""</f>
        <v/>
      </c>
      <c r="BG810" t="str">
        <f>""</f>
        <v/>
      </c>
      <c r="BH810" t="str">
        <f>""</f>
        <v/>
      </c>
      <c r="BI810" t="str">
        <f>""</f>
        <v/>
      </c>
      <c r="BJ810" t="str">
        <f>""</f>
        <v/>
      </c>
      <c r="BK810" t="str">
        <f>""</f>
        <v/>
      </c>
      <c r="BL810" t="str">
        <f>""</f>
        <v/>
      </c>
      <c r="BM810" t="str">
        <f>""</f>
        <v/>
      </c>
      <c r="BN810" t="str">
        <f>""</f>
        <v/>
      </c>
      <c r="BO810" t="str">
        <f>""</f>
        <v/>
      </c>
      <c r="BP810" t="str">
        <f>""</f>
        <v/>
      </c>
      <c r="BQ810" t="str">
        <f>""</f>
        <v/>
      </c>
      <c r="BR810" t="str">
        <f>""</f>
        <v/>
      </c>
      <c r="BS810" t="str">
        <f>""</f>
        <v/>
      </c>
    </row>
    <row r="811" spans="1:71" x14ac:dyDescent="0.25">
      <c r="A811" t="str">
        <f>""</f>
        <v/>
      </c>
      <c r="B811" t="str">
        <f>""</f>
        <v/>
      </c>
      <c r="C811" t="str">
        <f>""</f>
        <v/>
      </c>
      <c r="D811" t="str">
        <f>""</f>
        <v/>
      </c>
      <c r="E811" t="str">
        <f>""</f>
        <v/>
      </c>
      <c r="AM811" t="str">
        <f>""</f>
        <v/>
      </c>
      <c r="AN811" t="str">
        <f>""</f>
        <v/>
      </c>
      <c r="AO811" t="str">
        <f>""</f>
        <v/>
      </c>
      <c r="AP811" t="str">
        <f>""</f>
        <v/>
      </c>
      <c r="AQ811" t="str">
        <f>""</f>
        <v/>
      </c>
      <c r="AR811" t="str">
        <f>""</f>
        <v/>
      </c>
      <c r="AS811" t="str">
        <f>""</f>
        <v/>
      </c>
      <c r="AT811" t="str">
        <f>""</f>
        <v/>
      </c>
      <c r="AU811" t="str">
        <f>""</f>
        <v/>
      </c>
      <c r="AV811" t="str">
        <f>""</f>
        <v/>
      </c>
      <c r="AW811" t="str">
        <f>""</f>
        <v/>
      </c>
      <c r="AX811" t="str">
        <f>""</f>
        <v/>
      </c>
      <c r="AY811" t="str">
        <f>""</f>
        <v/>
      </c>
      <c r="AZ811" t="str">
        <f>""</f>
        <v/>
      </c>
      <c r="BA811" t="str">
        <f>""</f>
        <v/>
      </c>
      <c r="BB811" t="str">
        <f>""</f>
        <v/>
      </c>
      <c r="BC811" t="str">
        <f>""</f>
        <v/>
      </c>
      <c r="BD811" t="str">
        <f>""</f>
        <v/>
      </c>
      <c r="BE811" t="str">
        <f>""</f>
        <v/>
      </c>
      <c r="BF811" t="str">
        <f>""</f>
        <v/>
      </c>
      <c r="BG811" t="str">
        <f>""</f>
        <v/>
      </c>
      <c r="BH811" t="str">
        <f>""</f>
        <v/>
      </c>
      <c r="BI811" t="str">
        <f>""</f>
        <v/>
      </c>
      <c r="BJ811" t="str">
        <f>""</f>
        <v/>
      </c>
      <c r="BK811" t="str">
        <f>""</f>
        <v/>
      </c>
      <c r="BL811" t="str">
        <f>""</f>
        <v/>
      </c>
      <c r="BM811" t="str">
        <f>""</f>
        <v/>
      </c>
      <c r="BN811" t="str">
        <f>""</f>
        <v/>
      </c>
      <c r="BO811" t="str">
        <f>""</f>
        <v/>
      </c>
      <c r="BP811" t="str">
        <f>""</f>
        <v/>
      </c>
      <c r="BQ811" t="str">
        <f>""</f>
        <v/>
      </c>
      <c r="BR811" t="str">
        <f>""</f>
        <v/>
      </c>
      <c r="BS811" t="str">
        <f>""</f>
        <v/>
      </c>
    </row>
    <row r="812" spans="1:71" x14ac:dyDescent="0.25">
      <c r="A812" t="str">
        <f>""</f>
        <v/>
      </c>
      <c r="B812" t="str">
        <f>""</f>
        <v/>
      </c>
      <c r="C812" t="str">
        <f>""</f>
        <v/>
      </c>
      <c r="D812" t="str">
        <f>""</f>
        <v/>
      </c>
      <c r="E812" t="str">
        <f>""</f>
        <v/>
      </c>
      <c r="AM812" t="str">
        <f>""</f>
        <v/>
      </c>
      <c r="AN812" t="str">
        <f>""</f>
        <v/>
      </c>
      <c r="AO812" t="str">
        <f>""</f>
        <v/>
      </c>
      <c r="AP812" t="str">
        <f>""</f>
        <v/>
      </c>
      <c r="AQ812" t="str">
        <f>""</f>
        <v/>
      </c>
      <c r="AR812" t="str">
        <f>""</f>
        <v/>
      </c>
      <c r="AS812" t="str">
        <f>""</f>
        <v/>
      </c>
      <c r="AT812" t="str">
        <f>""</f>
        <v/>
      </c>
      <c r="AU812" t="str">
        <f>""</f>
        <v/>
      </c>
      <c r="AV812" t="str">
        <f>""</f>
        <v/>
      </c>
      <c r="AW812" t="str">
        <f>""</f>
        <v/>
      </c>
      <c r="AX812" t="str">
        <f>""</f>
        <v/>
      </c>
      <c r="AY812" t="str">
        <f>""</f>
        <v/>
      </c>
      <c r="AZ812" t="str">
        <f>""</f>
        <v/>
      </c>
      <c r="BA812" t="str">
        <f>""</f>
        <v/>
      </c>
      <c r="BB812" t="str">
        <f>""</f>
        <v/>
      </c>
      <c r="BC812" t="str">
        <f>""</f>
        <v/>
      </c>
      <c r="BD812" t="str">
        <f>""</f>
        <v/>
      </c>
      <c r="BE812" t="str">
        <f>""</f>
        <v/>
      </c>
      <c r="BF812" t="str">
        <f>""</f>
        <v/>
      </c>
      <c r="BG812" t="str">
        <f>""</f>
        <v/>
      </c>
      <c r="BH812" t="str">
        <f>""</f>
        <v/>
      </c>
      <c r="BI812" t="str">
        <f>""</f>
        <v/>
      </c>
      <c r="BJ812" t="str">
        <f>""</f>
        <v/>
      </c>
      <c r="BK812" t="str">
        <f>""</f>
        <v/>
      </c>
      <c r="BL812" t="str">
        <f>""</f>
        <v/>
      </c>
      <c r="BM812" t="str">
        <f>""</f>
        <v/>
      </c>
      <c r="BN812" t="str">
        <f>""</f>
        <v/>
      </c>
      <c r="BO812" t="str">
        <f>""</f>
        <v/>
      </c>
      <c r="BP812" t="str">
        <f>""</f>
        <v/>
      </c>
      <c r="BQ812" t="str">
        <f>""</f>
        <v/>
      </c>
      <c r="BR812" t="str">
        <f>""</f>
        <v/>
      </c>
      <c r="BS812" t="str">
        <f>""</f>
        <v/>
      </c>
    </row>
    <row r="813" spans="1:71" x14ac:dyDescent="0.25">
      <c r="A813" t="str">
        <f>""</f>
        <v/>
      </c>
      <c r="B813" t="str">
        <f>""</f>
        <v/>
      </c>
      <c r="C813" t="str">
        <f>""</f>
        <v/>
      </c>
      <c r="D813" t="str">
        <f>""</f>
        <v/>
      </c>
      <c r="E813" t="str">
        <f>""</f>
        <v/>
      </c>
      <c r="AM813" t="str">
        <f>""</f>
        <v/>
      </c>
      <c r="AN813" t="str">
        <f>""</f>
        <v/>
      </c>
      <c r="AO813" t="str">
        <f>""</f>
        <v/>
      </c>
      <c r="AP813" t="str">
        <f>""</f>
        <v/>
      </c>
      <c r="AQ813" t="str">
        <f>""</f>
        <v/>
      </c>
      <c r="AR813" t="str">
        <f>""</f>
        <v/>
      </c>
      <c r="AS813" t="str">
        <f>""</f>
        <v/>
      </c>
      <c r="AT813" t="str">
        <f>""</f>
        <v/>
      </c>
      <c r="AU813" t="str">
        <f>""</f>
        <v/>
      </c>
      <c r="AV813" t="str">
        <f>""</f>
        <v/>
      </c>
      <c r="AW813" t="str">
        <f>""</f>
        <v/>
      </c>
      <c r="AX813" t="str">
        <f>""</f>
        <v/>
      </c>
      <c r="AY813" t="str">
        <f>""</f>
        <v/>
      </c>
      <c r="AZ813" t="str">
        <f>""</f>
        <v/>
      </c>
      <c r="BA813" t="str">
        <f>""</f>
        <v/>
      </c>
      <c r="BB813" t="str">
        <f>""</f>
        <v/>
      </c>
      <c r="BC813" t="str">
        <f>""</f>
        <v/>
      </c>
      <c r="BD813" t="str">
        <f>""</f>
        <v/>
      </c>
      <c r="BE813" t="str">
        <f>""</f>
        <v/>
      </c>
      <c r="BF813" t="str">
        <f>""</f>
        <v/>
      </c>
      <c r="BG813" t="str">
        <f>""</f>
        <v/>
      </c>
      <c r="BH813" t="str">
        <f>""</f>
        <v/>
      </c>
      <c r="BI813" t="str">
        <f>""</f>
        <v/>
      </c>
      <c r="BJ813" t="str">
        <f>""</f>
        <v/>
      </c>
      <c r="BK813" t="str">
        <f>""</f>
        <v/>
      </c>
      <c r="BL813" t="str">
        <f>""</f>
        <v/>
      </c>
      <c r="BM813" t="str">
        <f>""</f>
        <v/>
      </c>
      <c r="BN813" t="str">
        <f>""</f>
        <v/>
      </c>
      <c r="BO813" t="str">
        <f>""</f>
        <v/>
      </c>
      <c r="BP813" t="str">
        <f>""</f>
        <v/>
      </c>
      <c r="BQ813" t="str">
        <f>""</f>
        <v/>
      </c>
      <c r="BR813" t="str">
        <f>""</f>
        <v/>
      </c>
      <c r="BS813" t="str">
        <f>""</f>
        <v/>
      </c>
    </row>
    <row r="814" spans="1:71" x14ac:dyDescent="0.25">
      <c r="A814" t="str">
        <f>"~~~~~~~~~~~~~~~~~~~~~"</f>
        <v>~~~~~~~~~~~~~~~~~~~~~</v>
      </c>
      <c r="B814" t="str">
        <f>"~~~~~~~~~~~~~~~~~~~~~"</f>
        <v>~~~~~~~~~~~~~~~~~~~~~</v>
      </c>
      <c r="C814" t="str">
        <f>"~~~~~~~~~~~~~~~~~~~~~"</f>
        <v>~~~~~~~~~~~~~~~~~~~~~</v>
      </c>
      <c r="D814" t="str">
        <f>"~~~~~~~~~~~~~~~~~~~~~"</f>
        <v>~~~~~~~~~~~~~~~~~~~~~</v>
      </c>
      <c r="E814" t="str">
        <f>"~~~~~~~~~~~~~~~~~~~~~"</f>
        <v>~~~~~~~~~~~~~~~~~~~~~</v>
      </c>
      <c r="AM814" t="str">
        <f>""</f>
        <v/>
      </c>
      <c r="AN814" t="str">
        <f>""</f>
        <v/>
      </c>
      <c r="AO814" t="str">
        <f>""</f>
        <v/>
      </c>
      <c r="AP814" t="str">
        <f>""</f>
        <v/>
      </c>
      <c r="AQ814" t="str">
        <f>""</f>
        <v/>
      </c>
      <c r="AR814" t="str">
        <f>""</f>
        <v/>
      </c>
      <c r="AS814" t="str">
        <f>""</f>
        <v/>
      </c>
      <c r="AT814" t="str">
        <f>""</f>
        <v/>
      </c>
      <c r="AU814" t="str">
        <f>""</f>
        <v/>
      </c>
      <c r="AV814" t="str">
        <f>""</f>
        <v/>
      </c>
      <c r="AW814" t="str">
        <f>""</f>
        <v/>
      </c>
      <c r="AX814" t="str">
        <f>""</f>
        <v/>
      </c>
      <c r="AY814" t="str">
        <f>""</f>
        <v/>
      </c>
      <c r="AZ814" t="str">
        <f>""</f>
        <v/>
      </c>
      <c r="BA814" t="str">
        <f>""</f>
        <v/>
      </c>
      <c r="BB814" t="str">
        <f>""</f>
        <v/>
      </c>
      <c r="BC814" t="str">
        <f>""</f>
        <v/>
      </c>
      <c r="BD814" t="str">
        <f>""</f>
        <v/>
      </c>
      <c r="BE814" t="str">
        <f>""</f>
        <v/>
      </c>
      <c r="BF814" t="str">
        <f>""</f>
        <v/>
      </c>
      <c r="BG814" t="str">
        <f>""</f>
        <v/>
      </c>
      <c r="BH814" t="str">
        <f>""</f>
        <v/>
      </c>
      <c r="BI814" t="str">
        <f>""</f>
        <v/>
      </c>
      <c r="BJ814" t="str">
        <f>""</f>
        <v/>
      </c>
      <c r="BK814" t="str">
        <f>""</f>
        <v/>
      </c>
      <c r="BL814" t="str">
        <f>""</f>
        <v/>
      </c>
      <c r="BM814" t="str">
        <f>""</f>
        <v/>
      </c>
      <c r="BN814" t="str">
        <f>""</f>
        <v/>
      </c>
      <c r="BO814" t="str">
        <f>""</f>
        <v/>
      </c>
      <c r="BP814" t="str">
        <f>""</f>
        <v/>
      </c>
      <c r="BQ814" t="str">
        <f>""</f>
        <v/>
      </c>
      <c r="BR814" t="str">
        <f>""</f>
        <v/>
      </c>
      <c r="BS814" t="str">
        <f>""</f>
        <v/>
      </c>
    </row>
    <row r="815" spans="1:71" x14ac:dyDescent="0.25">
      <c r="A815" t="str">
        <f>"Rows below for column date calculation"</f>
        <v>Rows below for column date calculation</v>
      </c>
      <c r="AM815" t="str">
        <f>""</f>
        <v/>
      </c>
      <c r="AN815" t="str">
        <f>""</f>
        <v/>
      </c>
      <c r="AO815" t="str">
        <f>""</f>
        <v/>
      </c>
      <c r="AP815" t="str">
        <f>""</f>
        <v/>
      </c>
      <c r="AQ815" t="str">
        <f>""</f>
        <v/>
      </c>
      <c r="AR815" t="str">
        <f>""</f>
        <v/>
      </c>
      <c r="AS815" t="str">
        <f>""</f>
        <v/>
      </c>
      <c r="AT815" t="str">
        <f>""</f>
        <v/>
      </c>
      <c r="AU815" t="str">
        <f>""</f>
        <v/>
      </c>
      <c r="AV815" t="str">
        <f>""</f>
        <v/>
      </c>
      <c r="AW815" t="str">
        <f>""</f>
        <v/>
      </c>
      <c r="AX815" t="str">
        <f>""</f>
        <v/>
      </c>
      <c r="AY815" t="str">
        <f>""</f>
        <v/>
      </c>
      <c r="AZ815" t="str">
        <f>""</f>
        <v/>
      </c>
      <c r="BA815" t="str">
        <f>""</f>
        <v/>
      </c>
      <c r="BB815" t="str">
        <f>""</f>
        <v/>
      </c>
      <c r="BC815" t="str">
        <f>""</f>
        <v/>
      </c>
      <c r="BD815" t="str">
        <f>""</f>
        <v/>
      </c>
      <c r="BE815" t="str">
        <f>""</f>
        <v/>
      </c>
      <c r="BF815" t="str">
        <f>""</f>
        <v/>
      </c>
      <c r="BG815" t="str">
        <f>""</f>
        <v/>
      </c>
      <c r="BH815" t="str">
        <f>""</f>
        <v/>
      </c>
      <c r="BI815" t="str">
        <f>""</f>
        <v/>
      </c>
      <c r="BJ815" t="str">
        <f>""</f>
        <v/>
      </c>
      <c r="BK815" t="str">
        <f>""</f>
        <v/>
      </c>
      <c r="BL815" t="str">
        <f>""</f>
        <v/>
      </c>
      <c r="BM815" t="str">
        <f>""</f>
        <v/>
      </c>
      <c r="BN815" t="str">
        <f>""</f>
        <v/>
      </c>
      <c r="BO815" t="str">
        <f>""</f>
        <v/>
      </c>
      <c r="BP815" t="str">
        <f>""</f>
        <v/>
      </c>
      <c r="BQ815" t="str">
        <f>""</f>
        <v/>
      </c>
      <c r="BR815" t="str">
        <f>""</f>
        <v/>
      </c>
      <c r="BS815" t="str">
        <f>""</f>
        <v/>
      </c>
    </row>
    <row r="816" spans="1:71" x14ac:dyDescent="0.25">
      <c r="A816" t="str">
        <f>"Downloaded at"</f>
        <v>Downloaded at</v>
      </c>
      <c r="B816">
        <f>DATE(2025, 3,24)</f>
        <v>45740</v>
      </c>
      <c r="C816" t="str">
        <f>""</f>
        <v/>
      </c>
      <c r="D816" t="str">
        <f>""</f>
        <v/>
      </c>
      <c r="E816" t="str">
        <f>""</f>
        <v/>
      </c>
      <c r="AM816" t="str">
        <f>""</f>
        <v/>
      </c>
      <c r="AN816" t="str">
        <f>""</f>
        <v/>
      </c>
      <c r="AO816" t="str">
        <f>""</f>
        <v/>
      </c>
      <c r="AP816" t="str">
        <f>""</f>
        <v/>
      </c>
      <c r="AQ816" t="str">
        <f>""</f>
        <v/>
      </c>
      <c r="AR816" t="str">
        <f>""</f>
        <v/>
      </c>
      <c r="AS816" t="str">
        <f>""</f>
        <v/>
      </c>
      <c r="AT816" t="str">
        <f>""</f>
        <v/>
      </c>
      <c r="AU816" t="str">
        <f>""</f>
        <v/>
      </c>
      <c r="AV816" t="str">
        <f>""</f>
        <v/>
      </c>
      <c r="AW816" t="str">
        <f>""</f>
        <v/>
      </c>
      <c r="AX816" t="str">
        <f>""</f>
        <v/>
      </c>
      <c r="AY816" t="str">
        <f>""</f>
        <v/>
      </c>
      <c r="AZ816" t="str">
        <f>""</f>
        <v/>
      </c>
      <c r="BA816" t="str">
        <f>""</f>
        <v/>
      </c>
      <c r="BB816" t="str">
        <f>""</f>
        <v/>
      </c>
      <c r="BC816" t="str">
        <f>""</f>
        <v/>
      </c>
      <c r="BD816" t="str">
        <f>""</f>
        <v/>
      </c>
      <c r="BE816" t="str">
        <f>""</f>
        <v/>
      </c>
      <c r="BF816" t="str">
        <f>""</f>
        <v/>
      </c>
      <c r="BG816" t="str">
        <f>""</f>
        <v/>
      </c>
      <c r="BH816" t="str">
        <f>""</f>
        <v/>
      </c>
      <c r="BI816" t="str">
        <f>""</f>
        <v/>
      </c>
      <c r="BJ816" t="str">
        <f>""</f>
        <v/>
      </c>
      <c r="BK816" t="str">
        <f>""</f>
        <v/>
      </c>
      <c r="BL816" t="str">
        <f>""</f>
        <v/>
      </c>
      <c r="BM816" t="str">
        <f>""</f>
        <v/>
      </c>
      <c r="BN816" t="str">
        <f>""</f>
        <v/>
      </c>
      <c r="BO816" t="str">
        <f>""</f>
        <v/>
      </c>
      <c r="BP816" t="str">
        <f>""</f>
        <v/>
      </c>
      <c r="BQ816" t="str">
        <f>""</f>
        <v/>
      </c>
      <c r="BR816" t="str">
        <f>""</f>
        <v/>
      </c>
      <c r="BS816" t="str">
        <f>""</f>
        <v/>
      </c>
    </row>
    <row r="817" spans="1:71" x14ac:dyDescent="0.25">
      <c r="A817" t="str">
        <f>"This is End Date"</f>
        <v>This is End Date</v>
      </c>
      <c r="B817">
        <f ca="1">$B$426</f>
        <v>45740</v>
      </c>
      <c r="C817" t="str">
        <f>""</f>
        <v/>
      </c>
      <c r="D817" t="str">
        <f>""</f>
        <v/>
      </c>
      <c r="E817" t="str">
        <f>""</f>
        <v/>
      </c>
      <c r="AM817" t="str">
        <f>""</f>
        <v/>
      </c>
      <c r="AN817" t="str">
        <f>""</f>
        <v/>
      </c>
      <c r="AO817" t="str">
        <f>""</f>
        <v/>
      </c>
      <c r="AP817" t="str">
        <f>""</f>
        <v/>
      </c>
      <c r="AQ817" t="str">
        <f>""</f>
        <v/>
      </c>
      <c r="AR817" t="str">
        <f>""</f>
        <v/>
      </c>
      <c r="AS817" t="str">
        <f>""</f>
        <v/>
      </c>
      <c r="AT817" t="str">
        <f>""</f>
        <v/>
      </c>
      <c r="AU817" t="str">
        <f>""</f>
        <v/>
      </c>
      <c r="AV817" t="str">
        <f>""</f>
        <v/>
      </c>
      <c r="AW817" t="str">
        <f>""</f>
        <v/>
      </c>
      <c r="AX817" t="str">
        <f>""</f>
        <v/>
      </c>
      <c r="AY817" t="str">
        <f>""</f>
        <v/>
      </c>
      <c r="AZ817" t="str">
        <f>""</f>
        <v/>
      </c>
      <c r="BA817" t="str">
        <f>""</f>
        <v/>
      </c>
      <c r="BB817" t="str">
        <f>""</f>
        <v/>
      </c>
      <c r="BC817" t="str">
        <f>""</f>
        <v/>
      </c>
      <c r="BD817" t="str">
        <f>""</f>
        <v/>
      </c>
      <c r="BE817" t="str">
        <f>""</f>
        <v/>
      </c>
      <c r="BF817" t="str">
        <f>""</f>
        <v/>
      </c>
      <c r="BG817" t="str">
        <f>""</f>
        <v/>
      </c>
      <c r="BH817" t="str">
        <f>""</f>
        <v/>
      </c>
      <c r="BI817" t="str">
        <f>""</f>
        <v/>
      </c>
      <c r="BJ817" t="str">
        <f>""</f>
        <v/>
      </c>
      <c r="BK817" t="str">
        <f>""</f>
        <v/>
      </c>
      <c r="BL817" t="str">
        <f>""</f>
        <v/>
      </c>
      <c r="BM817" t="str">
        <f>""</f>
        <v/>
      </c>
      <c r="BN817" t="str">
        <f>""</f>
        <v/>
      </c>
      <c r="BO817" t="str">
        <f>""</f>
        <v/>
      </c>
      <c r="BP817" t="str">
        <f>""</f>
        <v/>
      </c>
      <c r="BQ817" t="str">
        <f>""</f>
        <v/>
      </c>
      <c r="BR817" t="str">
        <f>""</f>
        <v/>
      </c>
      <c r="BS817" t="str">
        <f>""</f>
        <v/>
      </c>
    </row>
    <row r="818" spans="1:71" x14ac:dyDescent="0.25">
      <c r="A818" t="str">
        <f>"Description"</f>
        <v>Description</v>
      </c>
      <c r="B818" t="str">
        <f>"Ticker"</f>
        <v>Ticker</v>
      </c>
      <c r="C818" t="str">
        <f>"Field ID"</f>
        <v>Field ID</v>
      </c>
      <c r="D818" t="str">
        <f>"Field Mnemonic"</f>
        <v>Field Mnemonic</v>
      </c>
      <c r="E818" t="str">
        <f>"Data State"</f>
        <v>Data State</v>
      </c>
      <c r="AM818" t="str">
        <f>""</f>
        <v/>
      </c>
      <c r="AN818" t="str">
        <f>""</f>
        <v/>
      </c>
      <c r="AO818" t="str">
        <f>""</f>
        <v/>
      </c>
      <c r="AP818" t="str">
        <f>""</f>
        <v/>
      </c>
      <c r="AQ818" t="str">
        <f>""</f>
        <v/>
      </c>
      <c r="AR818" t="str">
        <f>""</f>
        <v/>
      </c>
      <c r="AS818" t="str">
        <f>""</f>
        <v/>
      </c>
      <c r="AT818" t="str">
        <f>""</f>
        <v/>
      </c>
      <c r="AU818" t="str">
        <f>""</f>
        <v/>
      </c>
      <c r="AV818" t="str">
        <f>""</f>
        <v/>
      </c>
      <c r="AW818" t="str">
        <f>""</f>
        <v/>
      </c>
      <c r="AX818" t="str">
        <f>""</f>
        <v/>
      </c>
      <c r="AY818" t="str">
        <f>""</f>
        <v/>
      </c>
      <c r="AZ818" t="str">
        <f>""</f>
        <v/>
      </c>
      <c r="BA818" t="str">
        <f>""</f>
        <v/>
      </c>
      <c r="BB818" t="str">
        <f>""</f>
        <v/>
      </c>
      <c r="BC818" t="str">
        <f>""</f>
        <v/>
      </c>
      <c r="BD818" t="str">
        <f>""</f>
        <v/>
      </c>
      <c r="BE818" t="str">
        <f>""</f>
        <v/>
      </c>
      <c r="BF818" t="str">
        <f>""</f>
        <v/>
      </c>
      <c r="BG818" t="str">
        <f>""</f>
        <v/>
      </c>
      <c r="BH818" t="str">
        <f>""</f>
        <v/>
      </c>
      <c r="BI818" t="str">
        <f>""</f>
        <v/>
      </c>
      <c r="BJ818" t="str">
        <f>""</f>
        <v/>
      </c>
      <c r="BK818" t="str">
        <f>""</f>
        <v/>
      </c>
      <c r="BL818" t="str">
        <f>""</f>
        <v/>
      </c>
      <c r="BM818" t="str">
        <f>""</f>
        <v/>
      </c>
      <c r="BN818" t="str">
        <f>""</f>
        <v/>
      </c>
      <c r="BO818" t="str">
        <f>""</f>
        <v/>
      </c>
      <c r="BP818" t="str">
        <f>""</f>
        <v/>
      </c>
      <c r="BQ818" t="str">
        <f>""</f>
        <v/>
      </c>
      <c r="BR818" t="str">
        <f>""</f>
        <v/>
      </c>
      <c r="BS818" t="str">
        <f>""</f>
        <v/>
      </c>
    </row>
    <row r="819" spans="1:71" x14ac:dyDescent="0.25">
      <c r="A819" t="str">
        <f>"Snapshot Date"</f>
        <v>Snapshot Date</v>
      </c>
      <c r="B819">
        <f>DATE(2025, 3,24)</f>
        <v>45740</v>
      </c>
      <c r="C819" t="str">
        <f>""</f>
        <v/>
      </c>
      <c r="D819" t="str">
        <f>""</f>
        <v/>
      </c>
      <c r="E819" t="str">
        <f>""</f>
        <v/>
      </c>
      <c r="AM819" t="str">
        <f>""</f>
        <v/>
      </c>
      <c r="AN819" t="str">
        <f>""</f>
        <v/>
      </c>
      <c r="AO819" t="str">
        <f>""</f>
        <v/>
      </c>
      <c r="AP819" t="str">
        <f>""</f>
        <v/>
      </c>
      <c r="AQ819" t="str">
        <f>""</f>
        <v/>
      </c>
      <c r="AR819" t="str">
        <f>""</f>
        <v/>
      </c>
      <c r="AS819" t="str">
        <f>""</f>
        <v/>
      </c>
      <c r="AT819" t="str">
        <f>""</f>
        <v/>
      </c>
      <c r="AU819" t="str">
        <f>""</f>
        <v/>
      </c>
      <c r="AV819" t="str">
        <f>""</f>
        <v/>
      </c>
      <c r="AW819" t="str">
        <f>""</f>
        <v/>
      </c>
      <c r="AX819" t="str">
        <f>""</f>
        <v/>
      </c>
      <c r="AY819" t="str">
        <f>""</f>
        <v/>
      </c>
      <c r="AZ819" t="str">
        <f>""</f>
        <v/>
      </c>
      <c r="BA819" t="str">
        <f>""</f>
        <v/>
      </c>
      <c r="BB819" t="str">
        <f>""</f>
        <v/>
      </c>
      <c r="BC819" t="str">
        <f>""</f>
        <v/>
      </c>
      <c r="BD819" t="str">
        <f>""</f>
        <v/>
      </c>
      <c r="BE819" t="str">
        <f>""</f>
        <v/>
      </c>
      <c r="BF819" t="str">
        <f>""</f>
        <v/>
      </c>
      <c r="BG819" t="str">
        <f>""</f>
        <v/>
      </c>
      <c r="BH819" t="str">
        <f>""</f>
        <v/>
      </c>
      <c r="BI819" t="str">
        <f>""</f>
        <v/>
      </c>
      <c r="BJ819" t="str">
        <f>""</f>
        <v/>
      </c>
      <c r="BK819" t="str">
        <f>""</f>
        <v/>
      </c>
      <c r="BL819" t="str">
        <f>""</f>
        <v/>
      </c>
      <c r="BM819" t="str">
        <f>""</f>
        <v/>
      </c>
      <c r="BN819" t="str">
        <f>""</f>
        <v/>
      </c>
      <c r="BO819" t="str">
        <f>""</f>
        <v/>
      </c>
      <c r="BP819" t="str">
        <f>""</f>
        <v/>
      </c>
      <c r="BQ819" t="str">
        <f>""</f>
        <v/>
      </c>
      <c r="BR819" t="str">
        <f>""</f>
        <v/>
      </c>
      <c r="BS819" t="str">
        <f>""</f>
        <v/>
      </c>
    </row>
    <row r="820" spans="1:71" x14ac:dyDescent="0.25">
      <c r="A820" t="str">
        <f>"Snapshot header"</f>
        <v>Snapshot header</v>
      </c>
      <c r="B820">
        <f>2</f>
        <v>2</v>
      </c>
      <c r="C820" t="str">
        <f>"2024"</f>
        <v>2024</v>
      </c>
      <c r="D820" t="str">
        <f>"2023"</f>
        <v>2023</v>
      </c>
      <c r="E820" t="str">
        <f>"2022"</f>
        <v>2022</v>
      </c>
      <c r="F820" t="str">
        <f>"2021"</f>
        <v>2021</v>
      </c>
      <c r="G820" t="str">
        <f>"2020"</f>
        <v>2020</v>
      </c>
      <c r="H820" t="str">
        <f>"2019"</f>
        <v>2019</v>
      </c>
      <c r="I820" t="str">
        <f>"2018"</f>
        <v>2018</v>
      </c>
      <c r="J820" t="str">
        <f>"2017"</f>
        <v>2017</v>
      </c>
      <c r="K820" t="str">
        <f>"2016"</f>
        <v>2016</v>
      </c>
      <c r="L820" t="str">
        <f>"2015"</f>
        <v>2015</v>
      </c>
      <c r="M820" t="str">
        <f>"2014"</f>
        <v>2014</v>
      </c>
      <c r="N820" t="str">
        <f>"2013"</f>
        <v>2013</v>
      </c>
      <c r="O820" t="str">
        <f>"2012"</f>
        <v>2012</v>
      </c>
      <c r="P820" t="str">
        <f>"2011"</f>
        <v>2011</v>
      </c>
      <c r="Q820" t="str">
        <f>"2010"</f>
        <v>2010</v>
      </c>
      <c r="R820" t="str">
        <f>"2009"</f>
        <v>2009</v>
      </c>
      <c r="S820" t="str">
        <f>"2008"</f>
        <v>2008</v>
      </c>
      <c r="T820" t="str">
        <f>"2007"</f>
        <v>2007</v>
      </c>
      <c r="U820" t="str">
        <f>"2006"</f>
        <v>2006</v>
      </c>
      <c r="V820" t="str">
        <f>"2005"</f>
        <v>2005</v>
      </c>
      <c r="W820" t="str">
        <f>"2004"</f>
        <v>2004</v>
      </c>
      <c r="X820" t="str">
        <f>"2003"</f>
        <v>2003</v>
      </c>
      <c r="Y820" t="str">
        <f>"2002"</f>
        <v>2002</v>
      </c>
      <c r="Z820" t="str">
        <f>"2001"</f>
        <v>2001</v>
      </c>
      <c r="AA820" t="str">
        <f>"2000"</f>
        <v>2000</v>
      </c>
      <c r="AB820" t="str">
        <f>"1999"</f>
        <v>1999</v>
      </c>
      <c r="AC820" t="str">
        <f>"1998"</f>
        <v>1998</v>
      </c>
      <c r="AD820" t="str">
        <f>"1997"</f>
        <v>1997</v>
      </c>
      <c r="AE820" t="str">
        <f>"1996"</f>
        <v>1996</v>
      </c>
      <c r="AF820" t="str">
        <f>"1995"</f>
        <v>1995</v>
      </c>
      <c r="AG820" t="str">
        <f>"1994"</f>
        <v>1994</v>
      </c>
      <c r="AH820" t="str">
        <f>"1993"</f>
        <v>1993</v>
      </c>
      <c r="AI820" t="str">
        <f>"1992"</f>
        <v>1992</v>
      </c>
      <c r="AM820" t="str">
        <f>""</f>
        <v/>
      </c>
      <c r="AN820" t="str">
        <f>""</f>
        <v/>
      </c>
      <c r="AO820" t="str">
        <f>""</f>
        <v/>
      </c>
      <c r="AP820" t="str">
        <f>""</f>
        <v/>
      </c>
      <c r="AQ820" t="str">
        <f>""</f>
        <v/>
      </c>
      <c r="AR820" t="str">
        <f>""</f>
        <v/>
      </c>
      <c r="AS820" t="str">
        <f>""</f>
        <v/>
      </c>
      <c r="AT820" t="str">
        <f>""</f>
        <v/>
      </c>
      <c r="AU820" t="str">
        <f>""</f>
        <v/>
      </c>
      <c r="AV820" t="str">
        <f>""</f>
        <v/>
      </c>
      <c r="AW820" t="str">
        <f>""</f>
        <v/>
      </c>
      <c r="AX820" t="str">
        <f>""</f>
        <v/>
      </c>
      <c r="AY820" t="str">
        <f>""</f>
        <v/>
      </c>
      <c r="AZ820" t="str">
        <f>""</f>
        <v/>
      </c>
      <c r="BA820" t="str">
        <f>""</f>
        <v/>
      </c>
      <c r="BB820" t="str">
        <f>""</f>
        <v/>
      </c>
      <c r="BC820" t="str">
        <f>""</f>
        <v/>
      </c>
      <c r="BD820" t="str">
        <f>""</f>
        <v/>
      </c>
      <c r="BE820" t="str">
        <f>""</f>
        <v/>
      </c>
      <c r="BF820" t="str">
        <f>""</f>
        <v/>
      </c>
      <c r="BG820" t="str">
        <f>""</f>
        <v/>
      </c>
      <c r="BH820" t="str">
        <f>""</f>
        <v/>
      </c>
      <c r="BI820" t="str">
        <f>""</f>
        <v/>
      </c>
      <c r="BJ820" t="str">
        <f>""</f>
        <v/>
      </c>
      <c r="BK820" t="str">
        <f>""</f>
        <v/>
      </c>
      <c r="BL820" t="str">
        <f>""</f>
        <v/>
      </c>
      <c r="BM820" t="str">
        <f>""</f>
        <v/>
      </c>
      <c r="BN820" t="str">
        <f>""</f>
        <v/>
      </c>
      <c r="BO820" t="str">
        <f>""</f>
        <v/>
      </c>
      <c r="BP820" t="str">
        <f>""</f>
        <v/>
      </c>
      <c r="BQ820" t="str">
        <f>""</f>
        <v/>
      </c>
      <c r="BR820" t="str">
        <f>""</f>
        <v/>
      </c>
      <c r="BS820" t="str">
        <f>""</f>
        <v/>
      </c>
    </row>
    <row r="821" spans="1:71" x14ac:dyDescent="0.25">
      <c r="A821" t="str">
        <f>"BDH snapshot header0"</f>
        <v>BDH snapshot header0</v>
      </c>
      <c r="B821">
        <f>IF(OR(ISERROR($C$821),ISBLANK($C$821),ISNUMBER(SEARCH("N/A",$C$821) ),ISERROR($C$822),ISBLANK($C$822)),0,1)</f>
        <v>0</v>
      </c>
      <c r="C821" t="str">
        <f>_xll.BDH($B$4,$C$4,$B$425,$B$819,"PER=CY","Dts=S","DtFmt=FI", "rows=2","Dir=H","Points=33","Sort=R","Days=A","Fill=B","FX=USD" )</f>
        <v>#N/A Invalid Parameter: Invalid override field id specified</v>
      </c>
      <c r="AM821" t="str">
        <f>""</f>
        <v/>
      </c>
      <c r="AN821" t="str">
        <f>""</f>
        <v/>
      </c>
      <c r="AO821" t="str">
        <f>""</f>
        <v/>
      </c>
      <c r="AP821" t="str">
        <f>""</f>
        <v/>
      </c>
      <c r="AQ821" t="str">
        <f>""</f>
        <v/>
      </c>
      <c r="AR821" t="str">
        <f>""</f>
        <v/>
      </c>
      <c r="AS821" t="str">
        <f>""</f>
        <v/>
      </c>
      <c r="AT821" t="str">
        <f>""</f>
        <v/>
      </c>
      <c r="AU821" t="str">
        <f>""</f>
        <v/>
      </c>
      <c r="AV821" t="str">
        <f>""</f>
        <v/>
      </c>
      <c r="AW821" t="str">
        <f>""</f>
        <v/>
      </c>
      <c r="AX821" t="str">
        <f>""</f>
        <v/>
      </c>
      <c r="AY821" t="str">
        <f>""</f>
        <v/>
      </c>
      <c r="AZ821" t="str">
        <f>""</f>
        <v/>
      </c>
      <c r="BA821" t="str">
        <f>""</f>
        <v/>
      </c>
      <c r="BB821" t="str">
        <f>""</f>
        <v/>
      </c>
      <c r="BC821" t="str">
        <f>""</f>
        <v/>
      </c>
      <c r="BD821" t="str">
        <f>""</f>
        <v/>
      </c>
      <c r="BE821" t="str">
        <f>""</f>
        <v/>
      </c>
      <c r="BF821" t="str">
        <f>""</f>
        <v/>
      </c>
      <c r="BG821" t="str">
        <f>""</f>
        <v/>
      </c>
      <c r="BH821" t="str">
        <f>""</f>
        <v/>
      </c>
      <c r="BI821" t="str">
        <f>""</f>
        <v/>
      </c>
      <c r="BJ821" t="str">
        <f>""</f>
        <v/>
      </c>
      <c r="BK821" t="str">
        <f>""</f>
        <v/>
      </c>
      <c r="BL821" t="str">
        <f>""</f>
        <v/>
      </c>
      <c r="BM821" t="str">
        <f>""</f>
        <v/>
      </c>
      <c r="BN821" t="str">
        <f>""</f>
        <v/>
      </c>
      <c r="BO821" t="str">
        <f>""</f>
        <v/>
      </c>
      <c r="BP821" t="str">
        <f>""</f>
        <v/>
      </c>
      <c r="BQ821" t="str">
        <f>""</f>
        <v/>
      </c>
      <c r="BR821" t="str">
        <f>""</f>
        <v/>
      </c>
      <c r="BS821" t="str">
        <f>""</f>
        <v/>
      </c>
    </row>
    <row r="822" spans="1:71" x14ac:dyDescent="0.25">
      <c r="A822" t="str">
        <f>"BDH snapshot result0"</f>
        <v>BDH snapshot result0</v>
      </c>
      <c r="AM822" t="str">
        <f>""</f>
        <v/>
      </c>
      <c r="AN822" t="str">
        <f>""</f>
        <v/>
      </c>
      <c r="AO822" t="str">
        <f>""</f>
        <v/>
      </c>
      <c r="AP822" t="str">
        <f>""</f>
        <v/>
      </c>
      <c r="AQ822" t="str">
        <f>""</f>
        <v/>
      </c>
      <c r="AR822" t="str">
        <f>""</f>
        <v/>
      </c>
      <c r="AS822" t="str">
        <f>""</f>
        <v/>
      </c>
      <c r="AT822" t="str">
        <f>""</f>
        <v/>
      </c>
      <c r="AU822" t="str">
        <f>""</f>
        <v/>
      </c>
      <c r="AV822" t="str">
        <f>""</f>
        <v/>
      </c>
      <c r="AW822" t="str">
        <f>""</f>
        <v/>
      </c>
      <c r="AX822" t="str">
        <f>""</f>
        <v/>
      </c>
      <c r="AY822" t="str">
        <f>""</f>
        <v/>
      </c>
      <c r="AZ822" t="str">
        <f>""</f>
        <v/>
      </c>
      <c r="BA822" t="str">
        <f>""</f>
        <v/>
      </c>
      <c r="BB822" t="str">
        <f>""</f>
        <v/>
      </c>
      <c r="BC822" t="str">
        <f>""</f>
        <v/>
      </c>
      <c r="BD822" t="str">
        <f>""</f>
        <v/>
      </c>
      <c r="BE822" t="str">
        <f>""</f>
        <v/>
      </c>
      <c r="BF822" t="str">
        <f>""</f>
        <v/>
      </c>
      <c r="BG822" t="str">
        <f>""</f>
        <v/>
      </c>
      <c r="BH822" t="str">
        <f>""</f>
        <v/>
      </c>
      <c r="BI822" t="str">
        <f>""</f>
        <v/>
      </c>
      <c r="BJ822" t="str">
        <f>""</f>
        <v/>
      </c>
      <c r="BK822" t="str">
        <f>""</f>
        <v/>
      </c>
      <c r="BL822" t="str">
        <f>""</f>
        <v/>
      </c>
      <c r="BM822" t="str">
        <f>""</f>
        <v/>
      </c>
      <c r="BN822" t="str">
        <f>""</f>
        <v/>
      </c>
      <c r="BO822" t="str">
        <f>""</f>
        <v/>
      </c>
      <c r="BP822" t="str">
        <f>""</f>
        <v/>
      </c>
      <c r="BQ822" t="str">
        <f>""</f>
        <v/>
      </c>
      <c r="BR822" t="str">
        <f>""</f>
        <v/>
      </c>
      <c r="BS822" t="str">
        <f>""</f>
        <v/>
      </c>
    </row>
    <row r="823" spans="1:71" x14ac:dyDescent="0.25">
      <c r="A823" t="str">
        <f>"BDH snapshot header1"</f>
        <v>BDH snapshot header1</v>
      </c>
      <c r="B823">
        <f>IF(OR(ISERROR($C$823),ISBLANK($C$823),ISNUMBER(SEARCH("N/A",$C$823) ),ISERROR($C$824),ISBLANK($C$824)),0,1)</f>
        <v>0</v>
      </c>
      <c r="C823" t="str">
        <f>_xll.BDH($B$5,$C$5,$B$425,$B$819,"PER=CY","Dts=S","DtFmt=FI", "rows=2","Dir=H","Points=33","Sort=R","Days=A","Fill=B","FX=USD" )</f>
        <v>#N/A Invalid Parameter: Invalid override field id specified</v>
      </c>
      <c r="AM823" t="str">
        <f>""</f>
        <v/>
      </c>
      <c r="AN823" t="str">
        <f>""</f>
        <v/>
      </c>
      <c r="AO823" t="str">
        <f>""</f>
        <v/>
      </c>
      <c r="AP823" t="str">
        <f>""</f>
        <v/>
      </c>
      <c r="AQ823" t="str">
        <f>""</f>
        <v/>
      </c>
      <c r="AR823" t="str">
        <f>""</f>
        <v/>
      </c>
      <c r="AS823" t="str">
        <f>""</f>
        <v/>
      </c>
      <c r="AT823" t="str">
        <f>""</f>
        <v/>
      </c>
      <c r="AU823" t="str">
        <f>""</f>
        <v/>
      </c>
      <c r="AV823" t="str">
        <f>""</f>
        <v/>
      </c>
      <c r="AW823" t="str">
        <f>""</f>
        <v/>
      </c>
      <c r="AX823" t="str">
        <f>""</f>
        <v/>
      </c>
      <c r="AY823" t="str">
        <f>""</f>
        <v/>
      </c>
      <c r="AZ823" t="str">
        <f>""</f>
        <v/>
      </c>
      <c r="BA823" t="str">
        <f>""</f>
        <v/>
      </c>
      <c r="BB823" t="str">
        <f>""</f>
        <v/>
      </c>
      <c r="BC823" t="str">
        <f>""</f>
        <v/>
      </c>
      <c r="BD823" t="str">
        <f>""</f>
        <v/>
      </c>
      <c r="BE823" t="str">
        <f>""</f>
        <v/>
      </c>
      <c r="BF823" t="str">
        <f>""</f>
        <v/>
      </c>
      <c r="BG823" t="str">
        <f>""</f>
        <v/>
      </c>
      <c r="BH823" t="str">
        <f>""</f>
        <v/>
      </c>
      <c r="BI823" t="str">
        <f>""</f>
        <v/>
      </c>
      <c r="BJ823" t="str">
        <f>""</f>
        <v/>
      </c>
      <c r="BK823" t="str">
        <f>""</f>
        <v/>
      </c>
      <c r="BL823" t="str">
        <f>""</f>
        <v/>
      </c>
      <c r="BM823" t="str">
        <f>""</f>
        <v/>
      </c>
      <c r="BN823" t="str">
        <f>""</f>
        <v/>
      </c>
      <c r="BO823" t="str">
        <f>""</f>
        <v/>
      </c>
      <c r="BP823" t="str">
        <f>""</f>
        <v/>
      </c>
      <c r="BQ823" t="str">
        <f>""</f>
        <v/>
      </c>
      <c r="BR823" t="str">
        <f>""</f>
        <v/>
      </c>
      <c r="BS823" t="str">
        <f>""</f>
        <v/>
      </c>
    </row>
    <row r="824" spans="1:71" x14ac:dyDescent="0.25">
      <c r="A824" t="str">
        <f>"BDH snapshot result1"</f>
        <v>BDH snapshot result1</v>
      </c>
      <c r="AM824" t="str">
        <f>""</f>
        <v/>
      </c>
      <c r="AN824" t="str">
        <f>""</f>
        <v/>
      </c>
      <c r="AO824" t="str">
        <f>""</f>
        <v/>
      </c>
      <c r="AP824" t="str">
        <f>""</f>
        <v/>
      </c>
      <c r="AQ824" t="str">
        <f>""</f>
        <v/>
      </c>
      <c r="AR824" t="str">
        <f>""</f>
        <v/>
      </c>
      <c r="AS824" t="str">
        <f>""</f>
        <v/>
      </c>
      <c r="AT824" t="str">
        <f>""</f>
        <v/>
      </c>
      <c r="AU824" t="str">
        <f>""</f>
        <v/>
      </c>
      <c r="AV824" t="str">
        <f>""</f>
        <v/>
      </c>
      <c r="AW824" t="str">
        <f>""</f>
        <v/>
      </c>
      <c r="AX824" t="str">
        <f>""</f>
        <v/>
      </c>
      <c r="AY824" t="str">
        <f>""</f>
        <v/>
      </c>
      <c r="AZ824" t="str">
        <f>""</f>
        <v/>
      </c>
      <c r="BA824" t="str">
        <f>""</f>
        <v/>
      </c>
      <c r="BB824" t="str">
        <f>""</f>
        <v/>
      </c>
      <c r="BC824" t="str">
        <f>""</f>
        <v/>
      </c>
      <c r="BD824" t="str">
        <f>""</f>
        <v/>
      </c>
      <c r="BE824" t="str">
        <f>""</f>
        <v/>
      </c>
      <c r="BF824" t="str">
        <f>""</f>
        <v/>
      </c>
      <c r="BG824" t="str">
        <f>""</f>
        <v/>
      </c>
      <c r="BH824" t="str">
        <f>""</f>
        <v/>
      </c>
      <c r="BI824" t="str">
        <f>""</f>
        <v/>
      </c>
      <c r="BJ824" t="str">
        <f>""</f>
        <v/>
      </c>
      <c r="BK824" t="str">
        <f>""</f>
        <v/>
      </c>
      <c r="BL824" t="str">
        <f>""</f>
        <v/>
      </c>
      <c r="BM824" t="str">
        <f>""</f>
        <v/>
      </c>
      <c r="BN824" t="str">
        <f>""</f>
        <v/>
      </c>
      <c r="BO824" t="str">
        <f>""</f>
        <v/>
      </c>
      <c r="BP824" t="str">
        <f>""</f>
        <v/>
      </c>
      <c r="BQ824" t="str">
        <f>""</f>
        <v/>
      </c>
      <c r="BR824" t="str">
        <f>""</f>
        <v/>
      </c>
      <c r="BS824" t="str">
        <f>""</f>
        <v/>
      </c>
    </row>
    <row r="825" spans="1:71" x14ac:dyDescent="0.25">
      <c r="A825" t="str">
        <f>"BDH snapshot header2"</f>
        <v>BDH snapshot header2</v>
      </c>
      <c r="B825">
        <f>IF(OR(ISERROR($C$825),ISBLANK($C$825),ISNUMBER(SEARCH("N/A",$C$825) ),ISERROR($C$826),ISBLANK($C$826)),0,1)</f>
        <v>0</v>
      </c>
      <c r="C825" t="str">
        <f>_xll.BDH($B$6,$C$6,$B$425,$B$819,"PER=CY","Dts=S","DtFmt=FI", "rows=2","Dir=H","Points=33","Sort=R","Days=A","Fill=B","FX=USD" )</f>
        <v>#N/A Invalid Parameter: Invalid override field id specified</v>
      </c>
      <c r="AM825" t="str">
        <f>""</f>
        <v/>
      </c>
      <c r="AN825" t="str">
        <f>""</f>
        <v/>
      </c>
      <c r="AO825" t="str">
        <f>""</f>
        <v/>
      </c>
      <c r="AP825" t="str">
        <f>""</f>
        <v/>
      </c>
      <c r="AQ825" t="str">
        <f>""</f>
        <v/>
      </c>
      <c r="AR825" t="str">
        <f>""</f>
        <v/>
      </c>
      <c r="AS825" t="str">
        <f>""</f>
        <v/>
      </c>
      <c r="AT825" t="str">
        <f>""</f>
        <v/>
      </c>
      <c r="AU825" t="str">
        <f>""</f>
        <v/>
      </c>
      <c r="AV825" t="str">
        <f>""</f>
        <v/>
      </c>
      <c r="AW825" t="str">
        <f>""</f>
        <v/>
      </c>
      <c r="AX825" t="str">
        <f>""</f>
        <v/>
      </c>
      <c r="AY825" t="str">
        <f>""</f>
        <v/>
      </c>
      <c r="AZ825" t="str">
        <f>""</f>
        <v/>
      </c>
      <c r="BA825" t="str">
        <f>""</f>
        <v/>
      </c>
      <c r="BB825" t="str">
        <f>""</f>
        <v/>
      </c>
      <c r="BC825" t="str">
        <f>""</f>
        <v/>
      </c>
      <c r="BD825" t="str">
        <f>""</f>
        <v/>
      </c>
      <c r="BE825" t="str">
        <f>""</f>
        <v/>
      </c>
      <c r="BF825" t="str">
        <f>""</f>
        <v/>
      </c>
      <c r="BG825" t="str">
        <f>""</f>
        <v/>
      </c>
      <c r="BH825" t="str">
        <f>""</f>
        <v/>
      </c>
      <c r="BI825" t="str">
        <f>""</f>
        <v/>
      </c>
      <c r="BJ825" t="str">
        <f>""</f>
        <v/>
      </c>
      <c r="BK825" t="str">
        <f>""</f>
        <v/>
      </c>
      <c r="BL825" t="str">
        <f>""</f>
        <v/>
      </c>
      <c r="BM825" t="str">
        <f>""</f>
        <v/>
      </c>
      <c r="BN825" t="str">
        <f>""</f>
        <v/>
      </c>
      <c r="BO825" t="str">
        <f>""</f>
        <v/>
      </c>
      <c r="BP825" t="str">
        <f>""</f>
        <v/>
      </c>
      <c r="BQ825" t="str">
        <f>""</f>
        <v/>
      </c>
      <c r="BR825" t="str">
        <f>""</f>
        <v/>
      </c>
      <c r="BS825" t="str">
        <f>""</f>
        <v/>
      </c>
    </row>
    <row r="826" spans="1:71" x14ac:dyDescent="0.25">
      <c r="A826" t="str">
        <f>"BDH snapshot result2"</f>
        <v>BDH snapshot result2</v>
      </c>
      <c r="AM826" t="str">
        <f>""</f>
        <v/>
      </c>
      <c r="AN826" t="str">
        <f>""</f>
        <v/>
      </c>
      <c r="AO826" t="str">
        <f>""</f>
        <v/>
      </c>
      <c r="AP826" t="str">
        <f>""</f>
        <v/>
      </c>
      <c r="AQ826" t="str">
        <f>""</f>
        <v/>
      </c>
      <c r="AR826" t="str">
        <f>""</f>
        <v/>
      </c>
      <c r="AS826" t="str">
        <f>""</f>
        <v/>
      </c>
      <c r="AT826" t="str">
        <f>""</f>
        <v/>
      </c>
      <c r="AU826" t="str">
        <f>""</f>
        <v/>
      </c>
      <c r="AV826" t="str">
        <f>""</f>
        <v/>
      </c>
      <c r="AW826" t="str">
        <f>""</f>
        <v/>
      </c>
      <c r="AX826" t="str">
        <f>""</f>
        <v/>
      </c>
      <c r="AY826" t="str">
        <f>""</f>
        <v/>
      </c>
      <c r="AZ826" t="str">
        <f>""</f>
        <v/>
      </c>
      <c r="BA826" t="str">
        <f>""</f>
        <v/>
      </c>
      <c r="BB826" t="str">
        <f>""</f>
        <v/>
      </c>
      <c r="BC826" t="str">
        <f>""</f>
        <v/>
      </c>
      <c r="BD826" t="str">
        <f>""</f>
        <v/>
      </c>
      <c r="BE826" t="str">
        <f>""</f>
        <v/>
      </c>
      <c r="BF826" t="str">
        <f>""</f>
        <v/>
      </c>
      <c r="BG826" t="str">
        <f>""</f>
        <v/>
      </c>
      <c r="BH826" t="str">
        <f>""</f>
        <v/>
      </c>
      <c r="BI826" t="str">
        <f>""</f>
        <v/>
      </c>
      <c r="BJ826" t="str">
        <f>""</f>
        <v/>
      </c>
      <c r="BK826" t="str">
        <f>""</f>
        <v/>
      </c>
      <c r="BL826" t="str">
        <f>""</f>
        <v/>
      </c>
      <c r="BM826" t="str">
        <f>""</f>
        <v/>
      </c>
      <c r="BN826" t="str">
        <f>""</f>
        <v/>
      </c>
      <c r="BO826" t="str">
        <f>""</f>
        <v/>
      </c>
      <c r="BP826" t="str">
        <f>""</f>
        <v/>
      </c>
      <c r="BQ826" t="str">
        <f>""</f>
        <v/>
      </c>
      <c r="BR826" t="str">
        <f>""</f>
        <v/>
      </c>
      <c r="BS826" t="str">
        <f>""</f>
        <v/>
      </c>
    </row>
    <row r="827" spans="1:71" x14ac:dyDescent="0.25">
      <c r="A827" t="str">
        <f>"BDH snapshot"</f>
        <v>BDH snapshot</v>
      </c>
      <c r="B827">
        <f>IF($B$821&gt;=1,$B$821,IF($B$823&gt;=1,$B$823,IF($B$825&gt;=1,$B$825,$B$820)))</f>
        <v>2</v>
      </c>
      <c r="C827" t="str">
        <f>IF($B$821&gt;=1,$C$821,IF($B$823&gt;=1,$C$823,IF($B$825&gt;=1,$C$825,$C$820)))</f>
        <v>2024</v>
      </c>
      <c r="D827" t="str">
        <f>IF($B$821&gt;=1,$D$821,IF($B$823&gt;=1,$D$823,IF($B$825&gt;=1,$D$825,$D$820)))</f>
        <v>2023</v>
      </c>
      <c r="E827" t="str">
        <f>IF($B$821&gt;=1,$E$821,IF($B$823&gt;=1,$E$823,IF($B$825&gt;=1,$E$825,$E$820)))</f>
        <v>2022</v>
      </c>
      <c r="F827" t="str">
        <f>IF($B$821&gt;=1,$F$821,IF($B$823&gt;=1,$F$823,IF($B$825&gt;=1,$F$825,$F$820)))</f>
        <v>2021</v>
      </c>
      <c r="G827" t="str">
        <f>IF($B$821&gt;=1,$G$821,IF($B$823&gt;=1,$G$823,IF($B$825&gt;=1,$G$825,$G$820)))</f>
        <v>2020</v>
      </c>
      <c r="H827" t="str">
        <f>IF($B$821&gt;=1,$H$821,IF($B$823&gt;=1,$H$823,IF($B$825&gt;=1,$H$825,$H$820)))</f>
        <v>2019</v>
      </c>
      <c r="I827" t="str">
        <f>IF($B$821&gt;=1,$I$821,IF($B$823&gt;=1,$I$823,IF($B$825&gt;=1,$I$825,$I$820)))</f>
        <v>2018</v>
      </c>
      <c r="J827" t="str">
        <f>IF($B$821&gt;=1,$J$821,IF($B$823&gt;=1,$J$823,IF($B$825&gt;=1,$J$825,$J$820)))</f>
        <v>2017</v>
      </c>
      <c r="K827" t="str">
        <f>IF($B$821&gt;=1,$K$821,IF($B$823&gt;=1,$K$823,IF($B$825&gt;=1,$K$825,$K$820)))</f>
        <v>2016</v>
      </c>
      <c r="L827" t="str">
        <f>IF($B$821&gt;=1,$L$821,IF($B$823&gt;=1,$L$823,IF($B$825&gt;=1,$L$825,$L$820)))</f>
        <v>2015</v>
      </c>
      <c r="M827" t="str">
        <f>IF($B$821&gt;=1,$M$821,IF($B$823&gt;=1,$M$823,IF($B$825&gt;=1,$M$825,$M$820)))</f>
        <v>2014</v>
      </c>
      <c r="N827" t="str">
        <f>IF($B$821&gt;=1,$N$821,IF($B$823&gt;=1,$N$823,IF($B$825&gt;=1,$N$825,$N$820)))</f>
        <v>2013</v>
      </c>
      <c r="O827" t="str">
        <f>IF($B$821&gt;=1,$O$821,IF($B$823&gt;=1,$O$823,IF($B$825&gt;=1,$O$825,$O$820)))</f>
        <v>2012</v>
      </c>
      <c r="P827" t="str">
        <f>IF($B$821&gt;=1,$P$821,IF($B$823&gt;=1,$P$823,IF($B$825&gt;=1,$P$825,$P$820)))</f>
        <v>2011</v>
      </c>
      <c r="Q827" t="str">
        <f>IF($B$821&gt;=1,$Q$821,IF($B$823&gt;=1,$Q$823,IF($B$825&gt;=1,$Q$825,$Q$820)))</f>
        <v>2010</v>
      </c>
      <c r="R827" t="str">
        <f>IF($B$821&gt;=1,$R$821,IF($B$823&gt;=1,$R$823,IF($B$825&gt;=1,$R$825,$R$820)))</f>
        <v>2009</v>
      </c>
      <c r="S827" t="str">
        <f>IF($B$821&gt;=1,$S$821,IF($B$823&gt;=1,$S$823,IF($B$825&gt;=1,$S$825,$S$820)))</f>
        <v>2008</v>
      </c>
      <c r="T827" t="str">
        <f>IF($B$821&gt;=1,$T$821,IF($B$823&gt;=1,$T$823,IF($B$825&gt;=1,$T$825,$T$820)))</f>
        <v>2007</v>
      </c>
      <c r="U827" t="str">
        <f>IF($B$821&gt;=1,$U$821,IF($B$823&gt;=1,$U$823,IF($B$825&gt;=1,$U$825,$U$820)))</f>
        <v>2006</v>
      </c>
      <c r="V827" t="str">
        <f>IF($B$821&gt;=1,$V$821,IF($B$823&gt;=1,$V$823,IF($B$825&gt;=1,$V$825,$V$820)))</f>
        <v>2005</v>
      </c>
      <c r="W827" t="str">
        <f>IF($B$821&gt;=1,$W$821,IF($B$823&gt;=1,$W$823,IF($B$825&gt;=1,$W$825,$W$820)))</f>
        <v>2004</v>
      </c>
      <c r="X827" t="str">
        <f>IF($B$821&gt;=1,$X$821,IF($B$823&gt;=1,$X$823,IF($B$825&gt;=1,$X$825,$X$820)))</f>
        <v>2003</v>
      </c>
      <c r="Y827" t="str">
        <f>IF($B$821&gt;=1,$Y$821,IF($B$823&gt;=1,$Y$823,IF($B$825&gt;=1,$Y$825,$Y$820)))</f>
        <v>2002</v>
      </c>
      <c r="Z827" t="str">
        <f>IF($B$821&gt;=1,$Z$821,IF($B$823&gt;=1,$Z$823,IF($B$825&gt;=1,$Z$825,$Z$820)))</f>
        <v>2001</v>
      </c>
      <c r="AA827" t="str">
        <f>IF($B$821&gt;=1,$AA$821,IF($B$823&gt;=1,$AA$823,IF($B$825&gt;=1,$AA$825,$AA$820)))</f>
        <v>2000</v>
      </c>
      <c r="AB827" t="str">
        <f>IF($B$821&gt;=1,$AB$821,IF($B$823&gt;=1,$AB$823,IF($B$825&gt;=1,$AB$825,$AB$820)))</f>
        <v>1999</v>
      </c>
      <c r="AC827" t="str">
        <f>IF($B$821&gt;=1,$AC$821,IF($B$823&gt;=1,$AC$823,IF($B$825&gt;=1,$AC$825,$AC$820)))</f>
        <v>1998</v>
      </c>
      <c r="AD827" t="str">
        <f>IF($B$821&gt;=1,$AD$821,IF($B$823&gt;=1,$AD$823,IF($B$825&gt;=1,$AD$825,$AD$820)))</f>
        <v>1997</v>
      </c>
      <c r="AE827" t="str">
        <f>IF($B$821&gt;=1,$AE$821,IF($B$823&gt;=1,$AE$823,IF($B$825&gt;=1,$AE$825,$AE$820)))</f>
        <v>1996</v>
      </c>
      <c r="AF827" t="str">
        <f>IF($B$821&gt;=1,$AF$821,IF($B$823&gt;=1,$AF$823,IF($B$825&gt;=1,$AF$825,$AF$820)))</f>
        <v>1995</v>
      </c>
      <c r="AG827" t="str">
        <f>IF($B$821&gt;=1,$AG$821,IF($B$823&gt;=1,$AG$823,IF($B$825&gt;=1,$AG$825,$AG$820)))</f>
        <v>1994</v>
      </c>
      <c r="AH827" t="str">
        <f>IF($B$821&gt;=1,$AH$821,IF($B$823&gt;=1,$AH$823,IF($B$825&gt;=1,$AH$825,$AH$820)))</f>
        <v>1993</v>
      </c>
      <c r="AI827" t="str">
        <f>IF($B$821&gt;=1,$AI$821,IF($B$823&gt;=1,$AI$823,IF($B$825&gt;=1,$AI$825,$AI$820)))</f>
        <v>1992</v>
      </c>
      <c r="AM827" t="str">
        <f>""</f>
        <v/>
      </c>
      <c r="AN827" t="str">
        <f>""</f>
        <v/>
      </c>
      <c r="AO827" t="str">
        <f>""</f>
        <v/>
      </c>
      <c r="AP827" t="str">
        <f>""</f>
        <v/>
      </c>
      <c r="AQ827" t="str">
        <f>""</f>
        <v/>
      </c>
      <c r="AR827" t="str">
        <f>""</f>
        <v/>
      </c>
      <c r="AS827" t="str">
        <f>""</f>
        <v/>
      </c>
      <c r="AT827" t="str">
        <f>""</f>
        <v/>
      </c>
      <c r="AU827" t="str">
        <f>""</f>
        <v/>
      </c>
      <c r="AV827" t="str">
        <f>""</f>
        <v/>
      </c>
      <c r="AW827" t="str">
        <f>""</f>
        <v/>
      </c>
      <c r="AX827" t="str">
        <f>""</f>
        <v/>
      </c>
      <c r="AY827" t="str">
        <f>""</f>
        <v/>
      </c>
      <c r="AZ827" t="str">
        <f>""</f>
        <v/>
      </c>
      <c r="BA827" t="str">
        <f>""</f>
        <v/>
      </c>
      <c r="BB827" t="str">
        <f>""</f>
        <v/>
      </c>
      <c r="BC827" t="str">
        <f>""</f>
        <v/>
      </c>
      <c r="BD827" t="str">
        <f>""</f>
        <v/>
      </c>
      <c r="BE827" t="str">
        <f>""</f>
        <v/>
      </c>
      <c r="BF827" t="str">
        <f>""</f>
        <v/>
      </c>
      <c r="BG827" t="str">
        <f>""</f>
        <v/>
      </c>
      <c r="BH827" t="str">
        <f>""</f>
        <v/>
      </c>
      <c r="BI827" t="str">
        <f>""</f>
        <v/>
      </c>
      <c r="BJ827" t="str">
        <f>""</f>
        <v/>
      </c>
      <c r="BK827" t="str">
        <f>""</f>
        <v/>
      </c>
      <c r="BL827" t="str">
        <f>""</f>
        <v/>
      </c>
      <c r="BM827" t="str">
        <f>""</f>
        <v/>
      </c>
      <c r="BN827" t="str">
        <f>""</f>
        <v/>
      </c>
      <c r="BO827" t="str">
        <f>""</f>
        <v/>
      </c>
      <c r="BP827" t="str">
        <f>""</f>
        <v/>
      </c>
      <c r="BQ827" t="str">
        <f>""</f>
        <v/>
      </c>
      <c r="BR827" t="str">
        <f>""</f>
        <v/>
      </c>
      <c r="BS827" t="str">
        <f>""</f>
        <v/>
      </c>
    </row>
    <row r="828" spans="1:71" x14ac:dyDescent="0.25">
      <c r="A828" t="str">
        <f>"BDH snapshot title"</f>
        <v>BDH snapshot title</v>
      </c>
      <c r="B828">
        <f>$B$827</f>
        <v>2</v>
      </c>
      <c r="C828" t="str">
        <f>SUBSTITUTE(SUBSTITUTE($C$827,"CY1 ",""),"C","")</f>
        <v>2024</v>
      </c>
      <c r="D828" t="str">
        <f>SUBSTITUTE(SUBSTITUTE($D$827,"CY1 ",""),"C","")</f>
        <v>2023</v>
      </c>
      <c r="E828" t="str">
        <f>SUBSTITUTE(SUBSTITUTE($E$827,"CY1 ",""),"C","")</f>
        <v>2022</v>
      </c>
      <c r="F828" t="str">
        <f>SUBSTITUTE(SUBSTITUTE($F$827,"CY1 ",""),"C","")</f>
        <v>2021</v>
      </c>
      <c r="G828" t="str">
        <f>SUBSTITUTE(SUBSTITUTE($G$827,"CY1 ",""),"C","")</f>
        <v>2020</v>
      </c>
      <c r="H828" t="str">
        <f>SUBSTITUTE(SUBSTITUTE($H$827,"CY1 ",""),"C","")</f>
        <v>2019</v>
      </c>
      <c r="I828" t="str">
        <f>SUBSTITUTE(SUBSTITUTE($I$827,"CY1 ",""),"C","")</f>
        <v>2018</v>
      </c>
      <c r="J828" t="str">
        <f>SUBSTITUTE(SUBSTITUTE($J$827,"CY1 ",""),"C","")</f>
        <v>2017</v>
      </c>
      <c r="K828" t="str">
        <f>SUBSTITUTE(SUBSTITUTE($K$827,"CY1 ",""),"C","")</f>
        <v>2016</v>
      </c>
      <c r="L828" t="str">
        <f>SUBSTITUTE(SUBSTITUTE($L$827,"CY1 ",""),"C","")</f>
        <v>2015</v>
      </c>
      <c r="M828" t="str">
        <f>SUBSTITUTE(SUBSTITUTE($M$827,"CY1 ",""),"C","")</f>
        <v>2014</v>
      </c>
      <c r="N828" t="str">
        <f>SUBSTITUTE(SUBSTITUTE($N$827,"CY1 ",""),"C","")</f>
        <v>2013</v>
      </c>
      <c r="O828" t="str">
        <f>SUBSTITUTE(SUBSTITUTE($O$827,"CY1 ",""),"C","")</f>
        <v>2012</v>
      </c>
      <c r="P828" t="str">
        <f>SUBSTITUTE(SUBSTITUTE($P$827,"CY1 ",""),"C","")</f>
        <v>2011</v>
      </c>
      <c r="Q828" t="str">
        <f>SUBSTITUTE(SUBSTITUTE($Q$827,"CY1 ",""),"C","")</f>
        <v>2010</v>
      </c>
      <c r="R828" t="str">
        <f>SUBSTITUTE(SUBSTITUTE($R$827,"CY1 ",""),"C","")</f>
        <v>2009</v>
      </c>
      <c r="S828" t="str">
        <f>SUBSTITUTE(SUBSTITUTE($S$827,"CY1 ",""),"C","")</f>
        <v>2008</v>
      </c>
      <c r="T828" t="str">
        <f>SUBSTITUTE(SUBSTITUTE($T$827,"CY1 ",""),"C","")</f>
        <v>2007</v>
      </c>
      <c r="U828" t="str">
        <f>SUBSTITUTE(SUBSTITUTE($U$827,"CY1 ",""),"C","")</f>
        <v>2006</v>
      </c>
      <c r="V828" t="str">
        <f>SUBSTITUTE(SUBSTITUTE($V$827,"CY1 ",""),"C","")</f>
        <v>2005</v>
      </c>
      <c r="W828" t="str">
        <f>SUBSTITUTE(SUBSTITUTE($W$827,"CY1 ",""),"C","")</f>
        <v>2004</v>
      </c>
      <c r="X828" t="str">
        <f>SUBSTITUTE(SUBSTITUTE($X$827,"CY1 ",""),"C","")</f>
        <v>2003</v>
      </c>
      <c r="Y828" t="str">
        <f>SUBSTITUTE(SUBSTITUTE($Y$827,"CY1 ",""),"C","")</f>
        <v>2002</v>
      </c>
      <c r="Z828" t="str">
        <f>SUBSTITUTE(SUBSTITUTE($Z$827,"CY1 ",""),"C","")</f>
        <v>2001</v>
      </c>
      <c r="AA828" t="str">
        <f>SUBSTITUTE(SUBSTITUTE($AA$827,"CY1 ",""),"C","")</f>
        <v>2000</v>
      </c>
      <c r="AB828" t="str">
        <f>SUBSTITUTE(SUBSTITUTE($AB$827,"CY1 ",""),"C","")</f>
        <v>1999</v>
      </c>
      <c r="AC828" t="str">
        <f>SUBSTITUTE(SUBSTITUTE($AC$827,"CY1 ",""),"C","")</f>
        <v>1998</v>
      </c>
      <c r="AD828" t="str">
        <f>SUBSTITUTE(SUBSTITUTE($AD$827,"CY1 ",""),"C","")</f>
        <v>1997</v>
      </c>
      <c r="AE828" t="str">
        <f>SUBSTITUTE(SUBSTITUTE($AE$827,"CY1 ",""),"C","")</f>
        <v>1996</v>
      </c>
      <c r="AF828" t="str">
        <f>SUBSTITUTE(SUBSTITUTE($AF$827,"CY1 ",""),"C","")</f>
        <v>1995</v>
      </c>
      <c r="AG828" t="str">
        <f>SUBSTITUTE(SUBSTITUTE($AG$827,"CY1 ",""),"C","")</f>
        <v>1994</v>
      </c>
      <c r="AH828" t="str">
        <f>SUBSTITUTE(SUBSTITUTE($AH$827,"CY1 ",""),"C","")</f>
        <v>1993</v>
      </c>
      <c r="AI828" t="str">
        <f>SUBSTITUTE(SUBSTITUTE($AI$827,"CY1 ",""),"C","")</f>
        <v>1992</v>
      </c>
      <c r="AM828" t="str">
        <f>""</f>
        <v/>
      </c>
      <c r="AN828" t="str">
        <f>""</f>
        <v/>
      </c>
      <c r="AO828" t="str">
        <f>""</f>
        <v/>
      </c>
      <c r="AP828" t="str">
        <f>""</f>
        <v/>
      </c>
      <c r="AQ828" t="str">
        <f>""</f>
        <v/>
      </c>
      <c r="AR828" t="str">
        <f>""</f>
        <v/>
      </c>
      <c r="AS828" t="str">
        <f>""</f>
        <v/>
      </c>
      <c r="AT828" t="str">
        <f>""</f>
        <v/>
      </c>
      <c r="AU828" t="str">
        <f>""</f>
        <v/>
      </c>
      <c r="AV828" t="str">
        <f>""</f>
        <v/>
      </c>
      <c r="AW828" t="str">
        <f>""</f>
        <v/>
      </c>
      <c r="AX828" t="str">
        <f>""</f>
        <v/>
      </c>
      <c r="AY828" t="str">
        <f>""</f>
        <v/>
      </c>
      <c r="AZ828" t="str">
        <f>""</f>
        <v/>
      </c>
      <c r="BA828" t="str">
        <f>""</f>
        <v/>
      </c>
      <c r="BB828" t="str">
        <f>""</f>
        <v/>
      </c>
      <c r="BC828" t="str">
        <f>""</f>
        <v/>
      </c>
      <c r="BD828" t="str">
        <f>""</f>
        <v/>
      </c>
      <c r="BE828" t="str">
        <f>""</f>
        <v/>
      </c>
      <c r="BF828" t="str">
        <f>""</f>
        <v/>
      </c>
      <c r="BG828" t="str">
        <f>""</f>
        <v/>
      </c>
      <c r="BH828" t="str">
        <f>""</f>
        <v/>
      </c>
      <c r="BI828" t="str">
        <f>""</f>
        <v/>
      </c>
      <c r="BJ828" t="str">
        <f>""</f>
        <v/>
      </c>
      <c r="BK828" t="str">
        <f>""</f>
        <v/>
      </c>
      <c r="BL828" t="str">
        <f>""</f>
        <v/>
      </c>
      <c r="BM828" t="str">
        <f>""</f>
        <v/>
      </c>
      <c r="BN828" t="str">
        <f>""</f>
        <v/>
      </c>
      <c r="BO828" t="str">
        <f>""</f>
        <v/>
      </c>
      <c r="BP828" t="str">
        <f>""</f>
        <v/>
      </c>
      <c r="BQ828" t="str">
        <f>""</f>
        <v/>
      </c>
      <c r="BR828" t="str">
        <f>""</f>
        <v/>
      </c>
      <c r="BS828" t="str">
        <f>""</f>
        <v/>
      </c>
    </row>
    <row r="829" spans="1:71" x14ac:dyDescent="0.25">
      <c r="A829" t="str">
        <f>"BDH dynamic header0"</f>
        <v>BDH dynamic header0</v>
      </c>
      <c r="B829">
        <f ca="1">IF(OR(ISERROR($C$829),ISBLANK($C$829),ISNUMBER(SEARCH("N/A",$C$829) ),ISERROR($C$830),ISBLANK($C$830)),0,1)</f>
        <v>0</v>
      </c>
      <c r="C829" t="str">
        <f ca="1">_xll.BDH($B$4,$C$4,$B$425,$B$426,"PER=CY","Dts=S","DtFmt=FI", "rows=2","Dir=H","Points=33","Sort=R","Days=A","Fill=B","FX=USD" )</f>
        <v>#N/A Invalid Parameter: Invalid override field id specified</v>
      </c>
      <c r="AM829" t="str">
        <f>""</f>
        <v/>
      </c>
      <c r="AN829" t="str">
        <f>""</f>
        <v/>
      </c>
      <c r="AO829" t="str">
        <f>""</f>
        <v/>
      </c>
      <c r="AP829" t="str">
        <f>""</f>
        <v/>
      </c>
      <c r="AQ829" t="str">
        <f>""</f>
        <v/>
      </c>
      <c r="AR829" t="str">
        <f>""</f>
        <v/>
      </c>
      <c r="AS829" t="str">
        <f>""</f>
        <v/>
      </c>
      <c r="AT829" t="str">
        <f>""</f>
        <v/>
      </c>
      <c r="AU829" t="str">
        <f>""</f>
        <v/>
      </c>
      <c r="AV829" t="str">
        <f>""</f>
        <v/>
      </c>
      <c r="AW829" t="str">
        <f>""</f>
        <v/>
      </c>
      <c r="AX829" t="str">
        <f>""</f>
        <v/>
      </c>
      <c r="AY829" t="str">
        <f>""</f>
        <v/>
      </c>
      <c r="AZ829" t="str">
        <f>""</f>
        <v/>
      </c>
      <c r="BA829" t="str">
        <f>""</f>
        <v/>
      </c>
      <c r="BB829" t="str">
        <f>""</f>
        <v/>
      </c>
      <c r="BC829" t="str">
        <f>""</f>
        <v/>
      </c>
      <c r="BD829" t="str">
        <f>""</f>
        <v/>
      </c>
      <c r="BE829" t="str">
        <f>""</f>
        <v/>
      </c>
      <c r="BF829" t="str">
        <f>""</f>
        <v/>
      </c>
      <c r="BG829" t="str">
        <f>""</f>
        <v/>
      </c>
      <c r="BH829" t="str">
        <f>""</f>
        <v/>
      </c>
      <c r="BI829" t="str">
        <f>""</f>
        <v/>
      </c>
      <c r="BJ829" t="str">
        <f>""</f>
        <v/>
      </c>
      <c r="BK829" t="str">
        <f>""</f>
        <v/>
      </c>
      <c r="BL829" t="str">
        <f>""</f>
        <v/>
      </c>
      <c r="BM829" t="str">
        <f>""</f>
        <v/>
      </c>
      <c r="BN829" t="str">
        <f>""</f>
        <v/>
      </c>
      <c r="BO829" t="str">
        <f>""</f>
        <v/>
      </c>
      <c r="BP829" t="str">
        <f>""</f>
        <v/>
      </c>
      <c r="BQ829" t="str">
        <f>""</f>
        <v/>
      </c>
      <c r="BR829" t="str">
        <f>""</f>
        <v/>
      </c>
      <c r="BS829" t="str">
        <f>""</f>
        <v/>
      </c>
    </row>
    <row r="830" spans="1:71" x14ac:dyDescent="0.25">
      <c r="A830" t="str">
        <f>"BDH dynamic result0"</f>
        <v>BDH dynamic result0</v>
      </c>
      <c r="AM830" t="str">
        <f>""</f>
        <v/>
      </c>
      <c r="AN830" t="str">
        <f>""</f>
        <v/>
      </c>
      <c r="AO830" t="str">
        <f>""</f>
        <v/>
      </c>
      <c r="AP830" t="str">
        <f>""</f>
        <v/>
      </c>
      <c r="AQ830" t="str">
        <f>""</f>
        <v/>
      </c>
      <c r="AR830" t="str">
        <f>""</f>
        <v/>
      </c>
      <c r="AS830" t="str">
        <f>""</f>
        <v/>
      </c>
      <c r="AT830" t="str">
        <f>""</f>
        <v/>
      </c>
      <c r="AU830" t="str">
        <f>""</f>
        <v/>
      </c>
      <c r="AV830" t="str">
        <f>""</f>
        <v/>
      </c>
      <c r="AW830" t="str">
        <f>""</f>
        <v/>
      </c>
      <c r="AX830" t="str">
        <f>""</f>
        <v/>
      </c>
      <c r="AY830" t="str">
        <f>""</f>
        <v/>
      </c>
      <c r="AZ830" t="str">
        <f>""</f>
        <v/>
      </c>
      <c r="BA830" t="str">
        <f>""</f>
        <v/>
      </c>
      <c r="BB830" t="str">
        <f>""</f>
        <v/>
      </c>
      <c r="BC830" t="str">
        <f>""</f>
        <v/>
      </c>
      <c r="BD830" t="str">
        <f>""</f>
        <v/>
      </c>
      <c r="BE830" t="str">
        <f>""</f>
        <v/>
      </c>
      <c r="BF830" t="str">
        <f>""</f>
        <v/>
      </c>
      <c r="BG830" t="str">
        <f>""</f>
        <v/>
      </c>
      <c r="BH830" t="str">
        <f>""</f>
        <v/>
      </c>
      <c r="BI830" t="str">
        <f>""</f>
        <v/>
      </c>
      <c r="BJ830" t="str">
        <f>""</f>
        <v/>
      </c>
      <c r="BK830" t="str">
        <f>""</f>
        <v/>
      </c>
      <c r="BL830" t="str">
        <f>""</f>
        <v/>
      </c>
      <c r="BM830" t="str">
        <f>""</f>
        <v/>
      </c>
      <c r="BN830" t="str">
        <f>""</f>
        <v/>
      </c>
      <c r="BO830" t="str">
        <f>""</f>
        <v/>
      </c>
      <c r="BP830" t="str">
        <f>""</f>
        <v/>
      </c>
      <c r="BQ830" t="str">
        <f>""</f>
        <v/>
      </c>
      <c r="BR830" t="str">
        <f>""</f>
        <v/>
      </c>
      <c r="BS830" t="str">
        <f>""</f>
        <v/>
      </c>
    </row>
    <row r="831" spans="1:71" x14ac:dyDescent="0.25">
      <c r="A831" t="str">
        <f>"BDH dynamic header1"</f>
        <v>BDH dynamic header1</v>
      </c>
      <c r="B831">
        <f ca="1">IF(OR(ISERROR($C$831),ISBLANK($C$831),ISNUMBER(SEARCH("N/A",$C$831) ),ISERROR($C$832),ISBLANK($C$832)),0,1)</f>
        <v>0</v>
      </c>
      <c r="C831" t="str">
        <f ca="1">_xll.BDH($B$5,$C$5,$B$425,$B$426,"PER=CY","Dts=S","DtFmt=FI", "rows=2","Dir=H","Points=33","Sort=R","Days=A","Fill=B","FX=USD" )</f>
        <v>#N/A Invalid Parameter: Invalid override field id specified</v>
      </c>
      <c r="AM831" t="str">
        <f>""</f>
        <v/>
      </c>
      <c r="AN831" t="str">
        <f>""</f>
        <v/>
      </c>
      <c r="AO831" t="str">
        <f>""</f>
        <v/>
      </c>
      <c r="AP831" t="str">
        <f>""</f>
        <v/>
      </c>
      <c r="AQ831" t="str">
        <f>""</f>
        <v/>
      </c>
      <c r="AR831" t="str">
        <f>""</f>
        <v/>
      </c>
      <c r="AS831" t="str">
        <f>""</f>
        <v/>
      </c>
      <c r="AT831" t="str">
        <f>""</f>
        <v/>
      </c>
      <c r="AU831" t="str">
        <f>""</f>
        <v/>
      </c>
      <c r="AV831" t="str">
        <f>""</f>
        <v/>
      </c>
      <c r="AW831" t="str">
        <f>""</f>
        <v/>
      </c>
      <c r="AX831" t="str">
        <f>""</f>
        <v/>
      </c>
      <c r="AY831" t="str">
        <f>""</f>
        <v/>
      </c>
      <c r="AZ831" t="str">
        <f>""</f>
        <v/>
      </c>
      <c r="BA831" t="str">
        <f>""</f>
        <v/>
      </c>
      <c r="BB831" t="str">
        <f>""</f>
        <v/>
      </c>
      <c r="BC831" t="str">
        <f>""</f>
        <v/>
      </c>
      <c r="BD831" t="str">
        <f>""</f>
        <v/>
      </c>
      <c r="BE831" t="str">
        <f>""</f>
        <v/>
      </c>
      <c r="BF831" t="str">
        <f>""</f>
        <v/>
      </c>
      <c r="BG831" t="str">
        <f>""</f>
        <v/>
      </c>
      <c r="BH831" t="str">
        <f>""</f>
        <v/>
      </c>
      <c r="BI831" t="str">
        <f>""</f>
        <v/>
      </c>
      <c r="BJ831" t="str">
        <f>""</f>
        <v/>
      </c>
      <c r="BK831" t="str">
        <f>""</f>
        <v/>
      </c>
      <c r="BL831" t="str">
        <f>""</f>
        <v/>
      </c>
      <c r="BM831" t="str">
        <f>""</f>
        <v/>
      </c>
      <c r="BN831" t="str">
        <f>""</f>
        <v/>
      </c>
      <c r="BO831" t="str">
        <f>""</f>
        <v/>
      </c>
      <c r="BP831" t="str">
        <f>""</f>
        <v/>
      </c>
      <c r="BQ831" t="str">
        <f>""</f>
        <v/>
      </c>
      <c r="BR831" t="str">
        <f>""</f>
        <v/>
      </c>
      <c r="BS831" t="str">
        <f>""</f>
        <v/>
      </c>
    </row>
    <row r="832" spans="1:71" x14ac:dyDescent="0.25">
      <c r="A832" t="str">
        <f>"BDH dynamic result1"</f>
        <v>BDH dynamic result1</v>
      </c>
      <c r="AM832" t="str">
        <f>""</f>
        <v/>
      </c>
      <c r="AN832" t="str">
        <f>""</f>
        <v/>
      </c>
      <c r="AO832" t="str">
        <f>""</f>
        <v/>
      </c>
      <c r="AP832" t="str">
        <f>""</f>
        <v/>
      </c>
      <c r="AQ832" t="str">
        <f>""</f>
        <v/>
      </c>
      <c r="AR832" t="str">
        <f>""</f>
        <v/>
      </c>
      <c r="AS832" t="str">
        <f>""</f>
        <v/>
      </c>
      <c r="AT832" t="str">
        <f>""</f>
        <v/>
      </c>
      <c r="AU832" t="str">
        <f>""</f>
        <v/>
      </c>
      <c r="AV832" t="str">
        <f>""</f>
        <v/>
      </c>
      <c r="AW832" t="str">
        <f>""</f>
        <v/>
      </c>
      <c r="AX832" t="str">
        <f>""</f>
        <v/>
      </c>
      <c r="AY832" t="str">
        <f>""</f>
        <v/>
      </c>
      <c r="AZ832" t="str">
        <f>""</f>
        <v/>
      </c>
      <c r="BA832" t="str">
        <f>""</f>
        <v/>
      </c>
      <c r="BB832" t="str">
        <f>""</f>
        <v/>
      </c>
      <c r="BC832" t="str">
        <f>""</f>
        <v/>
      </c>
      <c r="BD832" t="str">
        <f>""</f>
        <v/>
      </c>
      <c r="BE832" t="str">
        <f>""</f>
        <v/>
      </c>
      <c r="BF832" t="str">
        <f>""</f>
        <v/>
      </c>
      <c r="BG832" t="str">
        <f>""</f>
        <v/>
      </c>
      <c r="BH832" t="str">
        <f>""</f>
        <v/>
      </c>
      <c r="BI832" t="str">
        <f>""</f>
        <v/>
      </c>
      <c r="BJ832" t="str">
        <f>""</f>
        <v/>
      </c>
      <c r="BK832" t="str">
        <f>""</f>
        <v/>
      </c>
      <c r="BL832" t="str">
        <f>""</f>
        <v/>
      </c>
      <c r="BM832" t="str">
        <f>""</f>
        <v/>
      </c>
      <c r="BN832" t="str">
        <f>""</f>
        <v/>
      </c>
      <c r="BO832" t="str">
        <f>""</f>
        <v/>
      </c>
      <c r="BP832" t="str">
        <f>""</f>
        <v/>
      </c>
      <c r="BQ832" t="str">
        <f>""</f>
        <v/>
      </c>
      <c r="BR832" t="str">
        <f>""</f>
        <v/>
      </c>
      <c r="BS832" t="str">
        <f>""</f>
        <v/>
      </c>
    </row>
    <row r="833" spans="1:71" x14ac:dyDescent="0.25">
      <c r="A833" t="str">
        <f>"BDH dynamic header2"</f>
        <v>BDH dynamic header2</v>
      </c>
      <c r="B833">
        <f ca="1">IF(OR(ISERROR($C$833),ISBLANK($C$833),ISNUMBER(SEARCH("N/A",$C$833) ),ISERROR($C$834),ISBLANK($C$834)),0,1)</f>
        <v>0</v>
      </c>
      <c r="C833" t="str">
        <f ca="1">_xll.BDH($B$6,$C$6,$B$425,$B$426,"PER=CY","Dts=S","DtFmt=FI", "rows=2","Dir=H","Points=33","Sort=R","Days=A","Fill=B","FX=USD" )</f>
        <v>#N/A Invalid Parameter: Invalid override field id specified</v>
      </c>
      <c r="AM833" t="str">
        <f>""</f>
        <v/>
      </c>
      <c r="AN833" t="str">
        <f>""</f>
        <v/>
      </c>
      <c r="AO833" t="str">
        <f>""</f>
        <v/>
      </c>
      <c r="AP833" t="str">
        <f>""</f>
        <v/>
      </c>
      <c r="AQ833" t="str">
        <f>""</f>
        <v/>
      </c>
      <c r="AR833" t="str">
        <f>""</f>
        <v/>
      </c>
      <c r="AS833" t="str">
        <f>""</f>
        <v/>
      </c>
      <c r="AT833" t="str">
        <f>""</f>
        <v/>
      </c>
      <c r="AU833" t="str">
        <f>""</f>
        <v/>
      </c>
      <c r="AV833" t="str">
        <f>""</f>
        <v/>
      </c>
      <c r="AW833" t="str">
        <f>""</f>
        <v/>
      </c>
      <c r="AX833" t="str">
        <f>""</f>
        <v/>
      </c>
      <c r="AY833" t="str">
        <f>""</f>
        <v/>
      </c>
      <c r="AZ833" t="str">
        <f>""</f>
        <v/>
      </c>
      <c r="BA833" t="str">
        <f>""</f>
        <v/>
      </c>
      <c r="BB833" t="str">
        <f>""</f>
        <v/>
      </c>
      <c r="BC833" t="str">
        <f>""</f>
        <v/>
      </c>
      <c r="BD833" t="str">
        <f>""</f>
        <v/>
      </c>
      <c r="BE833" t="str">
        <f>""</f>
        <v/>
      </c>
      <c r="BF833" t="str">
        <f>""</f>
        <v/>
      </c>
      <c r="BG833" t="str">
        <f>""</f>
        <v/>
      </c>
      <c r="BH833" t="str">
        <f>""</f>
        <v/>
      </c>
      <c r="BI833" t="str">
        <f>""</f>
        <v/>
      </c>
      <c r="BJ833" t="str">
        <f>""</f>
        <v/>
      </c>
      <c r="BK833" t="str">
        <f>""</f>
        <v/>
      </c>
      <c r="BL833" t="str">
        <f>""</f>
        <v/>
      </c>
      <c r="BM833" t="str">
        <f>""</f>
        <v/>
      </c>
      <c r="BN833" t="str">
        <f>""</f>
        <v/>
      </c>
      <c r="BO833" t="str">
        <f>""</f>
        <v/>
      </c>
      <c r="BP833" t="str">
        <f>""</f>
        <v/>
      </c>
      <c r="BQ833" t="str">
        <f>""</f>
        <v/>
      </c>
      <c r="BR833" t="str">
        <f>""</f>
        <v/>
      </c>
      <c r="BS833" t="str">
        <f>""</f>
        <v/>
      </c>
    </row>
    <row r="834" spans="1:71" x14ac:dyDescent="0.25">
      <c r="A834" t="str">
        <f>"BDH dynamic result2"</f>
        <v>BDH dynamic result2</v>
      </c>
      <c r="AM834" t="str">
        <f>""</f>
        <v/>
      </c>
      <c r="AN834" t="str">
        <f>""</f>
        <v/>
      </c>
      <c r="AO834" t="str">
        <f>""</f>
        <v/>
      </c>
      <c r="AP834" t="str">
        <f>""</f>
        <v/>
      </c>
      <c r="AQ834" t="str">
        <f>""</f>
        <v/>
      </c>
      <c r="AR834" t="str">
        <f>""</f>
        <v/>
      </c>
      <c r="AS834" t="str">
        <f>""</f>
        <v/>
      </c>
      <c r="AT834" t="str">
        <f>""</f>
        <v/>
      </c>
      <c r="AU834" t="str">
        <f>""</f>
        <v/>
      </c>
      <c r="AV834" t="str">
        <f>""</f>
        <v/>
      </c>
      <c r="AW834" t="str">
        <f>""</f>
        <v/>
      </c>
      <c r="AX834" t="str">
        <f>""</f>
        <v/>
      </c>
      <c r="AY834" t="str">
        <f>""</f>
        <v/>
      </c>
      <c r="AZ834" t="str">
        <f>""</f>
        <v/>
      </c>
      <c r="BA834" t="str">
        <f>""</f>
        <v/>
      </c>
      <c r="BB834" t="str">
        <f>""</f>
        <v/>
      </c>
      <c r="BC834" t="str">
        <f>""</f>
        <v/>
      </c>
      <c r="BD834" t="str">
        <f>""</f>
        <v/>
      </c>
      <c r="BE834" t="str">
        <f>""</f>
        <v/>
      </c>
      <c r="BF834" t="str">
        <f>""</f>
        <v/>
      </c>
      <c r="BG834" t="str">
        <f>""</f>
        <v/>
      </c>
      <c r="BH834" t="str">
        <f>""</f>
        <v/>
      </c>
      <c r="BI834" t="str">
        <f>""</f>
        <v/>
      </c>
      <c r="BJ834" t="str">
        <f>""</f>
        <v/>
      </c>
      <c r="BK834" t="str">
        <f>""</f>
        <v/>
      </c>
      <c r="BL834" t="str">
        <f>""</f>
        <v/>
      </c>
      <c r="BM834" t="str">
        <f>""</f>
        <v/>
      </c>
      <c r="BN834" t="str">
        <f>""</f>
        <v/>
      </c>
      <c r="BO834" t="str">
        <f>""</f>
        <v/>
      </c>
      <c r="BP834" t="str">
        <f>""</f>
        <v/>
      </c>
      <c r="BQ834" t="str">
        <f>""</f>
        <v/>
      </c>
      <c r="BR834" t="str">
        <f>""</f>
        <v/>
      </c>
      <c r="BS834" t="str">
        <f>""</f>
        <v/>
      </c>
    </row>
    <row r="835" spans="1:71" x14ac:dyDescent="0.25">
      <c r="A835" t="str">
        <f>"BDH dynamic"</f>
        <v>BDH dynamic</v>
      </c>
      <c r="B835">
        <f ca="1">IF($B$829&gt;=1,$B$829,IF($B$831&gt;=1,$B$831,IF($B$833&gt;=1,$B$833,$B$820)))</f>
        <v>2</v>
      </c>
      <c r="C835" t="str">
        <f ca="1">IF($B$829&gt;=1,$C$829,IF($B$831&gt;=1,$C$831,IF($B$833&gt;=1,$C$833,$C$820)))</f>
        <v>2024</v>
      </c>
      <c r="D835" t="str">
        <f ca="1">IF($B$829&gt;=1,$D$829,IF($B$831&gt;=1,$D$831,IF($B$833&gt;=1,$D$833,$D$820)))</f>
        <v>2023</v>
      </c>
      <c r="E835" t="str">
        <f ca="1">IF($B$829&gt;=1,$E$829,IF($B$831&gt;=1,$E$831,IF($B$833&gt;=1,$E$833,$E$820)))</f>
        <v>2022</v>
      </c>
      <c r="F835" t="str">
        <f ca="1">IF($B$829&gt;=1,$F$829,IF($B$831&gt;=1,$F$831,IF($B$833&gt;=1,$F$833,$F$820)))</f>
        <v>2021</v>
      </c>
      <c r="G835" t="str">
        <f ca="1">IF($B$829&gt;=1,$G$829,IF($B$831&gt;=1,$G$831,IF($B$833&gt;=1,$G$833,$G$820)))</f>
        <v>2020</v>
      </c>
      <c r="H835" t="str">
        <f ca="1">IF($B$829&gt;=1,$H$829,IF($B$831&gt;=1,$H$831,IF($B$833&gt;=1,$H$833,$H$820)))</f>
        <v>2019</v>
      </c>
      <c r="I835" t="str">
        <f ca="1">IF($B$829&gt;=1,$I$829,IF($B$831&gt;=1,$I$831,IF($B$833&gt;=1,$I$833,$I$820)))</f>
        <v>2018</v>
      </c>
      <c r="J835" t="str">
        <f ca="1">IF($B$829&gt;=1,$J$829,IF($B$831&gt;=1,$J$831,IF($B$833&gt;=1,$J$833,$J$820)))</f>
        <v>2017</v>
      </c>
      <c r="K835" t="str">
        <f ca="1">IF($B$829&gt;=1,$K$829,IF($B$831&gt;=1,$K$831,IF($B$833&gt;=1,$K$833,$K$820)))</f>
        <v>2016</v>
      </c>
      <c r="L835" t="str">
        <f ca="1">IF($B$829&gt;=1,$L$829,IF($B$831&gt;=1,$L$831,IF($B$833&gt;=1,$L$833,$L$820)))</f>
        <v>2015</v>
      </c>
      <c r="M835" t="str">
        <f ca="1">IF($B$829&gt;=1,$M$829,IF($B$831&gt;=1,$M$831,IF($B$833&gt;=1,$M$833,$M$820)))</f>
        <v>2014</v>
      </c>
      <c r="N835" t="str">
        <f ca="1">IF($B$829&gt;=1,$N$829,IF($B$831&gt;=1,$N$831,IF($B$833&gt;=1,$N$833,$N$820)))</f>
        <v>2013</v>
      </c>
      <c r="O835" t="str">
        <f ca="1">IF($B$829&gt;=1,$O$829,IF($B$831&gt;=1,$O$831,IF($B$833&gt;=1,$O$833,$O$820)))</f>
        <v>2012</v>
      </c>
      <c r="P835" t="str">
        <f ca="1">IF($B$829&gt;=1,$P$829,IF($B$831&gt;=1,$P$831,IF($B$833&gt;=1,$P$833,$P$820)))</f>
        <v>2011</v>
      </c>
      <c r="Q835" t="str">
        <f ca="1">IF($B$829&gt;=1,$Q$829,IF($B$831&gt;=1,$Q$831,IF($B$833&gt;=1,$Q$833,$Q$820)))</f>
        <v>2010</v>
      </c>
      <c r="R835" t="str">
        <f ca="1">IF($B$829&gt;=1,$R$829,IF($B$831&gt;=1,$R$831,IF($B$833&gt;=1,$R$833,$R$820)))</f>
        <v>2009</v>
      </c>
      <c r="S835" t="str">
        <f ca="1">IF($B$829&gt;=1,$S$829,IF($B$831&gt;=1,$S$831,IF($B$833&gt;=1,$S$833,$S$820)))</f>
        <v>2008</v>
      </c>
      <c r="T835" t="str">
        <f ca="1">IF($B$829&gt;=1,$T$829,IF($B$831&gt;=1,$T$831,IF($B$833&gt;=1,$T$833,$T$820)))</f>
        <v>2007</v>
      </c>
      <c r="U835" t="str">
        <f ca="1">IF($B$829&gt;=1,$U$829,IF($B$831&gt;=1,$U$831,IF($B$833&gt;=1,$U$833,$U$820)))</f>
        <v>2006</v>
      </c>
      <c r="V835" t="str">
        <f ca="1">IF($B$829&gt;=1,$V$829,IF($B$831&gt;=1,$V$831,IF($B$833&gt;=1,$V$833,$V$820)))</f>
        <v>2005</v>
      </c>
      <c r="W835" t="str">
        <f ca="1">IF($B$829&gt;=1,$W$829,IF($B$831&gt;=1,$W$831,IF($B$833&gt;=1,$W$833,$W$820)))</f>
        <v>2004</v>
      </c>
      <c r="X835" t="str">
        <f ca="1">IF($B$829&gt;=1,$X$829,IF($B$831&gt;=1,$X$831,IF($B$833&gt;=1,$X$833,$X$820)))</f>
        <v>2003</v>
      </c>
      <c r="Y835" t="str">
        <f ca="1">IF($B$829&gt;=1,$Y$829,IF($B$831&gt;=1,$Y$831,IF($B$833&gt;=1,$Y$833,$Y$820)))</f>
        <v>2002</v>
      </c>
      <c r="Z835" t="str">
        <f ca="1">IF($B$829&gt;=1,$Z$829,IF($B$831&gt;=1,$Z$831,IF($B$833&gt;=1,$Z$833,$Z$820)))</f>
        <v>2001</v>
      </c>
      <c r="AA835" t="str">
        <f ca="1">IF($B$829&gt;=1,$AA$829,IF($B$831&gt;=1,$AA$831,IF($B$833&gt;=1,$AA$833,$AA$820)))</f>
        <v>2000</v>
      </c>
      <c r="AB835" t="str">
        <f ca="1">IF($B$829&gt;=1,$AB$829,IF($B$831&gt;=1,$AB$831,IF($B$833&gt;=1,$AB$833,$AB$820)))</f>
        <v>1999</v>
      </c>
      <c r="AC835" t="str">
        <f ca="1">IF($B$829&gt;=1,$AC$829,IF($B$831&gt;=1,$AC$831,IF($B$833&gt;=1,$AC$833,$AC$820)))</f>
        <v>1998</v>
      </c>
      <c r="AD835" t="str">
        <f ca="1">IF($B$829&gt;=1,$AD$829,IF($B$831&gt;=1,$AD$831,IF($B$833&gt;=1,$AD$833,$AD$820)))</f>
        <v>1997</v>
      </c>
      <c r="AE835" t="str">
        <f ca="1">IF($B$829&gt;=1,$AE$829,IF($B$831&gt;=1,$AE$831,IF($B$833&gt;=1,$AE$833,$AE$820)))</f>
        <v>1996</v>
      </c>
      <c r="AF835" t="str">
        <f ca="1">IF($B$829&gt;=1,$AF$829,IF($B$831&gt;=1,$AF$831,IF($B$833&gt;=1,$AF$833,$AF$820)))</f>
        <v>1995</v>
      </c>
      <c r="AG835" t="str">
        <f ca="1">IF($B$829&gt;=1,$AG$829,IF($B$831&gt;=1,$AG$831,IF($B$833&gt;=1,$AG$833,$AG$820)))</f>
        <v>1994</v>
      </c>
      <c r="AH835" t="str">
        <f ca="1">IF($B$829&gt;=1,$AH$829,IF($B$831&gt;=1,$AH$831,IF($B$833&gt;=1,$AH$833,$AH$820)))</f>
        <v>1993</v>
      </c>
      <c r="AI835" t="str">
        <f ca="1">IF($B$829&gt;=1,$AI$829,IF($B$831&gt;=1,$AI$831,IF($B$833&gt;=1,$AI$833,$AI$820)))</f>
        <v>1992</v>
      </c>
      <c r="AM835" t="str">
        <f>""</f>
        <v/>
      </c>
      <c r="AN835" t="str">
        <f>""</f>
        <v/>
      </c>
      <c r="AO835" t="str">
        <f>""</f>
        <v/>
      </c>
      <c r="AP835" t="str">
        <f>""</f>
        <v/>
      </c>
      <c r="AQ835" t="str">
        <f>""</f>
        <v/>
      </c>
      <c r="AR835" t="str">
        <f>""</f>
        <v/>
      </c>
      <c r="AS835" t="str">
        <f>""</f>
        <v/>
      </c>
      <c r="AT835" t="str">
        <f>""</f>
        <v/>
      </c>
      <c r="AU835" t="str">
        <f>""</f>
        <v/>
      </c>
      <c r="AV835" t="str">
        <f>""</f>
        <v/>
      </c>
      <c r="AW835" t="str">
        <f>""</f>
        <v/>
      </c>
      <c r="AX835" t="str">
        <f>""</f>
        <v/>
      </c>
      <c r="AY835" t="str">
        <f>""</f>
        <v/>
      </c>
      <c r="AZ835" t="str">
        <f>""</f>
        <v/>
      </c>
      <c r="BA835" t="str">
        <f>""</f>
        <v/>
      </c>
      <c r="BB835" t="str">
        <f>""</f>
        <v/>
      </c>
      <c r="BC835" t="str">
        <f>""</f>
        <v/>
      </c>
      <c r="BD835" t="str">
        <f>""</f>
        <v/>
      </c>
      <c r="BE835" t="str">
        <f>""</f>
        <v/>
      </c>
      <c r="BF835" t="str">
        <f>""</f>
        <v/>
      </c>
      <c r="BG835" t="str">
        <f>""</f>
        <v/>
      </c>
      <c r="BH835" t="str">
        <f>""</f>
        <v/>
      </c>
      <c r="BI835" t="str">
        <f>""</f>
        <v/>
      </c>
      <c r="BJ835" t="str">
        <f>""</f>
        <v/>
      </c>
      <c r="BK835" t="str">
        <f>""</f>
        <v/>
      </c>
      <c r="BL835" t="str">
        <f>""</f>
        <v/>
      </c>
      <c r="BM835" t="str">
        <f>""</f>
        <v/>
      </c>
      <c r="BN835" t="str">
        <f>""</f>
        <v/>
      </c>
      <c r="BO835" t="str">
        <f>""</f>
        <v/>
      </c>
      <c r="BP835" t="str">
        <f>""</f>
        <v/>
      </c>
      <c r="BQ835" t="str">
        <f>""</f>
        <v/>
      </c>
      <c r="BR835" t="str">
        <f>""</f>
        <v/>
      </c>
      <c r="BS835" t="str">
        <f>""</f>
        <v/>
      </c>
    </row>
    <row r="836" spans="1:71" x14ac:dyDescent="0.25">
      <c r="A836" t="str">
        <f>"BDH dynamic title"</f>
        <v>BDH dynamic title</v>
      </c>
      <c r="B836">
        <f ca="1">$B$835</f>
        <v>2</v>
      </c>
      <c r="C836" t="str">
        <f ca="1">SUBSTITUTE(SUBSTITUTE($C$835,"CY1 ",""),"C","")</f>
        <v>2024</v>
      </c>
      <c r="D836" t="str">
        <f ca="1">SUBSTITUTE(SUBSTITUTE($D$835,"CY1 ",""),"C","")</f>
        <v>2023</v>
      </c>
      <c r="E836" t="str">
        <f ca="1">SUBSTITUTE(SUBSTITUTE($E$835,"CY1 ",""),"C","")</f>
        <v>2022</v>
      </c>
      <c r="F836" t="str">
        <f ca="1">SUBSTITUTE(SUBSTITUTE($F$835,"CY1 ",""),"C","")</f>
        <v>2021</v>
      </c>
      <c r="G836" t="str">
        <f ca="1">SUBSTITUTE(SUBSTITUTE($G$835,"CY1 ",""),"C","")</f>
        <v>2020</v>
      </c>
      <c r="H836" t="str">
        <f ca="1">SUBSTITUTE(SUBSTITUTE($H$835,"CY1 ",""),"C","")</f>
        <v>2019</v>
      </c>
      <c r="I836" t="str">
        <f ca="1">SUBSTITUTE(SUBSTITUTE($I$835,"CY1 ",""),"C","")</f>
        <v>2018</v>
      </c>
      <c r="J836" t="str">
        <f ca="1">SUBSTITUTE(SUBSTITUTE($J$835,"CY1 ",""),"C","")</f>
        <v>2017</v>
      </c>
      <c r="K836" t="str">
        <f ca="1">SUBSTITUTE(SUBSTITUTE($K$835,"CY1 ",""),"C","")</f>
        <v>2016</v>
      </c>
      <c r="L836" t="str">
        <f ca="1">SUBSTITUTE(SUBSTITUTE($L$835,"CY1 ",""),"C","")</f>
        <v>2015</v>
      </c>
      <c r="M836" t="str">
        <f ca="1">SUBSTITUTE(SUBSTITUTE($M$835,"CY1 ",""),"C","")</f>
        <v>2014</v>
      </c>
      <c r="N836" t="str">
        <f ca="1">SUBSTITUTE(SUBSTITUTE($N$835,"CY1 ",""),"C","")</f>
        <v>2013</v>
      </c>
      <c r="O836" t="str">
        <f ca="1">SUBSTITUTE(SUBSTITUTE($O$835,"CY1 ",""),"C","")</f>
        <v>2012</v>
      </c>
      <c r="P836" t="str">
        <f ca="1">SUBSTITUTE(SUBSTITUTE($P$835,"CY1 ",""),"C","")</f>
        <v>2011</v>
      </c>
      <c r="Q836" t="str">
        <f ca="1">SUBSTITUTE(SUBSTITUTE($Q$835,"CY1 ",""),"C","")</f>
        <v>2010</v>
      </c>
      <c r="R836" t="str">
        <f ca="1">SUBSTITUTE(SUBSTITUTE($R$835,"CY1 ",""),"C","")</f>
        <v>2009</v>
      </c>
      <c r="S836" t="str">
        <f ca="1">SUBSTITUTE(SUBSTITUTE($S$835,"CY1 ",""),"C","")</f>
        <v>2008</v>
      </c>
      <c r="T836" t="str">
        <f ca="1">SUBSTITUTE(SUBSTITUTE($T$835,"CY1 ",""),"C","")</f>
        <v>2007</v>
      </c>
      <c r="U836" t="str">
        <f ca="1">SUBSTITUTE(SUBSTITUTE($U$835,"CY1 ",""),"C","")</f>
        <v>2006</v>
      </c>
      <c r="V836" t="str">
        <f ca="1">SUBSTITUTE(SUBSTITUTE($V$835,"CY1 ",""),"C","")</f>
        <v>2005</v>
      </c>
      <c r="W836" t="str">
        <f ca="1">SUBSTITUTE(SUBSTITUTE($W$835,"CY1 ",""),"C","")</f>
        <v>2004</v>
      </c>
      <c r="X836" t="str">
        <f ca="1">SUBSTITUTE(SUBSTITUTE($X$835,"CY1 ",""),"C","")</f>
        <v>2003</v>
      </c>
      <c r="Y836" t="str">
        <f ca="1">SUBSTITUTE(SUBSTITUTE($Y$835,"CY1 ",""),"C","")</f>
        <v>2002</v>
      </c>
      <c r="Z836" t="str">
        <f ca="1">SUBSTITUTE(SUBSTITUTE($Z$835,"CY1 ",""),"C","")</f>
        <v>2001</v>
      </c>
      <c r="AA836" t="str">
        <f ca="1">SUBSTITUTE(SUBSTITUTE($AA$835,"CY1 ",""),"C","")</f>
        <v>2000</v>
      </c>
      <c r="AB836" t="str">
        <f ca="1">SUBSTITUTE(SUBSTITUTE($AB$835,"CY1 ",""),"C","")</f>
        <v>1999</v>
      </c>
      <c r="AC836" t="str">
        <f ca="1">SUBSTITUTE(SUBSTITUTE($AC$835,"CY1 ",""),"C","")</f>
        <v>1998</v>
      </c>
      <c r="AD836" t="str">
        <f ca="1">SUBSTITUTE(SUBSTITUTE($AD$835,"CY1 ",""),"C","")</f>
        <v>1997</v>
      </c>
      <c r="AE836" t="str">
        <f ca="1">SUBSTITUTE(SUBSTITUTE($AE$835,"CY1 ",""),"C","")</f>
        <v>1996</v>
      </c>
      <c r="AF836" t="str">
        <f ca="1">SUBSTITUTE(SUBSTITUTE($AF$835,"CY1 ",""),"C","")</f>
        <v>1995</v>
      </c>
      <c r="AG836" t="str">
        <f ca="1">SUBSTITUTE(SUBSTITUTE($AG$835,"CY1 ",""),"C","")</f>
        <v>1994</v>
      </c>
      <c r="AH836" t="str">
        <f ca="1">SUBSTITUTE(SUBSTITUTE($AH$835,"CY1 ",""),"C","")</f>
        <v>1993</v>
      </c>
      <c r="AI836" t="str">
        <f ca="1">SUBSTITUTE(SUBSTITUTE($AI$835,"CY1 ",""),"C","")</f>
        <v>1992</v>
      </c>
      <c r="AM836" t="str">
        <f>""</f>
        <v/>
      </c>
      <c r="AN836" t="str">
        <f>""</f>
        <v/>
      </c>
      <c r="AO836" t="str">
        <f>""</f>
        <v/>
      </c>
      <c r="AP836" t="str">
        <f>""</f>
        <v/>
      </c>
      <c r="AQ836" t="str">
        <f>""</f>
        <v/>
      </c>
      <c r="AR836" t="str">
        <f>""</f>
        <v/>
      </c>
      <c r="AS836" t="str">
        <f>""</f>
        <v/>
      </c>
      <c r="AT836" t="str">
        <f>""</f>
        <v/>
      </c>
      <c r="AU836" t="str">
        <f>""</f>
        <v/>
      </c>
      <c r="AV836" t="str">
        <f>""</f>
        <v/>
      </c>
      <c r="AW836" t="str">
        <f>""</f>
        <v/>
      </c>
      <c r="AX836" t="str">
        <f>""</f>
        <v/>
      </c>
      <c r="AY836" t="str">
        <f>""</f>
        <v/>
      </c>
      <c r="AZ836" t="str">
        <f>""</f>
        <v/>
      </c>
      <c r="BA836" t="str">
        <f>""</f>
        <v/>
      </c>
      <c r="BB836" t="str">
        <f>""</f>
        <v/>
      </c>
      <c r="BC836" t="str">
        <f>""</f>
        <v/>
      </c>
      <c r="BD836" t="str">
        <f>""</f>
        <v/>
      </c>
      <c r="BE836" t="str">
        <f>""</f>
        <v/>
      </c>
      <c r="BF836" t="str">
        <f>""</f>
        <v/>
      </c>
      <c r="BG836" t="str">
        <f>""</f>
        <v/>
      </c>
      <c r="BH836" t="str">
        <f>""</f>
        <v/>
      </c>
      <c r="BI836" t="str">
        <f>""</f>
        <v/>
      </c>
      <c r="BJ836" t="str">
        <f>""</f>
        <v/>
      </c>
      <c r="BK836" t="str">
        <f>""</f>
        <v/>
      </c>
      <c r="BL836" t="str">
        <f>""</f>
        <v/>
      </c>
      <c r="BM836" t="str">
        <f>""</f>
        <v/>
      </c>
      <c r="BN836" t="str">
        <f>""</f>
        <v/>
      </c>
      <c r="BO836" t="str">
        <f>""</f>
        <v/>
      </c>
      <c r="BP836" t="str">
        <f>""</f>
        <v/>
      </c>
      <c r="BQ836" t="str">
        <f>""</f>
        <v/>
      </c>
      <c r="BR836" t="str">
        <f>""</f>
        <v/>
      </c>
      <c r="BS836" t="str">
        <f>""</f>
        <v/>
      </c>
    </row>
    <row r="837" spans="1:71" x14ac:dyDescent="0.25">
      <c r="A837" t="str">
        <f>"No error found"</f>
        <v>No error found</v>
      </c>
      <c r="B837" t="str">
        <f>""</f>
        <v/>
      </c>
      <c r="C837" t="str">
        <f>""</f>
        <v/>
      </c>
      <c r="D837" t="str">
        <f>""</f>
        <v/>
      </c>
      <c r="E837" t="str">
        <f>""</f>
        <v/>
      </c>
      <c r="AM837" t="str">
        <f>""</f>
        <v/>
      </c>
      <c r="AN837" t="str">
        <f>""</f>
        <v/>
      </c>
      <c r="AO837" t="str">
        <f>""</f>
        <v/>
      </c>
      <c r="AP837" t="str">
        <f>""</f>
        <v/>
      </c>
      <c r="AQ837" t="str">
        <f>""</f>
        <v/>
      </c>
      <c r="AR837" t="str">
        <f>""</f>
        <v/>
      </c>
      <c r="AS837" t="str">
        <f>""</f>
        <v/>
      </c>
      <c r="AT837" t="str">
        <f>""</f>
        <v/>
      </c>
      <c r="AU837" t="str">
        <f>""</f>
        <v/>
      </c>
      <c r="AV837" t="str">
        <f>""</f>
        <v/>
      </c>
      <c r="AW837" t="str">
        <f>""</f>
        <v/>
      </c>
      <c r="AX837" t="str">
        <f>""</f>
        <v/>
      </c>
      <c r="AY837" t="str">
        <f>""</f>
        <v/>
      </c>
      <c r="AZ837" t="str">
        <f>""</f>
        <v/>
      </c>
      <c r="BA837" t="str">
        <f>""</f>
        <v/>
      </c>
      <c r="BB837" t="str">
        <f>""</f>
        <v/>
      </c>
      <c r="BC837" t="str">
        <f>""</f>
        <v/>
      </c>
      <c r="BD837" t="str">
        <f>""</f>
        <v/>
      </c>
      <c r="BE837" t="str">
        <f>""</f>
        <v/>
      </c>
      <c r="BF837" t="str">
        <f>""</f>
        <v/>
      </c>
      <c r="BG837" t="str">
        <f>""</f>
        <v/>
      </c>
      <c r="BH837" t="str">
        <f>""</f>
        <v/>
      </c>
      <c r="BI837" t="str">
        <f>""</f>
        <v/>
      </c>
      <c r="BJ837" t="str">
        <f>""</f>
        <v/>
      </c>
      <c r="BK837" t="str">
        <f>""</f>
        <v/>
      </c>
      <c r="BL837" t="str">
        <f>""</f>
        <v/>
      </c>
      <c r="BM837" t="str">
        <f>""</f>
        <v/>
      </c>
      <c r="BN837" t="str">
        <f>""</f>
        <v/>
      </c>
      <c r="BO837" t="str">
        <f>""</f>
        <v/>
      </c>
      <c r="BP837" t="str">
        <f>""</f>
        <v/>
      </c>
      <c r="BQ837" t="str">
        <f>""</f>
        <v/>
      </c>
      <c r="BR837" t="str">
        <f>""</f>
        <v/>
      </c>
      <c r="BS837" t="str">
        <f>""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/>
  </sheetViews>
  <sheetFormatPr defaultRowHeight="15" x14ac:dyDescent="0.25"/>
  <cols>
    <col min="1" max="1" width="9.140625" bestFit="1" customWidth="1"/>
  </cols>
  <sheetData>
    <row r="1" spans="1:1" x14ac:dyDescent="0.25">
      <c r="A1" s="1"/>
    </row>
    <row r="2" spans="1:1" x14ac:dyDescent="0.25">
      <c r="A2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7" spans="1:1" x14ac:dyDescent="0.25">
      <c r="A7" t="s">
        <v>4</v>
      </c>
    </row>
    <row r="8" spans="1:1" x14ac:dyDescent="0.25">
      <c r="A8" t="s">
        <v>5</v>
      </c>
    </row>
    <row r="9" spans="1:1" x14ac:dyDescent="0.25">
      <c r="A9" t="s">
        <v>6</v>
      </c>
    </row>
    <row r="11" spans="1:1" x14ac:dyDescent="0.25">
      <c r="A11" t="s">
        <v>7</v>
      </c>
    </row>
    <row r="12" spans="1:1" x14ac:dyDescent="0.25">
      <c r="A12" t="s">
        <v>8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17</v>
      </c>
    </row>
    <row r="23" spans="1:1" x14ac:dyDescent="0.25">
      <c r="A23" t="s">
        <v>18</v>
      </c>
    </row>
    <row r="24" spans="1:1" x14ac:dyDescent="0.25">
      <c r="A24" t="s">
        <v>19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22</v>
      </c>
    </row>
    <row r="28" spans="1:1" x14ac:dyDescent="0.25">
      <c r="A28" t="s">
        <v>23</v>
      </c>
    </row>
    <row r="29" spans="1:1" x14ac:dyDescent="0.25">
      <c r="A29" t="s">
        <v>24</v>
      </c>
    </row>
    <row r="30" spans="1:1" x14ac:dyDescent="0.25">
      <c r="A30" t="s">
        <v>25</v>
      </c>
    </row>
    <row r="31" spans="1:1" x14ac:dyDescent="0.25">
      <c r="A31" t="s">
        <v>2</v>
      </c>
    </row>
    <row r="32" spans="1:1" x14ac:dyDescent="0.25">
      <c r="A32" t="s">
        <v>26</v>
      </c>
    </row>
    <row r="33" spans="1:1" x14ac:dyDescent="0.25">
      <c r="A3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BIData</vt:lpstr>
      <vt:lpstr>ReferenceData</vt:lpstr>
      <vt:lpstr>Help-Reference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Lev Rozanov</cp:lastModifiedBy>
  <dcterms:created xsi:type="dcterms:W3CDTF">2013-04-03T15:49:21Z</dcterms:created>
  <dcterms:modified xsi:type="dcterms:W3CDTF">2025-03-24T15:00:48Z</dcterms:modified>
</cp:coreProperties>
</file>