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lr264_st-andrews_ac_uk/Documents/key_bank_data/"/>
    </mc:Choice>
  </mc:AlternateContent>
  <xr:revisionPtr revIDLastSave="0" documentId="8_{3B2BFFD4-2A61-418D-86FA-84CD2CC8D9AF}" xr6:coauthVersionLast="47" xr6:coauthVersionMax="47" xr10:uidLastSave="{00000000-0000-0000-0000-000000000000}"/>
  <bookViews>
    <workbookView xWindow="2640" yWindow="2640" windowWidth="21600" windowHeight="11295" xr2:uid="{00000000-000D-0000-FFFF-FFFF00000000}"/>
  </bookViews>
  <sheets>
    <sheet name="BIData" sheetId="2" r:id="rId1"/>
    <sheet name="ReferenceData" sheetId="3" r:id="rId2"/>
    <sheet name="Help-Referenc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3" l="1"/>
  <c r="C55" i="3"/>
  <c r="C51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E67" i="3"/>
  <c r="D67" i="3"/>
  <c r="C67" i="3"/>
  <c r="B67" i="3"/>
  <c r="A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E49" i="3"/>
  <c r="D49" i="3"/>
  <c r="C49" i="3"/>
  <c r="B49" i="3"/>
  <c r="A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E48" i="3"/>
  <c r="D48" i="3"/>
  <c r="C48" i="3"/>
  <c r="B48" i="3"/>
  <c r="A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E47" i="3"/>
  <c r="D47" i="3"/>
  <c r="C47" i="3"/>
  <c r="A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E46" i="3"/>
  <c r="D46" i="3"/>
  <c r="C46" i="3"/>
  <c r="B46" i="3"/>
  <c r="A46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45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E44" i="3"/>
  <c r="D44" i="3"/>
  <c r="C44" i="3"/>
  <c r="B44" i="3"/>
  <c r="A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E43" i="3"/>
  <c r="D43" i="3"/>
  <c r="C43" i="3"/>
  <c r="B43" i="3"/>
  <c r="A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E42" i="3"/>
  <c r="D42" i="3"/>
  <c r="C42" i="3"/>
  <c r="B42" i="3"/>
  <c r="A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E41" i="3"/>
  <c r="D41" i="3"/>
  <c r="C41" i="3"/>
  <c r="B41" i="3"/>
  <c r="A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E40" i="3"/>
  <c r="D40" i="3"/>
  <c r="C40" i="3"/>
  <c r="B40" i="3"/>
  <c r="A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E39" i="3"/>
  <c r="D39" i="3"/>
  <c r="C39" i="3"/>
  <c r="B39" i="3"/>
  <c r="A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B38" i="3"/>
  <c r="A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E37" i="3"/>
  <c r="D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E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D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E34" i="3"/>
  <c r="D34" i="3"/>
  <c r="C34" i="3"/>
  <c r="A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E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E31" i="3"/>
  <c r="D31" i="3"/>
  <c r="C31" i="3"/>
  <c r="B31" i="3"/>
  <c r="A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29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B28" i="3"/>
  <c r="A28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B26" i="3"/>
  <c r="A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C25" i="3"/>
  <c r="B25" i="3"/>
  <c r="A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B24" i="3"/>
  <c r="A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E13" i="3"/>
  <c r="D13" i="3"/>
  <c r="D38" i="3" s="1"/>
  <c r="C13" i="3"/>
  <c r="C38" i="3" s="1"/>
  <c r="B13" i="3"/>
  <c r="A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E12" i="3"/>
  <c r="D12" i="3"/>
  <c r="C12" i="3"/>
  <c r="B12" i="3"/>
  <c r="A12" i="3"/>
  <c r="A37" i="3" s="1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E11" i="3"/>
  <c r="D11" i="3"/>
  <c r="D36" i="3" s="1"/>
  <c r="C11" i="3"/>
  <c r="C36" i="3" s="1"/>
  <c r="B11" i="3"/>
  <c r="A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E10" i="3"/>
  <c r="D10" i="3"/>
  <c r="D10" i="2" s="1"/>
  <c r="C10" i="3"/>
  <c r="C35" i="3" s="1"/>
  <c r="B10" i="3"/>
  <c r="B35" i="3" s="1"/>
  <c r="A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E9" i="3"/>
  <c r="E9" i="2" s="1"/>
  <c r="D9" i="3"/>
  <c r="C9" i="3"/>
  <c r="B9" i="3"/>
  <c r="B34" i="3" s="1"/>
  <c r="A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E8" i="3"/>
  <c r="E33" i="3" s="1"/>
  <c r="D8" i="3"/>
  <c r="D33" i="3" s="1"/>
  <c r="C8" i="3"/>
  <c r="B8" i="3"/>
  <c r="A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E7" i="3"/>
  <c r="D7" i="3"/>
  <c r="C7" i="3"/>
  <c r="B7" i="3"/>
  <c r="A7" i="3"/>
  <c r="A32" i="3" s="1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E6" i="3"/>
  <c r="E6" i="2" s="1"/>
  <c r="B6" i="3"/>
  <c r="A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E5" i="3"/>
  <c r="E5" i="2" s="1"/>
  <c r="B5" i="3"/>
  <c r="A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E4" i="3"/>
  <c r="D4" i="3"/>
  <c r="C4" i="3"/>
  <c r="C4" i="2" s="1"/>
  <c r="B4" i="3"/>
  <c r="B4" i="2" s="1"/>
  <c r="A4" i="3"/>
  <c r="A4" i="2" s="1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E3" i="3"/>
  <c r="B3" i="3"/>
  <c r="A3" i="3"/>
  <c r="E2" i="3"/>
  <c r="D2" i="3"/>
  <c r="C2" i="3"/>
  <c r="B2" i="3"/>
  <c r="A2" i="3"/>
  <c r="D13" i="2"/>
  <c r="C13" i="2"/>
  <c r="B13" i="2"/>
  <c r="A13" i="2"/>
  <c r="E12" i="2"/>
  <c r="D12" i="2"/>
  <c r="A12" i="2"/>
  <c r="E11" i="2"/>
  <c r="D9" i="2"/>
  <c r="C9" i="2"/>
  <c r="B9" i="2"/>
  <c r="A9" i="2"/>
  <c r="E8" i="2"/>
  <c r="D8" i="2"/>
  <c r="A8" i="2"/>
  <c r="E7" i="2"/>
  <c r="A7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D6" i="2"/>
  <c r="C6" i="2"/>
  <c r="B6" i="2"/>
  <c r="A6" i="2"/>
  <c r="D5" i="2"/>
  <c r="C5" i="2"/>
  <c r="B5" i="2"/>
  <c r="A5" i="2"/>
  <c r="E4" i="2"/>
  <c r="D4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E2" i="2"/>
  <c r="D2" i="2"/>
  <c r="C2" i="2"/>
  <c r="B2" i="2"/>
  <c r="A2" i="2"/>
  <c r="F37" i="3"/>
  <c r="F31" i="3"/>
  <c r="F35" i="3"/>
  <c r="F38" i="3"/>
  <c r="F34" i="3"/>
  <c r="F36" i="3"/>
  <c r="F32" i="3"/>
  <c r="F33" i="3"/>
  <c r="C59" i="3"/>
  <c r="C63" i="3"/>
  <c r="C61" i="3"/>
  <c r="B47" i="3" l="1"/>
  <c r="A11" i="2"/>
  <c r="A36" i="3"/>
  <c r="D7" i="2"/>
  <c r="D32" i="3"/>
  <c r="B36" i="3"/>
  <c r="B11" i="2"/>
  <c r="B32" i="3"/>
  <c r="B7" i="2"/>
  <c r="C11" i="2"/>
  <c r="A35" i="3"/>
  <c r="A10" i="2"/>
  <c r="C32" i="3"/>
  <c r="C7" i="2"/>
  <c r="D11" i="2"/>
  <c r="B37" i="3"/>
  <c r="B12" i="2"/>
  <c r="C12" i="2"/>
  <c r="C37" i="3"/>
  <c r="C10" i="2"/>
  <c r="E10" i="2"/>
  <c r="E35" i="3"/>
  <c r="E38" i="3"/>
  <c r="E13" i="2"/>
  <c r="C8" i="2"/>
  <c r="C33" i="3"/>
  <c r="B8" i="2"/>
  <c r="B33" i="3"/>
  <c r="C27" i="3"/>
  <c r="B27" i="3"/>
  <c r="B10" i="2"/>
  <c r="B63" i="3" l="1"/>
  <c r="B53" i="3"/>
  <c r="B61" i="3"/>
  <c r="B51" i="3"/>
  <c r="B59" i="3"/>
  <c r="B55" i="3"/>
  <c r="S65" i="3" l="1"/>
  <c r="S66" i="3" s="1"/>
  <c r="R65" i="3"/>
  <c r="R66" i="3" s="1"/>
  <c r="Q65" i="3"/>
  <c r="Q66" i="3" s="1"/>
  <c r="O65" i="3"/>
  <c r="O66" i="3" s="1"/>
  <c r="P65" i="3"/>
  <c r="P66" i="3" s="1"/>
  <c r="N65" i="3"/>
  <c r="N66" i="3" s="1"/>
  <c r="AE65" i="3"/>
  <c r="AE66" i="3" s="1"/>
  <c r="K65" i="3"/>
  <c r="K66" i="3" s="1"/>
  <c r="AD65" i="3"/>
  <c r="AD66" i="3" s="1"/>
  <c r="J65" i="3"/>
  <c r="J66" i="3" s="1"/>
  <c r="T65" i="3"/>
  <c r="T66" i="3" s="1"/>
  <c r="Y65" i="3"/>
  <c r="Y66" i="3" s="1"/>
  <c r="L65" i="3"/>
  <c r="L66" i="3" s="1"/>
  <c r="X65" i="3"/>
  <c r="X66" i="3" s="1"/>
  <c r="V65" i="3"/>
  <c r="V66" i="3" s="1"/>
  <c r="U65" i="3"/>
  <c r="U66" i="3" s="1"/>
  <c r="W65" i="3"/>
  <c r="W66" i="3" s="1"/>
  <c r="D65" i="3"/>
  <c r="D66" i="3" s="1"/>
  <c r="I65" i="3"/>
  <c r="I66" i="3" s="1"/>
  <c r="H65" i="3"/>
  <c r="H66" i="3" s="1"/>
  <c r="G65" i="3"/>
  <c r="G66" i="3" s="1"/>
  <c r="F65" i="3"/>
  <c r="F66" i="3" s="1"/>
  <c r="E65" i="3"/>
  <c r="E66" i="3" s="1"/>
  <c r="Z65" i="3"/>
  <c r="Z66" i="3" s="1"/>
  <c r="M65" i="3"/>
  <c r="M66" i="3" s="1"/>
  <c r="AF65" i="3"/>
  <c r="AF66" i="3" s="1"/>
  <c r="AB65" i="3"/>
  <c r="AB66" i="3" s="1"/>
  <c r="AA65" i="3"/>
  <c r="AA66" i="3" s="1"/>
  <c r="B65" i="3"/>
  <c r="B66" i="3" s="1"/>
  <c r="AC65" i="3"/>
  <c r="AC66" i="3" s="1"/>
  <c r="C65" i="3"/>
  <c r="C66" i="3" s="1"/>
  <c r="O57" i="3"/>
  <c r="O58" i="3" s="1"/>
  <c r="N57" i="3"/>
  <c r="N58" i="3" s="1"/>
  <c r="AE57" i="3"/>
  <c r="AE58" i="3" s="1"/>
  <c r="K57" i="3"/>
  <c r="K58" i="3" s="1"/>
  <c r="M57" i="3"/>
  <c r="M58" i="3" s="1"/>
  <c r="AF57" i="3"/>
  <c r="AF58" i="3" s="1"/>
  <c r="L57" i="3"/>
  <c r="L58" i="3" s="1"/>
  <c r="AD57" i="3"/>
  <c r="AD58" i="3" s="1"/>
  <c r="J57" i="3"/>
  <c r="J58" i="3" s="1"/>
  <c r="AA57" i="3"/>
  <c r="AA58" i="3" s="1"/>
  <c r="G57" i="3"/>
  <c r="G58" i="3" s="1"/>
  <c r="Z57" i="3"/>
  <c r="Z58" i="3" s="1"/>
  <c r="F57" i="3"/>
  <c r="F58" i="3" s="1"/>
  <c r="P57" i="3"/>
  <c r="P58" i="3" s="1"/>
  <c r="Y57" i="3"/>
  <c r="Y58" i="3" s="1"/>
  <c r="S57" i="3"/>
  <c r="S58" i="3" s="1"/>
  <c r="X57" i="3"/>
  <c r="X58" i="3" s="1"/>
  <c r="V57" i="3"/>
  <c r="V58" i="3" s="1"/>
  <c r="D57" i="3"/>
  <c r="D58" i="3" s="1"/>
  <c r="W57" i="3"/>
  <c r="W58" i="3" s="1"/>
  <c r="U57" i="3"/>
  <c r="U58" i="3" s="1"/>
  <c r="T57" i="3"/>
  <c r="T58" i="3" s="1"/>
  <c r="R57" i="3"/>
  <c r="R58" i="3" s="1"/>
  <c r="Q57" i="3"/>
  <c r="Q58" i="3" s="1"/>
  <c r="I57" i="3"/>
  <c r="I58" i="3" s="1"/>
  <c r="H57" i="3"/>
  <c r="H58" i="3" s="1"/>
  <c r="E57" i="3"/>
  <c r="E58" i="3" s="1"/>
  <c r="AB57" i="3"/>
  <c r="AB58" i="3" s="1"/>
  <c r="AC57" i="3"/>
  <c r="AC58" i="3" s="1"/>
  <c r="C57" i="3"/>
  <c r="C58" i="3" s="1"/>
  <c r="B57" i="3"/>
  <c r="B58" i="3" s="1"/>
  <c r="B29" i="3" l="1"/>
  <c r="AF2" i="3"/>
  <c r="BJ2" i="3"/>
  <c r="M2" i="3"/>
  <c r="AQ2" i="3"/>
  <c r="AE2" i="3"/>
  <c r="BI2" i="3"/>
  <c r="AG2" i="3"/>
  <c r="BK2" i="3"/>
  <c r="H2" i="3"/>
  <c r="AL2" i="3"/>
  <c r="AS2" i="3"/>
  <c r="O2" i="3"/>
  <c r="K2" i="3"/>
  <c r="AO2" i="3"/>
  <c r="BM2" i="3"/>
  <c r="AI2" i="3"/>
  <c r="AY2" i="3"/>
  <c r="U2" i="3"/>
  <c r="AT2" i="3"/>
  <c r="P2" i="3"/>
  <c r="AX2" i="3"/>
  <c r="T2" i="3"/>
  <c r="AR2" i="3"/>
  <c r="N2" i="3"/>
  <c r="BL2" i="3"/>
  <c r="AH2" i="3"/>
  <c r="AU2" i="3"/>
  <c r="Q2" i="3"/>
  <c r="X2" i="3"/>
  <c r="BB2" i="3"/>
  <c r="AZ2" i="3"/>
  <c r="V2" i="3"/>
  <c r="L2" i="3"/>
  <c r="AP2" i="3"/>
  <c r="BA2" i="3"/>
  <c r="W2" i="3"/>
  <c r="AV2" i="3"/>
  <c r="R2" i="3"/>
  <c r="Z2" i="3"/>
  <c r="BD2" i="3"/>
  <c r="G2" i="3"/>
  <c r="AK2" i="3"/>
  <c r="Y2" i="3"/>
  <c r="BC2" i="3"/>
  <c r="AB2" i="3"/>
  <c r="BF2" i="3"/>
  <c r="AW2" i="3"/>
  <c r="S2" i="3"/>
  <c r="BE2" i="3"/>
  <c r="AA2" i="3"/>
  <c r="I2" i="3"/>
  <c r="AM2" i="3"/>
  <c r="AC2" i="3"/>
  <c r="BG2" i="3"/>
  <c r="J2" i="3"/>
  <c r="AN2" i="3"/>
  <c r="AJ2" i="3"/>
  <c r="F2" i="3"/>
  <c r="AD2" i="3"/>
  <c r="BH2" i="3"/>
  <c r="AF5" i="3"/>
  <c r="G5" i="3"/>
  <c r="X9" i="3"/>
  <c r="J7" i="3"/>
  <c r="K4" i="3"/>
  <c r="K10" i="3"/>
  <c r="U10" i="3"/>
  <c r="M10" i="3"/>
  <c r="AD4" i="3"/>
  <c r="AD12" i="3"/>
  <c r="AC13" i="3"/>
  <c r="H10" i="3"/>
  <c r="O12" i="3"/>
  <c r="M9" i="3"/>
  <c r="T5" i="3"/>
  <c r="AC8" i="3"/>
  <c r="V13" i="3"/>
  <c r="U13" i="3"/>
  <c r="P9" i="3"/>
  <c r="K9" i="3"/>
  <c r="I13" i="3"/>
  <c r="H11" i="3"/>
  <c r="Q11" i="3"/>
  <c r="V12" i="3"/>
  <c r="AE12" i="3"/>
  <c r="Q9" i="3"/>
  <c r="L8" i="3"/>
  <c r="M5" i="3"/>
  <c r="Y5" i="3"/>
  <c r="I8" i="3"/>
  <c r="AA12" i="3"/>
  <c r="Z12" i="3"/>
  <c r="U8" i="3"/>
  <c r="W7" i="3"/>
  <c r="U11" i="3"/>
  <c r="Z9" i="3"/>
  <c r="AD9" i="3"/>
  <c r="S12" i="3"/>
  <c r="N8" i="3"/>
  <c r="AA7" i="3"/>
  <c r="N5" i="3"/>
  <c r="G12" i="3"/>
  <c r="AE11" i="3"/>
  <c r="Z7" i="3"/>
  <c r="S4" i="3"/>
  <c r="W8" i="3"/>
  <c r="K8" i="3"/>
  <c r="I11" i="3"/>
  <c r="L10" i="3"/>
  <c r="AA13" i="3"/>
  <c r="AC4" i="3"/>
  <c r="AH7" i="3"/>
  <c r="Q8" i="3"/>
  <c r="AB10" i="3"/>
  <c r="AE5" i="3"/>
  <c r="AB5" i="3"/>
  <c r="N7" i="3"/>
  <c r="AF11" i="3"/>
  <c r="K11" i="3"/>
  <c r="AA4" i="3"/>
  <c r="AH9" i="3"/>
  <c r="AB4" i="3"/>
  <c r="AH5" i="3"/>
  <c r="AI4" i="3"/>
  <c r="L11" i="3"/>
  <c r="P10" i="3"/>
  <c r="G4" i="3"/>
  <c r="AG8" i="3"/>
  <c r="AF8" i="3"/>
  <c r="K13" i="3"/>
  <c r="AE13" i="3"/>
  <c r="R8" i="3"/>
  <c r="AI11" i="3"/>
  <c r="R12" i="3"/>
  <c r="X4" i="3"/>
  <c r="Y10" i="3"/>
  <c r="F9" i="3"/>
  <c r="V8" i="3"/>
  <c r="F11" i="3"/>
  <c r="V5" i="3"/>
  <c r="AB13" i="3"/>
  <c r="I7" i="3"/>
  <c r="G11" i="3"/>
  <c r="K5" i="3"/>
  <c r="AD11" i="3"/>
  <c r="AD8" i="3"/>
  <c r="O8" i="3"/>
  <c r="M4" i="3"/>
  <c r="O9" i="3"/>
  <c r="T7" i="3"/>
  <c r="AI7" i="3"/>
  <c r="T13" i="3"/>
  <c r="H4" i="3"/>
  <c r="X10" i="3"/>
  <c r="AI5" i="3"/>
  <c r="Y12" i="3"/>
  <c r="T10" i="3"/>
  <c r="T11" i="3"/>
  <c r="Y4" i="3"/>
  <c r="AG5" i="3"/>
  <c r="O4" i="3"/>
  <c r="Q10" i="3"/>
  <c r="U9" i="3"/>
  <c r="AI13" i="3"/>
  <c r="AH12" i="3"/>
  <c r="S7" i="3"/>
  <c r="W11" i="3"/>
  <c r="X12" i="3"/>
  <c r="G7" i="3"/>
  <c r="S13" i="3"/>
  <c r="AA10" i="3"/>
  <c r="F8" i="3"/>
  <c r="Q5" i="3"/>
  <c r="S5" i="3"/>
  <c r="W13" i="3"/>
  <c r="V9" i="3"/>
  <c r="Z8" i="3"/>
  <c r="O13" i="3"/>
  <c r="H13" i="3"/>
  <c r="AG12" i="3"/>
  <c r="N10" i="3"/>
  <c r="P11" i="3"/>
  <c r="N13" i="3"/>
  <c r="Q12" i="3"/>
  <c r="V10" i="3"/>
  <c r="O5" i="3"/>
  <c r="L7" i="3"/>
  <c r="AF9" i="3"/>
  <c r="L9" i="3"/>
  <c r="L5" i="3"/>
  <c r="L13" i="3"/>
  <c r="J8" i="3"/>
  <c r="AI10" i="3"/>
  <c r="W12" i="3"/>
  <c r="F13" i="3"/>
  <c r="AB8" i="3"/>
  <c r="T8" i="3"/>
  <c r="G9" i="3"/>
  <c r="N12" i="3"/>
  <c r="AC12" i="3"/>
  <c r="Y7" i="3"/>
  <c r="AC10" i="3"/>
  <c r="H5" i="3"/>
  <c r="X5" i="3"/>
  <c r="AB12" i="3"/>
  <c r="AA8" i="3"/>
  <c r="AE7" i="3"/>
  <c r="T12" i="3"/>
  <c r="AE8" i="3"/>
  <c r="I10" i="3"/>
  <c r="I9" i="3"/>
  <c r="AH10" i="3"/>
  <c r="L12" i="3"/>
  <c r="U4" i="3"/>
  <c r="AC11" i="3"/>
  <c r="F12" i="3"/>
  <c r="Y11" i="3"/>
  <c r="AG9" i="3"/>
  <c r="AC9" i="3"/>
  <c r="Y13" i="3"/>
  <c r="R9" i="3"/>
  <c r="I5" i="3"/>
  <c r="AG11" i="3"/>
  <c r="AF4" i="3"/>
  <c r="P7" i="3"/>
  <c r="U7" i="3"/>
  <c r="S9" i="3"/>
  <c r="M11" i="3"/>
  <c r="J10" i="3"/>
  <c r="J13" i="3"/>
  <c r="F4" i="3"/>
  <c r="R10" i="3"/>
  <c r="AI9" i="3"/>
  <c r="AD13" i="3"/>
  <c r="F10" i="3"/>
  <c r="W9" i="3"/>
  <c r="Q7" i="3"/>
  <c r="Q13" i="3"/>
  <c r="X13" i="3"/>
  <c r="X11" i="3"/>
  <c r="AG10" i="3"/>
  <c r="J5" i="3"/>
  <c r="W5" i="3"/>
  <c r="AD7" i="3"/>
  <c r="AI12" i="3"/>
  <c r="AA5" i="3"/>
  <c r="H12" i="3"/>
  <c r="G8" i="3"/>
  <c r="K7" i="3"/>
  <c r="G13" i="3"/>
  <c r="AH8" i="3"/>
  <c r="AB11" i="3"/>
  <c r="F7" i="3"/>
  <c r="AF7" i="3"/>
  <c r="AD10" i="3"/>
  <c r="R7" i="3"/>
  <c r="R13" i="3"/>
  <c r="L4" i="3"/>
  <c r="P12" i="3"/>
  <c r="AC5" i="3"/>
  <c r="AG4" i="3"/>
  <c r="V11" i="3"/>
  <c r="AC7" i="3"/>
  <c r="J12" i="3"/>
  <c r="X7" i="3"/>
  <c r="Y8" i="3"/>
  <c r="T4" i="3"/>
  <c r="H8" i="3"/>
  <c r="AG13" i="3"/>
  <c r="W10" i="3"/>
  <c r="I12" i="3"/>
  <c r="AG7" i="3"/>
  <c r="J11" i="3"/>
  <c r="P13" i="3"/>
  <c r="Z4" i="3"/>
  <c r="J9" i="3"/>
  <c r="R11" i="3"/>
  <c r="I4" i="3"/>
  <c r="O11" i="3"/>
  <c r="H9" i="3"/>
  <c r="W4" i="3"/>
  <c r="N9" i="3"/>
  <c r="M7" i="3"/>
  <c r="O10" i="3"/>
  <c r="U12" i="3"/>
  <c r="AI8" i="3"/>
  <c r="G10" i="3"/>
  <c r="AF12" i="3"/>
  <c r="AB9" i="3"/>
  <c r="P4" i="3"/>
  <c r="Y9" i="3"/>
  <c r="M8" i="3"/>
  <c r="F5" i="3"/>
  <c r="Z5" i="3"/>
  <c r="N11" i="3"/>
  <c r="AH4" i="3"/>
  <c r="T9" i="3"/>
  <c r="Z11" i="3"/>
  <c r="K12" i="3"/>
  <c r="V7" i="3"/>
  <c r="S11" i="3"/>
  <c r="S8" i="3"/>
  <c r="J4" i="3"/>
  <c r="Z10" i="3"/>
  <c r="AB7" i="3"/>
  <c r="AD5" i="3"/>
  <c r="X8" i="3"/>
  <c r="H7" i="3"/>
  <c r="AH13" i="3"/>
  <c r="P8" i="3"/>
  <c r="AF10" i="3"/>
  <c r="V4" i="3"/>
  <c r="Q4" i="3"/>
  <c r="Z13" i="3"/>
  <c r="U5" i="3"/>
  <c r="R5" i="3"/>
  <c r="AH11" i="3"/>
  <c r="M13" i="3"/>
  <c r="AE9" i="3"/>
  <c r="M12" i="3"/>
  <c r="AA9" i="3"/>
  <c r="P5" i="3"/>
  <c r="S10" i="3"/>
  <c r="N4" i="3"/>
  <c r="AE4" i="3"/>
  <c r="AE10" i="3"/>
  <c r="AA11" i="3"/>
  <c r="R4" i="3"/>
  <c r="AF13" i="3"/>
  <c r="O7" i="3"/>
  <c r="O7" i="2" l="1"/>
  <c r="AF13" i="2"/>
  <c r="R4" i="2"/>
  <c r="AA11" i="2"/>
  <c r="AE10" i="2"/>
  <c r="AE4" i="2"/>
  <c r="N4" i="2"/>
  <c r="S10" i="2"/>
  <c r="P5" i="2"/>
  <c r="AA9" i="2"/>
  <c r="M12" i="2"/>
  <c r="AE9" i="2"/>
  <c r="M13" i="2"/>
  <c r="AH11" i="2"/>
  <c r="R5" i="2"/>
  <c r="U5" i="2"/>
  <c r="Z13" i="2"/>
  <c r="Q4" i="2"/>
  <c r="V4" i="2"/>
  <c r="AF10" i="2"/>
  <c r="P8" i="2"/>
  <c r="AH13" i="2"/>
  <c r="H7" i="2"/>
  <c r="X8" i="2"/>
  <c r="AD5" i="2"/>
  <c r="AB7" i="2"/>
  <c r="Z10" i="2"/>
  <c r="J4" i="2"/>
  <c r="S8" i="2"/>
  <c r="S11" i="2"/>
  <c r="V7" i="2"/>
  <c r="K12" i="2"/>
  <c r="Z11" i="2"/>
  <c r="T9" i="2"/>
  <c r="AH4" i="2"/>
  <c r="N11" i="2"/>
  <c r="Z5" i="2"/>
  <c r="F5" i="2"/>
  <c r="M8" i="2"/>
  <c r="Y9" i="2"/>
  <c r="P4" i="2"/>
  <c r="AB9" i="2"/>
  <c r="AF12" i="2"/>
  <c r="G10" i="2"/>
  <c r="AI8" i="2"/>
  <c r="U12" i="2"/>
  <c r="O10" i="2"/>
  <c r="M7" i="2"/>
  <c r="N9" i="2"/>
  <c r="W4" i="2"/>
  <c r="H9" i="2"/>
  <c r="O11" i="2"/>
  <c r="I4" i="2"/>
  <c r="R11" i="2"/>
  <c r="J9" i="2"/>
  <c r="Z4" i="2"/>
  <c r="P13" i="2"/>
  <c r="J11" i="2"/>
  <c r="AG7" i="2"/>
  <c r="I12" i="2"/>
  <c r="W10" i="2"/>
  <c r="AG13" i="2"/>
  <c r="H8" i="2"/>
  <c r="T4" i="2"/>
  <c r="Y8" i="2"/>
  <c r="X7" i="2"/>
  <c r="J12" i="2"/>
  <c r="AC7" i="2"/>
  <c r="V11" i="2"/>
  <c r="AG4" i="2"/>
  <c r="AC5" i="2"/>
  <c r="P12" i="2"/>
  <c r="L4" i="2"/>
  <c r="R13" i="2"/>
  <c r="R7" i="2"/>
  <c r="AD10" i="2"/>
  <c r="AF7" i="2"/>
  <c r="F7" i="2"/>
  <c r="AB11" i="2"/>
  <c r="AH8" i="2"/>
  <c r="G13" i="2"/>
  <c r="K7" i="2"/>
  <c r="G8" i="2"/>
  <c r="H12" i="2"/>
  <c r="AA5" i="2"/>
  <c r="AI12" i="2"/>
  <c r="AD7" i="2"/>
  <c r="W5" i="2"/>
  <c r="J5" i="2"/>
  <c r="AG10" i="2"/>
  <c r="X11" i="2"/>
  <c r="X13" i="2"/>
  <c r="Q13" i="2"/>
  <c r="Q7" i="2"/>
  <c r="W9" i="2"/>
  <c r="F10" i="2"/>
  <c r="AD13" i="2"/>
  <c r="AI9" i="2"/>
  <c r="R10" i="2"/>
  <c r="F4" i="2"/>
  <c r="J13" i="2"/>
  <c r="J10" i="2"/>
  <c r="M11" i="2"/>
  <c r="S9" i="2"/>
  <c r="U7" i="2"/>
  <c r="P7" i="2"/>
  <c r="AF4" i="2"/>
  <c r="AG11" i="2"/>
  <c r="I5" i="2"/>
  <c r="R9" i="2"/>
  <c r="Y13" i="2"/>
  <c r="AC9" i="2"/>
  <c r="AG9" i="2"/>
  <c r="Y11" i="2"/>
  <c r="F12" i="2"/>
  <c r="AC11" i="2"/>
  <c r="U4" i="2"/>
  <c r="L12" i="2"/>
  <c r="AH10" i="2"/>
  <c r="I9" i="2"/>
  <c r="I10" i="2"/>
  <c r="AE8" i="2"/>
  <c r="T12" i="2"/>
  <c r="AE7" i="2"/>
  <c r="AA8" i="2"/>
  <c r="AB12" i="2"/>
  <c r="X5" i="2"/>
  <c r="H5" i="2"/>
  <c r="AC10" i="2"/>
  <c r="Y7" i="2"/>
  <c r="AC12" i="2"/>
  <c r="N12" i="2"/>
  <c r="G9" i="2"/>
  <c r="T8" i="2"/>
  <c r="AB8" i="2"/>
  <c r="F13" i="2"/>
  <c r="W12" i="2"/>
  <c r="AI10" i="2"/>
  <c r="J8" i="2"/>
  <c r="L13" i="2"/>
  <c r="L5" i="2"/>
  <c r="L9" i="2"/>
  <c r="AF9" i="2"/>
  <c r="L7" i="2"/>
  <c r="O5" i="2"/>
  <c r="V10" i="2"/>
  <c r="Q12" i="2"/>
  <c r="N13" i="2"/>
  <c r="P11" i="2"/>
  <c r="N10" i="2"/>
  <c r="AG12" i="2"/>
  <c r="H13" i="2"/>
  <c r="O13" i="2"/>
  <c r="Z8" i="2"/>
  <c r="V9" i="2"/>
  <c r="W13" i="2"/>
  <c r="S5" i="2"/>
  <c r="Q5" i="2"/>
  <c r="F8" i="2"/>
  <c r="AA10" i="2"/>
  <c r="S13" i="2"/>
  <c r="G7" i="2"/>
  <c r="X12" i="2"/>
  <c r="W11" i="2"/>
  <c r="S7" i="2"/>
  <c r="AH12" i="2"/>
  <c r="AI13" i="2"/>
  <c r="U9" i="2"/>
  <c r="Q10" i="2"/>
  <c r="O4" i="2"/>
  <c r="AG5" i="2"/>
  <c r="Y4" i="2"/>
  <c r="T11" i="2"/>
  <c r="T10" i="2"/>
  <c r="Y12" i="2"/>
  <c r="AI5" i="2"/>
  <c r="X10" i="2"/>
  <c r="H4" i="2"/>
  <c r="T13" i="2"/>
  <c r="AI7" i="2"/>
  <c r="T7" i="2"/>
  <c r="O9" i="2"/>
  <c r="M4" i="2"/>
  <c r="O8" i="2"/>
  <c r="AD8" i="2"/>
  <c r="AD11" i="2"/>
  <c r="K5" i="2"/>
  <c r="G11" i="2"/>
  <c r="I7" i="2"/>
  <c r="AB13" i="2"/>
  <c r="V5" i="2"/>
  <c r="F11" i="2"/>
  <c r="V8" i="2"/>
  <c r="F9" i="2"/>
  <c r="Y10" i="2"/>
  <c r="X4" i="2"/>
  <c r="R12" i="2"/>
  <c r="AI11" i="2"/>
  <c r="R8" i="2"/>
  <c r="AE13" i="2"/>
  <c r="K13" i="2"/>
  <c r="AF8" i="2"/>
  <c r="AG8" i="2"/>
  <c r="G4" i="2"/>
  <c r="P10" i="2"/>
  <c r="L11" i="2"/>
  <c r="AI4" i="2"/>
  <c r="AH5" i="2"/>
  <c r="AB4" i="2"/>
  <c r="AH9" i="2"/>
  <c r="AA4" i="2"/>
  <c r="K11" i="2"/>
  <c r="AF11" i="2"/>
  <c r="N7" i="2"/>
  <c r="AB5" i="2"/>
  <c r="AE5" i="2"/>
  <c r="AB10" i="2"/>
  <c r="Q8" i="2"/>
  <c r="AH7" i="2"/>
  <c r="AC4" i="2"/>
  <c r="AA13" i="2"/>
  <c r="L10" i="2"/>
  <c r="I11" i="2"/>
  <c r="K8" i="2"/>
  <c r="W8" i="2"/>
  <c r="S4" i="2"/>
  <c r="Z7" i="2"/>
  <c r="AE11" i="2"/>
  <c r="G12" i="2"/>
  <c r="N5" i="2"/>
  <c r="AA7" i="2"/>
  <c r="N8" i="2"/>
  <c r="S12" i="2"/>
  <c r="AD9" i="2"/>
  <c r="Z9" i="2"/>
  <c r="U11" i="2"/>
  <c r="W7" i="2"/>
  <c r="U8" i="2"/>
  <c r="Z12" i="2"/>
  <c r="AA12" i="2"/>
  <c r="I8" i="2"/>
  <c r="Y5" i="2"/>
  <c r="M5" i="2"/>
  <c r="L8" i="2"/>
  <c r="Q9" i="2"/>
  <c r="AE12" i="2"/>
  <c r="V12" i="2"/>
  <c r="Q11" i="2"/>
  <c r="H11" i="2"/>
  <c r="I13" i="2"/>
  <c r="K9" i="2"/>
  <c r="P9" i="2"/>
  <c r="U13" i="2"/>
  <c r="V13" i="2"/>
  <c r="AC8" i="2"/>
  <c r="T5" i="2"/>
  <c r="M9" i="2"/>
  <c r="O12" i="2"/>
  <c r="H10" i="2"/>
  <c r="AC13" i="2"/>
  <c r="AD12" i="2"/>
  <c r="AD4" i="2"/>
  <c r="M10" i="2"/>
  <c r="U10" i="2"/>
  <c r="K10" i="2"/>
  <c r="K4" i="2"/>
  <c r="J7" i="2"/>
  <c r="X9" i="2"/>
  <c r="G5" i="2"/>
  <c r="AF5" i="2"/>
  <c r="P2" i="2"/>
  <c r="R2" i="2"/>
  <c r="U2" i="2"/>
  <c r="AD2" i="2"/>
  <c r="Z2" i="2"/>
  <c r="F2" i="2"/>
  <c r="AC2" i="2"/>
  <c r="AA2" i="2"/>
  <c r="W2" i="2"/>
  <c r="J2" i="2"/>
  <c r="I2" i="2"/>
  <c r="X2" i="2"/>
  <c r="H2" i="2"/>
  <c r="L2" i="2"/>
  <c r="O2" i="2"/>
  <c r="S2" i="2"/>
  <c r="Q2" i="2"/>
  <c r="AG2" i="2"/>
  <c r="AI2" i="2"/>
  <c r="K2" i="2"/>
  <c r="V2" i="2"/>
  <c r="AH2" i="2"/>
  <c r="AB2" i="2"/>
  <c r="AE2" i="2"/>
  <c r="N2" i="2"/>
  <c r="Y2" i="2"/>
  <c r="M2" i="2"/>
  <c r="T2" i="2"/>
  <c r="G2" i="2"/>
  <c r="AF2" i="2"/>
</calcChain>
</file>

<file path=xl/sharedStrings.xml><?xml version="1.0" encoding="utf-8"?>
<sst xmlns="http://schemas.openxmlformats.org/spreadsheetml/2006/main" count="29" uniqueCount="28">
  <si>
    <t>**IMPORTANT NOTE**</t>
  </si>
  <si>
    <t>This document, the information contained herein and any derived information created therefrom are for the exclusive use of LEV ROZANOV at UNIVERSITY OF ST AND.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</si>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</sst>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"/>
  <sheetViews>
    <sheetView tabSelected="1" workbookViewId="0">
      <selection activeCell="F8" sqref="F8"/>
    </sheetView>
  </sheetViews>
  <sheetFormatPr defaultRowHeight="15"/>
  <cols>
    <col min="1" max="1" width="56.28515625" customWidth="1"/>
    <col min="2" max="2" width="15.85546875" customWidth="1"/>
    <col min="3" max="35" width="9.140625" bestFit="1" customWidth="1"/>
  </cols>
  <sheetData>
    <row r="1" spans="1: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>IFERROR(IF(0=LEN(ReferenceData!$F$2),"",ReferenceData!$F$2),"")</f>
        <v>2/2025</v>
      </c>
      <c r="G2" t="str">
        <f>IFERROR(IF(0=LEN(ReferenceData!$G$2),"",ReferenceData!$G$2),"")</f>
        <v>1/2025</v>
      </c>
      <c r="H2" t="str">
        <f>IFERROR(IF(0=LEN(ReferenceData!$H$2),"",ReferenceData!$H$2),"")</f>
        <v>12/2024</v>
      </c>
      <c r="I2" t="str">
        <f>IFERROR(IF(0=LEN(ReferenceData!$I$2),"",ReferenceData!$I$2),"")</f>
        <v>11/2024</v>
      </c>
      <c r="J2" t="str">
        <f>IFERROR(IF(0=LEN(ReferenceData!$J$2),"",ReferenceData!$J$2),"")</f>
        <v>10/2024</v>
      </c>
      <c r="K2" t="str">
        <f>IFERROR(IF(0=LEN(ReferenceData!$K$2),"",ReferenceData!$K$2),"")</f>
        <v>9/2024</v>
      </c>
      <c r="L2" t="str">
        <f>IFERROR(IF(0=LEN(ReferenceData!$L$2),"",ReferenceData!$L$2),"")</f>
        <v>8/2024</v>
      </c>
      <c r="M2" t="str">
        <f>IFERROR(IF(0=LEN(ReferenceData!$M$2),"",ReferenceData!$M$2),"")</f>
        <v>7/2024</v>
      </c>
      <c r="N2" t="str">
        <f>IFERROR(IF(0=LEN(ReferenceData!$N$2),"",ReferenceData!$N$2),"")</f>
        <v>6/2024</v>
      </c>
      <c r="O2" t="str">
        <f>IFERROR(IF(0=LEN(ReferenceData!$O$2),"",ReferenceData!$O$2),"")</f>
        <v>5/2024</v>
      </c>
      <c r="P2" t="str">
        <f>IFERROR(IF(0=LEN(ReferenceData!$P$2),"",ReferenceData!$P$2),"")</f>
        <v>4/2024</v>
      </c>
      <c r="Q2" t="str">
        <f>IFERROR(IF(0=LEN(ReferenceData!$Q$2),"",ReferenceData!$Q$2),"")</f>
        <v>3/2024</v>
      </c>
      <c r="R2" t="str">
        <f>IFERROR(IF(0=LEN(ReferenceData!$R$2),"",ReferenceData!$R$2),"")</f>
        <v>2/2024</v>
      </c>
      <c r="S2" t="str">
        <f>IFERROR(IF(0=LEN(ReferenceData!$S$2),"",ReferenceData!$S$2),"")</f>
        <v>1/2024</v>
      </c>
      <c r="T2" t="str">
        <f>IFERROR(IF(0=LEN(ReferenceData!$T$2),"",ReferenceData!$T$2),"")</f>
        <v>12/2023</v>
      </c>
      <c r="U2" t="str">
        <f>IFERROR(IF(0=LEN(ReferenceData!$U$2),"",ReferenceData!$U$2),"")</f>
        <v>11/2023</v>
      </c>
      <c r="V2" t="str">
        <f>IFERROR(IF(0=LEN(ReferenceData!$V$2),"",ReferenceData!$V$2),"")</f>
        <v>10/2023</v>
      </c>
      <c r="W2" t="str">
        <f>IFERROR(IF(0=LEN(ReferenceData!$W$2),"",ReferenceData!$W$2),"")</f>
        <v>9/2023</v>
      </c>
      <c r="X2" t="str">
        <f>IFERROR(IF(0=LEN(ReferenceData!$X$2),"",ReferenceData!$X$2),"")</f>
        <v>8/2023</v>
      </c>
      <c r="Y2" t="str">
        <f>IFERROR(IF(0=LEN(ReferenceData!$Y$2),"",ReferenceData!$Y$2),"")</f>
        <v>7/2023</v>
      </c>
      <c r="Z2" t="str">
        <f>IFERROR(IF(0=LEN(ReferenceData!$Z$2),"",ReferenceData!$Z$2),"")</f>
        <v>6/2023</v>
      </c>
      <c r="AA2" t="str">
        <f>IFERROR(IF(0=LEN(ReferenceData!$AA$2),"",ReferenceData!$AA$2),"")</f>
        <v>5/2023</v>
      </c>
      <c r="AB2" t="str">
        <f>IFERROR(IF(0=LEN(ReferenceData!$AB$2),"",ReferenceData!$AB$2),"")</f>
        <v>4/2023</v>
      </c>
      <c r="AC2" t="str">
        <f>IFERROR(IF(0=LEN(ReferenceData!$AC$2),"",ReferenceData!$AC$2),"")</f>
        <v>3/2023</v>
      </c>
      <c r="AD2" t="str">
        <f>IFERROR(IF(0=LEN(ReferenceData!$AD$2),"",ReferenceData!$AD$2),"")</f>
        <v>2/2023</v>
      </c>
      <c r="AE2" t="str">
        <f>IFERROR(IF(0=LEN(ReferenceData!$AE$2),"",ReferenceData!$AE$2),"")</f>
        <v>1/2023</v>
      </c>
      <c r="AF2" t="str">
        <f>IFERROR(IF(0=LEN(ReferenceData!$AF$2),"",ReferenceData!$AF$2),"")</f>
        <v>12/2022</v>
      </c>
      <c r="AG2" t="str">
        <f>IFERROR(IF(0=LEN(ReferenceData!$AG$2),"",ReferenceData!$AG$2),"")</f>
        <v>11/2022</v>
      </c>
      <c r="AH2" t="str">
        <f>IFERROR(IF(0=LEN(ReferenceData!$AH$2),"",ReferenceData!$AH$2),"")</f>
        <v>10/2022</v>
      </c>
      <c r="AI2" t="str">
        <f>IFERROR(IF(0=LEN(ReferenceData!$AI$2),"",ReferenceData!$AI$2),"")</f>
        <v>9/2022</v>
      </c>
    </row>
    <row r="3" spans="1:35">
      <c r="A3" t="str">
        <f>IFERROR(IF(0=LEN(ReferenceData!$A$3),"",ReferenceData!$A$3),"")</f>
        <v>Bills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Heading</v>
      </c>
      <c r="F3" t="str">
        <f>IFERROR(IF(0=LEN(ReferenceData!$F$3),"",ReferenceData!$F$3),"")</f>
        <v/>
      </c>
      <c r="G3" t="str">
        <f>IFERROR(IF(0=LEN(ReferenceData!$G$3),"",ReferenceData!$G$3),"")</f>
        <v/>
      </c>
      <c r="H3" t="str">
        <f>IFERROR(IF(0=LEN(ReferenceData!$H$3),"",ReferenceData!$H$3),"")</f>
        <v/>
      </c>
      <c r="I3" t="str">
        <f>IFERROR(IF(0=LEN(ReferenceData!$I$3),"",ReferenceData!$I$3),"")</f>
        <v/>
      </c>
      <c r="J3" t="str">
        <f>IFERROR(IF(0=LEN(ReferenceData!$J$3),"",ReferenceData!$J$3),"")</f>
        <v/>
      </c>
      <c r="K3" t="str">
        <f>IFERROR(IF(0=LEN(ReferenceData!$K$3),"",ReferenceData!$K$3),"")</f>
        <v/>
      </c>
      <c r="L3" t="str">
        <f>IFERROR(IF(0=LEN(ReferenceData!$L$3),"",ReferenceData!$L$3),"")</f>
        <v/>
      </c>
      <c r="M3" t="str">
        <f>IFERROR(IF(0=LEN(ReferenceData!$M$3),"",ReferenceData!$M$3),"")</f>
        <v/>
      </c>
      <c r="N3" t="str">
        <f>IFERROR(IF(0=LEN(ReferenceData!$N$3),"",ReferenceData!$N$3),"")</f>
        <v/>
      </c>
      <c r="O3" t="str">
        <f>IFERROR(IF(0=LEN(ReferenceData!$O$3),"",ReferenceData!$O$3),"")</f>
        <v/>
      </c>
      <c r="P3" t="str">
        <f>IFERROR(IF(0=LEN(ReferenceData!$P$3),"",ReferenceData!$P$3),"")</f>
        <v/>
      </c>
      <c r="Q3" t="str">
        <f>IFERROR(IF(0=LEN(ReferenceData!$Q$3),"",ReferenceData!$Q$3),"")</f>
        <v/>
      </c>
      <c r="R3" t="str">
        <f>IFERROR(IF(0=LEN(ReferenceData!$R$3),"",ReferenceData!$R$3),"")</f>
        <v/>
      </c>
      <c r="S3" t="str">
        <f>IFERROR(IF(0=LEN(ReferenceData!$S$3),"",ReferenceData!$S$3),"")</f>
        <v/>
      </c>
      <c r="T3" t="str">
        <f>IFERROR(IF(0=LEN(ReferenceData!$T$3),"",ReferenceData!$T$3),"")</f>
        <v/>
      </c>
      <c r="U3" t="str">
        <f>IFERROR(IF(0=LEN(ReferenceData!$U$3),"",ReferenceData!$U$3),"")</f>
        <v/>
      </c>
      <c r="V3" t="str">
        <f>IFERROR(IF(0=LEN(ReferenceData!$V$3),"",ReferenceData!$V$3),"")</f>
        <v/>
      </c>
      <c r="W3" t="str">
        <f>IFERROR(IF(0=LEN(ReferenceData!$W$3),"",ReferenceData!$W$3),"")</f>
        <v/>
      </c>
      <c r="X3" t="str">
        <f>IFERROR(IF(0=LEN(ReferenceData!$X$3),"",ReferenceData!$X$3),"")</f>
        <v/>
      </c>
      <c r="Y3" t="str">
        <f>IFERROR(IF(0=LEN(ReferenceData!$Y$3),"",ReferenceData!$Y$3),"")</f>
        <v/>
      </c>
      <c r="Z3" t="str">
        <f>IFERROR(IF(0=LEN(ReferenceData!$Z$3),"",ReferenceData!$Z$3),"")</f>
        <v/>
      </c>
      <c r="AA3" t="str">
        <f>IFERROR(IF(0=LEN(ReferenceData!$AA$3),"",ReferenceData!$AA$3),"")</f>
        <v/>
      </c>
      <c r="AB3" t="str">
        <f>IFERROR(IF(0=LEN(ReferenceData!$AB$3),"",ReferenceData!$AB$3),"")</f>
        <v/>
      </c>
      <c r="AC3" t="str">
        <f>IFERROR(IF(0=LEN(ReferenceData!$AC$3),"",ReferenceData!$AC$3),"")</f>
        <v/>
      </c>
      <c r="AD3" t="str">
        <f>IFERROR(IF(0=LEN(ReferenceData!$AD$3),"",ReferenceData!$AD$3),"")</f>
        <v/>
      </c>
      <c r="AE3" t="str">
        <f>IFERROR(IF(0=LEN(ReferenceData!$AE$3),"",ReferenceData!$AE$3),"")</f>
        <v/>
      </c>
      <c r="AF3" t="str">
        <f>IFERROR(IF(0=LEN(ReferenceData!$AF$3),"",ReferenceData!$AF$3),"")</f>
        <v/>
      </c>
      <c r="AG3" t="str">
        <f>IFERROR(IF(0=LEN(ReferenceData!$AG$3),"",ReferenceData!$AG$3),"")</f>
        <v/>
      </c>
      <c r="AH3" t="str">
        <f>IFERROR(IF(0=LEN(ReferenceData!$AH$3),"",ReferenceData!$AH$3),"")</f>
        <v/>
      </c>
      <c r="AI3" t="str">
        <f>IFERROR(IF(0=LEN(ReferenceData!$AI$3),"",ReferenceData!$AI$3),"")</f>
        <v/>
      </c>
    </row>
    <row r="4" spans="1:35">
      <c r="A4" t="str">
        <f>IFERROR(IF(0=LEN(ReferenceData!$A$4),"",ReferenceData!$A$4),"")</f>
        <v>12 Month Bills</v>
      </c>
      <c r="B4" t="str">
        <f>IFERROR(IF(0=LEN(ReferenceData!$B$4),"",ReferenceData!$B$4),"")</f>
        <v>GDBR1 Index</v>
      </c>
      <c r="C4" t="str">
        <f>IFERROR(IF(0=LEN(ReferenceData!$C$4),"",ReferenceData!$C$4),"")</f>
        <v>PR005</v>
      </c>
      <c r="D4" t="str">
        <f>IFERROR(IF(0=LEN(ReferenceData!$D$4),"",ReferenceData!$D$4),"")</f>
        <v>PX_LAST</v>
      </c>
      <c r="E4" t="str">
        <f>IFERROR(IF(0=LEN(ReferenceData!$E$4),"",ReferenceData!$E$4),"")</f>
        <v>Dynamic</v>
      </c>
      <c r="F4">
        <f ca="1">IFERROR(IF(0=LEN(ReferenceData!$F$4),"",ReferenceData!$F$4),"")</f>
        <v>2.0731575489999998</v>
      </c>
      <c r="G4">
        <f ca="1">IFERROR(IF(0=LEN(ReferenceData!$G$4),"",ReferenceData!$G$4),"")</f>
        <v>2.1392464640000002</v>
      </c>
      <c r="H4">
        <f ca="1">IFERROR(IF(0=LEN(ReferenceData!$H$4),"",ReferenceData!$H$4),"")</f>
        <v>2.2432301039999998</v>
      </c>
      <c r="I4">
        <f ca="1">IFERROR(IF(0=LEN(ReferenceData!$I$4),"",ReferenceData!$I$4),"")</f>
        <v>2.2462842460000001</v>
      </c>
      <c r="J4">
        <f ca="1">IFERROR(IF(0=LEN(ReferenceData!$J$4),"",ReferenceData!$J$4),"")</f>
        <v>2.4659620000000002</v>
      </c>
      <c r="K4">
        <f ca="1">IFERROR(IF(0=LEN(ReferenceData!$K$4),"",ReferenceData!$K$4),"")</f>
        <v>2.46771574</v>
      </c>
      <c r="L4">
        <f ca="1">IFERROR(IF(0=LEN(ReferenceData!$L$4),"",ReferenceData!$L$4),"")</f>
        <v>2.825395823</v>
      </c>
      <c r="M4">
        <f ca="1">IFERROR(IF(0=LEN(ReferenceData!$M$4),"",ReferenceData!$M$4),"")</f>
        <v>3.0015351770000001</v>
      </c>
      <c r="N4">
        <f ca="1">IFERROR(IF(0=LEN(ReferenceData!$N$4),"",ReferenceData!$N$4),"")</f>
        <v>3.2087409500000001</v>
      </c>
      <c r="O4">
        <f ca="1">IFERROR(IF(0=LEN(ReferenceData!$O$4),"",ReferenceData!$O$4),"")</f>
        <v>3.433880329</v>
      </c>
      <c r="P4">
        <f ca="1">IFERROR(IF(0=LEN(ReferenceData!$P$4),"",ReferenceData!$P$4),"")</f>
        <v>3.4392347339999998</v>
      </c>
      <c r="Q4">
        <f ca="1">IFERROR(IF(0=LEN(ReferenceData!$Q$4),"",ReferenceData!$Q$4),"")</f>
        <v>3.3431860000000002</v>
      </c>
      <c r="R4">
        <f ca="1">IFERROR(IF(0=LEN(ReferenceData!$R$4),"",ReferenceData!$R$4),"")</f>
        <v>3.4338173869999999</v>
      </c>
      <c r="S4">
        <f ca="1">IFERROR(IF(0=LEN(ReferenceData!$S$4),"",ReferenceData!$S$4),"")</f>
        <v>3.1517403129999999</v>
      </c>
      <c r="T4">
        <f ca="1">IFERROR(IF(0=LEN(ReferenceData!$T$4),"",ReferenceData!$T$4),"")</f>
        <v>3.2618353369999999</v>
      </c>
      <c r="U4">
        <f ca="1">IFERROR(IF(0=LEN(ReferenceData!$U$4),"",ReferenceData!$U$4),"")</f>
        <v>3.4276995659999998</v>
      </c>
      <c r="V4">
        <f ca="1">IFERROR(IF(0=LEN(ReferenceData!$V$4),"",ReferenceData!$V$4),"")</f>
        <v>3.6377999999999999</v>
      </c>
      <c r="W4">
        <f ca="1">IFERROR(IF(0=LEN(ReferenceData!$W$4),"",ReferenceData!$W$4),"")</f>
        <v>3.6913793090000002</v>
      </c>
      <c r="X4">
        <f ca="1">IFERROR(IF(0=LEN(ReferenceData!$X$4),"",ReferenceData!$X$4),"")</f>
        <v>3.5372126100000001</v>
      </c>
      <c r="Y4">
        <f ca="1">IFERROR(IF(0=LEN(ReferenceData!$Y$4),"",ReferenceData!$Y$4),"")</f>
        <v>3.616019487</v>
      </c>
      <c r="Z4">
        <f ca="1">IFERROR(IF(0=LEN(ReferenceData!$Z$4),"",ReferenceData!$Z$4),"")</f>
        <v>3.5892519950000001</v>
      </c>
      <c r="AA4">
        <f ca="1">IFERROR(IF(0=LEN(ReferenceData!$AA$4),"",ReferenceData!$AA$4),"")</f>
        <v>3.1702313420000001</v>
      </c>
      <c r="AB4">
        <f ca="1">IFERROR(IF(0=LEN(ReferenceData!$AB$4),"",ReferenceData!$AB$4),"")</f>
        <v>3.0905339719999998</v>
      </c>
      <c r="AC4">
        <f ca="1">IFERROR(IF(0=LEN(ReferenceData!$AC$4),"",ReferenceData!$AC$4),"")</f>
        <v>3.0081222059999999</v>
      </c>
      <c r="AD4">
        <f ca="1">IFERROR(IF(0=LEN(ReferenceData!$AD$4),"",ReferenceData!$AD$4),"")</f>
        <v>3.2097928520000001</v>
      </c>
      <c r="AE4">
        <f ca="1">IFERROR(IF(0=LEN(ReferenceData!$AE$4),"",ReferenceData!$AE$4),"")</f>
        <v>2.7789046759999998</v>
      </c>
      <c r="AF4">
        <f ca="1">IFERROR(IF(0=LEN(ReferenceData!$AF$4),"",ReferenceData!$AF$4),"")</f>
        <v>2.600465775</v>
      </c>
      <c r="AG4">
        <f ca="1">IFERROR(IF(0=LEN(ReferenceData!$AG$4),"",ReferenceData!$AG$4),"")</f>
        <v>2.1775729660000001</v>
      </c>
      <c r="AH4">
        <f ca="1">IFERROR(IF(0=LEN(ReferenceData!$AH$4),"",ReferenceData!$AH$4),"")</f>
        <v>2.0765783789999999</v>
      </c>
      <c r="AI4">
        <f ca="1">IFERROR(IF(0=LEN(ReferenceData!$AI$4),"",ReferenceData!$AI$4),"")</f>
        <v>1.710031509</v>
      </c>
    </row>
    <row r="5" spans="1:35">
      <c r="A5" t="str">
        <f>IFERROR(IF(0=LEN(ReferenceData!$A$5),"",ReferenceData!$A$5),"")</f>
        <v/>
      </c>
      <c r="B5" t="str">
        <f>IFERROR(IF(0=LEN(ReferenceData!$B$5),"",ReferenceData!$B$5),"")</f>
        <v/>
      </c>
      <c r="C5" t="str">
        <f>IFERROR(IF(0=LEN(ReferenceData!$C$5),"",ReferenceData!$C$5),"")</f>
        <v/>
      </c>
      <c r="D5" t="str">
        <f>IFERROR(IF(0=LEN(ReferenceData!$D$5),"",ReferenceData!$D$5),"")</f>
        <v/>
      </c>
      <c r="E5" t="str">
        <f>IFERROR(IF(0=LEN(ReferenceData!$E$5),"",ReferenceData!$E$5),"")</f>
        <v>Static</v>
      </c>
      <c r="F5" t="str">
        <f ca="1">IFERROR(IF(0=LEN(ReferenceData!$F$5),"",ReferenceData!$F$5),"")</f>
        <v/>
      </c>
      <c r="G5" t="str">
        <f ca="1">IFERROR(IF(0=LEN(ReferenceData!$G$5),"",ReferenceData!$G$5),"")</f>
        <v/>
      </c>
      <c r="H5" t="str">
        <f ca="1">IFERROR(IF(0=LEN(ReferenceData!$H$5),"",ReferenceData!$H$5),"")</f>
        <v/>
      </c>
      <c r="I5" t="str">
        <f ca="1">IFERROR(IF(0=LEN(ReferenceData!$I$5),"",ReferenceData!$I$5),"")</f>
        <v/>
      </c>
      <c r="J5" t="str">
        <f ca="1">IFERROR(IF(0=LEN(ReferenceData!$J$5),"",ReferenceData!$J$5),"")</f>
        <v/>
      </c>
      <c r="K5" t="str">
        <f ca="1">IFERROR(IF(0=LEN(ReferenceData!$K$5),"",ReferenceData!$K$5),"")</f>
        <v/>
      </c>
      <c r="L5" t="str">
        <f ca="1">IFERROR(IF(0=LEN(ReferenceData!$L$5),"",ReferenceData!$L$5),"")</f>
        <v/>
      </c>
      <c r="M5" t="str">
        <f ca="1">IFERROR(IF(0=LEN(ReferenceData!$M$5),"",ReferenceData!$M$5),"")</f>
        <v/>
      </c>
      <c r="N5" t="str">
        <f ca="1">IFERROR(IF(0=LEN(ReferenceData!$N$5),"",ReferenceData!$N$5),"")</f>
        <v/>
      </c>
      <c r="O5" t="str">
        <f ca="1">IFERROR(IF(0=LEN(ReferenceData!$O$5),"",ReferenceData!$O$5),"")</f>
        <v/>
      </c>
      <c r="P5" t="str">
        <f ca="1">IFERROR(IF(0=LEN(ReferenceData!$P$5),"",ReferenceData!$P$5),"")</f>
        <v/>
      </c>
      <c r="Q5" t="str">
        <f ca="1">IFERROR(IF(0=LEN(ReferenceData!$Q$5),"",ReferenceData!$Q$5),"")</f>
        <v/>
      </c>
      <c r="R5" t="str">
        <f ca="1">IFERROR(IF(0=LEN(ReferenceData!$R$5),"",ReferenceData!$R$5),"")</f>
        <v/>
      </c>
      <c r="S5" t="str">
        <f ca="1">IFERROR(IF(0=LEN(ReferenceData!$S$5),"",ReferenceData!$S$5),"")</f>
        <v/>
      </c>
      <c r="T5" t="str">
        <f ca="1">IFERROR(IF(0=LEN(ReferenceData!$T$5),"",ReferenceData!$T$5),"")</f>
        <v/>
      </c>
      <c r="U5" t="str">
        <f ca="1">IFERROR(IF(0=LEN(ReferenceData!$U$5),"",ReferenceData!$U$5),"")</f>
        <v/>
      </c>
      <c r="V5" t="str">
        <f ca="1">IFERROR(IF(0=LEN(ReferenceData!$V$5),"",ReferenceData!$V$5),"")</f>
        <v/>
      </c>
      <c r="W5" t="str">
        <f ca="1">IFERROR(IF(0=LEN(ReferenceData!$W$5),"",ReferenceData!$W$5),"")</f>
        <v/>
      </c>
      <c r="X5" t="str">
        <f ca="1">IFERROR(IF(0=LEN(ReferenceData!$X$5),"",ReferenceData!$X$5),"")</f>
        <v/>
      </c>
      <c r="Y5" t="str">
        <f ca="1">IFERROR(IF(0=LEN(ReferenceData!$Y$5),"",ReferenceData!$Y$5),"")</f>
        <v/>
      </c>
      <c r="Z5" t="str">
        <f ca="1">IFERROR(IF(0=LEN(ReferenceData!$Z$5),"",ReferenceData!$Z$5),"")</f>
        <v/>
      </c>
      <c r="AA5" t="str">
        <f ca="1">IFERROR(IF(0=LEN(ReferenceData!$AA$5),"",ReferenceData!$AA$5),"")</f>
        <v/>
      </c>
      <c r="AB5" t="str">
        <f ca="1">IFERROR(IF(0=LEN(ReferenceData!$AB$5),"",ReferenceData!$AB$5),"")</f>
        <v/>
      </c>
      <c r="AC5" t="str">
        <f ca="1">IFERROR(IF(0=LEN(ReferenceData!$AC$5),"",ReferenceData!$AC$5),"")</f>
        <v/>
      </c>
      <c r="AD5" t="str">
        <f ca="1">IFERROR(IF(0=LEN(ReferenceData!$AD$5),"",ReferenceData!$AD$5),"")</f>
        <v/>
      </c>
      <c r="AE5" t="str">
        <f ca="1">IFERROR(IF(0=LEN(ReferenceData!$AE$5),"",ReferenceData!$AE$5),"")</f>
        <v/>
      </c>
      <c r="AF5" t="str">
        <f ca="1">IFERROR(IF(0=LEN(ReferenceData!$AF$5),"",ReferenceData!$AF$5),"")</f>
        <v/>
      </c>
      <c r="AG5" t="str">
        <f ca="1">IFERROR(IF(0=LEN(ReferenceData!$AG$5),"",ReferenceData!$AG$5),"")</f>
        <v/>
      </c>
      <c r="AH5" t="str">
        <f ca="1">IFERROR(IF(0=LEN(ReferenceData!$AH$5),"",ReferenceData!$AH$5),"")</f>
        <v/>
      </c>
      <c r="AI5" t="str">
        <f ca="1">IFERROR(IF(0=LEN(ReferenceData!$AI$5),"",ReferenceData!$AI$5),"")</f>
        <v/>
      </c>
    </row>
    <row r="6" spans="1:35">
      <c r="A6" t="str">
        <f>IFERROR(IF(0=LEN(ReferenceData!$A$6),"",ReferenceData!$A$6),"")</f>
        <v>Bonds</v>
      </c>
      <c r="B6" t="str">
        <f>IFERROR(IF(0=LEN(ReferenceData!$B$6),"",ReferenceData!$B$6),"")</f>
        <v/>
      </c>
      <c r="C6" t="str">
        <f>IFERROR(IF(0=LEN(ReferenceData!$C$6),"",ReferenceData!$C$6),"")</f>
        <v/>
      </c>
      <c r="D6" t="str">
        <f>IFERROR(IF(0=LEN(ReferenceData!$D$6),"",ReferenceData!$D$6),"")</f>
        <v/>
      </c>
      <c r="E6" t="str">
        <f>IFERROR(IF(0=LEN(ReferenceData!$E$6),"",ReferenceData!$E$6),"")</f>
        <v>Heading</v>
      </c>
      <c r="F6" t="str">
        <f>IFERROR(IF(0=LEN(ReferenceData!$F$6),"",ReferenceData!$F$6),"")</f>
        <v/>
      </c>
      <c r="G6" t="str">
        <f>IFERROR(IF(0=LEN(ReferenceData!$G$6),"",ReferenceData!$G$6),"")</f>
        <v/>
      </c>
      <c r="H6" t="str">
        <f>IFERROR(IF(0=LEN(ReferenceData!$H$6),"",ReferenceData!$H$6),"")</f>
        <v/>
      </c>
      <c r="I6" t="str">
        <f>IFERROR(IF(0=LEN(ReferenceData!$I$6),"",ReferenceData!$I$6),"")</f>
        <v/>
      </c>
      <c r="J6" t="str">
        <f>IFERROR(IF(0=LEN(ReferenceData!$J$6),"",ReferenceData!$J$6),"")</f>
        <v/>
      </c>
      <c r="K6" t="str">
        <f>IFERROR(IF(0=LEN(ReferenceData!$K$6),"",ReferenceData!$K$6),"")</f>
        <v/>
      </c>
      <c r="L6" t="str">
        <f>IFERROR(IF(0=LEN(ReferenceData!$L$6),"",ReferenceData!$L$6),"")</f>
        <v/>
      </c>
      <c r="M6" t="str">
        <f>IFERROR(IF(0=LEN(ReferenceData!$M$6),"",ReferenceData!$M$6),"")</f>
        <v/>
      </c>
      <c r="N6" t="str">
        <f>IFERROR(IF(0=LEN(ReferenceData!$N$6),"",ReferenceData!$N$6),"")</f>
        <v/>
      </c>
      <c r="O6" t="str">
        <f>IFERROR(IF(0=LEN(ReferenceData!$O$6),"",ReferenceData!$O$6),"")</f>
        <v/>
      </c>
      <c r="P6" t="str">
        <f>IFERROR(IF(0=LEN(ReferenceData!$P$6),"",ReferenceData!$P$6),"")</f>
        <v/>
      </c>
      <c r="Q6" t="str">
        <f>IFERROR(IF(0=LEN(ReferenceData!$Q$6),"",ReferenceData!$Q$6),"")</f>
        <v/>
      </c>
      <c r="R6" t="str">
        <f>IFERROR(IF(0=LEN(ReferenceData!$R$6),"",ReferenceData!$R$6),"")</f>
        <v/>
      </c>
      <c r="S6" t="str">
        <f>IFERROR(IF(0=LEN(ReferenceData!$S$6),"",ReferenceData!$S$6),"")</f>
        <v/>
      </c>
      <c r="T6" t="str">
        <f>IFERROR(IF(0=LEN(ReferenceData!$T$6),"",ReferenceData!$T$6),"")</f>
        <v/>
      </c>
      <c r="U6" t="str">
        <f>IFERROR(IF(0=LEN(ReferenceData!$U$6),"",ReferenceData!$U$6),"")</f>
        <v/>
      </c>
      <c r="V6" t="str">
        <f>IFERROR(IF(0=LEN(ReferenceData!$V$6),"",ReferenceData!$V$6),"")</f>
        <v/>
      </c>
      <c r="W6" t="str">
        <f>IFERROR(IF(0=LEN(ReferenceData!$W$6),"",ReferenceData!$W$6),"")</f>
        <v/>
      </c>
      <c r="X6" t="str">
        <f>IFERROR(IF(0=LEN(ReferenceData!$X$6),"",ReferenceData!$X$6),"")</f>
        <v/>
      </c>
      <c r="Y6" t="str">
        <f>IFERROR(IF(0=LEN(ReferenceData!$Y$6),"",ReferenceData!$Y$6),"")</f>
        <v/>
      </c>
      <c r="Z6" t="str">
        <f>IFERROR(IF(0=LEN(ReferenceData!$Z$6),"",ReferenceData!$Z$6),"")</f>
        <v/>
      </c>
      <c r="AA6" t="str">
        <f>IFERROR(IF(0=LEN(ReferenceData!$AA$6),"",ReferenceData!$AA$6),"")</f>
        <v/>
      </c>
      <c r="AB6" t="str">
        <f>IFERROR(IF(0=LEN(ReferenceData!$AB$6),"",ReferenceData!$AB$6),"")</f>
        <v/>
      </c>
      <c r="AC6" t="str">
        <f>IFERROR(IF(0=LEN(ReferenceData!$AC$6),"",ReferenceData!$AC$6),"")</f>
        <v/>
      </c>
      <c r="AD6" t="str">
        <f>IFERROR(IF(0=LEN(ReferenceData!$AD$6),"",ReferenceData!$AD$6),"")</f>
        <v/>
      </c>
      <c r="AE6" t="str">
        <f>IFERROR(IF(0=LEN(ReferenceData!$AE$6),"",ReferenceData!$AE$6),"")</f>
        <v/>
      </c>
      <c r="AF6" t="str">
        <f>IFERROR(IF(0=LEN(ReferenceData!$AF$6),"",ReferenceData!$AF$6),"")</f>
        <v/>
      </c>
      <c r="AG6" t="str">
        <f>IFERROR(IF(0=LEN(ReferenceData!$AG$6),"",ReferenceData!$AG$6),"")</f>
        <v/>
      </c>
      <c r="AH6" t="str">
        <f>IFERROR(IF(0=LEN(ReferenceData!$AH$6),"",ReferenceData!$AH$6),"")</f>
        <v/>
      </c>
      <c r="AI6" t="str">
        <f>IFERROR(IF(0=LEN(ReferenceData!$AI$6),"",ReferenceData!$AI$6),"")</f>
        <v/>
      </c>
    </row>
    <row r="7" spans="1:35">
      <c r="A7" t="str">
        <f>IFERROR(IF(0=LEN(ReferenceData!$A$7),"",ReferenceData!$A$7),"")</f>
        <v>2 Year Note</v>
      </c>
      <c r="B7" t="str">
        <f>IFERROR(IF(0=LEN(ReferenceData!$B$7),"",ReferenceData!$B$7),"")</f>
        <v>GDBR2 Index</v>
      </c>
      <c r="C7" t="str">
        <f>IFERROR(IF(0=LEN(ReferenceData!$C$7),"",ReferenceData!$C$7),"")</f>
        <v>PR005</v>
      </c>
      <c r="D7" t="str">
        <f>IFERROR(IF(0=LEN(ReferenceData!$D$7),"",ReferenceData!$D$7),"")</f>
        <v>PX_LAST</v>
      </c>
      <c r="E7" t="str">
        <f>IFERROR(IF(0=LEN(ReferenceData!$E$7),"",ReferenceData!$E$7),"")</f>
        <v>Dynamic</v>
      </c>
      <c r="F7">
        <f ca="1">IFERROR(IF(0=LEN(ReferenceData!$F$7),"",ReferenceData!$F$7),"")</f>
        <v>2.0259249210000001</v>
      </c>
      <c r="G7">
        <f ca="1">IFERROR(IF(0=LEN(ReferenceData!$G$7),"",ReferenceData!$G$7),"")</f>
        <v>2.119348526</v>
      </c>
      <c r="H7">
        <f ca="1">IFERROR(IF(0=LEN(ReferenceData!$H$7),"",ReferenceData!$H$7),"")</f>
        <v>2.0819725990000002</v>
      </c>
      <c r="I7">
        <f ca="1">IFERROR(IF(0=LEN(ReferenceData!$I$7),"",ReferenceData!$I$7),"")</f>
        <v>1.951483488</v>
      </c>
      <c r="J7">
        <f ca="1">IFERROR(IF(0=LEN(ReferenceData!$J$7),"",ReferenceData!$J$7),"")</f>
        <v>2.2806799999999998</v>
      </c>
      <c r="K7">
        <f ca="1">IFERROR(IF(0=LEN(ReferenceData!$K$7),"",ReferenceData!$K$7),"")</f>
        <v>2.0678610800000001</v>
      </c>
      <c r="L7">
        <f ca="1">IFERROR(IF(0=LEN(ReferenceData!$L$7),"",ReferenceData!$L$7),"")</f>
        <v>2.3914198880000002</v>
      </c>
      <c r="M7">
        <f ca="1">IFERROR(IF(0=LEN(ReferenceData!$M$7),"",ReferenceData!$M$7),"")</f>
        <v>2.5306820870000002</v>
      </c>
      <c r="N7">
        <f ca="1">IFERROR(IF(0=LEN(ReferenceData!$N$7),"",ReferenceData!$N$7),"")</f>
        <v>2.8331644539999998</v>
      </c>
      <c r="O7">
        <f ca="1">IFERROR(IF(0=LEN(ReferenceData!$O$7),"",ReferenceData!$O$7),"")</f>
        <v>3.0972571370000002</v>
      </c>
      <c r="P7">
        <f ca="1">IFERROR(IF(0=LEN(ReferenceData!$P$7),"",ReferenceData!$P$7),"")</f>
        <v>3.0344953540000001</v>
      </c>
      <c r="Q7">
        <f ca="1">IFERROR(IF(0=LEN(ReferenceData!$Q$7),"",ReferenceData!$Q$7),"")</f>
        <v>2.8485740000000002</v>
      </c>
      <c r="R7">
        <f ca="1">IFERROR(IF(0=LEN(ReferenceData!$R$7),"",ReferenceData!$R$7),"")</f>
        <v>2.90148735</v>
      </c>
      <c r="S7">
        <f ca="1">IFERROR(IF(0=LEN(ReferenceData!$S$7),"",ReferenceData!$S$7),"")</f>
        <v>2.427918434</v>
      </c>
      <c r="T7">
        <f ca="1">IFERROR(IF(0=LEN(ReferenceData!$T$7),"",ReferenceData!$T$7),"")</f>
        <v>2.4039828779999999</v>
      </c>
      <c r="U7">
        <f ca="1">IFERROR(IF(0=LEN(ReferenceData!$U$7),"",ReferenceData!$U$7),"")</f>
        <v>2.8162536619999998</v>
      </c>
      <c r="V7">
        <f ca="1">IFERROR(IF(0=LEN(ReferenceData!$V$7),"",ReferenceData!$V$7),"")</f>
        <v>3.016003</v>
      </c>
      <c r="W7">
        <f ca="1">IFERROR(IF(0=LEN(ReferenceData!$W$7),"",ReferenceData!$W$7),"")</f>
        <v>3.2030854230000001</v>
      </c>
      <c r="X7">
        <f ca="1">IFERROR(IF(0=LEN(ReferenceData!$X$7),"",ReferenceData!$X$7),"")</f>
        <v>2.9781515600000001</v>
      </c>
      <c r="Y7">
        <f ca="1">IFERROR(IF(0=LEN(ReferenceData!$Y$7),"",ReferenceData!$Y$7),"")</f>
        <v>3.0380368230000001</v>
      </c>
      <c r="Z7">
        <f ca="1">IFERROR(IF(0=LEN(ReferenceData!$Z$7),"",ReferenceData!$Z$7),"")</f>
        <v>3.1962809559999998</v>
      </c>
      <c r="AA7">
        <f ca="1">IFERROR(IF(0=LEN(ReferenceData!$AA$7),"",ReferenceData!$AA$7),"")</f>
        <v>2.71854043</v>
      </c>
      <c r="AB7">
        <f ca="1">IFERROR(IF(0=LEN(ReferenceData!$AB$7),"",ReferenceData!$AB$7),"")</f>
        <v>2.6910741329999999</v>
      </c>
      <c r="AC7">
        <f ca="1">IFERROR(IF(0=LEN(ReferenceData!$AC$7),"",ReferenceData!$AC$7),"")</f>
        <v>2.6828007700000001</v>
      </c>
      <c r="AD7">
        <f ca="1">IFERROR(IF(0=LEN(ReferenceData!$AD$7),"",ReferenceData!$AD$7),"")</f>
        <v>3.1374654770000001</v>
      </c>
      <c r="AE7">
        <f ca="1">IFERROR(IF(0=LEN(ReferenceData!$AE$7),"",ReferenceData!$AE$7),"")</f>
        <v>2.6511545179999998</v>
      </c>
      <c r="AF7">
        <f ca="1">IFERROR(IF(0=LEN(ReferenceData!$AF$7),"",ReferenceData!$AF$7),"")</f>
        <v>2.7639770509999999</v>
      </c>
      <c r="AG7">
        <f ca="1">IFERROR(IF(0=LEN(ReferenceData!$AG$7),"",ReferenceData!$AG$7),"")</f>
        <v>2.1285889149999999</v>
      </c>
      <c r="AH7">
        <f ca="1">IFERROR(IF(0=LEN(ReferenceData!$AH$7),"",ReferenceData!$AH$7),"")</f>
        <v>1.936354041</v>
      </c>
      <c r="AI7">
        <f ca="1">IFERROR(IF(0=LEN(ReferenceData!$AI$7),"",ReferenceData!$AI$7),"")</f>
        <v>1.758681178</v>
      </c>
    </row>
    <row r="8" spans="1:35">
      <c r="A8" t="str">
        <f>IFERROR(IF(0=LEN(ReferenceData!$A$8),"",ReferenceData!$A$8),"")</f>
        <v>3 Year Note</v>
      </c>
      <c r="B8" t="str">
        <f>IFERROR(IF(0=LEN(ReferenceData!$B$8),"",ReferenceData!$B$8),"")</f>
        <v>GDBR3 Index</v>
      </c>
      <c r="C8" t="str">
        <f>IFERROR(IF(0=LEN(ReferenceData!$C$8),"",ReferenceData!$C$8),"")</f>
        <v>PR005</v>
      </c>
      <c r="D8" t="str">
        <f>IFERROR(IF(0=LEN(ReferenceData!$D$8),"",ReferenceData!$D$8),"")</f>
        <v>PX_LAST</v>
      </c>
      <c r="E8" t="str">
        <f>IFERROR(IF(0=LEN(ReferenceData!$E$8),"",ReferenceData!$E$8),"")</f>
        <v>Dynamic</v>
      </c>
      <c r="F8">
        <f ca="1">IFERROR(IF(0=LEN(ReferenceData!$F$8),"",ReferenceData!$F$8),"")</f>
        <v>2.0931808950000002</v>
      </c>
      <c r="G8">
        <f ca="1">IFERROR(IF(0=LEN(ReferenceData!$G$8),"",ReferenceData!$G$8),"")</f>
        <v>2.1215808389999999</v>
      </c>
      <c r="H8">
        <f ca="1">IFERROR(IF(0=LEN(ReferenceData!$H$8),"",ReferenceData!$H$8),"")</f>
        <v>1.9820668699999999</v>
      </c>
      <c r="I8">
        <f ca="1">IFERROR(IF(0=LEN(ReferenceData!$I$8),"",ReferenceData!$I$8),"")</f>
        <v>1.843579769</v>
      </c>
      <c r="J8">
        <f ca="1">IFERROR(IF(0=LEN(ReferenceData!$J$8),"",ReferenceData!$J$8),"")</f>
        <v>2.1728079999999999</v>
      </c>
      <c r="K8">
        <f ca="1">IFERROR(IF(0=LEN(ReferenceData!$K$8),"",ReferenceData!$K$8),"")</f>
        <v>1.881882429</v>
      </c>
      <c r="L8">
        <f ca="1">IFERROR(IF(0=LEN(ReferenceData!$L$8),"",ReferenceData!$L$8),"")</f>
        <v>2.1847746369999999</v>
      </c>
      <c r="M8">
        <f ca="1">IFERROR(IF(0=LEN(ReferenceData!$M$8),"",ReferenceData!$M$8),"")</f>
        <v>2.2819690700000002</v>
      </c>
      <c r="N8">
        <f ca="1">IFERROR(IF(0=LEN(ReferenceData!$N$8),"",ReferenceData!$N$8),"")</f>
        <v>2.612725019</v>
      </c>
      <c r="O8">
        <f ca="1">IFERROR(IF(0=LEN(ReferenceData!$O$8),"",ReferenceData!$O$8),"")</f>
        <v>2.8698799610000001</v>
      </c>
      <c r="P8">
        <f ca="1">IFERROR(IF(0=LEN(ReferenceData!$P$8),"",ReferenceData!$P$8),"")</f>
        <v>2.7957832809999998</v>
      </c>
      <c r="Q8">
        <f ca="1">IFERROR(IF(0=LEN(ReferenceData!$Q$8),"",ReferenceData!$Q$8),"")</f>
        <v>2.5063819999999999</v>
      </c>
      <c r="R8">
        <f ca="1">IFERROR(IF(0=LEN(ReferenceData!$R$8),"",ReferenceData!$R$8),"")</f>
        <v>2.609289408</v>
      </c>
      <c r="S8">
        <f ca="1">IFERROR(IF(0=LEN(ReferenceData!$S$8),"",ReferenceData!$S$8),"")</f>
        <v>2.1505477430000002</v>
      </c>
      <c r="T8">
        <f ca="1">IFERROR(IF(0=LEN(ReferenceData!$T$8),"",ReferenceData!$T$8),"")</f>
        <v>2.1282966139999999</v>
      </c>
      <c r="U8">
        <f ca="1">IFERROR(IF(0=LEN(ReferenceData!$U$8),"",ReferenceData!$U$8),"")</f>
        <v>2.5581095220000001</v>
      </c>
      <c r="V8">
        <f ca="1">IFERROR(IF(0=LEN(ReferenceData!$V$8),"",ReferenceData!$V$8),"")</f>
        <v>2.7966669999999998</v>
      </c>
      <c r="W8">
        <f ca="1">IFERROR(IF(0=LEN(ReferenceData!$W$8),"",ReferenceData!$W$8),"")</f>
        <v>2.9260499480000002</v>
      </c>
      <c r="X8">
        <f ca="1">IFERROR(IF(0=LEN(ReferenceData!$X$8),"",ReferenceData!$X$8),"")</f>
        <v>2.6905992030000001</v>
      </c>
      <c r="Y8">
        <f ca="1">IFERROR(IF(0=LEN(ReferenceData!$Y$8),"",ReferenceData!$Y$8),"")</f>
        <v>2.7545418740000001</v>
      </c>
      <c r="Z8">
        <f ca="1">IFERROR(IF(0=LEN(ReferenceData!$Z$8),"",ReferenceData!$Z$8),"")</f>
        <v>2.8166766170000002</v>
      </c>
      <c r="AA8">
        <f ca="1">IFERROR(IF(0=LEN(ReferenceData!$AA$8),"",ReferenceData!$AA$8),"")</f>
        <v>2.496953011</v>
      </c>
      <c r="AB8">
        <f ca="1">IFERROR(IF(0=LEN(ReferenceData!$AB$8),"",ReferenceData!$AB$8),"")</f>
        <v>2.478833914</v>
      </c>
      <c r="AC8">
        <f ca="1">IFERROR(IF(0=LEN(ReferenceData!$AC$8),"",ReferenceData!$AC$8),"")</f>
        <v>2.4532737729999998</v>
      </c>
      <c r="AD8">
        <f ca="1">IFERROR(IF(0=LEN(ReferenceData!$AD$8),"",ReferenceData!$AD$8),"")</f>
        <v>2.9071960450000001</v>
      </c>
      <c r="AE8">
        <f ca="1">IFERROR(IF(0=LEN(ReferenceData!$AE$8),"",ReferenceData!$AE$8),"")</f>
        <v>2.3894801139999999</v>
      </c>
      <c r="AF8">
        <f ca="1">IFERROR(IF(0=LEN(ReferenceData!$AF$8),"",ReferenceData!$AF$8),"")</f>
        <v>2.5783665180000002</v>
      </c>
      <c r="AG8">
        <f ca="1">IFERROR(IF(0=LEN(ReferenceData!$AG$8),"",ReferenceData!$AG$8),"")</f>
        <v>1.9773887400000001</v>
      </c>
      <c r="AH8">
        <f ca="1">IFERROR(IF(0=LEN(ReferenceData!$AH$8),"",ReferenceData!$AH$8),"")</f>
        <v>1.893886805</v>
      </c>
      <c r="AI8">
        <f ca="1">IFERROR(IF(0=LEN(ReferenceData!$AI$8),"",ReferenceData!$AI$8),"")</f>
        <v>1.757958055</v>
      </c>
    </row>
    <row r="9" spans="1:35">
      <c r="A9" t="str">
        <f>IFERROR(IF(0=LEN(ReferenceData!$A$9),"",ReferenceData!$A$9),"")</f>
        <v>5 Year Note</v>
      </c>
      <c r="B9" t="str">
        <f>IFERROR(IF(0=LEN(ReferenceData!$B$9),"",ReferenceData!$B$9),"")</f>
        <v>GDBR5 Index</v>
      </c>
      <c r="C9" t="str">
        <f>IFERROR(IF(0=LEN(ReferenceData!$C$9),"",ReferenceData!$C$9),"")</f>
        <v>PR005</v>
      </c>
      <c r="D9" t="str">
        <f>IFERROR(IF(0=LEN(ReferenceData!$D$9),"",ReferenceData!$D$9),"")</f>
        <v>PX_LAST</v>
      </c>
      <c r="E9" t="str">
        <f>IFERROR(IF(0=LEN(ReferenceData!$E$9),"",ReferenceData!$E$9),"")</f>
        <v>Dynamic</v>
      </c>
      <c r="F9">
        <f ca="1">IFERROR(IF(0=LEN(ReferenceData!$F$9),"",ReferenceData!$F$9),"")</f>
        <v>2.2072982790000002</v>
      </c>
      <c r="G9">
        <f ca="1">IFERROR(IF(0=LEN(ReferenceData!$G$9),"",ReferenceData!$G$9),"")</f>
        <v>2.2348160739999998</v>
      </c>
      <c r="H9">
        <f ca="1">IFERROR(IF(0=LEN(ReferenceData!$H$9),"",ReferenceData!$H$9),"")</f>
        <v>2.1538767810000001</v>
      </c>
      <c r="I9">
        <f ca="1">IFERROR(IF(0=LEN(ReferenceData!$I$9),"",ReferenceData!$I$9),"")</f>
        <v>1.9258232120000001</v>
      </c>
      <c r="J9">
        <f ca="1">IFERROR(IF(0=LEN(ReferenceData!$J$9),"",ReferenceData!$J$9),"")</f>
        <v>2.2669190000000001</v>
      </c>
      <c r="K9">
        <f ca="1">IFERROR(IF(0=LEN(ReferenceData!$K$9),"",ReferenceData!$K$9),"")</f>
        <v>1.946785212</v>
      </c>
      <c r="L9">
        <f ca="1">IFERROR(IF(0=LEN(ReferenceData!$L$9),"",ReferenceData!$L$9),"")</f>
        <v>2.1892013549999998</v>
      </c>
      <c r="M9">
        <f ca="1">IFERROR(IF(0=LEN(ReferenceData!$M$9),"",ReferenceData!$M$9),"")</f>
        <v>2.2316358090000001</v>
      </c>
      <c r="N9">
        <f ca="1">IFERROR(IF(0=LEN(ReferenceData!$N$9),"",ReferenceData!$N$9),"")</f>
        <v>2.481709242</v>
      </c>
      <c r="O9">
        <f ca="1">IFERROR(IF(0=LEN(ReferenceData!$O$9),"",ReferenceData!$O$9),"")</f>
        <v>2.7071492670000001</v>
      </c>
      <c r="P9">
        <f ca="1">IFERROR(IF(0=LEN(ReferenceData!$P$9),"",ReferenceData!$P$9),"")</f>
        <v>2.6158275600000001</v>
      </c>
      <c r="Q9">
        <f ca="1">IFERROR(IF(0=LEN(ReferenceData!$Q$9),"",ReferenceData!$Q$9),"")</f>
        <v>2.320881</v>
      </c>
      <c r="R9">
        <f ca="1">IFERROR(IF(0=LEN(ReferenceData!$R$9),"",ReferenceData!$R$9),"")</f>
        <v>2.4313926700000001</v>
      </c>
      <c r="S9">
        <f ca="1">IFERROR(IF(0=LEN(ReferenceData!$S$9),"",ReferenceData!$S$9),"")</f>
        <v>2.0513124469999999</v>
      </c>
      <c r="T9">
        <f ca="1">IFERROR(IF(0=LEN(ReferenceData!$T$9),"",ReferenceData!$T$9),"")</f>
        <v>1.9477832319999999</v>
      </c>
      <c r="U9">
        <f ca="1">IFERROR(IF(0=LEN(ReferenceData!$U$9),"",ReferenceData!$U$9),"")</f>
        <v>2.3738758560000002</v>
      </c>
      <c r="V9">
        <f ca="1">IFERROR(IF(0=LEN(ReferenceData!$V$9),"",ReferenceData!$V$9),"")</f>
        <v>2.6552690000000001</v>
      </c>
      <c r="W9">
        <f ca="1">IFERROR(IF(0=LEN(ReferenceData!$W$9),"",ReferenceData!$W$9),"")</f>
        <v>2.776918411</v>
      </c>
      <c r="X9">
        <f ca="1">IFERROR(IF(0=LEN(ReferenceData!$X$9),"",ReferenceData!$X$9),"")</f>
        <v>2.4768056870000001</v>
      </c>
      <c r="Y9">
        <f ca="1">IFERROR(IF(0=LEN(ReferenceData!$Y$9),"",ReferenceData!$Y$9),"")</f>
        <v>2.535556793</v>
      </c>
      <c r="Z9">
        <f ca="1">IFERROR(IF(0=LEN(ReferenceData!$Z$9),"",ReferenceData!$Z$9),"")</f>
        <v>2.5502274040000001</v>
      </c>
      <c r="AA9">
        <f ca="1">IFERROR(IF(0=LEN(ReferenceData!$AA$9),"",ReferenceData!$AA$9),"")</f>
        <v>2.2782440190000002</v>
      </c>
      <c r="AB9">
        <f ca="1">IFERROR(IF(0=LEN(ReferenceData!$AB$9),"",ReferenceData!$AB$9),"")</f>
        <v>2.3047046660000001</v>
      </c>
      <c r="AC9">
        <f ca="1">IFERROR(IF(0=LEN(ReferenceData!$AC$9),"",ReferenceData!$AC$9),"")</f>
        <v>2.3104031090000001</v>
      </c>
      <c r="AD9">
        <f ca="1">IFERROR(IF(0=LEN(ReferenceData!$AD$9),"",ReferenceData!$AD$9),"")</f>
        <v>2.7418501380000002</v>
      </c>
      <c r="AE9">
        <f ca="1">IFERROR(IF(0=LEN(ReferenceData!$AE$9),"",ReferenceData!$AE$9),"")</f>
        <v>2.3100352289999999</v>
      </c>
      <c r="AF9">
        <f ca="1">IFERROR(IF(0=LEN(ReferenceData!$AF$9),"",ReferenceData!$AF$9),"")</f>
        <v>2.5775535110000001</v>
      </c>
      <c r="AG9">
        <f ca="1">IFERROR(IF(0=LEN(ReferenceData!$AG$9),"",ReferenceData!$AG$9),"")</f>
        <v>1.9353410010000001</v>
      </c>
      <c r="AH9">
        <f ca="1">IFERROR(IF(0=LEN(ReferenceData!$AH$9),"",ReferenceData!$AH$9),"")</f>
        <v>2.0047316550000001</v>
      </c>
      <c r="AI9">
        <f ca="1">IFERROR(IF(0=LEN(ReferenceData!$AI$9),"",ReferenceData!$AI$9),"")</f>
        <v>1.963139057</v>
      </c>
    </row>
    <row r="10" spans="1:35">
      <c r="A10" t="str">
        <f>IFERROR(IF(0=LEN(ReferenceData!$A$10),"",ReferenceData!$A$10),"")</f>
        <v>7 Year Note</v>
      </c>
      <c r="B10" t="str">
        <f>IFERROR(IF(0=LEN(ReferenceData!$B$10),"",ReferenceData!$B$10),"")</f>
        <v>GDBR7 Index</v>
      </c>
      <c r="C10" t="str">
        <f>IFERROR(IF(0=LEN(ReferenceData!$C$10),"",ReferenceData!$C$10),"")</f>
        <v>PR005</v>
      </c>
      <c r="D10" t="str">
        <f>IFERROR(IF(0=LEN(ReferenceData!$D$10),"",ReferenceData!$D$10),"")</f>
        <v>PX_LAST</v>
      </c>
      <c r="E10" t="str">
        <f>IFERROR(IF(0=LEN(ReferenceData!$E$10),"",ReferenceData!$E$10),"")</f>
        <v>Dynamic</v>
      </c>
      <c r="F10">
        <f ca="1">IFERROR(IF(0=LEN(ReferenceData!$F$10),"",ReferenceData!$F$10),"")</f>
        <v>2.1832938190000002</v>
      </c>
      <c r="G10">
        <f ca="1">IFERROR(IF(0=LEN(ReferenceData!$G$10),"",ReferenceData!$G$10),"")</f>
        <v>2.270659685</v>
      </c>
      <c r="H10">
        <f ca="1">IFERROR(IF(0=LEN(ReferenceData!$H$10),"",ReferenceData!$H$10),"")</f>
        <v>2.1461029049999998</v>
      </c>
      <c r="I10">
        <f ca="1">IFERROR(IF(0=LEN(ReferenceData!$I$10),"",ReferenceData!$I$10),"")</f>
        <v>1.9102835659999999</v>
      </c>
      <c r="J10">
        <f ca="1">IFERROR(IF(0=LEN(ReferenceData!$J$10),"",ReferenceData!$J$10),"")</f>
        <v>2.2298140000000002</v>
      </c>
      <c r="K10">
        <f ca="1">IFERROR(IF(0=LEN(ReferenceData!$K$10),"",ReferenceData!$K$10),"")</f>
        <v>1.933316469</v>
      </c>
      <c r="L10">
        <f ca="1">IFERROR(IF(0=LEN(ReferenceData!$L$10),"",ReferenceData!$L$10),"")</f>
        <v>2.1447098260000002</v>
      </c>
      <c r="M10">
        <f ca="1">IFERROR(IF(0=LEN(ReferenceData!$M$10),"",ReferenceData!$M$10),"")</f>
        <v>2.1672079559999999</v>
      </c>
      <c r="N10">
        <f ca="1">IFERROR(IF(0=LEN(ReferenceData!$N$10),"",ReferenceData!$N$10),"")</f>
        <v>2.4620940689999999</v>
      </c>
      <c r="O10">
        <f ca="1">IFERROR(IF(0=LEN(ReferenceData!$O$10),"",ReferenceData!$O$10),"")</f>
        <v>2.6531102660000001</v>
      </c>
      <c r="P10">
        <f ca="1">IFERROR(IF(0=LEN(ReferenceData!$P$10),"",ReferenceData!$P$10),"")</f>
        <v>2.5669312479999999</v>
      </c>
      <c r="Q10">
        <f ca="1">IFERROR(IF(0=LEN(ReferenceData!$Q$10),"",ReferenceData!$Q$10),"")</f>
        <v>2.269539</v>
      </c>
      <c r="R10">
        <f ca="1">IFERROR(IF(0=LEN(ReferenceData!$R$10),"",ReferenceData!$R$10),"")</f>
        <v>2.3817760940000001</v>
      </c>
      <c r="S10">
        <f ca="1">IFERROR(IF(0=LEN(ReferenceData!$S$10),"",ReferenceData!$S$10),"")</f>
        <v>2.0611138339999999</v>
      </c>
      <c r="T10">
        <f ca="1">IFERROR(IF(0=LEN(ReferenceData!$T$10),"",ReferenceData!$T$10),"")</f>
        <v>1.938958645</v>
      </c>
      <c r="U10">
        <f ca="1">IFERROR(IF(0=LEN(ReferenceData!$U$10),"",ReferenceData!$U$10),"")</f>
        <v>2.3697340489999998</v>
      </c>
      <c r="V10">
        <f ca="1">IFERROR(IF(0=LEN(ReferenceData!$V$10),"",ReferenceData!$V$10),"")</f>
        <v>2.6939769999999998</v>
      </c>
      <c r="W10">
        <f ca="1">IFERROR(IF(0=LEN(ReferenceData!$W$10),"",ReferenceData!$W$10),"")</f>
        <v>2.790839911</v>
      </c>
      <c r="X10">
        <f ca="1">IFERROR(IF(0=LEN(ReferenceData!$X$10),"",ReferenceData!$X$10),"")</f>
        <v>2.4486305709999998</v>
      </c>
      <c r="Y10">
        <f ca="1">IFERROR(IF(0=LEN(ReferenceData!$Y$10),"",ReferenceData!$Y$10),"")</f>
        <v>2.4817426199999999</v>
      </c>
      <c r="Z10">
        <f ca="1">IFERROR(IF(0=LEN(ReferenceData!$Z$10),"",ReferenceData!$Z$10),"")</f>
        <v>2.4688613410000002</v>
      </c>
      <c r="AA10">
        <f ca="1">IFERROR(IF(0=LEN(ReferenceData!$AA$10),"",ReferenceData!$AA$10),"")</f>
        <v>2.2485575679999998</v>
      </c>
      <c r="AB10">
        <f ca="1">IFERROR(IF(0=LEN(ReferenceData!$AB$10),"",ReferenceData!$AB$10),"")</f>
        <v>2.2930223939999999</v>
      </c>
      <c r="AC10">
        <f ca="1">IFERROR(IF(0=LEN(ReferenceData!$AC$10),"",ReferenceData!$AC$10),"")</f>
        <v>2.2796132560000002</v>
      </c>
      <c r="AD10">
        <f ca="1">IFERROR(IF(0=LEN(ReferenceData!$AD$10),"",ReferenceData!$AD$10),"")</f>
        <v>2.677354813</v>
      </c>
      <c r="AE10">
        <f ca="1">IFERROR(IF(0=LEN(ReferenceData!$AE$10),"",ReferenceData!$AE$10),"")</f>
        <v>2.2651698589999998</v>
      </c>
      <c r="AF10">
        <f ca="1">IFERROR(IF(0=LEN(ReferenceData!$AF$10),"",ReferenceData!$AF$10),"")</f>
        <v>2.5695669649999999</v>
      </c>
      <c r="AG10">
        <f ca="1">IFERROR(IF(0=LEN(ReferenceData!$AG$10),"",ReferenceData!$AG$10),"")</f>
        <v>1.91381216</v>
      </c>
      <c r="AH10">
        <f ca="1">IFERROR(IF(0=LEN(ReferenceData!$AH$10),"",ReferenceData!$AH$10),"")</f>
        <v>2.0976445670000001</v>
      </c>
      <c r="AI10">
        <f ca="1">IFERROR(IF(0=LEN(ReferenceData!$AI$10),"",ReferenceData!$AI$10),"")</f>
        <v>1.986199021</v>
      </c>
    </row>
    <row r="11" spans="1:35">
      <c r="A11" t="str">
        <f>IFERROR(IF(0=LEN(ReferenceData!$A$11),"",ReferenceData!$A$11),"")</f>
        <v>10 Year Note</v>
      </c>
      <c r="B11" t="str">
        <f>IFERROR(IF(0=LEN(ReferenceData!$B$11),"",ReferenceData!$B$11),"")</f>
        <v>GDBR10 Index</v>
      </c>
      <c r="C11" t="str">
        <f>IFERROR(IF(0=LEN(ReferenceData!$C$11),"",ReferenceData!$C$11),"")</f>
        <v>PR005</v>
      </c>
      <c r="D11" t="str">
        <f>IFERROR(IF(0=LEN(ReferenceData!$D$11),"",ReferenceData!$D$11),"")</f>
        <v>PX_LAST</v>
      </c>
      <c r="E11" t="str">
        <f>IFERROR(IF(0=LEN(ReferenceData!$E$11),"",ReferenceData!$E$11),"")</f>
        <v>Dynamic</v>
      </c>
      <c r="F11">
        <f ca="1">IFERROR(IF(0=LEN(ReferenceData!$F$11),"",ReferenceData!$F$11),"")</f>
        <v>2.4183926580000001</v>
      </c>
      <c r="G11">
        <f ca="1">IFERROR(IF(0=LEN(ReferenceData!$G$11),"",ReferenceData!$G$11),"")</f>
        <v>2.4596495630000001</v>
      </c>
      <c r="H11">
        <f ca="1">IFERROR(IF(0=LEN(ReferenceData!$H$11),"",ReferenceData!$H$11),"")</f>
        <v>2.36691165</v>
      </c>
      <c r="I11">
        <f ca="1">IFERROR(IF(0=LEN(ReferenceData!$I$11),"",ReferenceData!$I$11),"")</f>
        <v>2.0875089170000001</v>
      </c>
      <c r="J11">
        <f ca="1">IFERROR(IF(0=LEN(ReferenceData!$J$11),"",ReferenceData!$J$11),"")</f>
        <v>2.3896269999999999</v>
      </c>
      <c r="K11">
        <f ca="1">IFERROR(IF(0=LEN(ReferenceData!$K$11),"",ReferenceData!$K$11),"")</f>
        <v>2.1230461599999999</v>
      </c>
      <c r="L11">
        <f ca="1">IFERROR(IF(0=LEN(ReferenceData!$L$11),"",ReferenceData!$L$11),"")</f>
        <v>2.2985663409999999</v>
      </c>
      <c r="M11">
        <f ca="1">IFERROR(IF(0=LEN(ReferenceData!$M$11),"",ReferenceData!$M$11),"")</f>
        <v>2.3037190440000002</v>
      </c>
      <c r="N11">
        <f ca="1">IFERROR(IF(0=LEN(ReferenceData!$N$11),"",ReferenceData!$N$11),"")</f>
        <v>2.5004782680000002</v>
      </c>
      <c r="O11">
        <f ca="1">IFERROR(IF(0=LEN(ReferenceData!$O$11),"",ReferenceData!$O$11),"")</f>
        <v>2.6641917230000001</v>
      </c>
      <c r="P11">
        <f ca="1">IFERROR(IF(0=LEN(ReferenceData!$P$11),"",ReferenceData!$P$11),"")</f>
        <v>2.5835933689999999</v>
      </c>
      <c r="Q11">
        <f ca="1">IFERROR(IF(0=LEN(ReferenceData!$Q$11),"",ReferenceData!$Q$11),"")</f>
        <v>2.2979509999999999</v>
      </c>
      <c r="R11">
        <f ca="1">IFERROR(IF(0=LEN(ReferenceData!$R$11),"",ReferenceData!$R$11),"")</f>
        <v>2.4111166000000002</v>
      </c>
      <c r="S11">
        <f ca="1">IFERROR(IF(0=LEN(ReferenceData!$S$11),"",ReferenceData!$S$11),"")</f>
        <v>2.165841103</v>
      </c>
      <c r="T11">
        <f ca="1">IFERROR(IF(0=LEN(ReferenceData!$T$11),"",ReferenceData!$T$11),"")</f>
        <v>2.0243394370000001</v>
      </c>
      <c r="U11">
        <f ca="1">IFERROR(IF(0=LEN(ReferenceData!$U$11),"",ReferenceData!$U$11),"")</f>
        <v>2.4468669890000001</v>
      </c>
      <c r="V11">
        <f ca="1">IFERROR(IF(0=LEN(ReferenceData!$V$11),"",ReferenceData!$V$11),"")</f>
        <v>2.805958</v>
      </c>
      <c r="W11">
        <f ca="1">IFERROR(IF(0=LEN(ReferenceData!$W$11),"",ReferenceData!$W$11),"")</f>
        <v>2.838624716</v>
      </c>
      <c r="X11">
        <f ca="1">IFERROR(IF(0=LEN(ReferenceData!$X$11),"",ReferenceData!$X$11),"")</f>
        <v>2.4660234449999998</v>
      </c>
      <c r="Y11">
        <f ca="1">IFERROR(IF(0=LEN(ReferenceData!$Y$11),"",ReferenceData!$Y$11),"")</f>
        <v>2.491681099</v>
      </c>
      <c r="Z11">
        <f ca="1">IFERROR(IF(0=LEN(ReferenceData!$Z$11),"",ReferenceData!$Z$11),"")</f>
        <v>2.3923823830000002</v>
      </c>
      <c r="AA11">
        <f ca="1">IFERROR(IF(0=LEN(ReferenceData!$AA$11),"",ReferenceData!$AA$11),"")</f>
        <v>2.2817249300000002</v>
      </c>
      <c r="AB11">
        <f ca="1">IFERROR(IF(0=LEN(ReferenceData!$AB$11),"",ReferenceData!$AB$11),"")</f>
        <v>2.3127548689999999</v>
      </c>
      <c r="AC11">
        <f ca="1">IFERROR(IF(0=LEN(ReferenceData!$AC$11),"",ReferenceData!$AC$11),"")</f>
        <v>2.2917623520000001</v>
      </c>
      <c r="AD11">
        <f ca="1">IFERROR(IF(0=LEN(ReferenceData!$AD$11),"",ReferenceData!$AD$11),"")</f>
        <v>2.6513078210000001</v>
      </c>
      <c r="AE11">
        <f ca="1">IFERROR(IF(0=LEN(ReferenceData!$AE$11),"",ReferenceData!$AE$11),"")</f>
        <v>2.286009789</v>
      </c>
      <c r="AF11">
        <f ca="1">IFERROR(IF(0=LEN(ReferenceData!$AF$11),"",ReferenceData!$AF$11),"")</f>
        <v>2.5712473390000001</v>
      </c>
      <c r="AG11">
        <f ca="1">IFERROR(IF(0=LEN(ReferenceData!$AG$11),"",ReferenceData!$AG$11),"")</f>
        <v>1.9296439889999999</v>
      </c>
      <c r="AH11">
        <f ca="1">IFERROR(IF(0=LEN(ReferenceData!$AH$11),"",ReferenceData!$AH$11),"")</f>
        <v>2.141966343</v>
      </c>
      <c r="AI11">
        <f ca="1">IFERROR(IF(0=LEN(ReferenceData!$AI$11),"",ReferenceData!$AI$11),"")</f>
        <v>2.1082463260000002</v>
      </c>
    </row>
    <row r="12" spans="1:35">
      <c r="A12" t="str">
        <f>IFERROR(IF(0=LEN(ReferenceData!$A$12),"",ReferenceData!$A$12),"")</f>
        <v>20 Year Bond</v>
      </c>
      <c r="B12" t="str">
        <f>IFERROR(IF(0=LEN(ReferenceData!$B$12),"",ReferenceData!$B$12),"")</f>
        <v>GDBR20 Index</v>
      </c>
      <c r="C12" t="str">
        <f>IFERROR(IF(0=LEN(ReferenceData!$C$12),"",ReferenceData!$C$12),"")</f>
        <v>PR005</v>
      </c>
      <c r="D12" t="str">
        <f>IFERROR(IF(0=LEN(ReferenceData!$D$12),"",ReferenceData!$D$12),"")</f>
        <v>PX_LAST</v>
      </c>
      <c r="E12" t="str">
        <f>IFERROR(IF(0=LEN(ReferenceData!$E$12),"",ReferenceData!$E$12),"")</f>
        <v>Dynamic</v>
      </c>
      <c r="F12">
        <f ca="1">IFERROR(IF(0=LEN(ReferenceData!$F$12),"",ReferenceData!$F$12),"")</f>
        <v>2.6043140889999998</v>
      </c>
      <c r="G12">
        <f ca="1">IFERROR(IF(0=LEN(ReferenceData!$G$12),"",ReferenceData!$G$12),"")</f>
        <v>2.7112324239999999</v>
      </c>
      <c r="H12">
        <f ca="1">IFERROR(IF(0=LEN(ReferenceData!$H$12),"",ReferenceData!$H$12),"")</f>
        <v>2.590380669</v>
      </c>
      <c r="I12">
        <f ca="1">IFERROR(IF(0=LEN(ReferenceData!$I$12),"",ReferenceData!$I$12),"")</f>
        <v>2.316378593</v>
      </c>
      <c r="J12">
        <f ca="1">IFERROR(IF(0=LEN(ReferenceData!$J$12),"",ReferenceData!$J$12),"")</f>
        <v>2.6168149999999999</v>
      </c>
      <c r="K12">
        <f ca="1">IFERROR(IF(0=LEN(ReferenceData!$K$12),"",ReferenceData!$K$12),"")</f>
        <v>2.4657335279999999</v>
      </c>
      <c r="L12">
        <f ca="1">IFERROR(IF(0=LEN(ReferenceData!$L$12),"",ReferenceData!$L$12),"")</f>
        <v>2.5759711269999999</v>
      </c>
      <c r="M12">
        <f ca="1">IFERROR(IF(0=LEN(ReferenceData!$M$12),"",ReferenceData!$M$12),"")</f>
        <v>2.5320131780000001</v>
      </c>
      <c r="N12">
        <f ca="1">IFERROR(IF(0=LEN(ReferenceData!$N$12),"",ReferenceData!$N$12),"")</f>
        <v>2.7190182209999998</v>
      </c>
      <c r="O12">
        <f ca="1">IFERROR(IF(0=LEN(ReferenceData!$O$12),"",ReferenceData!$O$12),"")</f>
        <v>2.8420691489999999</v>
      </c>
      <c r="P12">
        <f ca="1">IFERROR(IF(0=LEN(ReferenceData!$P$12),"",ReferenceData!$P$12),"")</f>
        <v>2.743320942</v>
      </c>
      <c r="Q12">
        <f ca="1">IFERROR(IF(0=LEN(ReferenceData!$Q$12),"",ReferenceData!$Q$12),"")</f>
        <v>2.4897939999999998</v>
      </c>
      <c r="R12">
        <f ca="1">IFERROR(IF(0=LEN(ReferenceData!$R$12),"",ReferenceData!$R$12),"")</f>
        <v>2.5871245859999998</v>
      </c>
      <c r="S12">
        <f ca="1">IFERROR(IF(0=LEN(ReferenceData!$S$12),"",ReferenceData!$S$12),"")</f>
        <v>2.431248665</v>
      </c>
      <c r="T12">
        <f ca="1">IFERROR(IF(0=LEN(ReferenceData!$T$12),"",ReferenceData!$T$12),"")</f>
        <v>2.2986378670000001</v>
      </c>
      <c r="U12">
        <f ca="1">IFERROR(IF(0=LEN(ReferenceData!$U$12),"",ReferenceData!$U$12),"")</f>
        <v>2.7215564250000002</v>
      </c>
      <c r="V12">
        <f ca="1">IFERROR(IF(0=LEN(ReferenceData!$V$12),"",ReferenceData!$V$12),"")</f>
        <v>3.0947469999999999</v>
      </c>
      <c r="W12">
        <f ca="1">IFERROR(IF(0=LEN(ReferenceData!$W$12),"",ReferenceData!$W$12),"")</f>
        <v>3.0507280830000001</v>
      </c>
      <c r="X12">
        <f ca="1">IFERROR(IF(0=LEN(ReferenceData!$X$12),"",ReferenceData!$X$12),"")</f>
        <v>2.631144285</v>
      </c>
      <c r="Y12">
        <f ca="1">IFERROR(IF(0=LEN(ReferenceData!$Y$12),"",ReferenceData!$Y$12),"")</f>
        <v>2.6365540030000001</v>
      </c>
      <c r="Z12">
        <f ca="1">IFERROR(IF(0=LEN(ReferenceData!$Z$12),"",ReferenceData!$Z$12),"")</f>
        <v>2.4873604770000002</v>
      </c>
      <c r="AA12">
        <f ca="1">IFERROR(IF(0=LEN(ReferenceData!$AA$12),"",ReferenceData!$AA$12),"")</f>
        <v>2.495957851</v>
      </c>
      <c r="AB12">
        <f ca="1">IFERROR(IF(0=LEN(ReferenceData!$AB$12),"",ReferenceData!$AB$12),"")</f>
        <v>2.4724807740000001</v>
      </c>
      <c r="AC12">
        <f ca="1">IFERROR(IF(0=LEN(ReferenceData!$AC$12),"",ReferenceData!$AC$12),"")</f>
        <v>2.4311487669999998</v>
      </c>
      <c r="AD12">
        <f ca="1">IFERROR(IF(0=LEN(ReferenceData!$AD$12),"",ReferenceData!$AD$12),"")</f>
        <v>2.7076077459999999</v>
      </c>
      <c r="AE12">
        <f ca="1">IFERROR(IF(0=LEN(ReferenceData!$AE$12),"",ReferenceData!$AE$12),"")</f>
        <v>2.3331422810000002</v>
      </c>
      <c r="AF12">
        <f ca="1">IFERROR(IF(0=LEN(ReferenceData!$AF$12),"",ReferenceData!$AF$12),"")</f>
        <v>2.6112451550000002</v>
      </c>
      <c r="AG12">
        <f ca="1">IFERROR(IF(0=LEN(ReferenceData!$AG$12),"",ReferenceData!$AG$12),"")</f>
        <v>1.9490792749999999</v>
      </c>
      <c r="AH12">
        <f ca="1">IFERROR(IF(0=LEN(ReferenceData!$AH$12),"",ReferenceData!$AH$12),"")</f>
        <v>2.318908215</v>
      </c>
      <c r="AI12">
        <f ca="1">IFERROR(IF(0=LEN(ReferenceData!$AI$12),"",ReferenceData!$AI$12),"")</f>
        <v>2.1789956090000002</v>
      </c>
    </row>
    <row r="13" spans="1:35">
      <c r="A13" t="str">
        <f>IFERROR(IF(0=LEN(ReferenceData!$A$13),"",ReferenceData!$A$13),"")</f>
        <v>30 Year Bond</v>
      </c>
      <c r="B13" t="str">
        <f>IFERROR(IF(0=LEN(ReferenceData!$B$13),"",ReferenceData!$B$13),"")</f>
        <v>GDBR30 Index</v>
      </c>
      <c r="C13" t="str">
        <f>IFERROR(IF(0=LEN(ReferenceData!$C$13),"",ReferenceData!$C$13),"")</f>
        <v>PR005</v>
      </c>
      <c r="D13" t="str">
        <f>IFERROR(IF(0=LEN(ReferenceData!$D$13),"",ReferenceData!$D$13),"")</f>
        <v>PX_LAST</v>
      </c>
      <c r="E13" t="str">
        <f>IFERROR(IF(0=LEN(ReferenceData!$E$13),"",ReferenceData!$E$13),"")</f>
        <v>Dynamic</v>
      </c>
      <c r="F13">
        <f ca="1">IFERROR(IF(0=LEN(ReferenceData!$F$13),"",ReferenceData!$F$13),"")</f>
        <v>2.615415096</v>
      </c>
      <c r="G13">
        <f ca="1">IFERROR(IF(0=LEN(ReferenceData!$G$13),"",ReferenceData!$G$13),"")</f>
        <v>2.7129418850000002</v>
      </c>
      <c r="H13">
        <f ca="1">IFERROR(IF(0=LEN(ReferenceData!$H$13),"",ReferenceData!$H$13),"")</f>
        <v>2.5966069699999998</v>
      </c>
      <c r="I13">
        <f ca="1">IFERROR(IF(0=LEN(ReferenceData!$I$13),"",ReferenceData!$I$13),"")</f>
        <v>2.3249039649999999</v>
      </c>
      <c r="J13">
        <f ca="1">IFERROR(IF(0=LEN(ReferenceData!$J$13),"",ReferenceData!$J$13),"")</f>
        <v>2.5954989999999998</v>
      </c>
      <c r="K13">
        <f ca="1">IFERROR(IF(0=LEN(ReferenceData!$K$13),"",ReferenceData!$K$13),"")</f>
        <v>2.4589397910000002</v>
      </c>
      <c r="L13">
        <f ca="1">IFERROR(IF(0=LEN(ReferenceData!$L$13),"",ReferenceData!$L$13),"")</f>
        <v>2.5462441440000001</v>
      </c>
      <c r="M13">
        <f ca="1">IFERROR(IF(0=LEN(ReferenceData!$M$13),"",ReferenceData!$M$13),"")</f>
        <v>2.5141820909999999</v>
      </c>
      <c r="N13">
        <f ca="1">IFERROR(IF(0=LEN(ReferenceData!$N$13),"",ReferenceData!$N$13),"")</f>
        <v>2.6914865969999999</v>
      </c>
      <c r="O13">
        <f ca="1">IFERROR(IF(0=LEN(ReferenceData!$O$13),"",ReferenceData!$O$13),"")</f>
        <v>2.783823967</v>
      </c>
      <c r="P13">
        <f ca="1">IFERROR(IF(0=LEN(ReferenceData!$P$13),"",ReferenceData!$P$13),"")</f>
        <v>2.6899871829999999</v>
      </c>
      <c r="Q13">
        <f ca="1">IFERROR(IF(0=LEN(ReferenceData!$Q$13),"",ReferenceData!$Q$13),"")</f>
        <v>2.4553229999999999</v>
      </c>
      <c r="R13">
        <f ca="1">IFERROR(IF(0=LEN(ReferenceData!$R$13),"",ReferenceData!$R$13),"")</f>
        <v>2.5386273859999999</v>
      </c>
      <c r="S13">
        <f ca="1">IFERROR(IF(0=LEN(ReferenceData!$S$13),"",ReferenceData!$S$13),"")</f>
        <v>2.4046223160000002</v>
      </c>
      <c r="T13">
        <f ca="1">IFERROR(IF(0=LEN(ReferenceData!$T$13),"",ReferenceData!$T$13),"")</f>
        <v>2.2633655070000001</v>
      </c>
      <c r="U13">
        <f ca="1">IFERROR(IF(0=LEN(ReferenceData!$U$13),"",ReferenceData!$U$13),"")</f>
        <v>2.687119246</v>
      </c>
      <c r="V13">
        <f ca="1">IFERROR(IF(0=LEN(ReferenceData!$V$13),"",ReferenceData!$V$13),"")</f>
        <v>3.094293</v>
      </c>
      <c r="W13">
        <f ca="1">IFERROR(IF(0=LEN(ReferenceData!$W$13),"",ReferenceData!$W$13),"")</f>
        <v>3.0354151730000001</v>
      </c>
      <c r="X13">
        <f ca="1">IFERROR(IF(0=LEN(ReferenceData!$X$13),"",ReferenceData!$X$13),"")</f>
        <v>2.5908608439999998</v>
      </c>
      <c r="Y13">
        <f ca="1">IFERROR(IF(0=LEN(ReferenceData!$Y$13),"",ReferenceData!$Y$13),"")</f>
        <v>2.5703959470000002</v>
      </c>
      <c r="Z13">
        <f ca="1">IFERROR(IF(0=LEN(ReferenceData!$Z$13),"",ReferenceData!$Z$13),"")</f>
        <v>2.3890776630000001</v>
      </c>
      <c r="AA13">
        <f ca="1">IFERROR(IF(0=LEN(ReferenceData!$AA$13),"",ReferenceData!$AA$13),"")</f>
        <v>2.4608342649999999</v>
      </c>
      <c r="AB13">
        <f ca="1">IFERROR(IF(0=LEN(ReferenceData!$AB$13),"",ReferenceData!$AB$13),"")</f>
        <v>2.415188074</v>
      </c>
      <c r="AC13">
        <f ca="1">IFERROR(IF(0=LEN(ReferenceData!$AC$13),"",ReferenceData!$AC$13),"")</f>
        <v>2.3628244399999998</v>
      </c>
      <c r="AD13">
        <f ca="1">IFERROR(IF(0=LEN(ReferenceData!$AD$13),"",ReferenceData!$AD$13),"")</f>
        <v>2.6095929149999999</v>
      </c>
      <c r="AE13">
        <f ca="1">IFERROR(IF(0=LEN(ReferenceData!$AE$13),"",ReferenceData!$AE$13),"")</f>
        <v>2.224384546</v>
      </c>
      <c r="AF13">
        <f ca="1">IFERROR(IF(0=LEN(ReferenceData!$AF$13),"",ReferenceData!$AF$13),"")</f>
        <v>2.544522524</v>
      </c>
      <c r="AG13">
        <f ca="1">IFERROR(IF(0=LEN(ReferenceData!$AG$13),"",ReferenceData!$AG$13),"")</f>
        <v>1.821546793</v>
      </c>
      <c r="AH13">
        <f ca="1">IFERROR(IF(0=LEN(ReferenceData!$AH$13),"",ReferenceData!$AH$13),"")</f>
        <v>2.1353597639999999</v>
      </c>
      <c r="AI13">
        <f ca="1">IFERROR(IF(0=LEN(ReferenceData!$AI$13),"",ReferenceData!$AI$13),"")</f>
        <v>2.0915014740000002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67"/>
  <sheetViews>
    <sheetView workbookViewId="0"/>
  </sheetViews>
  <sheetFormatPr defaultRowHeight="15"/>
  <cols>
    <col min="1" max="1" width="56.28515625" customWidth="1"/>
    <col min="2" max="2" width="15.85546875" customWidth="1"/>
    <col min="3" max="65" width="9.140625" bestFit="1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ReferenceData!$C$58</f>
        <v>2/2025</v>
      </c>
      <c r="G2" s="1" t="str">
        <f>ReferenceData!$D$58</f>
        <v>1/2025</v>
      </c>
      <c r="H2" s="1" t="str">
        <f>ReferenceData!$E$58</f>
        <v>12/2024</v>
      </c>
      <c r="I2" s="1" t="str">
        <f>ReferenceData!$F$58</f>
        <v>11/2024</v>
      </c>
      <c r="J2" s="1" t="str">
        <f>ReferenceData!$G$58</f>
        <v>10/2024</v>
      </c>
      <c r="K2" s="1" t="str">
        <f>ReferenceData!$H$58</f>
        <v>9/2024</v>
      </c>
      <c r="L2" s="1" t="str">
        <f>ReferenceData!$I$58</f>
        <v>8/2024</v>
      </c>
      <c r="M2" s="1" t="str">
        <f>ReferenceData!$J$58</f>
        <v>7/2024</v>
      </c>
      <c r="N2" s="1" t="str">
        <f>ReferenceData!$K$58</f>
        <v>6/2024</v>
      </c>
      <c r="O2" s="1" t="str">
        <f>ReferenceData!$L$58</f>
        <v>5/2024</v>
      </c>
      <c r="P2" s="1" t="str">
        <f>ReferenceData!$M$58</f>
        <v>4/2024</v>
      </c>
      <c r="Q2" s="1" t="str">
        <f>ReferenceData!$N$58</f>
        <v>3/2024</v>
      </c>
      <c r="R2" s="1" t="str">
        <f>ReferenceData!$O$58</f>
        <v>2/2024</v>
      </c>
      <c r="S2" s="1" t="str">
        <f>ReferenceData!$P$58</f>
        <v>1/2024</v>
      </c>
      <c r="T2" s="1" t="str">
        <f>ReferenceData!$Q$58</f>
        <v>12/2023</v>
      </c>
      <c r="U2" s="1" t="str">
        <f>ReferenceData!$R$58</f>
        <v>11/2023</v>
      </c>
      <c r="V2" s="1" t="str">
        <f>ReferenceData!$S$58</f>
        <v>10/2023</v>
      </c>
      <c r="W2" s="1" t="str">
        <f>ReferenceData!$T$58</f>
        <v>9/2023</v>
      </c>
      <c r="X2" s="1" t="str">
        <f>ReferenceData!$U$58</f>
        <v>8/2023</v>
      </c>
      <c r="Y2" s="1" t="str">
        <f>ReferenceData!$V$58</f>
        <v>7/2023</v>
      </c>
      <c r="Z2" s="1" t="str">
        <f>ReferenceData!$W$58</f>
        <v>6/2023</v>
      </c>
      <c r="AA2" s="1" t="str">
        <f>ReferenceData!$X$58</f>
        <v>5/2023</v>
      </c>
      <c r="AB2" s="1" t="str">
        <f>ReferenceData!$Y$58</f>
        <v>4/2023</v>
      </c>
      <c r="AC2" s="1" t="str">
        <f>ReferenceData!$Z$58</f>
        <v>3/2023</v>
      </c>
      <c r="AD2" s="1" t="str">
        <f>ReferenceData!$AA$58</f>
        <v>2/2023</v>
      </c>
      <c r="AE2" s="1" t="str">
        <f>ReferenceData!$AB$58</f>
        <v>1/2023</v>
      </c>
      <c r="AF2" s="1" t="str">
        <f>ReferenceData!$AC$58</f>
        <v>12/2022</v>
      </c>
      <c r="AG2" s="1" t="str">
        <f>ReferenceData!$AD$58</f>
        <v>11/2022</v>
      </c>
      <c r="AH2" s="1" t="str">
        <f>ReferenceData!$AE$58</f>
        <v>10/2022</v>
      </c>
      <c r="AI2" s="1" t="str">
        <f>ReferenceData!$AF$58</f>
        <v>9/2022</v>
      </c>
      <c r="AJ2" t="str">
        <f>$C$58</f>
        <v>2/2025</v>
      </c>
      <c r="AK2" t="str">
        <f>$D$58</f>
        <v>1/2025</v>
      </c>
      <c r="AL2" t="str">
        <f>$E$58</f>
        <v>12/2024</v>
      </c>
      <c r="AM2" t="str">
        <f>$F$58</f>
        <v>11/2024</v>
      </c>
      <c r="AN2" t="str">
        <f>$G$58</f>
        <v>10/2024</v>
      </c>
      <c r="AO2" t="str">
        <f>$H$58</f>
        <v>9/2024</v>
      </c>
      <c r="AP2" t="str">
        <f>$I$58</f>
        <v>8/2024</v>
      </c>
      <c r="AQ2" t="str">
        <f>$J$58</f>
        <v>7/2024</v>
      </c>
      <c r="AR2" t="str">
        <f>$K$58</f>
        <v>6/2024</v>
      </c>
      <c r="AS2" t="str">
        <f>$L$58</f>
        <v>5/2024</v>
      </c>
      <c r="AT2" t="str">
        <f>$M$58</f>
        <v>4/2024</v>
      </c>
      <c r="AU2" t="str">
        <f>$N$58</f>
        <v>3/2024</v>
      </c>
      <c r="AV2" t="str">
        <f>$O$58</f>
        <v>2/2024</v>
      </c>
      <c r="AW2" t="str">
        <f>$P$58</f>
        <v>1/2024</v>
      </c>
      <c r="AX2" t="str">
        <f>$Q$58</f>
        <v>12/2023</v>
      </c>
      <c r="AY2" t="str">
        <f>$R$58</f>
        <v>11/2023</v>
      </c>
      <c r="AZ2" t="str">
        <f>$S$58</f>
        <v>10/2023</v>
      </c>
      <c r="BA2" t="str">
        <f>$T$58</f>
        <v>9/2023</v>
      </c>
      <c r="BB2" t="str">
        <f>$U$58</f>
        <v>8/2023</v>
      </c>
      <c r="BC2" t="str">
        <f>$V$58</f>
        <v>7/2023</v>
      </c>
      <c r="BD2" t="str">
        <f>$W$58</f>
        <v>6/2023</v>
      </c>
      <c r="BE2" t="str">
        <f>$X$58</f>
        <v>5/2023</v>
      </c>
      <c r="BF2" t="str">
        <f>$Y$58</f>
        <v>4/2023</v>
      </c>
      <c r="BG2" t="str">
        <f>$Z$58</f>
        <v>3/2023</v>
      </c>
      <c r="BH2" t="str">
        <f>$AA$58</f>
        <v>2/2023</v>
      </c>
      <c r="BI2" t="str">
        <f>$AB$58</f>
        <v>1/2023</v>
      </c>
      <c r="BJ2" t="str">
        <f>$AC$58</f>
        <v>12/2022</v>
      </c>
      <c r="BK2" t="str">
        <f>$AD$58</f>
        <v>11/2022</v>
      </c>
      <c r="BL2" t="str">
        <f>$AE$58</f>
        <v>10/2022</v>
      </c>
      <c r="BM2" t="str">
        <f>$AF$58</f>
        <v>9/2022</v>
      </c>
    </row>
    <row r="3" spans="1:65">
      <c r="A3" t="str">
        <f>"Bills"</f>
        <v>Bills</v>
      </c>
      <c r="B3" t="str">
        <f>""</f>
        <v/>
      </c>
      <c r="E3" t="str">
        <f>"Heading"</f>
        <v>Heading</v>
      </c>
      <c r="AJ3" t="str">
        <f>""</f>
        <v/>
      </c>
      <c r="AK3" t="str">
        <f>""</f>
        <v/>
      </c>
      <c r="AL3" t="str">
        <f>""</f>
        <v/>
      </c>
      <c r="AM3" t="str">
        <f>""</f>
        <v/>
      </c>
      <c r="AN3" t="str">
        <f>""</f>
        <v/>
      </c>
      <c r="AO3" t="str">
        <f>""</f>
        <v/>
      </c>
      <c r="AP3" t="str">
        <f>""</f>
        <v/>
      </c>
      <c r="AQ3" t="str">
        <f>""</f>
        <v/>
      </c>
      <c r="AR3" t="str">
        <f>""</f>
        <v/>
      </c>
      <c r="AS3" t="str">
        <f>""</f>
        <v/>
      </c>
      <c r="AT3" t="str">
        <f>""</f>
        <v/>
      </c>
      <c r="AU3" t="str">
        <f>""</f>
        <v/>
      </c>
      <c r="AV3" t="str">
        <f>""</f>
        <v/>
      </c>
      <c r="AW3" t="str">
        <f>""</f>
        <v/>
      </c>
      <c r="AX3" t="str">
        <f>""</f>
        <v/>
      </c>
      <c r="AY3" t="str">
        <f>""</f>
        <v/>
      </c>
      <c r="AZ3" t="str">
        <f>""</f>
        <v/>
      </c>
      <c r="BA3" t="str">
        <f>""</f>
        <v/>
      </c>
      <c r="BB3" t="str">
        <f>""</f>
        <v/>
      </c>
      <c r="BC3" t="str">
        <f>""</f>
        <v/>
      </c>
      <c r="BD3" t="str">
        <f>""</f>
        <v/>
      </c>
      <c r="BE3" t="str">
        <f>""</f>
        <v/>
      </c>
      <c r="BF3" t="str">
        <f>""</f>
        <v/>
      </c>
      <c r="BG3" t="str">
        <f>""</f>
        <v/>
      </c>
      <c r="BH3" t="str">
        <f>""</f>
        <v/>
      </c>
      <c r="BI3" t="str">
        <f>""</f>
        <v/>
      </c>
      <c r="BJ3" t="str">
        <f>""</f>
        <v/>
      </c>
      <c r="BK3" t="str">
        <f>""</f>
        <v/>
      </c>
      <c r="BL3" t="str">
        <f>""</f>
        <v/>
      </c>
      <c r="BM3" t="str">
        <f>""</f>
        <v/>
      </c>
    </row>
    <row r="4" spans="1:65">
      <c r="A4" t="str">
        <f>"12 Month Bills"</f>
        <v>12 Month Bills</v>
      </c>
      <c r="B4" t="str">
        <f>"GDBR1 Index"</f>
        <v>GDBR1 Index</v>
      </c>
      <c r="C4" t="str">
        <f>"PR005"</f>
        <v>PR005</v>
      </c>
      <c r="D4" t="str">
        <f>"PX_LAST"</f>
        <v>PX_LAST</v>
      </c>
      <c r="E4" t="str">
        <f>"Dynamic"</f>
        <v>Dynamic</v>
      </c>
      <c r="F4">
        <f ca="1">IF(AND(ISNUMBER($F$31),$B$29=1),$F$31,HLOOKUP(INDIRECT(ADDRESS(2,COLUMN())),OFFSET($AJ$2,0,0,ROW()-1,30),ROW()-1,FALSE))</f>
        <v>2.0731575489999998</v>
      </c>
      <c r="G4">
        <f ca="1">IF(AND(ISNUMBER($G$31),$B$29=1),$G$31,HLOOKUP(INDIRECT(ADDRESS(2,COLUMN())),OFFSET($AJ$2,0,0,ROW()-1,30),ROW()-1,FALSE))</f>
        <v>2.1392464640000002</v>
      </c>
      <c r="H4">
        <f ca="1">IF(AND(ISNUMBER($H$31),$B$29=1),$H$31,HLOOKUP(INDIRECT(ADDRESS(2,COLUMN())),OFFSET($AJ$2,0,0,ROW()-1,30),ROW()-1,FALSE))</f>
        <v>2.2432301039999998</v>
      </c>
      <c r="I4">
        <f ca="1">IF(AND(ISNUMBER($I$31),$B$29=1),$I$31,HLOOKUP(INDIRECT(ADDRESS(2,COLUMN())),OFFSET($AJ$2,0,0,ROW()-1,30),ROW()-1,FALSE))</f>
        <v>2.2462842460000001</v>
      </c>
      <c r="J4">
        <f ca="1">IF(AND(ISNUMBER($J$31),$B$29=1),$J$31,HLOOKUP(INDIRECT(ADDRESS(2,COLUMN())),OFFSET($AJ$2,0,0,ROW()-1,30),ROW()-1,FALSE))</f>
        <v>2.4659620000000002</v>
      </c>
      <c r="K4">
        <f ca="1">IF(AND(ISNUMBER($K$31),$B$29=1),$K$31,HLOOKUP(INDIRECT(ADDRESS(2,COLUMN())),OFFSET($AJ$2,0,0,ROW()-1,30),ROW()-1,FALSE))</f>
        <v>2.46771574</v>
      </c>
      <c r="L4">
        <f ca="1">IF(AND(ISNUMBER($L$31),$B$29=1),$L$31,HLOOKUP(INDIRECT(ADDRESS(2,COLUMN())),OFFSET($AJ$2,0,0,ROW()-1,30),ROW()-1,FALSE))</f>
        <v>2.825395823</v>
      </c>
      <c r="M4">
        <f ca="1">IF(AND(ISNUMBER($M$31),$B$29=1),$M$31,HLOOKUP(INDIRECT(ADDRESS(2,COLUMN())),OFFSET($AJ$2,0,0,ROW()-1,30),ROW()-1,FALSE))</f>
        <v>3.0015351770000001</v>
      </c>
      <c r="N4">
        <f ca="1">IF(AND(ISNUMBER($N$31),$B$29=1),$N$31,HLOOKUP(INDIRECT(ADDRESS(2,COLUMN())),OFFSET($AJ$2,0,0,ROW()-1,30),ROW()-1,FALSE))</f>
        <v>3.2087409500000001</v>
      </c>
      <c r="O4">
        <f ca="1">IF(AND(ISNUMBER($O$31),$B$29=1),$O$31,HLOOKUP(INDIRECT(ADDRESS(2,COLUMN())),OFFSET($AJ$2,0,0,ROW()-1,30),ROW()-1,FALSE))</f>
        <v>3.433880329</v>
      </c>
      <c r="P4">
        <f ca="1">IF(AND(ISNUMBER($P$31),$B$29=1),$P$31,HLOOKUP(INDIRECT(ADDRESS(2,COLUMN())),OFFSET($AJ$2,0,0,ROW()-1,30),ROW()-1,FALSE))</f>
        <v>3.4392347339999998</v>
      </c>
      <c r="Q4">
        <f ca="1">IF(AND(ISNUMBER($Q$31),$B$29=1),$Q$31,HLOOKUP(INDIRECT(ADDRESS(2,COLUMN())),OFFSET($AJ$2,0,0,ROW()-1,30),ROW()-1,FALSE))</f>
        <v>3.3431860000000002</v>
      </c>
      <c r="R4">
        <f ca="1">IF(AND(ISNUMBER($R$31),$B$29=1),$R$31,HLOOKUP(INDIRECT(ADDRESS(2,COLUMN())),OFFSET($AJ$2,0,0,ROW()-1,30),ROW()-1,FALSE))</f>
        <v>3.4338173869999999</v>
      </c>
      <c r="S4">
        <f ca="1">IF(AND(ISNUMBER($S$31),$B$29=1),$S$31,HLOOKUP(INDIRECT(ADDRESS(2,COLUMN())),OFFSET($AJ$2,0,0,ROW()-1,30),ROW()-1,FALSE))</f>
        <v>3.1517403129999999</v>
      </c>
      <c r="T4">
        <f ca="1">IF(AND(ISNUMBER($T$31),$B$29=1),$T$31,HLOOKUP(INDIRECT(ADDRESS(2,COLUMN())),OFFSET($AJ$2,0,0,ROW()-1,30),ROW()-1,FALSE))</f>
        <v>3.2618353369999999</v>
      </c>
      <c r="U4">
        <f ca="1">IF(AND(ISNUMBER($U$31),$B$29=1),$U$31,HLOOKUP(INDIRECT(ADDRESS(2,COLUMN())),OFFSET($AJ$2,0,0,ROW()-1,30),ROW()-1,FALSE))</f>
        <v>3.4276995659999998</v>
      </c>
      <c r="V4">
        <f ca="1">IF(AND(ISNUMBER($V$31),$B$29=1),$V$31,HLOOKUP(INDIRECT(ADDRESS(2,COLUMN())),OFFSET($AJ$2,0,0,ROW()-1,30),ROW()-1,FALSE))</f>
        <v>3.6377999999999999</v>
      </c>
      <c r="W4">
        <f ca="1">IF(AND(ISNUMBER($W$31),$B$29=1),$W$31,HLOOKUP(INDIRECT(ADDRESS(2,COLUMN())),OFFSET($AJ$2,0,0,ROW()-1,30),ROW()-1,FALSE))</f>
        <v>3.6913793090000002</v>
      </c>
      <c r="X4">
        <f ca="1">IF(AND(ISNUMBER($X$31),$B$29=1),$X$31,HLOOKUP(INDIRECT(ADDRESS(2,COLUMN())),OFFSET($AJ$2,0,0,ROW()-1,30),ROW()-1,FALSE))</f>
        <v>3.5372126100000001</v>
      </c>
      <c r="Y4">
        <f ca="1">IF(AND(ISNUMBER($Y$31),$B$29=1),$Y$31,HLOOKUP(INDIRECT(ADDRESS(2,COLUMN())),OFFSET($AJ$2,0,0,ROW()-1,30),ROW()-1,FALSE))</f>
        <v>3.616019487</v>
      </c>
      <c r="Z4">
        <f ca="1">IF(AND(ISNUMBER($Z$31),$B$29=1),$Z$31,HLOOKUP(INDIRECT(ADDRESS(2,COLUMN())),OFFSET($AJ$2,0,0,ROW()-1,30),ROW()-1,FALSE))</f>
        <v>3.5892519950000001</v>
      </c>
      <c r="AA4">
        <f ca="1">IF(AND(ISNUMBER($AA$31),$B$29=1),$AA$31,HLOOKUP(INDIRECT(ADDRESS(2,COLUMN())),OFFSET($AJ$2,0,0,ROW()-1,30),ROW()-1,FALSE))</f>
        <v>3.1702313420000001</v>
      </c>
      <c r="AB4">
        <f ca="1">IF(AND(ISNUMBER($AB$31),$B$29=1),$AB$31,HLOOKUP(INDIRECT(ADDRESS(2,COLUMN())),OFFSET($AJ$2,0,0,ROW()-1,30),ROW()-1,FALSE))</f>
        <v>3.0905339719999998</v>
      </c>
      <c r="AC4">
        <f ca="1">IF(AND(ISNUMBER($AC$31),$B$29=1),$AC$31,HLOOKUP(INDIRECT(ADDRESS(2,COLUMN())),OFFSET($AJ$2,0,0,ROW()-1,30),ROW()-1,FALSE))</f>
        <v>3.0081222059999999</v>
      </c>
      <c r="AD4">
        <f ca="1">IF(AND(ISNUMBER($AD$31),$B$29=1),$AD$31,HLOOKUP(INDIRECT(ADDRESS(2,COLUMN())),OFFSET($AJ$2,0,0,ROW()-1,30),ROW()-1,FALSE))</f>
        <v>3.2097928520000001</v>
      </c>
      <c r="AE4">
        <f ca="1">IF(AND(ISNUMBER($AE$31),$B$29=1),$AE$31,HLOOKUP(INDIRECT(ADDRESS(2,COLUMN())),OFFSET($AJ$2,0,0,ROW()-1,30),ROW()-1,FALSE))</f>
        <v>2.7789046759999998</v>
      </c>
      <c r="AF4">
        <f ca="1">IF(AND(ISNUMBER($AF$31),$B$29=1),$AF$31,HLOOKUP(INDIRECT(ADDRESS(2,COLUMN())),OFFSET($AJ$2,0,0,ROW()-1,30),ROW()-1,FALSE))</f>
        <v>2.600465775</v>
      </c>
      <c r="AG4">
        <f ca="1">IF(AND(ISNUMBER($AG$31),$B$29=1),$AG$31,HLOOKUP(INDIRECT(ADDRESS(2,COLUMN())),OFFSET($AJ$2,0,0,ROW()-1,30),ROW()-1,FALSE))</f>
        <v>2.1775729660000001</v>
      </c>
      <c r="AH4">
        <f ca="1">IF(AND(ISNUMBER($AH$31),$B$29=1),$AH$31,HLOOKUP(INDIRECT(ADDRESS(2,COLUMN())),OFFSET($AJ$2,0,0,ROW()-1,30),ROW()-1,FALSE))</f>
        <v>2.0765783789999999</v>
      </c>
      <c r="AI4">
        <f ca="1">IF(AND(ISNUMBER($AI$31),$B$29=1),$AI$31,HLOOKUP(INDIRECT(ADDRESS(2,COLUMN())),OFFSET($AJ$2,0,0,ROW()-1,30),ROW()-1,FALSE))</f>
        <v>1.710031509</v>
      </c>
      <c r="AJ4">
        <f>2.073157549</f>
        <v>2.0731575489999998</v>
      </c>
      <c r="AK4">
        <f>2.139246464</f>
        <v>2.1392464640000002</v>
      </c>
      <c r="AL4">
        <f>2.243230104</f>
        <v>2.2432301039999998</v>
      </c>
      <c r="AM4">
        <f>2.246284246</f>
        <v>2.2462842460000001</v>
      </c>
      <c r="AN4">
        <f>2.465962</f>
        <v>2.4659620000000002</v>
      </c>
      <c r="AO4">
        <f>2.46771574</f>
        <v>2.46771574</v>
      </c>
      <c r="AP4">
        <f>2.825395823</f>
        <v>2.825395823</v>
      </c>
      <c r="AQ4">
        <f>3.001535177</f>
        <v>3.0015351770000001</v>
      </c>
      <c r="AR4">
        <f>3.20874095</f>
        <v>3.2087409500000001</v>
      </c>
      <c r="AS4">
        <f>3.433880329</f>
        <v>3.433880329</v>
      </c>
      <c r="AT4">
        <f>3.439234734</f>
        <v>3.4392347339999998</v>
      </c>
      <c r="AU4">
        <f>3.343186</f>
        <v>3.3431860000000002</v>
      </c>
      <c r="AV4">
        <f>3.433817387</f>
        <v>3.4338173869999999</v>
      </c>
      <c r="AW4">
        <f>3.151740313</f>
        <v>3.1517403129999999</v>
      </c>
      <c r="AX4">
        <f>3.261835337</f>
        <v>3.2618353369999999</v>
      </c>
      <c r="AY4">
        <f>3.427699566</f>
        <v>3.4276995659999998</v>
      </c>
      <c r="AZ4">
        <f>3.6378</f>
        <v>3.6377999999999999</v>
      </c>
      <c r="BA4">
        <f>3.691379309</f>
        <v>3.6913793090000002</v>
      </c>
      <c r="BB4">
        <f>3.53721261</f>
        <v>3.5372126100000001</v>
      </c>
      <c r="BC4">
        <f>3.616019487</f>
        <v>3.616019487</v>
      </c>
      <c r="BD4">
        <f>3.589251995</f>
        <v>3.5892519950000001</v>
      </c>
      <c r="BE4">
        <f>3.170231342</f>
        <v>3.1702313420000001</v>
      </c>
      <c r="BF4">
        <f>3.090533972</f>
        <v>3.0905339719999998</v>
      </c>
      <c r="BG4">
        <f>3.008122206</f>
        <v>3.0081222059999999</v>
      </c>
      <c r="BH4">
        <f>3.209792852</f>
        <v>3.2097928520000001</v>
      </c>
      <c r="BI4">
        <f>2.778904676</f>
        <v>2.7789046759999998</v>
      </c>
      <c r="BJ4">
        <f>2.600465775</f>
        <v>2.600465775</v>
      </c>
      <c r="BK4">
        <f>2.177572966</f>
        <v>2.1775729660000001</v>
      </c>
      <c r="BL4">
        <f>2.076578379</f>
        <v>2.0765783789999999</v>
      </c>
      <c r="BM4">
        <f>1.710031509</f>
        <v>1.710031509</v>
      </c>
    </row>
    <row r="5" spans="1:65">
      <c r="A5" t="str">
        <f>""</f>
        <v/>
      </c>
      <c r="B5" t="str">
        <f>""</f>
        <v/>
      </c>
      <c r="E5" t="str">
        <f>"Static"</f>
        <v>Static</v>
      </c>
      <c r="F5" t="str">
        <f t="shared" ref="F5:AI5" ca="1" si="0">HLOOKUP(INDIRECT(ADDRESS(2,COLUMN())),OFFSET($AJ$2,0,0,ROW()-1,30),ROW()-1,FALSE)</f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0"/>
        <v/>
      </c>
      <c r="R5" t="str">
        <f t="shared" ca="1" si="0"/>
        <v/>
      </c>
      <c r="S5" t="str">
        <f t="shared" ca="1" si="0"/>
        <v/>
      </c>
      <c r="T5" t="str">
        <f t="shared" ca="1" si="0"/>
        <v/>
      </c>
      <c r="U5" t="str">
        <f t="shared" ca="1" si="0"/>
        <v/>
      </c>
      <c r="V5" t="str">
        <f t="shared" ca="1" si="0"/>
        <v/>
      </c>
      <c r="W5" t="str">
        <f t="shared" ca="1" si="0"/>
        <v/>
      </c>
      <c r="X5" t="str">
        <f t="shared" ca="1" si="0"/>
        <v/>
      </c>
      <c r="Y5" t="str">
        <f t="shared" ca="1" si="0"/>
        <v/>
      </c>
      <c r="Z5" t="str">
        <f t="shared" ca="1" si="0"/>
        <v/>
      </c>
      <c r="AA5" t="str">
        <f t="shared" ca="1" si="0"/>
        <v/>
      </c>
      <c r="AB5" t="str">
        <f t="shared" ca="1" si="0"/>
        <v/>
      </c>
      <c r="AC5" t="str">
        <f t="shared" ca="1" si="0"/>
        <v/>
      </c>
      <c r="AD5" t="str">
        <f t="shared" ca="1" si="0"/>
        <v/>
      </c>
      <c r="AE5" t="str">
        <f t="shared" ca="1" si="0"/>
        <v/>
      </c>
      <c r="AF5" t="str">
        <f t="shared" ca="1" si="0"/>
        <v/>
      </c>
      <c r="AG5" t="str">
        <f t="shared" ca="1" si="0"/>
        <v/>
      </c>
      <c r="AH5" t="str">
        <f t="shared" ca="1" si="0"/>
        <v/>
      </c>
      <c r="AI5" t="str">
        <f t="shared" ca="1" si="0"/>
        <v/>
      </c>
      <c r="AJ5" t="str">
        <f>""</f>
        <v/>
      </c>
      <c r="AK5" t="str">
        <f>""</f>
        <v/>
      </c>
      <c r="AL5" t="str">
        <f>""</f>
        <v/>
      </c>
      <c r="AM5" t="str">
        <f>""</f>
        <v/>
      </c>
      <c r="AN5" t="str">
        <f>""</f>
        <v/>
      </c>
      <c r="AO5" t="str">
        <f>""</f>
        <v/>
      </c>
      <c r="AP5" t="str">
        <f>""</f>
        <v/>
      </c>
      <c r="AQ5" t="str">
        <f>""</f>
        <v/>
      </c>
      <c r="AR5" t="str">
        <f>""</f>
        <v/>
      </c>
      <c r="AS5" t="str">
        <f>""</f>
        <v/>
      </c>
      <c r="AT5" t="str">
        <f>""</f>
        <v/>
      </c>
      <c r="AU5" t="str">
        <f>""</f>
        <v/>
      </c>
      <c r="AV5" t="str">
        <f>""</f>
        <v/>
      </c>
      <c r="AW5" t="str">
        <f>""</f>
        <v/>
      </c>
      <c r="AX5" t="str">
        <f>""</f>
        <v/>
      </c>
      <c r="AY5" t="str">
        <f>""</f>
        <v/>
      </c>
      <c r="AZ5" t="str">
        <f>""</f>
        <v/>
      </c>
      <c r="BA5" t="str">
        <f>""</f>
        <v/>
      </c>
      <c r="BB5" t="str">
        <f>""</f>
        <v/>
      </c>
      <c r="BC5" t="str">
        <f>""</f>
        <v/>
      </c>
      <c r="BD5" t="str">
        <f>""</f>
        <v/>
      </c>
      <c r="BE5" t="str">
        <f>""</f>
        <v/>
      </c>
      <c r="BF5" t="str">
        <f>""</f>
        <v/>
      </c>
      <c r="BG5" t="str">
        <f>""</f>
        <v/>
      </c>
      <c r="BH5" t="str">
        <f>""</f>
        <v/>
      </c>
      <c r="BI5" t="str">
        <f>""</f>
        <v/>
      </c>
      <c r="BJ5" t="str">
        <f>""</f>
        <v/>
      </c>
      <c r="BK5" t="str">
        <f>""</f>
        <v/>
      </c>
      <c r="BL5" t="str">
        <f>""</f>
        <v/>
      </c>
      <c r="BM5" t="str">
        <f>""</f>
        <v/>
      </c>
    </row>
    <row r="6" spans="1:65">
      <c r="A6" t="str">
        <f>"Bonds"</f>
        <v>Bonds</v>
      </c>
      <c r="B6" t="str">
        <f>""</f>
        <v/>
      </c>
      <c r="E6" t="str">
        <f>"Heading"</f>
        <v>Heading</v>
      </c>
      <c r="AJ6" t="str">
        <f>""</f>
        <v/>
      </c>
      <c r="AK6" t="str">
        <f>""</f>
        <v/>
      </c>
      <c r="AL6" t="str">
        <f>""</f>
        <v/>
      </c>
      <c r="AM6" t="str">
        <f>""</f>
        <v/>
      </c>
      <c r="AN6" t="str">
        <f>""</f>
        <v/>
      </c>
      <c r="AO6" t="str">
        <f>""</f>
        <v/>
      </c>
      <c r="AP6" t="str">
        <f>""</f>
        <v/>
      </c>
      <c r="AQ6" t="str">
        <f>""</f>
        <v/>
      </c>
      <c r="AR6" t="str">
        <f>""</f>
        <v/>
      </c>
      <c r="AS6" t="str">
        <f>""</f>
        <v/>
      </c>
      <c r="AT6" t="str">
        <f>""</f>
        <v/>
      </c>
      <c r="AU6" t="str">
        <f>""</f>
        <v/>
      </c>
      <c r="AV6" t="str">
        <f>""</f>
        <v/>
      </c>
      <c r="AW6" t="str">
        <f>""</f>
        <v/>
      </c>
      <c r="AX6" t="str">
        <f>""</f>
        <v/>
      </c>
      <c r="AY6" t="str">
        <f>""</f>
        <v/>
      </c>
      <c r="AZ6" t="str">
        <f>""</f>
        <v/>
      </c>
      <c r="BA6" t="str">
        <f>""</f>
        <v/>
      </c>
      <c r="BB6" t="str">
        <f>""</f>
        <v/>
      </c>
      <c r="BC6" t="str">
        <f>""</f>
        <v/>
      </c>
      <c r="BD6" t="str">
        <f>""</f>
        <v/>
      </c>
      <c r="BE6" t="str">
        <f>""</f>
        <v/>
      </c>
      <c r="BF6" t="str">
        <f>""</f>
        <v/>
      </c>
      <c r="BG6" t="str">
        <f>""</f>
        <v/>
      </c>
      <c r="BH6" t="str">
        <f>""</f>
        <v/>
      </c>
      <c r="BI6" t="str">
        <f>""</f>
        <v/>
      </c>
      <c r="BJ6" t="str">
        <f>""</f>
        <v/>
      </c>
      <c r="BK6" t="str">
        <f>""</f>
        <v/>
      </c>
      <c r="BL6" t="str">
        <f>""</f>
        <v/>
      </c>
      <c r="BM6" t="str">
        <f>""</f>
        <v/>
      </c>
    </row>
    <row r="7" spans="1:65">
      <c r="A7" t="str">
        <f>"2 Year Note"</f>
        <v>2 Year Note</v>
      </c>
      <c r="B7" t="str">
        <f>"GDBR2 Index"</f>
        <v>GDBR2 Index</v>
      </c>
      <c r="C7" t="str">
        <f t="shared" ref="C7:C13" si="1">"PR005"</f>
        <v>PR005</v>
      </c>
      <c r="D7" t="str">
        <f t="shared" ref="D7:D13" si="2">"PX_LAST"</f>
        <v>PX_LAST</v>
      </c>
      <c r="E7" t="str">
        <f t="shared" ref="E7:E13" si="3">"Dynamic"</f>
        <v>Dynamic</v>
      </c>
      <c r="F7">
        <f ca="1">IF(AND(ISNUMBER($F$32),$B$29=1),$F$32,HLOOKUP(INDIRECT(ADDRESS(2,COLUMN())),OFFSET($AJ$2,0,0,ROW()-1,30),ROW()-1,FALSE))</f>
        <v>2.0259249210000001</v>
      </c>
      <c r="G7">
        <f ca="1">IF(AND(ISNUMBER($G$32),$B$29=1),$G$32,HLOOKUP(INDIRECT(ADDRESS(2,COLUMN())),OFFSET($AJ$2,0,0,ROW()-1,30),ROW()-1,FALSE))</f>
        <v>2.119348526</v>
      </c>
      <c r="H7">
        <f ca="1">IF(AND(ISNUMBER($H$32),$B$29=1),$H$32,HLOOKUP(INDIRECT(ADDRESS(2,COLUMN())),OFFSET($AJ$2,0,0,ROW()-1,30),ROW()-1,FALSE))</f>
        <v>2.0819725990000002</v>
      </c>
      <c r="I7">
        <f ca="1">IF(AND(ISNUMBER($I$32),$B$29=1),$I$32,HLOOKUP(INDIRECT(ADDRESS(2,COLUMN())),OFFSET($AJ$2,0,0,ROW()-1,30),ROW()-1,FALSE))</f>
        <v>1.951483488</v>
      </c>
      <c r="J7">
        <f ca="1">IF(AND(ISNUMBER($J$32),$B$29=1),$J$32,HLOOKUP(INDIRECT(ADDRESS(2,COLUMN())),OFFSET($AJ$2,0,0,ROW()-1,30),ROW()-1,FALSE))</f>
        <v>2.2806799999999998</v>
      </c>
      <c r="K7">
        <f ca="1">IF(AND(ISNUMBER($K$32),$B$29=1),$K$32,HLOOKUP(INDIRECT(ADDRESS(2,COLUMN())),OFFSET($AJ$2,0,0,ROW()-1,30),ROW()-1,FALSE))</f>
        <v>2.0678610800000001</v>
      </c>
      <c r="L7">
        <f ca="1">IF(AND(ISNUMBER($L$32),$B$29=1),$L$32,HLOOKUP(INDIRECT(ADDRESS(2,COLUMN())),OFFSET($AJ$2,0,0,ROW()-1,30),ROW()-1,FALSE))</f>
        <v>2.3914198880000002</v>
      </c>
      <c r="M7">
        <f ca="1">IF(AND(ISNUMBER($M$32),$B$29=1),$M$32,HLOOKUP(INDIRECT(ADDRESS(2,COLUMN())),OFFSET($AJ$2,0,0,ROW()-1,30),ROW()-1,FALSE))</f>
        <v>2.5306820870000002</v>
      </c>
      <c r="N7">
        <f ca="1">IF(AND(ISNUMBER($N$32),$B$29=1),$N$32,HLOOKUP(INDIRECT(ADDRESS(2,COLUMN())),OFFSET($AJ$2,0,0,ROW()-1,30),ROW()-1,FALSE))</f>
        <v>2.8331644539999998</v>
      </c>
      <c r="O7">
        <f ca="1">IF(AND(ISNUMBER($O$32),$B$29=1),$O$32,HLOOKUP(INDIRECT(ADDRESS(2,COLUMN())),OFFSET($AJ$2,0,0,ROW()-1,30),ROW()-1,FALSE))</f>
        <v>3.0972571370000002</v>
      </c>
      <c r="P7">
        <f ca="1">IF(AND(ISNUMBER($P$32),$B$29=1),$P$32,HLOOKUP(INDIRECT(ADDRESS(2,COLUMN())),OFFSET($AJ$2,0,0,ROW()-1,30),ROW()-1,FALSE))</f>
        <v>3.0344953540000001</v>
      </c>
      <c r="Q7">
        <f ca="1">IF(AND(ISNUMBER($Q$32),$B$29=1),$Q$32,HLOOKUP(INDIRECT(ADDRESS(2,COLUMN())),OFFSET($AJ$2,0,0,ROW()-1,30),ROW()-1,FALSE))</f>
        <v>2.8485740000000002</v>
      </c>
      <c r="R7">
        <f ca="1">IF(AND(ISNUMBER($R$32),$B$29=1),$R$32,HLOOKUP(INDIRECT(ADDRESS(2,COLUMN())),OFFSET($AJ$2,0,0,ROW()-1,30),ROW()-1,FALSE))</f>
        <v>2.90148735</v>
      </c>
      <c r="S7">
        <f ca="1">IF(AND(ISNUMBER($S$32),$B$29=1),$S$32,HLOOKUP(INDIRECT(ADDRESS(2,COLUMN())),OFFSET($AJ$2,0,0,ROW()-1,30),ROW()-1,FALSE))</f>
        <v>2.427918434</v>
      </c>
      <c r="T7">
        <f ca="1">IF(AND(ISNUMBER($T$32),$B$29=1),$T$32,HLOOKUP(INDIRECT(ADDRESS(2,COLUMN())),OFFSET($AJ$2,0,0,ROW()-1,30),ROW()-1,FALSE))</f>
        <v>2.4039828779999999</v>
      </c>
      <c r="U7">
        <f ca="1">IF(AND(ISNUMBER($U$32),$B$29=1),$U$32,HLOOKUP(INDIRECT(ADDRESS(2,COLUMN())),OFFSET($AJ$2,0,0,ROW()-1,30),ROW()-1,FALSE))</f>
        <v>2.8162536619999998</v>
      </c>
      <c r="V7">
        <f ca="1">IF(AND(ISNUMBER($V$32),$B$29=1),$V$32,HLOOKUP(INDIRECT(ADDRESS(2,COLUMN())),OFFSET($AJ$2,0,0,ROW()-1,30),ROW()-1,FALSE))</f>
        <v>3.016003</v>
      </c>
      <c r="W7">
        <f ca="1">IF(AND(ISNUMBER($W$32),$B$29=1),$W$32,HLOOKUP(INDIRECT(ADDRESS(2,COLUMN())),OFFSET($AJ$2,0,0,ROW()-1,30),ROW()-1,FALSE))</f>
        <v>3.2030854230000001</v>
      </c>
      <c r="X7">
        <f ca="1">IF(AND(ISNUMBER($X$32),$B$29=1),$X$32,HLOOKUP(INDIRECT(ADDRESS(2,COLUMN())),OFFSET($AJ$2,0,0,ROW()-1,30),ROW()-1,FALSE))</f>
        <v>2.9781515600000001</v>
      </c>
      <c r="Y7">
        <f ca="1">IF(AND(ISNUMBER($Y$32),$B$29=1),$Y$32,HLOOKUP(INDIRECT(ADDRESS(2,COLUMN())),OFFSET($AJ$2,0,0,ROW()-1,30),ROW()-1,FALSE))</f>
        <v>3.0380368230000001</v>
      </c>
      <c r="Z7">
        <f ca="1">IF(AND(ISNUMBER($Z$32),$B$29=1),$Z$32,HLOOKUP(INDIRECT(ADDRESS(2,COLUMN())),OFFSET($AJ$2,0,0,ROW()-1,30),ROW()-1,FALSE))</f>
        <v>3.1962809559999998</v>
      </c>
      <c r="AA7">
        <f ca="1">IF(AND(ISNUMBER($AA$32),$B$29=1),$AA$32,HLOOKUP(INDIRECT(ADDRESS(2,COLUMN())),OFFSET($AJ$2,0,0,ROW()-1,30),ROW()-1,FALSE))</f>
        <v>2.71854043</v>
      </c>
      <c r="AB7">
        <f ca="1">IF(AND(ISNUMBER($AB$32),$B$29=1),$AB$32,HLOOKUP(INDIRECT(ADDRESS(2,COLUMN())),OFFSET($AJ$2,0,0,ROW()-1,30),ROW()-1,FALSE))</f>
        <v>2.6910741329999999</v>
      </c>
      <c r="AC7">
        <f ca="1">IF(AND(ISNUMBER($AC$32),$B$29=1),$AC$32,HLOOKUP(INDIRECT(ADDRESS(2,COLUMN())),OFFSET($AJ$2,0,0,ROW()-1,30),ROW()-1,FALSE))</f>
        <v>2.6828007700000001</v>
      </c>
      <c r="AD7">
        <f ca="1">IF(AND(ISNUMBER($AD$32),$B$29=1),$AD$32,HLOOKUP(INDIRECT(ADDRESS(2,COLUMN())),OFFSET($AJ$2,0,0,ROW()-1,30),ROW()-1,FALSE))</f>
        <v>3.1374654770000001</v>
      </c>
      <c r="AE7">
        <f ca="1">IF(AND(ISNUMBER($AE$32),$B$29=1),$AE$32,HLOOKUP(INDIRECT(ADDRESS(2,COLUMN())),OFFSET($AJ$2,0,0,ROW()-1,30),ROW()-1,FALSE))</f>
        <v>2.6511545179999998</v>
      </c>
      <c r="AF7">
        <f ca="1">IF(AND(ISNUMBER($AF$32),$B$29=1),$AF$32,HLOOKUP(INDIRECT(ADDRESS(2,COLUMN())),OFFSET($AJ$2,0,0,ROW()-1,30),ROW()-1,FALSE))</f>
        <v>2.7639770509999999</v>
      </c>
      <c r="AG7">
        <f ca="1">IF(AND(ISNUMBER($AG$32),$B$29=1),$AG$32,HLOOKUP(INDIRECT(ADDRESS(2,COLUMN())),OFFSET($AJ$2,0,0,ROW()-1,30),ROW()-1,FALSE))</f>
        <v>2.1285889149999999</v>
      </c>
      <c r="AH7">
        <f ca="1">IF(AND(ISNUMBER($AH$32),$B$29=1),$AH$32,HLOOKUP(INDIRECT(ADDRESS(2,COLUMN())),OFFSET($AJ$2,0,0,ROW()-1,30),ROW()-1,FALSE))</f>
        <v>1.936354041</v>
      </c>
      <c r="AI7">
        <f ca="1">IF(AND(ISNUMBER($AI$32),$B$29=1),$AI$32,HLOOKUP(INDIRECT(ADDRESS(2,COLUMN())),OFFSET($AJ$2,0,0,ROW()-1,30),ROW()-1,FALSE))</f>
        <v>1.758681178</v>
      </c>
      <c r="AJ7">
        <f>2.025924921</f>
        <v>2.0259249210000001</v>
      </c>
      <c r="AK7">
        <f>2.119348526</f>
        <v>2.119348526</v>
      </c>
      <c r="AL7">
        <f>2.081972599</f>
        <v>2.0819725990000002</v>
      </c>
      <c r="AM7">
        <f>1.951483488</f>
        <v>1.951483488</v>
      </c>
      <c r="AN7">
        <f>2.28068</f>
        <v>2.2806799999999998</v>
      </c>
      <c r="AO7">
        <f>2.06786108</f>
        <v>2.0678610800000001</v>
      </c>
      <c r="AP7">
        <f>2.391419888</f>
        <v>2.3914198880000002</v>
      </c>
      <c r="AQ7">
        <f>2.530682087</f>
        <v>2.5306820870000002</v>
      </c>
      <c r="AR7">
        <f>2.833164454</f>
        <v>2.8331644539999998</v>
      </c>
      <c r="AS7">
        <f>3.097257137</f>
        <v>3.0972571370000002</v>
      </c>
      <c r="AT7">
        <f>3.034495354</f>
        <v>3.0344953540000001</v>
      </c>
      <c r="AU7">
        <f>2.848574</f>
        <v>2.8485740000000002</v>
      </c>
      <c r="AV7">
        <f>2.90148735</f>
        <v>2.90148735</v>
      </c>
      <c r="AW7">
        <f>2.427918434</f>
        <v>2.427918434</v>
      </c>
      <c r="AX7">
        <f>2.403982878</f>
        <v>2.4039828779999999</v>
      </c>
      <c r="AY7">
        <f>2.816253662</f>
        <v>2.8162536619999998</v>
      </c>
      <c r="AZ7">
        <f>3.016003</f>
        <v>3.016003</v>
      </c>
      <c r="BA7">
        <f>3.203085423</f>
        <v>3.2030854230000001</v>
      </c>
      <c r="BB7">
        <f>2.97815156</f>
        <v>2.9781515600000001</v>
      </c>
      <c r="BC7">
        <f>3.038036823</f>
        <v>3.0380368230000001</v>
      </c>
      <c r="BD7">
        <f>3.196280956</f>
        <v>3.1962809559999998</v>
      </c>
      <c r="BE7">
        <f>2.71854043</f>
        <v>2.71854043</v>
      </c>
      <c r="BF7">
        <f>2.691074133</f>
        <v>2.6910741329999999</v>
      </c>
      <c r="BG7">
        <f>2.68280077</f>
        <v>2.6828007700000001</v>
      </c>
      <c r="BH7">
        <f>3.137465477</f>
        <v>3.1374654770000001</v>
      </c>
      <c r="BI7">
        <f>2.651154518</f>
        <v>2.6511545179999998</v>
      </c>
      <c r="BJ7">
        <f>2.763977051</f>
        <v>2.7639770509999999</v>
      </c>
      <c r="BK7">
        <f>2.128588915</f>
        <v>2.1285889149999999</v>
      </c>
      <c r="BL7">
        <f>1.936354041</f>
        <v>1.936354041</v>
      </c>
      <c r="BM7">
        <f>1.758681178</f>
        <v>1.758681178</v>
      </c>
    </row>
    <row r="8" spans="1:65">
      <c r="A8" t="str">
        <f>"3 Year Note"</f>
        <v>3 Year Note</v>
      </c>
      <c r="B8" t="str">
        <f>"GDBR3 Index"</f>
        <v>GDBR3 Index</v>
      </c>
      <c r="C8" t="str">
        <f t="shared" si="1"/>
        <v>PR005</v>
      </c>
      <c r="D8" t="str">
        <f t="shared" si="2"/>
        <v>PX_LAST</v>
      </c>
      <c r="E8" t="str">
        <f t="shared" si="3"/>
        <v>Dynamic</v>
      </c>
      <c r="F8">
        <f ca="1">IF(AND(ISNUMBER($F$33),$B$29=1),$F$33,HLOOKUP(INDIRECT(ADDRESS(2,COLUMN())),OFFSET($AJ$2,0,0,ROW()-1,30),ROW()-1,FALSE))</f>
        <v>2.0931808950000002</v>
      </c>
      <c r="G8">
        <f ca="1">IF(AND(ISNUMBER($G$33),$B$29=1),$G$33,HLOOKUP(INDIRECT(ADDRESS(2,COLUMN())),OFFSET($AJ$2,0,0,ROW()-1,30),ROW()-1,FALSE))</f>
        <v>2.1215808389999999</v>
      </c>
      <c r="H8">
        <f ca="1">IF(AND(ISNUMBER($H$33),$B$29=1),$H$33,HLOOKUP(INDIRECT(ADDRESS(2,COLUMN())),OFFSET($AJ$2,0,0,ROW()-1,30),ROW()-1,FALSE))</f>
        <v>1.9820668699999999</v>
      </c>
      <c r="I8">
        <f ca="1">IF(AND(ISNUMBER($I$33),$B$29=1),$I$33,HLOOKUP(INDIRECT(ADDRESS(2,COLUMN())),OFFSET($AJ$2,0,0,ROW()-1,30),ROW()-1,FALSE))</f>
        <v>1.843579769</v>
      </c>
      <c r="J8">
        <f ca="1">IF(AND(ISNUMBER($J$33),$B$29=1),$J$33,HLOOKUP(INDIRECT(ADDRESS(2,COLUMN())),OFFSET($AJ$2,0,0,ROW()-1,30),ROW()-1,FALSE))</f>
        <v>2.1728079999999999</v>
      </c>
      <c r="K8">
        <f ca="1">IF(AND(ISNUMBER($K$33),$B$29=1),$K$33,HLOOKUP(INDIRECT(ADDRESS(2,COLUMN())),OFFSET($AJ$2,0,0,ROW()-1,30),ROW()-1,FALSE))</f>
        <v>1.881882429</v>
      </c>
      <c r="L8">
        <f ca="1">IF(AND(ISNUMBER($L$33),$B$29=1),$L$33,HLOOKUP(INDIRECT(ADDRESS(2,COLUMN())),OFFSET($AJ$2,0,0,ROW()-1,30),ROW()-1,FALSE))</f>
        <v>2.1847746369999999</v>
      </c>
      <c r="M8">
        <f ca="1">IF(AND(ISNUMBER($M$33),$B$29=1),$M$33,HLOOKUP(INDIRECT(ADDRESS(2,COLUMN())),OFFSET($AJ$2,0,0,ROW()-1,30),ROW()-1,FALSE))</f>
        <v>2.2819690700000002</v>
      </c>
      <c r="N8">
        <f ca="1">IF(AND(ISNUMBER($N$33),$B$29=1),$N$33,HLOOKUP(INDIRECT(ADDRESS(2,COLUMN())),OFFSET($AJ$2,0,0,ROW()-1,30),ROW()-1,FALSE))</f>
        <v>2.612725019</v>
      </c>
      <c r="O8">
        <f ca="1">IF(AND(ISNUMBER($O$33),$B$29=1),$O$33,HLOOKUP(INDIRECT(ADDRESS(2,COLUMN())),OFFSET($AJ$2,0,0,ROW()-1,30),ROW()-1,FALSE))</f>
        <v>2.8698799610000001</v>
      </c>
      <c r="P8">
        <f ca="1">IF(AND(ISNUMBER($P$33),$B$29=1),$P$33,HLOOKUP(INDIRECT(ADDRESS(2,COLUMN())),OFFSET($AJ$2,0,0,ROW()-1,30),ROW()-1,FALSE))</f>
        <v>2.7957832809999998</v>
      </c>
      <c r="Q8">
        <f ca="1">IF(AND(ISNUMBER($Q$33),$B$29=1),$Q$33,HLOOKUP(INDIRECT(ADDRESS(2,COLUMN())),OFFSET($AJ$2,0,0,ROW()-1,30),ROW()-1,FALSE))</f>
        <v>2.5063819999999999</v>
      </c>
      <c r="R8">
        <f ca="1">IF(AND(ISNUMBER($R$33),$B$29=1),$R$33,HLOOKUP(INDIRECT(ADDRESS(2,COLUMN())),OFFSET($AJ$2,0,0,ROW()-1,30),ROW()-1,FALSE))</f>
        <v>2.609289408</v>
      </c>
      <c r="S8">
        <f ca="1">IF(AND(ISNUMBER($S$33),$B$29=1),$S$33,HLOOKUP(INDIRECT(ADDRESS(2,COLUMN())),OFFSET($AJ$2,0,0,ROW()-1,30),ROW()-1,FALSE))</f>
        <v>2.1505477430000002</v>
      </c>
      <c r="T8">
        <f ca="1">IF(AND(ISNUMBER($T$33),$B$29=1),$T$33,HLOOKUP(INDIRECT(ADDRESS(2,COLUMN())),OFFSET($AJ$2,0,0,ROW()-1,30),ROW()-1,FALSE))</f>
        <v>2.1282966139999999</v>
      </c>
      <c r="U8">
        <f ca="1">IF(AND(ISNUMBER($U$33),$B$29=1),$U$33,HLOOKUP(INDIRECT(ADDRESS(2,COLUMN())),OFFSET($AJ$2,0,0,ROW()-1,30),ROW()-1,FALSE))</f>
        <v>2.5581095220000001</v>
      </c>
      <c r="V8">
        <f ca="1">IF(AND(ISNUMBER($V$33),$B$29=1),$V$33,HLOOKUP(INDIRECT(ADDRESS(2,COLUMN())),OFFSET($AJ$2,0,0,ROW()-1,30),ROW()-1,FALSE))</f>
        <v>2.7966669999999998</v>
      </c>
      <c r="W8">
        <f ca="1">IF(AND(ISNUMBER($W$33),$B$29=1),$W$33,HLOOKUP(INDIRECT(ADDRESS(2,COLUMN())),OFFSET($AJ$2,0,0,ROW()-1,30),ROW()-1,FALSE))</f>
        <v>2.9260499480000002</v>
      </c>
      <c r="X8">
        <f ca="1">IF(AND(ISNUMBER($X$33),$B$29=1),$X$33,HLOOKUP(INDIRECT(ADDRESS(2,COLUMN())),OFFSET($AJ$2,0,0,ROW()-1,30),ROW()-1,FALSE))</f>
        <v>2.6905992030000001</v>
      </c>
      <c r="Y8">
        <f ca="1">IF(AND(ISNUMBER($Y$33),$B$29=1),$Y$33,HLOOKUP(INDIRECT(ADDRESS(2,COLUMN())),OFFSET($AJ$2,0,0,ROW()-1,30),ROW()-1,FALSE))</f>
        <v>2.7545418740000001</v>
      </c>
      <c r="Z8">
        <f ca="1">IF(AND(ISNUMBER($Z$33),$B$29=1),$Z$33,HLOOKUP(INDIRECT(ADDRESS(2,COLUMN())),OFFSET($AJ$2,0,0,ROW()-1,30),ROW()-1,FALSE))</f>
        <v>2.8166766170000002</v>
      </c>
      <c r="AA8">
        <f ca="1">IF(AND(ISNUMBER($AA$33),$B$29=1),$AA$33,HLOOKUP(INDIRECT(ADDRESS(2,COLUMN())),OFFSET($AJ$2,0,0,ROW()-1,30),ROW()-1,FALSE))</f>
        <v>2.496953011</v>
      </c>
      <c r="AB8">
        <f ca="1">IF(AND(ISNUMBER($AB$33),$B$29=1),$AB$33,HLOOKUP(INDIRECT(ADDRESS(2,COLUMN())),OFFSET($AJ$2,0,0,ROW()-1,30),ROW()-1,FALSE))</f>
        <v>2.478833914</v>
      </c>
      <c r="AC8">
        <f ca="1">IF(AND(ISNUMBER($AC$33),$B$29=1),$AC$33,HLOOKUP(INDIRECT(ADDRESS(2,COLUMN())),OFFSET($AJ$2,0,0,ROW()-1,30),ROW()-1,FALSE))</f>
        <v>2.4532737729999998</v>
      </c>
      <c r="AD8">
        <f ca="1">IF(AND(ISNUMBER($AD$33),$B$29=1),$AD$33,HLOOKUP(INDIRECT(ADDRESS(2,COLUMN())),OFFSET($AJ$2,0,0,ROW()-1,30),ROW()-1,FALSE))</f>
        <v>2.9071960450000001</v>
      </c>
      <c r="AE8">
        <f ca="1">IF(AND(ISNUMBER($AE$33),$B$29=1),$AE$33,HLOOKUP(INDIRECT(ADDRESS(2,COLUMN())),OFFSET($AJ$2,0,0,ROW()-1,30),ROW()-1,FALSE))</f>
        <v>2.3894801139999999</v>
      </c>
      <c r="AF8">
        <f ca="1">IF(AND(ISNUMBER($AF$33),$B$29=1),$AF$33,HLOOKUP(INDIRECT(ADDRESS(2,COLUMN())),OFFSET($AJ$2,0,0,ROW()-1,30),ROW()-1,FALSE))</f>
        <v>2.5783665180000002</v>
      </c>
      <c r="AG8">
        <f ca="1">IF(AND(ISNUMBER($AG$33),$B$29=1),$AG$33,HLOOKUP(INDIRECT(ADDRESS(2,COLUMN())),OFFSET($AJ$2,0,0,ROW()-1,30),ROW()-1,FALSE))</f>
        <v>1.9773887400000001</v>
      </c>
      <c r="AH8">
        <f ca="1">IF(AND(ISNUMBER($AH$33),$B$29=1),$AH$33,HLOOKUP(INDIRECT(ADDRESS(2,COLUMN())),OFFSET($AJ$2,0,0,ROW()-1,30),ROW()-1,FALSE))</f>
        <v>1.893886805</v>
      </c>
      <c r="AI8">
        <f ca="1">IF(AND(ISNUMBER($AI$33),$B$29=1),$AI$33,HLOOKUP(INDIRECT(ADDRESS(2,COLUMN())),OFFSET($AJ$2,0,0,ROW()-1,30),ROW()-1,FALSE))</f>
        <v>1.757958055</v>
      </c>
      <c r="AJ8">
        <f>2.093180895</f>
        <v>2.0931808950000002</v>
      </c>
      <c r="AK8">
        <f>2.121580839</f>
        <v>2.1215808389999999</v>
      </c>
      <c r="AL8">
        <f>1.98206687</f>
        <v>1.9820668699999999</v>
      </c>
      <c r="AM8">
        <f>1.843579769</f>
        <v>1.843579769</v>
      </c>
      <c r="AN8">
        <f>2.172808</f>
        <v>2.1728079999999999</v>
      </c>
      <c r="AO8">
        <f>1.881882429</f>
        <v>1.881882429</v>
      </c>
      <c r="AP8">
        <f>2.184774637</f>
        <v>2.1847746369999999</v>
      </c>
      <c r="AQ8">
        <f>2.28196907</f>
        <v>2.2819690700000002</v>
      </c>
      <c r="AR8">
        <f>2.612725019</f>
        <v>2.612725019</v>
      </c>
      <c r="AS8">
        <f>2.869879961</f>
        <v>2.8698799610000001</v>
      </c>
      <c r="AT8">
        <f>2.795783281</f>
        <v>2.7957832809999998</v>
      </c>
      <c r="AU8">
        <f>2.506382</f>
        <v>2.5063819999999999</v>
      </c>
      <c r="AV8">
        <f>2.609289408</f>
        <v>2.609289408</v>
      </c>
      <c r="AW8">
        <f>2.150547743</f>
        <v>2.1505477430000002</v>
      </c>
      <c r="AX8">
        <f>2.128296614</f>
        <v>2.1282966139999999</v>
      </c>
      <c r="AY8">
        <f>2.558109522</f>
        <v>2.5581095220000001</v>
      </c>
      <c r="AZ8">
        <f>2.796667</f>
        <v>2.7966669999999998</v>
      </c>
      <c r="BA8">
        <f>2.926049948</f>
        <v>2.9260499480000002</v>
      </c>
      <c r="BB8">
        <f>2.690599203</f>
        <v>2.6905992030000001</v>
      </c>
      <c r="BC8">
        <f>2.754541874</f>
        <v>2.7545418740000001</v>
      </c>
      <c r="BD8">
        <f>2.816676617</f>
        <v>2.8166766170000002</v>
      </c>
      <c r="BE8">
        <f>2.496953011</f>
        <v>2.496953011</v>
      </c>
      <c r="BF8">
        <f>2.478833914</f>
        <v>2.478833914</v>
      </c>
      <c r="BG8">
        <f>2.453273773</f>
        <v>2.4532737729999998</v>
      </c>
      <c r="BH8">
        <f>2.907196045</f>
        <v>2.9071960450000001</v>
      </c>
      <c r="BI8">
        <f>2.389480114</f>
        <v>2.3894801139999999</v>
      </c>
      <c r="BJ8">
        <f>2.578366518</f>
        <v>2.5783665180000002</v>
      </c>
      <c r="BK8">
        <f>1.97738874</f>
        <v>1.9773887400000001</v>
      </c>
      <c r="BL8">
        <f>1.893886805</f>
        <v>1.893886805</v>
      </c>
      <c r="BM8">
        <f>1.757958055</f>
        <v>1.757958055</v>
      </c>
    </row>
    <row r="9" spans="1:65">
      <c r="A9" t="str">
        <f>"5 Year Note"</f>
        <v>5 Year Note</v>
      </c>
      <c r="B9" t="str">
        <f>"GDBR5 Index"</f>
        <v>GDBR5 Index</v>
      </c>
      <c r="C9" t="str">
        <f t="shared" si="1"/>
        <v>PR005</v>
      </c>
      <c r="D9" t="str">
        <f t="shared" si="2"/>
        <v>PX_LAST</v>
      </c>
      <c r="E9" t="str">
        <f t="shared" si="3"/>
        <v>Dynamic</v>
      </c>
      <c r="F9">
        <f ca="1">IF(AND(ISNUMBER($F$34),$B$29=1),$F$34,HLOOKUP(INDIRECT(ADDRESS(2,COLUMN())),OFFSET($AJ$2,0,0,ROW()-1,30),ROW()-1,FALSE))</f>
        <v>2.2072982790000002</v>
      </c>
      <c r="G9">
        <f ca="1">IF(AND(ISNUMBER($G$34),$B$29=1),$G$34,HLOOKUP(INDIRECT(ADDRESS(2,COLUMN())),OFFSET($AJ$2,0,0,ROW()-1,30),ROW()-1,FALSE))</f>
        <v>2.2348160739999998</v>
      </c>
      <c r="H9">
        <f ca="1">IF(AND(ISNUMBER($H$34),$B$29=1),$H$34,HLOOKUP(INDIRECT(ADDRESS(2,COLUMN())),OFFSET($AJ$2,0,0,ROW()-1,30),ROW()-1,FALSE))</f>
        <v>2.1538767810000001</v>
      </c>
      <c r="I9">
        <f ca="1">IF(AND(ISNUMBER($I$34),$B$29=1),$I$34,HLOOKUP(INDIRECT(ADDRESS(2,COLUMN())),OFFSET($AJ$2,0,0,ROW()-1,30),ROW()-1,FALSE))</f>
        <v>1.9258232120000001</v>
      </c>
      <c r="J9">
        <f ca="1">IF(AND(ISNUMBER($J$34),$B$29=1),$J$34,HLOOKUP(INDIRECT(ADDRESS(2,COLUMN())),OFFSET($AJ$2,0,0,ROW()-1,30),ROW()-1,FALSE))</f>
        <v>2.2669190000000001</v>
      </c>
      <c r="K9">
        <f ca="1">IF(AND(ISNUMBER($K$34),$B$29=1),$K$34,HLOOKUP(INDIRECT(ADDRESS(2,COLUMN())),OFFSET($AJ$2,0,0,ROW()-1,30),ROW()-1,FALSE))</f>
        <v>1.946785212</v>
      </c>
      <c r="L9">
        <f ca="1">IF(AND(ISNUMBER($L$34),$B$29=1),$L$34,HLOOKUP(INDIRECT(ADDRESS(2,COLUMN())),OFFSET($AJ$2,0,0,ROW()-1,30),ROW()-1,FALSE))</f>
        <v>2.1892013549999998</v>
      </c>
      <c r="M9">
        <f ca="1">IF(AND(ISNUMBER($M$34),$B$29=1),$M$34,HLOOKUP(INDIRECT(ADDRESS(2,COLUMN())),OFFSET($AJ$2,0,0,ROW()-1,30),ROW()-1,FALSE))</f>
        <v>2.2316358090000001</v>
      </c>
      <c r="N9">
        <f ca="1">IF(AND(ISNUMBER($N$34),$B$29=1),$N$34,HLOOKUP(INDIRECT(ADDRESS(2,COLUMN())),OFFSET($AJ$2,0,0,ROW()-1,30),ROW()-1,FALSE))</f>
        <v>2.481709242</v>
      </c>
      <c r="O9">
        <f ca="1">IF(AND(ISNUMBER($O$34),$B$29=1),$O$34,HLOOKUP(INDIRECT(ADDRESS(2,COLUMN())),OFFSET($AJ$2,0,0,ROW()-1,30),ROW()-1,FALSE))</f>
        <v>2.7071492670000001</v>
      </c>
      <c r="P9">
        <f ca="1">IF(AND(ISNUMBER($P$34),$B$29=1),$P$34,HLOOKUP(INDIRECT(ADDRESS(2,COLUMN())),OFFSET($AJ$2,0,0,ROW()-1,30),ROW()-1,FALSE))</f>
        <v>2.6158275600000001</v>
      </c>
      <c r="Q9">
        <f ca="1">IF(AND(ISNUMBER($Q$34),$B$29=1),$Q$34,HLOOKUP(INDIRECT(ADDRESS(2,COLUMN())),OFFSET($AJ$2,0,0,ROW()-1,30),ROW()-1,FALSE))</f>
        <v>2.320881</v>
      </c>
      <c r="R9">
        <f ca="1">IF(AND(ISNUMBER($R$34),$B$29=1),$R$34,HLOOKUP(INDIRECT(ADDRESS(2,COLUMN())),OFFSET($AJ$2,0,0,ROW()-1,30),ROW()-1,FALSE))</f>
        <v>2.4313926700000001</v>
      </c>
      <c r="S9">
        <f ca="1">IF(AND(ISNUMBER($S$34),$B$29=1),$S$34,HLOOKUP(INDIRECT(ADDRESS(2,COLUMN())),OFFSET($AJ$2,0,0,ROW()-1,30),ROW()-1,FALSE))</f>
        <v>2.0513124469999999</v>
      </c>
      <c r="T9">
        <f ca="1">IF(AND(ISNUMBER($T$34),$B$29=1),$T$34,HLOOKUP(INDIRECT(ADDRESS(2,COLUMN())),OFFSET($AJ$2,0,0,ROW()-1,30),ROW()-1,FALSE))</f>
        <v>1.9477832319999999</v>
      </c>
      <c r="U9">
        <f ca="1">IF(AND(ISNUMBER($U$34),$B$29=1),$U$34,HLOOKUP(INDIRECT(ADDRESS(2,COLUMN())),OFFSET($AJ$2,0,0,ROW()-1,30),ROW()-1,FALSE))</f>
        <v>2.3738758560000002</v>
      </c>
      <c r="V9">
        <f ca="1">IF(AND(ISNUMBER($V$34),$B$29=1),$V$34,HLOOKUP(INDIRECT(ADDRESS(2,COLUMN())),OFFSET($AJ$2,0,0,ROW()-1,30),ROW()-1,FALSE))</f>
        <v>2.6552690000000001</v>
      </c>
      <c r="W9">
        <f ca="1">IF(AND(ISNUMBER($W$34),$B$29=1),$W$34,HLOOKUP(INDIRECT(ADDRESS(2,COLUMN())),OFFSET($AJ$2,0,0,ROW()-1,30),ROW()-1,FALSE))</f>
        <v>2.776918411</v>
      </c>
      <c r="X9">
        <f ca="1">IF(AND(ISNUMBER($X$34),$B$29=1),$X$34,HLOOKUP(INDIRECT(ADDRESS(2,COLUMN())),OFFSET($AJ$2,0,0,ROW()-1,30),ROW()-1,FALSE))</f>
        <v>2.4768056870000001</v>
      </c>
      <c r="Y9">
        <f ca="1">IF(AND(ISNUMBER($Y$34),$B$29=1),$Y$34,HLOOKUP(INDIRECT(ADDRESS(2,COLUMN())),OFFSET($AJ$2,0,0,ROW()-1,30),ROW()-1,FALSE))</f>
        <v>2.535556793</v>
      </c>
      <c r="Z9">
        <f ca="1">IF(AND(ISNUMBER($Z$34),$B$29=1),$Z$34,HLOOKUP(INDIRECT(ADDRESS(2,COLUMN())),OFFSET($AJ$2,0,0,ROW()-1,30),ROW()-1,FALSE))</f>
        <v>2.5502274040000001</v>
      </c>
      <c r="AA9">
        <f ca="1">IF(AND(ISNUMBER($AA$34),$B$29=1),$AA$34,HLOOKUP(INDIRECT(ADDRESS(2,COLUMN())),OFFSET($AJ$2,0,0,ROW()-1,30),ROW()-1,FALSE))</f>
        <v>2.2782440190000002</v>
      </c>
      <c r="AB9">
        <f ca="1">IF(AND(ISNUMBER($AB$34),$B$29=1),$AB$34,HLOOKUP(INDIRECT(ADDRESS(2,COLUMN())),OFFSET($AJ$2,0,0,ROW()-1,30),ROW()-1,FALSE))</f>
        <v>2.3047046660000001</v>
      </c>
      <c r="AC9">
        <f ca="1">IF(AND(ISNUMBER($AC$34),$B$29=1),$AC$34,HLOOKUP(INDIRECT(ADDRESS(2,COLUMN())),OFFSET($AJ$2,0,0,ROW()-1,30),ROW()-1,FALSE))</f>
        <v>2.3104031090000001</v>
      </c>
      <c r="AD9">
        <f ca="1">IF(AND(ISNUMBER($AD$34),$B$29=1),$AD$34,HLOOKUP(INDIRECT(ADDRESS(2,COLUMN())),OFFSET($AJ$2,0,0,ROW()-1,30),ROW()-1,FALSE))</f>
        <v>2.7418501380000002</v>
      </c>
      <c r="AE9">
        <f ca="1">IF(AND(ISNUMBER($AE$34),$B$29=1),$AE$34,HLOOKUP(INDIRECT(ADDRESS(2,COLUMN())),OFFSET($AJ$2,0,0,ROW()-1,30),ROW()-1,FALSE))</f>
        <v>2.3100352289999999</v>
      </c>
      <c r="AF9">
        <f ca="1">IF(AND(ISNUMBER($AF$34),$B$29=1),$AF$34,HLOOKUP(INDIRECT(ADDRESS(2,COLUMN())),OFFSET($AJ$2,0,0,ROW()-1,30),ROW()-1,FALSE))</f>
        <v>2.5775535110000001</v>
      </c>
      <c r="AG9">
        <f ca="1">IF(AND(ISNUMBER($AG$34),$B$29=1),$AG$34,HLOOKUP(INDIRECT(ADDRESS(2,COLUMN())),OFFSET($AJ$2,0,0,ROW()-1,30),ROW()-1,FALSE))</f>
        <v>1.9353410010000001</v>
      </c>
      <c r="AH9">
        <f ca="1">IF(AND(ISNUMBER($AH$34),$B$29=1),$AH$34,HLOOKUP(INDIRECT(ADDRESS(2,COLUMN())),OFFSET($AJ$2,0,0,ROW()-1,30),ROW()-1,FALSE))</f>
        <v>2.0047316550000001</v>
      </c>
      <c r="AI9">
        <f ca="1">IF(AND(ISNUMBER($AI$34),$B$29=1),$AI$34,HLOOKUP(INDIRECT(ADDRESS(2,COLUMN())),OFFSET($AJ$2,0,0,ROW()-1,30),ROW()-1,FALSE))</f>
        <v>1.963139057</v>
      </c>
      <c r="AJ9">
        <f>2.207298279</f>
        <v>2.2072982790000002</v>
      </c>
      <c r="AK9">
        <f>2.234816074</f>
        <v>2.2348160739999998</v>
      </c>
      <c r="AL9">
        <f>2.153876781</f>
        <v>2.1538767810000001</v>
      </c>
      <c r="AM9">
        <f>1.925823212</f>
        <v>1.9258232120000001</v>
      </c>
      <c r="AN9">
        <f>2.266919</f>
        <v>2.2669190000000001</v>
      </c>
      <c r="AO9">
        <f>1.946785212</f>
        <v>1.946785212</v>
      </c>
      <c r="AP9">
        <f>2.189201355</f>
        <v>2.1892013549999998</v>
      </c>
      <c r="AQ9">
        <f>2.231635809</f>
        <v>2.2316358090000001</v>
      </c>
      <c r="AR9">
        <f>2.481709242</f>
        <v>2.481709242</v>
      </c>
      <c r="AS9">
        <f>2.707149267</f>
        <v>2.7071492670000001</v>
      </c>
      <c r="AT9">
        <f>2.61582756</f>
        <v>2.6158275600000001</v>
      </c>
      <c r="AU9">
        <f>2.320881</f>
        <v>2.320881</v>
      </c>
      <c r="AV9">
        <f>2.43139267</f>
        <v>2.4313926700000001</v>
      </c>
      <c r="AW9">
        <f>2.051312447</f>
        <v>2.0513124469999999</v>
      </c>
      <c r="AX9">
        <f>1.947783232</f>
        <v>1.9477832319999999</v>
      </c>
      <c r="AY9">
        <f>2.373875856</f>
        <v>2.3738758560000002</v>
      </c>
      <c r="AZ9">
        <f>2.655269</f>
        <v>2.6552690000000001</v>
      </c>
      <c r="BA9">
        <f>2.776918411</f>
        <v>2.776918411</v>
      </c>
      <c r="BB9">
        <f>2.476805687</f>
        <v>2.4768056870000001</v>
      </c>
      <c r="BC9">
        <f>2.535556793</f>
        <v>2.535556793</v>
      </c>
      <c r="BD9">
        <f>2.550227404</f>
        <v>2.5502274040000001</v>
      </c>
      <c r="BE9">
        <f>2.278244019</f>
        <v>2.2782440190000002</v>
      </c>
      <c r="BF9">
        <f>2.304704666</f>
        <v>2.3047046660000001</v>
      </c>
      <c r="BG9">
        <f>2.310403109</f>
        <v>2.3104031090000001</v>
      </c>
      <c r="BH9">
        <f>2.741850138</f>
        <v>2.7418501380000002</v>
      </c>
      <c r="BI9">
        <f>2.310035229</f>
        <v>2.3100352289999999</v>
      </c>
      <c r="BJ9">
        <f>2.577553511</f>
        <v>2.5775535110000001</v>
      </c>
      <c r="BK9">
        <f>1.935341001</f>
        <v>1.9353410010000001</v>
      </c>
      <c r="BL9">
        <f>2.004731655</f>
        <v>2.0047316550000001</v>
      </c>
      <c r="BM9">
        <f>1.963139057</f>
        <v>1.963139057</v>
      </c>
    </row>
    <row r="10" spans="1:65">
      <c r="A10" t="str">
        <f>"7 Year Note"</f>
        <v>7 Year Note</v>
      </c>
      <c r="B10" t="str">
        <f>"GDBR7 Index"</f>
        <v>GDBR7 Index</v>
      </c>
      <c r="C10" t="str">
        <f t="shared" si="1"/>
        <v>PR005</v>
      </c>
      <c r="D10" t="str">
        <f t="shared" si="2"/>
        <v>PX_LAST</v>
      </c>
      <c r="E10" t="str">
        <f t="shared" si="3"/>
        <v>Dynamic</v>
      </c>
      <c r="F10">
        <f ca="1">IF(AND(ISNUMBER($F$35),$B$29=1),$F$35,HLOOKUP(INDIRECT(ADDRESS(2,COLUMN())),OFFSET($AJ$2,0,0,ROW()-1,30),ROW()-1,FALSE))</f>
        <v>2.1832938190000002</v>
      </c>
      <c r="G10">
        <f ca="1">IF(AND(ISNUMBER($G$35),$B$29=1),$G$35,HLOOKUP(INDIRECT(ADDRESS(2,COLUMN())),OFFSET($AJ$2,0,0,ROW()-1,30),ROW()-1,FALSE))</f>
        <v>2.270659685</v>
      </c>
      <c r="H10">
        <f ca="1">IF(AND(ISNUMBER($H$35),$B$29=1),$H$35,HLOOKUP(INDIRECT(ADDRESS(2,COLUMN())),OFFSET($AJ$2,0,0,ROW()-1,30),ROW()-1,FALSE))</f>
        <v>2.1461029049999998</v>
      </c>
      <c r="I10">
        <f ca="1">IF(AND(ISNUMBER($I$35),$B$29=1),$I$35,HLOOKUP(INDIRECT(ADDRESS(2,COLUMN())),OFFSET($AJ$2,0,0,ROW()-1,30),ROW()-1,FALSE))</f>
        <v>1.9102835659999999</v>
      </c>
      <c r="J10">
        <f ca="1">IF(AND(ISNUMBER($J$35),$B$29=1),$J$35,HLOOKUP(INDIRECT(ADDRESS(2,COLUMN())),OFFSET($AJ$2,0,0,ROW()-1,30),ROW()-1,FALSE))</f>
        <v>2.2298140000000002</v>
      </c>
      <c r="K10">
        <f ca="1">IF(AND(ISNUMBER($K$35),$B$29=1),$K$35,HLOOKUP(INDIRECT(ADDRESS(2,COLUMN())),OFFSET($AJ$2,0,0,ROW()-1,30),ROW()-1,FALSE))</f>
        <v>1.933316469</v>
      </c>
      <c r="L10">
        <f ca="1">IF(AND(ISNUMBER($L$35),$B$29=1),$L$35,HLOOKUP(INDIRECT(ADDRESS(2,COLUMN())),OFFSET($AJ$2,0,0,ROW()-1,30),ROW()-1,FALSE))</f>
        <v>2.1447098260000002</v>
      </c>
      <c r="M10">
        <f ca="1">IF(AND(ISNUMBER($M$35),$B$29=1),$M$35,HLOOKUP(INDIRECT(ADDRESS(2,COLUMN())),OFFSET($AJ$2,0,0,ROW()-1,30),ROW()-1,FALSE))</f>
        <v>2.1672079559999999</v>
      </c>
      <c r="N10">
        <f ca="1">IF(AND(ISNUMBER($N$35),$B$29=1),$N$35,HLOOKUP(INDIRECT(ADDRESS(2,COLUMN())),OFFSET($AJ$2,0,0,ROW()-1,30),ROW()-1,FALSE))</f>
        <v>2.4620940689999999</v>
      </c>
      <c r="O10">
        <f ca="1">IF(AND(ISNUMBER($O$35),$B$29=1),$O$35,HLOOKUP(INDIRECT(ADDRESS(2,COLUMN())),OFFSET($AJ$2,0,0,ROW()-1,30),ROW()-1,FALSE))</f>
        <v>2.6531102660000001</v>
      </c>
      <c r="P10">
        <f ca="1">IF(AND(ISNUMBER($P$35),$B$29=1),$P$35,HLOOKUP(INDIRECT(ADDRESS(2,COLUMN())),OFFSET($AJ$2,0,0,ROW()-1,30),ROW()-1,FALSE))</f>
        <v>2.5669312479999999</v>
      </c>
      <c r="Q10">
        <f ca="1">IF(AND(ISNUMBER($Q$35),$B$29=1),$Q$35,HLOOKUP(INDIRECT(ADDRESS(2,COLUMN())),OFFSET($AJ$2,0,0,ROW()-1,30),ROW()-1,FALSE))</f>
        <v>2.269539</v>
      </c>
      <c r="R10">
        <f ca="1">IF(AND(ISNUMBER($R$35),$B$29=1),$R$35,HLOOKUP(INDIRECT(ADDRESS(2,COLUMN())),OFFSET($AJ$2,0,0,ROW()-1,30),ROW()-1,FALSE))</f>
        <v>2.3817760940000001</v>
      </c>
      <c r="S10">
        <f ca="1">IF(AND(ISNUMBER($S$35),$B$29=1),$S$35,HLOOKUP(INDIRECT(ADDRESS(2,COLUMN())),OFFSET($AJ$2,0,0,ROW()-1,30),ROW()-1,FALSE))</f>
        <v>2.0611138339999999</v>
      </c>
      <c r="T10">
        <f ca="1">IF(AND(ISNUMBER($T$35),$B$29=1),$T$35,HLOOKUP(INDIRECT(ADDRESS(2,COLUMN())),OFFSET($AJ$2,0,0,ROW()-1,30),ROW()-1,FALSE))</f>
        <v>1.938958645</v>
      </c>
      <c r="U10">
        <f ca="1">IF(AND(ISNUMBER($U$35),$B$29=1),$U$35,HLOOKUP(INDIRECT(ADDRESS(2,COLUMN())),OFFSET($AJ$2,0,0,ROW()-1,30),ROW()-1,FALSE))</f>
        <v>2.3697340489999998</v>
      </c>
      <c r="V10">
        <f ca="1">IF(AND(ISNUMBER($V$35),$B$29=1),$V$35,HLOOKUP(INDIRECT(ADDRESS(2,COLUMN())),OFFSET($AJ$2,0,0,ROW()-1,30),ROW()-1,FALSE))</f>
        <v>2.6939769999999998</v>
      </c>
      <c r="W10">
        <f ca="1">IF(AND(ISNUMBER($W$35),$B$29=1),$W$35,HLOOKUP(INDIRECT(ADDRESS(2,COLUMN())),OFFSET($AJ$2,0,0,ROW()-1,30),ROW()-1,FALSE))</f>
        <v>2.790839911</v>
      </c>
      <c r="X10">
        <f ca="1">IF(AND(ISNUMBER($X$35),$B$29=1),$X$35,HLOOKUP(INDIRECT(ADDRESS(2,COLUMN())),OFFSET($AJ$2,0,0,ROW()-1,30),ROW()-1,FALSE))</f>
        <v>2.4486305709999998</v>
      </c>
      <c r="Y10">
        <f ca="1">IF(AND(ISNUMBER($Y$35),$B$29=1),$Y$35,HLOOKUP(INDIRECT(ADDRESS(2,COLUMN())),OFFSET($AJ$2,0,0,ROW()-1,30),ROW()-1,FALSE))</f>
        <v>2.4817426199999999</v>
      </c>
      <c r="Z10">
        <f ca="1">IF(AND(ISNUMBER($Z$35),$B$29=1),$Z$35,HLOOKUP(INDIRECT(ADDRESS(2,COLUMN())),OFFSET($AJ$2,0,0,ROW()-1,30),ROW()-1,FALSE))</f>
        <v>2.4688613410000002</v>
      </c>
      <c r="AA10">
        <f ca="1">IF(AND(ISNUMBER($AA$35),$B$29=1),$AA$35,HLOOKUP(INDIRECT(ADDRESS(2,COLUMN())),OFFSET($AJ$2,0,0,ROW()-1,30),ROW()-1,FALSE))</f>
        <v>2.2485575679999998</v>
      </c>
      <c r="AB10">
        <f ca="1">IF(AND(ISNUMBER($AB$35),$B$29=1),$AB$35,HLOOKUP(INDIRECT(ADDRESS(2,COLUMN())),OFFSET($AJ$2,0,0,ROW()-1,30),ROW()-1,FALSE))</f>
        <v>2.2930223939999999</v>
      </c>
      <c r="AC10">
        <f ca="1">IF(AND(ISNUMBER($AC$35),$B$29=1),$AC$35,HLOOKUP(INDIRECT(ADDRESS(2,COLUMN())),OFFSET($AJ$2,0,0,ROW()-1,30),ROW()-1,FALSE))</f>
        <v>2.2796132560000002</v>
      </c>
      <c r="AD10">
        <f ca="1">IF(AND(ISNUMBER($AD$35),$B$29=1),$AD$35,HLOOKUP(INDIRECT(ADDRESS(2,COLUMN())),OFFSET($AJ$2,0,0,ROW()-1,30),ROW()-1,FALSE))</f>
        <v>2.677354813</v>
      </c>
      <c r="AE10">
        <f ca="1">IF(AND(ISNUMBER($AE$35),$B$29=1),$AE$35,HLOOKUP(INDIRECT(ADDRESS(2,COLUMN())),OFFSET($AJ$2,0,0,ROW()-1,30),ROW()-1,FALSE))</f>
        <v>2.2651698589999998</v>
      </c>
      <c r="AF10">
        <f ca="1">IF(AND(ISNUMBER($AF$35),$B$29=1),$AF$35,HLOOKUP(INDIRECT(ADDRESS(2,COLUMN())),OFFSET($AJ$2,0,0,ROW()-1,30),ROW()-1,FALSE))</f>
        <v>2.5695669649999999</v>
      </c>
      <c r="AG10">
        <f ca="1">IF(AND(ISNUMBER($AG$35),$B$29=1),$AG$35,HLOOKUP(INDIRECT(ADDRESS(2,COLUMN())),OFFSET($AJ$2,0,0,ROW()-1,30),ROW()-1,FALSE))</f>
        <v>1.91381216</v>
      </c>
      <c r="AH10">
        <f ca="1">IF(AND(ISNUMBER($AH$35),$B$29=1),$AH$35,HLOOKUP(INDIRECT(ADDRESS(2,COLUMN())),OFFSET($AJ$2,0,0,ROW()-1,30),ROW()-1,FALSE))</f>
        <v>2.0976445670000001</v>
      </c>
      <c r="AI10">
        <f ca="1">IF(AND(ISNUMBER($AI$35),$B$29=1),$AI$35,HLOOKUP(INDIRECT(ADDRESS(2,COLUMN())),OFFSET($AJ$2,0,0,ROW()-1,30),ROW()-1,FALSE))</f>
        <v>1.986199021</v>
      </c>
      <c r="AJ10">
        <f>2.183293819</f>
        <v>2.1832938190000002</v>
      </c>
      <c r="AK10">
        <f>2.270659685</f>
        <v>2.270659685</v>
      </c>
      <c r="AL10">
        <f>2.146102905</f>
        <v>2.1461029049999998</v>
      </c>
      <c r="AM10">
        <f>1.910283566</f>
        <v>1.9102835659999999</v>
      </c>
      <c r="AN10">
        <f>2.229814</f>
        <v>2.2298140000000002</v>
      </c>
      <c r="AO10">
        <f>1.933316469</f>
        <v>1.933316469</v>
      </c>
      <c r="AP10">
        <f>2.144709826</f>
        <v>2.1447098260000002</v>
      </c>
      <c r="AQ10">
        <f>2.167207956</f>
        <v>2.1672079559999999</v>
      </c>
      <c r="AR10">
        <f>2.462094069</f>
        <v>2.4620940689999999</v>
      </c>
      <c r="AS10">
        <f>2.653110266</f>
        <v>2.6531102660000001</v>
      </c>
      <c r="AT10">
        <f>2.566931248</f>
        <v>2.5669312479999999</v>
      </c>
      <c r="AU10">
        <f>2.269539</f>
        <v>2.269539</v>
      </c>
      <c r="AV10">
        <f>2.381776094</f>
        <v>2.3817760940000001</v>
      </c>
      <c r="AW10">
        <f>2.061113834</f>
        <v>2.0611138339999999</v>
      </c>
      <c r="AX10">
        <f>1.938958645</f>
        <v>1.938958645</v>
      </c>
      <c r="AY10">
        <f>2.369734049</f>
        <v>2.3697340489999998</v>
      </c>
      <c r="AZ10">
        <f>2.693977</f>
        <v>2.6939769999999998</v>
      </c>
      <c r="BA10">
        <f>2.790839911</f>
        <v>2.790839911</v>
      </c>
      <c r="BB10">
        <f>2.448630571</f>
        <v>2.4486305709999998</v>
      </c>
      <c r="BC10">
        <f>2.48174262</f>
        <v>2.4817426199999999</v>
      </c>
      <c r="BD10">
        <f>2.468861341</f>
        <v>2.4688613410000002</v>
      </c>
      <c r="BE10">
        <f>2.248557568</f>
        <v>2.2485575679999998</v>
      </c>
      <c r="BF10">
        <f>2.293022394</f>
        <v>2.2930223939999999</v>
      </c>
      <c r="BG10">
        <f>2.279613256</f>
        <v>2.2796132560000002</v>
      </c>
      <c r="BH10">
        <f>2.677354813</f>
        <v>2.677354813</v>
      </c>
      <c r="BI10">
        <f>2.265169859</f>
        <v>2.2651698589999998</v>
      </c>
      <c r="BJ10">
        <f>2.569566965</f>
        <v>2.5695669649999999</v>
      </c>
      <c r="BK10">
        <f>1.91381216</f>
        <v>1.91381216</v>
      </c>
      <c r="BL10">
        <f>2.097644567</f>
        <v>2.0976445670000001</v>
      </c>
      <c r="BM10">
        <f>1.986199021</f>
        <v>1.986199021</v>
      </c>
    </row>
    <row r="11" spans="1:65">
      <c r="A11" t="str">
        <f>"10 Year Note"</f>
        <v>10 Year Note</v>
      </c>
      <c r="B11" t="str">
        <f>"GDBR10 Index"</f>
        <v>GDBR10 Index</v>
      </c>
      <c r="C11" t="str">
        <f t="shared" si="1"/>
        <v>PR005</v>
      </c>
      <c r="D11" t="str">
        <f t="shared" si="2"/>
        <v>PX_LAST</v>
      </c>
      <c r="E11" t="str">
        <f t="shared" si="3"/>
        <v>Dynamic</v>
      </c>
      <c r="F11">
        <f ca="1">IF(AND(ISNUMBER($F$36),$B$29=1),$F$36,HLOOKUP(INDIRECT(ADDRESS(2,COLUMN())),OFFSET($AJ$2,0,0,ROW()-1,30),ROW()-1,FALSE))</f>
        <v>2.4183926580000001</v>
      </c>
      <c r="G11">
        <f ca="1">IF(AND(ISNUMBER($G$36),$B$29=1),$G$36,HLOOKUP(INDIRECT(ADDRESS(2,COLUMN())),OFFSET($AJ$2,0,0,ROW()-1,30),ROW()-1,FALSE))</f>
        <v>2.4596495630000001</v>
      </c>
      <c r="H11">
        <f ca="1">IF(AND(ISNUMBER($H$36),$B$29=1),$H$36,HLOOKUP(INDIRECT(ADDRESS(2,COLUMN())),OFFSET($AJ$2,0,0,ROW()-1,30),ROW()-1,FALSE))</f>
        <v>2.36691165</v>
      </c>
      <c r="I11">
        <f ca="1">IF(AND(ISNUMBER($I$36),$B$29=1),$I$36,HLOOKUP(INDIRECT(ADDRESS(2,COLUMN())),OFFSET($AJ$2,0,0,ROW()-1,30),ROW()-1,FALSE))</f>
        <v>2.0875089170000001</v>
      </c>
      <c r="J11">
        <f ca="1">IF(AND(ISNUMBER($J$36),$B$29=1),$J$36,HLOOKUP(INDIRECT(ADDRESS(2,COLUMN())),OFFSET($AJ$2,0,0,ROW()-1,30),ROW()-1,FALSE))</f>
        <v>2.3896269999999999</v>
      </c>
      <c r="K11">
        <f ca="1">IF(AND(ISNUMBER($K$36),$B$29=1),$K$36,HLOOKUP(INDIRECT(ADDRESS(2,COLUMN())),OFFSET($AJ$2,0,0,ROW()-1,30),ROW()-1,FALSE))</f>
        <v>2.1230461599999999</v>
      </c>
      <c r="L11">
        <f ca="1">IF(AND(ISNUMBER($L$36),$B$29=1),$L$36,HLOOKUP(INDIRECT(ADDRESS(2,COLUMN())),OFFSET($AJ$2,0,0,ROW()-1,30),ROW()-1,FALSE))</f>
        <v>2.2985663409999999</v>
      </c>
      <c r="M11">
        <f ca="1">IF(AND(ISNUMBER($M$36),$B$29=1),$M$36,HLOOKUP(INDIRECT(ADDRESS(2,COLUMN())),OFFSET($AJ$2,0,0,ROW()-1,30),ROW()-1,FALSE))</f>
        <v>2.3037190440000002</v>
      </c>
      <c r="N11">
        <f ca="1">IF(AND(ISNUMBER($N$36),$B$29=1),$N$36,HLOOKUP(INDIRECT(ADDRESS(2,COLUMN())),OFFSET($AJ$2,0,0,ROW()-1,30),ROW()-1,FALSE))</f>
        <v>2.5004782680000002</v>
      </c>
      <c r="O11">
        <f ca="1">IF(AND(ISNUMBER($O$36),$B$29=1),$O$36,HLOOKUP(INDIRECT(ADDRESS(2,COLUMN())),OFFSET($AJ$2,0,0,ROW()-1,30),ROW()-1,FALSE))</f>
        <v>2.6641917230000001</v>
      </c>
      <c r="P11">
        <f ca="1">IF(AND(ISNUMBER($P$36),$B$29=1),$P$36,HLOOKUP(INDIRECT(ADDRESS(2,COLUMN())),OFFSET($AJ$2,0,0,ROW()-1,30),ROW()-1,FALSE))</f>
        <v>2.5835933689999999</v>
      </c>
      <c r="Q11">
        <f ca="1">IF(AND(ISNUMBER($Q$36),$B$29=1),$Q$36,HLOOKUP(INDIRECT(ADDRESS(2,COLUMN())),OFFSET($AJ$2,0,0,ROW()-1,30),ROW()-1,FALSE))</f>
        <v>2.2979509999999999</v>
      </c>
      <c r="R11">
        <f ca="1">IF(AND(ISNUMBER($R$36),$B$29=1),$R$36,HLOOKUP(INDIRECT(ADDRESS(2,COLUMN())),OFFSET($AJ$2,0,0,ROW()-1,30),ROW()-1,FALSE))</f>
        <v>2.4111166000000002</v>
      </c>
      <c r="S11">
        <f ca="1">IF(AND(ISNUMBER($S$36),$B$29=1),$S$36,HLOOKUP(INDIRECT(ADDRESS(2,COLUMN())),OFFSET($AJ$2,0,0,ROW()-1,30),ROW()-1,FALSE))</f>
        <v>2.165841103</v>
      </c>
      <c r="T11">
        <f ca="1">IF(AND(ISNUMBER($T$36),$B$29=1),$T$36,HLOOKUP(INDIRECT(ADDRESS(2,COLUMN())),OFFSET($AJ$2,0,0,ROW()-1,30),ROW()-1,FALSE))</f>
        <v>2.0243394370000001</v>
      </c>
      <c r="U11">
        <f ca="1">IF(AND(ISNUMBER($U$36),$B$29=1),$U$36,HLOOKUP(INDIRECT(ADDRESS(2,COLUMN())),OFFSET($AJ$2,0,0,ROW()-1,30),ROW()-1,FALSE))</f>
        <v>2.4468669890000001</v>
      </c>
      <c r="V11">
        <f ca="1">IF(AND(ISNUMBER($V$36),$B$29=1),$V$36,HLOOKUP(INDIRECT(ADDRESS(2,COLUMN())),OFFSET($AJ$2,0,0,ROW()-1,30),ROW()-1,FALSE))</f>
        <v>2.805958</v>
      </c>
      <c r="W11">
        <f ca="1">IF(AND(ISNUMBER($W$36),$B$29=1),$W$36,HLOOKUP(INDIRECT(ADDRESS(2,COLUMN())),OFFSET($AJ$2,0,0,ROW()-1,30),ROW()-1,FALSE))</f>
        <v>2.838624716</v>
      </c>
      <c r="X11">
        <f ca="1">IF(AND(ISNUMBER($X$36),$B$29=1),$X$36,HLOOKUP(INDIRECT(ADDRESS(2,COLUMN())),OFFSET($AJ$2,0,0,ROW()-1,30),ROW()-1,FALSE))</f>
        <v>2.4660234449999998</v>
      </c>
      <c r="Y11">
        <f ca="1">IF(AND(ISNUMBER($Y$36),$B$29=1),$Y$36,HLOOKUP(INDIRECT(ADDRESS(2,COLUMN())),OFFSET($AJ$2,0,0,ROW()-1,30),ROW()-1,FALSE))</f>
        <v>2.491681099</v>
      </c>
      <c r="Z11">
        <f ca="1">IF(AND(ISNUMBER($Z$36),$B$29=1),$Z$36,HLOOKUP(INDIRECT(ADDRESS(2,COLUMN())),OFFSET($AJ$2,0,0,ROW()-1,30),ROW()-1,FALSE))</f>
        <v>2.3923823830000002</v>
      </c>
      <c r="AA11">
        <f ca="1">IF(AND(ISNUMBER($AA$36),$B$29=1),$AA$36,HLOOKUP(INDIRECT(ADDRESS(2,COLUMN())),OFFSET($AJ$2,0,0,ROW()-1,30),ROW()-1,FALSE))</f>
        <v>2.2817249300000002</v>
      </c>
      <c r="AB11">
        <f ca="1">IF(AND(ISNUMBER($AB$36),$B$29=1),$AB$36,HLOOKUP(INDIRECT(ADDRESS(2,COLUMN())),OFFSET($AJ$2,0,0,ROW()-1,30),ROW()-1,FALSE))</f>
        <v>2.3127548689999999</v>
      </c>
      <c r="AC11">
        <f ca="1">IF(AND(ISNUMBER($AC$36),$B$29=1),$AC$36,HLOOKUP(INDIRECT(ADDRESS(2,COLUMN())),OFFSET($AJ$2,0,0,ROW()-1,30),ROW()-1,FALSE))</f>
        <v>2.2917623520000001</v>
      </c>
      <c r="AD11">
        <f ca="1">IF(AND(ISNUMBER($AD$36),$B$29=1),$AD$36,HLOOKUP(INDIRECT(ADDRESS(2,COLUMN())),OFFSET($AJ$2,0,0,ROW()-1,30),ROW()-1,FALSE))</f>
        <v>2.6513078210000001</v>
      </c>
      <c r="AE11">
        <f ca="1">IF(AND(ISNUMBER($AE$36),$B$29=1),$AE$36,HLOOKUP(INDIRECT(ADDRESS(2,COLUMN())),OFFSET($AJ$2,0,0,ROW()-1,30),ROW()-1,FALSE))</f>
        <v>2.286009789</v>
      </c>
      <c r="AF11">
        <f ca="1">IF(AND(ISNUMBER($AF$36),$B$29=1),$AF$36,HLOOKUP(INDIRECT(ADDRESS(2,COLUMN())),OFFSET($AJ$2,0,0,ROW()-1,30),ROW()-1,FALSE))</f>
        <v>2.5712473390000001</v>
      </c>
      <c r="AG11">
        <f ca="1">IF(AND(ISNUMBER($AG$36),$B$29=1),$AG$36,HLOOKUP(INDIRECT(ADDRESS(2,COLUMN())),OFFSET($AJ$2,0,0,ROW()-1,30),ROW()-1,FALSE))</f>
        <v>1.9296439889999999</v>
      </c>
      <c r="AH11">
        <f ca="1">IF(AND(ISNUMBER($AH$36),$B$29=1),$AH$36,HLOOKUP(INDIRECT(ADDRESS(2,COLUMN())),OFFSET($AJ$2,0,0,ROW()-1,30),ROW()-1,FALSE))</f>
        <v>2.141966343</v>
      </c>
      <c r="AI11">
        <f ca="1">IF(AND(ISNUMBER($AI$36),$B$29=1),$AI$36,HLOOKUP(INDIRECT(ADDRESS(2,COLUMN())),OFFSET($AJ$2,0,0,ROW()-1,30),ROW()-1,FALSE))</f>
        <v>2.1082463260000002</v>
      </c>
      <c r="AJ11">
        <f>2.418392658</f>
        <v>2.4183926580000001</v>
      </c>
      <c r="AK11">
        <f>2.459649563</f>
        <v>2.4596495630000001</v>
      </c>
      <c r="AL11">
        <f>2.36691165</f>
        <v>2.36691165</v>
      </c>
      <c r="AM11">
        <f>2.087508917</f>
        <v>2.0875089170000001</v>
      </c>
      <c r="AN11">
        <f>2.389627</f>
        <v>2.3896269999999999</v>
      </c>
      <c r="AO11">
        <f>2.12304616</f>
        <v>2.1230461599999999</v>
      </c>
      <c r="AP11">
        <f>2.298566341</f>
        <v>2.2985663409999999</v>
      </c>
      <c r="AQ11">
        <f>2.303719044</f>
        <v>2.3037190440000002</v>
      </c>
      <c r="AR11">
        <f>2.500478268</f>
        <v>2.5004782680000002</v>
      </c>
      <c r="AS11">
        <f>2.664191723</f>
        <v>2.6641917230000001</v>
      </c>
      <c r="AT11">
        <f>2.583593369</f>
        <v>2.5835933689999999</v>
      </c>
      <c r="AU11">
        <f>2.297951</f>
        <v>2.2979509999999999</v>
      </c>
      <c r="AV11">
        <f>2.4111166</f>
        <v>2.4111166000000002</v>
      </c>
      <c r="AW11">
        <f>2.165841103</f>
        <v>2.165841103</v>
      </c>
      <c r="AX11">
        <f>2.024339437</f>
        <v>2.0243394370000001</v>
      </c>
      <c r="AY11">
        <f>2.446866989</f>
        <v>2.4468669890000001</v>
      </c>
      <c r="AZ11">
        <f>2.805958</f>
        <v>2.805958</v>
      </c>
      <c r="BA11">
        <f>2.838624716</f>
        <v>2.838624716</v>
      </c>
      <c r="BB11">
        <f>2.466023445</f>
        <v>2.4660234449999998</v>
      </c>
      <c r="BC11">
        <f>2.491681099</f>
        <v>2.491681099</v>
      </c>
      <c r="BD11">
        <f>2.392382383</f>
        <v>2.3923823830000002</v>
      </c>
      <c r="BE11">
        <f>2.28172493</f>
        <v>2.2817249300000002</v>
      </c>
      <c r="BF11">
        <f>2.312754869</f>
        <v>2.3127548689999999</v>
      </c>
      <c r="BG11">
        <f>2.291762352</f>
        <v>2.2917623520000001</v>
      </c>
      <c r="BH11">
        <f>2.651307821</f>
        <v>2.6513078210000001</v>
      </c>
      <c r="BI11">
        <f>2.286009789</f>
        <v>2.286009789</v>
      </c>
      <c r="BJ11">
        <f>2.571247339</f>
        <v>2.5712473390000001</v>
      </c>
      <c r="BK11">
        <f>1.929643989</f>
        <v>1.9296439889999999</v>
      </c>
      <c r="BL11">
        <f>2.141966343</f>
        <v>2.141966343</v>
      </c>
      <c r="BM11">
        <f>2.108246326</f>
        <v>2.1082463260000002</v>
      </c>
    </row>
    <row r="12" spans="1:65">
      <c r="A12" t="str">
        <f>"20 Year Bond"</f>
        <v>20 Year Bond</v>
      </c>
      <c r="B12" t="str">
        <f>"GDBR20 Index"</f>
        <v>GDBR20 Index</v>
      </c>
      <c r="C12" t="str">
        <f t="shared" si="1"/>
        <v>PR005</v>
      </c>
      <c r="D12" t="str">
        <f t="shared" si="2"/>
        <v>PX_LAST</v>
      </c>
      <c r="E12" t="str">
        <f t="shared" si="3"/>
        <v>Dynamic</v>
      </c>
      <c r="F12">
        <f ca="1">IF(AND(ISNUMBER($F$37),$B$29=1),$F$37,HLOOKUP(INDIRECT(ADDRESS(2,COLUMN())),OFFSET($AJ$2,0,0,ROW()-1,30),ROW()-1,FALSE))</f>
        <v>2.6043140889999998</v>
      </c>
      <c r="G12">
        <f ca="1">IF(AND(ISNUMBER($G$37),$B$29=1),$G$37,HLOOKUP(INDIRECT(ADDRESS(2,COLUMN())),OFFSET($AJ$2,0,0,ROW()-1,30),ROW()-1,FALSE))</f>
        <v>2.7112324239999999</v>
      </c>
      <c r="H12">
        <f ca="1">IF(AND(ISNUMBER($H$37),$B$29=1),$H$37,HLOOKUP(INDIRECT(ADDRESS(2,COLUMN())),OFFSET($AJ$2,0,0,ROW()-1,30),ROW()-1,FALSE))</f>
        <v>2.590380669</v>
      </c>
      <c r="I12">
        <f ca="1">IF(AND(ISNUMBER($I$37),$B$29=1),$I$37,HLOOKUP(INDIRECT(ADDRESS(2,COLUMN())),OFFSET($AJ$2,0,0,ROW()-1,30),ROW()-1,FALSE))</f>
        <v>2.316378593</v>
      </c>
      <c r="J12">
        <f ca="1">IF(AND(ISNUMBER($J$37),$B$29=1),$J$37,HLOOKUP(INDIRECT(ADDRESS(2,COLUMN())),OFFSET($AJ$2,0,0,ROW()-1,30),ROW()-1,FALSE))</f>
        <v>2.6168149999999999</v>
      </c>
      <c r="K12">
        <f ca="1">IF(AND(ISNUMBER($K$37),$B$29=1),$K$37,HLOOKUP(INDIRECT(ADDRESS(2,COLUMN())),OFFSET($AJ$2,0,0,ROW()-1,30),ROW()-1,FALSE))</f>
        <v>2.4657335279999999</v>
      </c>
      <c r="L12">
        <f ca="1">IF(AND(ISNUMBER($L$37),$B$29=1),$L$37,HLOOKUP(INDIRECT(ADDRESS(2,COLUMN())),OFFSET($AJ$2,0,0,ROW()-1,30),ROW()-1,FALSE))</f>
        <v>2.5759711269999999</v>
      </c>
      <c r="M12">
        <f ca="1">IF(AND(ISNUMBER($M$37),$B$29=1),$M$37,HLOOKUP(INDIRECT(ADDRESS(2,COLUMN())),OFFSET($AJ$2,0,0,ROW()-1,30),ROW()-1,FALSE))</f>
        <v>2.5320131780000001</v>
      </c>
      <c r="N12">
        <f ca="1">IF(AND(ISNUMBER($N$37),$B$29=1),$N$37,HLOOKUP(INDIRECT(ADDRESS(2,COLUMN())),OFFSET($AJ$2,0,0,ROW()-1,30),ROW()-1,FALSE))</f>
        <v>2.7190182209999998</v>
      </c>
      <c r="O12">
        <f ca="1">IF(AND(ISNUMBER($O$37),$B$29=1),$O$37,HLOOKUP(INDIRECT(ADDRESS(2,COLUMN())),OFFSET($AJ$2,0,0,ROW()-1,30),ROW()-1,FALSE))</f>
        <v>2.8420691489999999</v>
      </c>
      <c r="P12">
        <f ca="1">IF(AND(ISNUMBER($P$37),$B$29=1),$P$37,HLOOKUP(INDIRECT(ADDRESS(2,COLUMN())),OFFSET($AJ$2,0,0,ROW()-1,30),ROW()-1,FALSE))</f>
        <v>2.743320942</v>
      </c>
      <c r="Q12">
        <f ca="1">IF(AND(ISNUMBER($Q$37),$B$29=1),$Q$37,HLOOKUP(INDIRECT(ADDRESS(2,COLUMN())),OFFSET($AJ$2,0,0,ROW()-1,30),ROW()-1,FALSE))</f>
        <v>2.4897939999999998</v>
      </c>
      <c r="R12">
        <f ca="1">IF(AND(ISNUMBER($R$37),$B$29=1),$R$37,HLOOKUP(INDIRECT(ADDRESS(2,COLUMN())),OFFSET($AJ$2,0,0,ROW()-1,30),ROW()-1,FALSE))</f>
        <v>2.5871245859999998</v>
      </c>
      <c r="S12">
        <f ca="1">IF(AND(ISNUMBER($S$37),$B$29=1),$S$37,HLOOKUP(INDIRECT(ADDRESS(2,COLUMN())),OFFSET($AJ$2,0,0,ROW()-1,30),ROW()-1,FALSE))</f>
        <v>2.431248665</v>
      </c>
      <c r="T12">
        <f ca="1">IF(AND(ISNUMBER($T$37),$B$29=1),$T$37,HLOOKUP(INDIRECT(ADDRESS(2,COLUMN())),OFFSET($AJ$2,0,0,ROW()-1,30),ROW()-1,FALSE))</f>
        <v>2.2986378670000001</v>
      </c>
      <c r="U12">
        <f ca="1">IF(AND(ISNUMBER($U$37),$B$29=1),$U$37,HLOOKUP(INDIRECT(ADDRESS(2,COLUMN())),OFFSET($AJ$2,0,0,ROW()-1,30),ROW()-1,FALSE))</f>
        <v>2.7215564250000002</v>
      </c>
      <c r="V12">
        <f ca="1">IF(AND(ISNUMBER($V$37),$B$29=1),$V$37,HLOOKUP(INDIRECT(ADDRESS(2,COLUMN())),OFFSET($AJ$2,0,0,ROW()-1,30),ROW()-1,FALSE))</f>
        <v>3.0947469999999999</v>
      </c>
      <c r="W12">
        <f ca="1">IF(AND(ISNUMBER($W$37),$B$29=1),$W$37,HLOOKUP(INDIRECT(ADDRESS(2,COLUMN())),OFFSET($AJ$2,0,0,ROW()-1,30),ROW()-1,FALSE))</f>
        <v>3.0507280830000001</v>
      </c>
      <c r="X12">
        <f ca="1">IF(AND(ISNUMBER($X$37),$B$29=1),$X$37,HLOOKUP(INDIRECT(ADDRESS(2,COLUMN())),OFFSET($AJ$2,0,0,ROW()-1,30),ROW()-1,FALSE))</f>
        <v>2.631144285</v>
      </c>
      <c r="Y12">
        <f ca="1">IF(AND(ISNUMBER($Y$37),$B$29=1),$Y$37,HLOOKUP(INDIRECT(ADDRESS(2,COLUMN())),OFFSET($AJ$2,0,0,ROW()-1,30),ROW()-1,FALSE))</f>
        <v>2.6365540030000001</v>
      </c>
      <c r="Z12">
        <f ca="1">IF(AND(ISNUMBER($Z$37),$B$29=1),$Z$37,HLOOKUP(INDIRECT(ADDRESS(2,COLUMN())),OFFSET($AJ$2,0,0,ROW()-1,30),ROW()-1,FALSE))</f>
        <v>2.4873604770000002</v>
      </c>
      <c r="AA12">
        <f ca="1">IF(AND(ISNUMBER($AA$37),$B$29=1),$AA$37,HLOOKUP(INDIRECT(ADDRESS(2,COLUMN())),OFFSET($AJ$2,0,0,ROW()-1,30),ROW()-1,FALSE))</f>
        <v>2.495957851</v>
      </c>
      <c r="AB12">
        <f ca="1">IF(AND(ISNUMBER($AB$37),$B$29=1),$AB$37,HLOOKUP(INDIRECT(ADDRESS(2,COLUMN())),OFFSET($AJ$2,0,0,ROW()-1,30),ROW()-1,FALSE))</f>
        <v>2.4724807740000001</v>
      </c>
      <c r="AC12">
        <f ca="1">IF(AND(ISNUMBER($AC$37),$B$29=1),$AC$37,HLOOKUP(INDIRECT(ADDRESS(2,COLUMN())),OFFSET($AJ$2,0,0,ROW()-1,30),ROW()-1,FALSE))</f>
        <v>2.4311487669999998</v>
      </c>
      <c r="AD12">
        <f ca="1">IF(AND(ISNUMBER($AD$37),$B$29=1),$AD$37,HLOOKUP(INDIRECT(ADDRESS(2,COLUMN())),OFFSET($AJ$2,0,0,ROW()-1,30),ROW()-1,FALSE))</f>
        <v>2.7076077459999999</v>
      </c>
      <c r="AE12">
        <f ca="1">IF(AND(ISNUMBER($AE$37),$B$29=1),$AE$37,HLOOKUP(INDIRECT(ADDRESS(2,COLUMN())),OFFSET($AJ$2,0,0,ROW()-1,30),ROW()-1,FALSE))</f>
        <v>2.3331422810000002</v>
      </c>
      <c r="AF12">
        <f ca="1">IF(AND(ISNUMBER($AF$37),$B$29=1),$AF$37,HLOOKUP(INDIRECT(ADDRESS(2,COLUMN())),OFFSET($AJ$2,0,0,ROW()-1,30),ROW()-1,FALSE))</f>
        <v>2.6112451550000002</v>
      </c>
      <c r="AG12">
        <f ca="1">IF(AND(ISNUMBER($AG$37),$B$29=1),$AG$37,HLOOKUP(INDIRECT(ADDRESS(2,COLUMN())),OFFSET($AJ$2,0,0,ROW()-1,30),ROW()-1,FALSE))</f>
        <v>1.9490792749999999</v>
      </c>
      <c r="AH12">
        <f ca="1">IF(AND(ISNUMBER($AH$37),$B$29=1),$AH$37,HLOOKUP(INDIRECT(ADDRESS(2,COLUMN())),OFFSET($AJ$2,0,0,ROW()-1,30),ROW()-1,FALSE))</f>
        <v>2.318908215</v>
      </c>
      <c r="AI12">
        <f ca="1">IF(AND(ISNUMBER($AI$37),$B$29=1),$AI$37,HLOOKUP(INDIRECT(ADDRESS(2,COLUMN())),OFFSET($AJ$2,0,0,ROW()-1,30),ROW()-1,FALSE))</f>
        <v>2.1789956090000002</v>
      </c>
      <c r="AJ12">
        <f>2.604314089</f>
        <v>2.6043140889999998</v>
      </c>
      <c r="AK12">
        <f>2.711232424</f>
        <v>2.7112324239999999</v>
      </c>
      <c r="AL12">
        <f>2.590380669</f>
        <v>2.590380669</v>
      </c>
      <c r="AM12">
        <f>2.316378593</f>
        <v>2.316378593</v>
      </c>
      <c r="AN12">
        <f>2.616815</f>
        <v>2.6168149999999999</v>
      </c>
      <c r="AO12">
        <f>2.465733528</f>
        <v>2.4657335279999999</v>
      </c>
      <c r="AP12">
        <f>2.575971127</f>
        <v>2.5759711269999999</v>
      </c>
      <c r="AQ12">
        <f>2.532013178</f>
        <v>2.5320131780000001</v>
      </c>
      <c r="AR12">
        <f>2.719018221</f>
        <v>2.7190182209999998</v>
      </c>
      <c r="AS12">
        <f>2.842069149</f>
        <v>2.8420691489999999</v>
      </c>
      <c r="AT12">
        <f>2.743320942</f>
        <v>2.743320942</v>
      </c>
      <c r="AU12">
        <f>2.489794</f>
        <v>2.4897939999999998</v>
      </c>
      <c r="AV12">
        <f>2.587124586</f>
        <v>2.5871245859999998</v>
      </c>
      <c r="AW12">
        <f>2.431248665</f>
        <v>2.431248665</v>
      </c>
      <c r="AX12">
        <f>2.298637867</f>
        <v>2.2986378670000001</v>
      </c>
      <c r="AY12">
        <f>2.721556425</f>
        <v>2.7215564250000002</v>
      </c>
      <c r="AZ12">
        <f>3.094747</f>
        <v>3.0947469999999999</v>
      </c>
      <c r="BA12">
        <f>3.050728083</f>
        <v>3.0507280830000001</v>
      </c>
      <c r="BB12">
        <f>2.631144285</f>
        <v>2.631144285</v>
      </c>
      <c r="BC12">
        <f>2.636554003</f>
        <v>2.6365540030000001</v>
      </c>
      <c r="BD12">
        <f>2.487360477</f>
        <v>2.4873604770000002</v>
      </c>
      <c r="BE12">
        <f>2.495957851</f>
        <v>2.495957851</v>
      </c>
      <c r="BF12">
        <f>2.472480774</f>
        <v>2.4724807740000001</v>
      </c>
      <c r="BG12">
        <f>2.431148767</f>
        <v>2.4311487669999998</v>
      </c>
      <c r="BH12">
        <f>2.707607746</f>
        <v>2.7076077459999999</v>
      </c>
      <c r="BI12">
        <f>2.333142281</f>
        <v>2.3331422810000002</v>
      </c>
      <c r="BJ12">
        <f>2.611245155</f>
        <v>2.6112451550000002</v>
      </c>
      <c r="BK12">
        <f>1.949079275</f>
        <v>1.9490792749999999</v>
      </c>
      <c r="BL12">
        <f>2.318908215</f>
        <v>2.318908215</v>
      </c>
      <c r="BM12">
        <f>2.178995609</f>
        <v>2.1789956090000002</v>
      </c>
    </row>
    <row r="13" spans="1:65">
      <c r="A13" t="str">
        <f>"30 Year Bond"</f>
        <v>30 Year Bond</v>
      </c>
      <c r="B13" t="str">
        <f>"GDBR30 Index"</f>
        <v>GDBR30 Index</v>
      </c>
      <c r="C13" t="str">
        <f t="shared" si="1"/>
        <v>PR005</v>
      </c>
      <c r="D13" t="str">
        <f t="shared" si="2"/>
        <v>PX_LAST</v>
      </c>
      <c r="E13" t="str">
        <f t="shared" si="3"/>
        <v>Dynamic</v>
      </c>
      <c r="F13">
        <f ca="1">IF(AND(ISNUMBER($F$38),$B$29=1),$F$38,HLOOKUP(INDIRECT(ADDRESS(2,COLUMN())),OFFSET($AJ$2,0,0,ROW()-1,30),ROW()-1,FALSE))</f>
        <v>2.615415096</v>
      </c>
      <c r="G13">
        <f ca="1">IF(AND(ISNUMBER($G$38),$B$29=1),$G$38,HLOOKUP(INDIRECT(ADDRESS(2,COLUMN())),OFFSET($AJ$2,0,0,ROW()-1,30),ROW()-1,FALSE))</f>
        <v>2.7129418850000002</v>
      </c>
      <c r="H13">
        <f ca="1">IF(AND(ISNUMBER($H$38),$B$29=1),$H$38,HLOOKUP(INDIRECT(ADDRESS(2,COLUMN())),OFFSET($AJ$2,0,0,ROW()-1,30),ROW()-1,FALSE))</f>
        <v>2.5966069699999998</v>
      </c>
      <c r="I13">
        <f ca="1">IF(AND(ISNUMBER($I$38),$B$29=1),$I$38,HLOOKUP(INDIRECT(ADDRESS(2,COLUMN())),OFFSET($AJ$2,0,0,ROW()-1,30),ROW()-1,FALSE))</f>
        <v>2.3249039649999999</v>
      </c>
      <c r="J13">
        <f ca="1">IF(AND(ISNUMBER($J$38),$B$29=1),$J$38,HLOOKUP(INDIRECT(ADDRESS(2,COLUMN())),OFFSET($AJ$2,0,0,ROW()-1,30),ROW()-1,FALSE))</f>
        <v>2.5954989999999998</v>
      </c>
      <c r="K13">
        <f ca="1">IF(AND(ISNUMBER($K$38),$B$29=1),$K$38,HLOOKUP(INDIRECT(ADDRESS(2,COLUMN())),OFFSET($AJ$2,0,0,ROW()-1,30),ROW()-1,FALSE))</f>
        <v>2.4589397910000002</v>
      </c>
      <c r="L13">
        <f ca="1">IF(AND(ISNUMBER($L$38),$B$29=1),$L$38,HLOOKUP(INDIRECT(ADDRESS(2,COLUMN())),OFFSET($AJ$2,0,0,ROW()-1,30),ROW()-1,FALSE))</f>
        <v>2.5462441440000001</v>
      </c>
      <c r="M13">
        <f ca="1">IF(AND(ISNUMBER($M$38),$B$29=1),$M$38,HLOOKUP(INDIRECT(ADDRESS(2,COLUMN())),OFFSET($AJ$2,0,0,ROW()-1,30),ROW()-1,FALSE))</f>
        <v>2.5141820909999999</v>
      </c>
      <c r="N13">
        <f ca="1">IF(AND(ISNUMBER($N$38),$B$29=1),$N$38,HLOOKUP(INDIRECT(ADDRESS(2,COLUMN())),OFFSET($AJ$2,0,0,ROW()-1,30),ROW()-1,FALSE))</f>
        <v>2.6914865969999999</v>
      </c>
      <c r="O13">
        <f ca="1">IF(AND(ISNUMBER($O$38),$B$29=1),$O$38,HLOOKUP(INDIRECT(ADDRESS(2,COLUMN())),OFFSET($AJ$2,0,0,ROW()-1,30),ROW()-1,FALSE))</f>
        <v>2.783823967</v>
      </c>
      <c r="P13">
        <f ca="1">IF(AND(ISNUMBER($P$38),$B$29=1),$P$38,HLOOKUP(INDIRECT(ADDRESS(2,COLUMN())),OFFSET($AJ$2,0,0,ROW()-1,30),ROW()-1,FALSE))</f>
        <v>2.6899871829999999</v>
      </c>
      <c r="Q13">
        <f ca="1">IF(AND(ISNUMBER($Q$38),$B$29=1),$Q$38,HLOOKUP(INDIRECT(ADDRESS(2,COLUMN())),OFFSET($AJ$2,0,0,ROW()-1,30),ROW()-1,FALSE))</f>
        <v>2.4553229999999999</v>
      </c>
      <c r="R13">
        <f ca="1">IF(AND(ISNUMBER($R$38),$B$29=1),$R$38,HLOOKUP(INDIRECT(ADDRESS(2,COLUMN())),OFFSET($AJ$2,0,0,ROW()-1,30),ROW()-1,FALSE))</f>
        <v>2.5386273859999999</v>
      </c>
      <c r="S13">
        <f ca="1">IF(AND(ISNUMBER($S$38),$B$29=1),$S$38,HLOOKUP(INDIRECT(ADDRESS(2,COLUMN())),OFFSET($AJ$2,0,0,ROW()-1,30),ROW()-1,FALSE))</f>
        <v>2.4046223160000002</v>
      </c>
      <c r="T13">
        <f ca="1">IF(AND(ISNUMBER($T$38),$B$29=1),$T$38,HLOOKUP(INDIRECT(ADDRESS(2,COLUMN())),OFFSET($AJ$2,0,0,ROW()-1,30),ROW()-1,FALSE))</f>
        <v>2.2633655070000001</v>
      </c>
      <c r="U13">
        <f ca="1">IF(AND(ISNUMBER($U$38),$B$29=1),$U$38,HLOOKUP(INDIRECT(ADDRESS(2,COLUMN())),OFFSET($AJ$2,0,0,ROW()-1,30),ROW()-1,FALSE))</f>
        <v>2.687119246</v>
      </c>
      <c r="V13">
        <f ca="1">IF(AND(ISNUMBER($V$38),$B$29=1),$V$38,HLOOKUP(INDIRECT(ADDRESS(2,COLUMN())),OFFSET($AJ$2,0,0,ROW()-1,30),ROW()-1,FALSE))</f>
        <v>3.094293</v>
      </c>
      <c r="W13">
        <f ca="1">IF(AND(ISNUMBER($W$38),$B$29=1),$W$38,HLOOKUP(INDIRECT(ADDRESS(2,COLUMN())),OFFSET($AJ$2,0,0,ROW()-1,30),ROW()-1,FALSE))</f>
        <v>3.0354151730000001</v>
      </c>
      <c r="X13">
        <f ca="1">IF(AND(ISNUMBER($X$38),$B$29=1),$X$38,HLOOKUP(INDIRECT(ADDRESS(2,COLUMN())),OFFSET($AJ$2,0,0,ROW()-1,30),ROW()-1,FALSE))</f>
        <v>2.5908608439999998</v>
      </c>
      <c r="Y13">
        <f ca="1">IF(AND(ISNUMBER($Y$38),$B$29=1),$Y$38,HLOOKUP(INDIRECT(ADDRESS(2,COLUMN())),OFFSET($AJ$2,0,0,ROW()-1,30),ROW()-1,FALSE))</f>
        <v>2.5703959470000002</v>
      </c>
      <c r="Z13">
        <f ca="1">IF(AND(ISNUMBER($Z$38),$B$29=1),$Z$38,HLOOKUP(INDIRECT(ADDRESS(2,COLUMN())),OFFSET($AJ$2,0,0,ROW()-1,30),ROW()-1,FALSE))</f>
        <v>2.3890776630000001</v>
      </c>
      <c r="AA13">
        <f ca="1">IF(AND(ISNUMBER($AA$38),$B$29=1),$AA$38,HLOOKUP(INDIRECT(ADDRESS(2,COLUMN())),OFFSET($AJ$2,0,0,ROW()-1,30),ROW()-1,FALSE))</f>
        <v>2.4608342649999999</v>
      </c>
      <c r="AB13">
        <f ca="1">IF(AND(ISNUMBER($AB$38),$B$29=1),$AB$38,HLOOKUP(INDIRECT(ADDRESS(2,COLUMN())),OFFSET($AJ$2,0,0,ROW()-1,30),ROW()-1,FALSE))</f>
        <v>2.415188074</v>
      </c>
      <c r="AC13">
        <f ca="1">IF(AND(ISNUMBER($AC$38),$B$29=1),$AC$38,HLOOKUP(INDIRECT(ADDRESS(2,COLUMN())),OFFSET($AJ$2,0,0,ROW()-1,30),ROW()-1,FALSE))</f>
        <v>2.3628244399999998</v>
      </c>
      <c r="AD13">
        <f ca="1">IF(AND(ISNUMBER($AD$38),$B$29=1),$AD$38,HLOOKUP(INDIRECT(ADDRESS(2,COLUMN())),OFFSET($AJ$2,0,0,ROW()-1,30),ROW()-1,FALSE))</f>
        <v>2.6095929149999999</v>
      </c>
      <c r="AE13">
        <f ca="1">IF(AND(ISNUMBER($AE$38),$B$29=1),$AE$38,HLOOKUP(INDIRECT(ADDRESS(2,COLUMN())),OFFSET($AJ$2,0,0,ROW()-1,30),ROW()-1,FALSE))</f>
        <v>2.224384546</v>
      </c>
      <c r="AF13">
        <f ca="1">IF(AND(ISNUMBER($AF$38),$B$29=1),$AF$38,HLOOKUP(INDIRECT(ADDRESS(2,COLUMN())),OFFSET($AJ$2,0,0,ROW()-1,30),ROW()-1,FALSE))</f>
        <v>2.544522524</v>
      </c>
      <c r="AG13">
        <f ca="1">IF(AND(ISNUMBER($AG$38),$B$29=1),$AG$38,HLOOKUP(INDIRECT(ADDRESS(2,COLUMN())),OFFSET($AJ$2,0,0,ROW()-1,30),ROW()-1,FALSE))</f>
        <v>1.821546793</v>
      </c>
      <c r="AH13">
        <f ca="1">IF(AND(ISNUMBER($AH$38),$B$29=1),$AH$38,HLOOKUP(INDIRECT(ADDRESS(2,COLUMN())),OFFSET($AJ$2,0,0,ROW()-1,30),ROW()-1,FALSE))</f>
        <v>2.1353597639999999</v>
      </c>
      <c r="AI13">
        <f ca="1">IF(AND(ISNUMBER($AI$38),$B$29=1),$AI$38,HLOOKUP(INDIRECT(ADDRESS(2,COLUMN())),OFFSET($AJ$2,0,0,ROW()-1,30),ROW()-1,FALSE))</f>
        <v>2.0915014740000002</v>
      </c>
      <c r="AJ13">
        <f>2.615415096</f>
        <v>2.615415096</v>
      </c>
      <c r="AK13">
        <f>2.712941885</f>
        <v>2.7129418850000002</v>
      </c>
      <c r="AL13">
        <f>2.59660697</f>
        <v>2.5966069699999998</v>
      </c>
      <c r="AM13">
        <f>2.324903965</f>
        <v>2.3249039649999999</v>
      </c>
      <c r="AN13">
        <f>2.595499</f>
        <v>2.5954989999999998</v>
      </c>
      <c r="AO13">
        <f>2.458939791</f>
        <v>2.4589397910000002</v>
      </c>
      <c r="AP13">
        <f>2.546244144</f>
        <v>2.5462441440000001</v>
      </c>
      <c r="AQ13">
        <f>2.514182091</f>
        <v>2.5141820909999999</v>
      </c>
      <c r="AR13">
        <f>2.691486597</f>
        <v>2.6914865969999999</v>
      </c>
      <c r="AS13">
        <f>2.783823967</f>
        <v>2.783823967</v>
      </c>
      <c r="AT13">
        <f>2.689987183</f>
        <v>2.6899871829999999</v>
      </c>
      <c r="AU13">
        <f>2.455323</f>
        <v>2.4553229999999999</v>
      </c>
      <c r="AV13">
        <f>2.538627386</f>
        <v>2.5386273859999999</v>
      </c>
      <c r="AW13">
        <f>2.404622316</f>
        <v>2.4046223160000002</v>
      </c>
      <c r="AX13">
        <f>2.263365507</f>
        <v>2.2633655070000001</v>
      </c>
      <c r="AY13">
        <f>2.687119246</f>
        <v>2.687119246</v>
      </c>
      <c r="AZ13">
        <f>3.094293</f>
        <v>3.094293</v>
      </c>
      <c r="BA13">
        <f>3.035415173</f>
        <v>3.0354151730000001</v>
      </c>
      <c r="BB13">
        <f>2.590860844</f>
        <v>2.5908608439999998</v>
      </c>
      <c r="BC13">
        <f>2.570395947</f>
        <v>2.5703959470000002</v>
      </c>
      <c r="BD13">
        <f>2.389077663</f>
        <v>2.3890776630000001</v>
      </c>
      <c r="BE13">
        <f>2.460834265</f>
        <v>2.4608342649999999</v>
      </c>
      <c r="BF13">
        <f>2.415188074</f>
        <v>2.415188074</v>
      </c>
      <c r="BG13">
        <f>2.36282444</f>
        <v>2.3628244399999998</v>
      </c>
      <c r="BH13">
        <f>2.609592915</f>
        <v>2.6095929149999999</v>
      </c>
      <c r="BI13">
        <f>2.224384546</f>
        <v>2.224384546</v>
      </c>
      <c r="BJ13">
        <f>2.544522524</f>
        <v>2.544522524</v>
      </c>
      <c r="BK13">
        <f>1.821546793</f>
        <v>1.821546793</v>
      </c>
      <c r="BL13">
        <f>2.135359764</f>
        <v>2.1353597639999999</v>
      </c>
      <c r="BM13">
        <f>2.091501474</f>
        <v>2.0915014740000002</v>
      </c>
    </row>
    <row r="14" spans="1:65">
      <c r="AJ14" t="str">
        <f>""</f>
        <v/>
      </c>
      <c r="AK14" t="str">
        <f>""</f>
        <v/>
      </c>
      <c r="AL14" t="str">
        <f>""</f>
        <v/>
      </c>
      <c r="AM14" t="str">
        <f>""</f>
        <v/>
      </c>
      <c r="AN14" t="str">
        <f>""</f>
        <v/>
      </c>
      <c r="AO14" t="str">
        <f>""</f>
        <v/>
      </c>
      <c r="AP14" t="str">
        <f>""</f>
        <v/>
      </c>
      <c r="AQ14" t="str">
        <f>""</f>
        <v/>
      </c>
      <c r="AR14" t="str">
        <f>""</f>
        <v/>
      </c>
      <c r="AS14" t="str">
        <f>""</f>
        <v/>
      </c>
      <c r="AT14" t="str">
        <f>""</f>
        <v/>
      </c>
      <c r="AU14" t="str">
        <f>""</f>
        <v/>
      </c>
      <c r="AV14" t="str">
        <f>""</f>
        <v/>
      </c>
      <c r="AW14" t="str">
        <f>""</f>
        <v/>
      </c>
      <c r="AX14" t="str">
        <f>""</f>
        <v/>
      </c>
      <c r="AY14" t="str">
        <f>""</f>
        <v/>
      </c>
      <c r="AZ14" t="str">
        <f>""</f>
        <v/>
      </c>
      <c r="BA14" t="str">
        <f>""</f>
        <v/>
      </c>
      <c r="BB14" t="str">
        <f>""</f>
        <v/>
      </c>
      <c r="BC14" t="str">
        <f>""</f>
        <v/>
      </c>
      <c r="BD14" t="str">
        <f>""</f>
        <v/>
      </c>
      <c r="BE14" t="str">
        <f>""</f>
        <v/>
      </c>
      <c r="BF14" t="str">
        <f>""</f>
        <v/>
      </c>
      <c r="BG14" t="str">
        <f>""</f>
        <v/>
      </c>
      <c r="BH14" t="str">
        <f>""</f>
        <v/>
      </c>
      <c r="BI14" t="str">
        <f>""</f>
        <v/>
      </c>
      <c r="BJ14" t="str">
        <f>""</f>
        <v/>
      </c>
      <c r="BK14" t="str">
        <f>""</f>
        <v/>
      </c>
      <c r="BL14" t="str">
        <f>""</f>
        <v/>
      </c>
      <c r="BM14" t="str">
        <f>""</f>
        <v/>
      </c>
    </row>
    <row r="15" spans="1:65">
      <c r="AJ15" t="str">
        <f>""</f>
        <v/>
      </c>
      <c r="AK15" t="str">
        <f>""</f>
        <v/>
      </c>
      <c r="AL15" t="str">
        <f>""</f>
        <v/>
      </c>
      <c r="AM15" t="str">
        <f>""</f>
        <v/>
      </c>
      <c r="AN15" t="str">
        <f>""</f>
        <v/>
      </c>
      <c r="AO15" t="str">
        <f>""</f>
        <v/>
      </c>
      <c r="AP15" t="str">
        <f>""</f>
        <v/>
      </c>
      <c r="AQ15" t="str">
        <f>""</f>
        <v/>
      </c>
      <c r="AR15" t="str">
        <f>""</f>
        <v/>
      </c>
      <c r="AS15" t="str">
        <f>""</f>
        <v/>
      </c>
      <c r="AT15" t="str">
        <f>""</f>
        <v/>
      </c>
      <c r="AU15" t="str">
        <f>""</f>
        <v/>
      </c>
      <c r="AV15" t="str">
        <f>""</f>
        <v/>
      </c>
      <c r="AW15" t="str">
        <f>""</f>
        <v/>
      </c>
      <c r="AX15" t="str">
        <f>""</f>
        <v/>
      </c>
      <c r="AY15" t="str">
        <f>""</f>
        <v/>
      </c>
      <c r="AZ15" t="str">
        <f>""</f>
        <v/>
      </c>
      <c r="BA15" t="str">
        <f>""</f>
        <v/>
      </c>
      <c r="BB15" t="str">
        <f>""</f>
        <v/>
      </c>
      <c r="BC15" t="str">
        <f>""</f>
        <v/>
      </c>
      <c r="BD15" t="str">
        <f>""</f>
        <v/>
      </c>
      <c r="BE15" t="str">
        <f>""</f>
        <v/>
      </c>
      <c r="BF15" t="str">
        <f>""</f>
        <v/>
      </c>
      <c r="BG15" t="str">
        <f>""</f>
        <v/>
      </c>
      <c r="BH15" t="str">
        <f>""</f>
        <v/>
      </c>
      <c r="BI15" t="str">
        <f>""</f>
        <v/>
      </c>
      <c r="BJ15" t="str">
        <f>""</f>
        <v/>
      </c>
      <c r="BK15" t="str">
        <f>""</f>
        <v/>
      </c>
      <c r="BL15" t="str">
        <f>""</f>
        <v/>
      </c>
      <c r="BM15" t="str">
        <f>""</f>
        <v/>
      </c>
    </row>
    <row r="16" spans="1:65">
      <c r="AJ16" t="str">
        <f>""</f>
        <v/>
      </c>
      <c r="AK16" t="str">
        <f>""</f>
        <v/>
      </c>
      <c r="AL16" t="str">
        <f>""</f>
        <v/>
      </c>
      <c r="AM16" t="str">
        <f>""</f>
        <v/>
      </c>
      <c r="AN16" t="str">
        <f>""</f>
        <v/>
      </c>
      <c r="AO16" t="str">
        <f>""</f>
        <v/>
      </c>
      <c r="AP16" t="str">
        <f>""</f>
        <v/>
      </c>
      <c r="AQ16" t="str">
        <f>""</f>
        <v/>
      </c>
      <c r="AR16" t="str">
        <f>""</f>
        <v/>
      </c>
      <c r="AS16" t="str">
        <f>""</f>
        <v/>
      </c>
      <c r="AT16" t="str">
        <f>""</f>
        <v/>
      </c>
      <c r="AU16" t="str">
        <f>""</f>
        <v/>
      </c>
      <c r="AV16" t="str">
        <f>""</f>
        <v/>
      </c>
      <c r="AW16" t="str">
        <f>""</f>
        <v/>
      </c>
      <c r="AX16" t="str">
        <f>""</f>
        <v/>
      </c>
      <c r="AY16" t="str">
        <f>""</f>
        <v/>
      </c>
      <c r="AZ16" t="str">
        <f>""</f>
        <v/>
      </c>
      <c r="BA16" t="str">
        <f>""</f>
        <v/>
      </c>
      <c r="BB16" t="str">
        <f>""</f>
        <v/>
      </c>
      <c r="BC16" t="str">
        <f>""</f>
        <v/>
      </c>
      <c r="BD16" t="str">
        <f>""</f>
        <v/>
      </c>
      <c r="BE16" t="str">
        <f>""</f>
        <v/>
      </c>
      <c r="BF16" t="str">
        <f>""</f>
        <v/>
      </c>
      <c r="BG16" t="str">
        <f>""</f>
        <v/>
      </c>
      <c r="BH16" t="str">
        <f>""</f>
        <v/>
      </c>
      <c r="BI16" t="str">
        <f>""</f>
        <v/>
      </c>
      <c r="BJ16" t="str">
        <f>""</f>
        <v/>
      </c>
      <c r="BK16" t="str">
        <f>""</f>
        <v/>
      </c>
      <c r="BL16" t="str">
        <f>""</f>
        <v/>
      </c>
      <c r="BM16" t="str">
        <f>""</f>
        <v/>
      </c>
    </row>
    <row r="17" spans="1:65">
      <c r="AJ17" t="str">
        <f>""</f>
        <v/>
      </c>
      <c r="AK17" t="str">
        <f>""</f>
        <v/>
      </c>
      <c r="AL17" t="str">
        <f>""</f>
        <v/>
      </c>
      <c r="AM17" t="str">
        <f>""</f>
        <v/>
      </c>
      <c r="AN17" t="str">
        <f>""</f>
        <v/>
      </c>
      <c r="AO17" t="str">
        <f>""</f>
        <v/>
      </c>
      <c r="AP17" t="str">
        <f>""</f>
        <v/>
      </c>
      <c r="AQ17" t="str">
        <f>""</f>
        <v/>
      </c>
      <c r="AR17" t="str">
        <f>""</f>
        <v/>
      </c>
      <c r="AS17" t="str">
        <f>""</f>
        <v/>
      </c>
      <c r="AT17" t="str">
        <f>""</f>
        <v/>
      </c>
      <c r="AU17" t="str">
        <f>""</f>
        <v/>
      </c>
      <c r="AV17" t="str">
        <f>""</f>
        <v/>
      </c>
      <c r="AW17" t="str">
        <f>""</f>
        <v/>
      </c>
      <c r="AX17" t="str">
        <f>""</f>
        <v/>
      </c>
      <c r="AY17" t="str">
        <f>""</f>
        <v/>
      </c>
      <c r="AZ17" t="str">
        <f>""</f>
        <v/>
      </c>
      <c r="BA17" t="str">
        <f>""</f>
        <v/>
      </c>
      <c r="BB17" t="str">
        <f>""</f>
        <v/>
      </c>
      <c r="BC17" t="str">
        <f>""</f>
        <v/>
      </c>
      <c r="BD17" t="str">
        <f>""</f>
        <v/>
      </c>
      <c r="BE17" t="str">
        <f>""</f>
        <v/>
      </c>
      <c r="BF17" t="str">
        <f>""</f>
        <v/>
      </c>
      <c r="BG17" t="str">
        <f>""</f>
        <v/>
      </c>
      <c r="BH17" t="str">
        <f>""</f>
        <v/>
      </c>
      <c r="BI17" t="str">
        <f>""</f>
        <v/>
      </c>
      <c r="BJ17" t="str">
        <f>""</f>
        <v/>
      </c>
      <c r="BK17" t="str">
        <f>""</f>
        <v/>
      </c>
      <c r="BL17" t="str">
        <f>""</f>
        <v/>
      </c>
      <c r="BM17" t="str">
        <f>""</f>
        <v/>
      </c>
    </row>
    <row r="18" spans="1:65">
      <c r="AJ18" t="str">
        <f>""</f>
        <v/>
      </c>
      <c r="AK18" t="str">
        <f>""</f>
        <v/>
      </c>
      <c r="AL18" t="str">
        <f>""</f>
        <v/>
      </c>
      <c r="AM18" t="str">
        <f>""</f>
        <v/>
      </c>
      <c r="AN18" t="str">
        <f>""</f>
        <v/>
      </c>
      <c r="AO18" t="str">
        <f>""</f>
        <v/>
      </c>
      <c r="AP18" t="str">
        <f>""</f>
        <v/>
      </c>
      <c r="AQ18" t="str">
        <f>""</f>
        <v/>
      </c>
      <c r="AR18" t="str">
        <f>""</f>
        <v/>
      </c>
      <c r="AS18" t="str">
        <f>""</f>
        <v/>
      </c>
      <c r="AT18" t="str">
        <f>""</f>
        <v/>
      </c>
      <c r="AU18" t="str">
        <f>""</f>
        <v/>
      </c>
      <c r="AV18" t="str">
        <f>""</f>
        <v/>
      </c>
      <c r="AW18" t="str">
        <f>""</f>
        <v/>
      </c>
      <c r="AX18" t="str">
        <f>""</f>
        <v/>
      </c>
      <c r="AY18" t="str">
        <f>""</f>
        <v/>
      </c>
      <c r="AZ18" t="str">
        <f>""</f>
        <v/>
      </c>
      <c r="BA18" t="str">
        <f>""</f>
        <v/>
      </c>
      <c r="BB18" t="str">
        <f>""</f>
        <v/>
      </c>
      <c r="BC18" t="str">
        <f>""</f>
        <v/>
      </c>
      <c r="BD18" t="str">
        <f>""</f>
        <v/>
      </c>
      <c r="BE18" t="str">
        <f>""</f>
        <v/>
      </c>
      <c r="BF18" t="str">
        <f>""</f>
        <v/>
      </c>
      <c r="BG18" t="str">
        <f>""</f>
        <v/>
      </c>
      <c r="BH18" t="str">
        <f>""</f>
        <v/>
      </c>
      <c r="BI18" t="str">
        <f>""</f>
        <v/>
      </c>
      <c r="BJ18" t="str">
        <f>""</f>
        <v/>
      </c>
      <c r="BK18" t="str">
        <f>""</f>
        <v/>
      </c>
      <c r="BL18" t="str">
        <f>""</f>
        <v/>
      </c>
      <c r="BM18" t="str">
        <f>""</f>
        <v/>
      </c>
    </row>
    <row r="19" spans="1:65">
      <c r="AJ19" t="str">
        <f>""</f>
        <v/>
      </c>
      <c r="AK19" t="str">
        <f>""</f>
        <v/>
      </c>
      <c r="AL19" t="str">
        <f>""</f>
        <v/>
      </c>
      <c r="AM19" t="str">
        <f>""</f>
        <v/>
      </c>
      <c r="AN19" t="str">
        <f>""</f>
        <v/>
      </c>
      <c r="AO19" t="str">
        <f>""</f>
        <v/>
      </c>
      <c r="AP19" t="str">
        <f>""</f>
        <v/>
      </c>
      <c r="AQ19" t="str">
        <f>""</f>
        <v/>
      </c>
      <c r="AR19" t="str">
        <f>""</f>
        <v/>
      </c>
      <c r="AS19" t="str">
        <f>""</f>
        <v/>
      </c>
      <c r="AT19" t="str">
        <f>""</f>
        <v/>
      </c>
      <c r="AU19" t="str">
        <f>""</f>
        <v/>
      </c>
      <c r="AV19" t="str">
        <f>""</f>
        <v/>
      </c>
      <c r="AW19" t="str">
        <f>""</f>
        <v/>
      </c>
      <c r="AX19" t="str">
        <f>""</f>
        <v/>
      </c>
      <c r="AY19" t="str">
        <f>""</f>
        <v/>
      </c>
      <c r="AZ19" t="str">
        <f>""</f>
        <v/>
      </c>
      <c r="BA19" t="str">
        <f>""</f>
        <v/>
      </c>
      <c r="BB19" t="str">
        <f>""</f>
        <v/>
      </c>
      <c r="BC19" t="str">
        <f>""</f>
        <v/>
      </c>
      <c r="BD19" t="str">
        <f>""</f>
        <v/>
      </c>
      <c r="BE19" t="str">
        <f>""</f>
        <v/>
      </c>
      <c r="BF19" t="str">
        <f>""</f>
        <v/>
      </c>
      <c r="BG19" t="str">
        <f>""</f>
        <v/>
      </c>
      <c r="BH19" t="str">
        <f>""</f>
        <v/>
      </c>
      <c r="BI19" t="str">
        <f>""</f>
        <v/>
      </c>
      <c r="BJ19" t="str">
        <f>""</f>
        <v/>
      </c>
      <c r="BK19" t="str">
        <f>""</f>
        <v/>
      </c>
      <c r="BL19" t="str">
        <f>""</f>
        <v/>
      </c>
      <c r="BM19" t="str">
        <f>""</f>
        <v/>
      </c>
    </row>
    <row r="20" spans="1:65">
      <c r="AJ20" t="str">
        <f>""</f>
        <v/>
      </c>
      <c r="AK20" t="str">
        <f>""</f>
        <v/>
      </c>
      <c r="AL20" t="str">
        <f>""</f>
        <v/>
      </c>
      <c r="AM20" t="str">
        <f>""</f>
        <v/>
      </c>
      <c r="AN20" t="str">
        <f>""</f>
        <v/>
      </c>
      <c r="AO20" t="str">
        <f>""</f>
        <v/>
      </c>
      <c r="AP20" t="str">
        <f>""</f>
        <v/>
      </c>
      <c r="AQ20" t="str">
        <f>""</f>
        <v/>
      </c>
      <c r="AR20" t="str">
        <f>""</f>
        <v/>
      </c>
      <c r="AS20" t="str">
        <f>""</f>
        <v/>
      </c>
      <c r="AT20" t="str">
        <f>""</f>
        <v/>
      </c>
      <c r="AU20" t="str">
        <f>""</f>
        <v/>
      </c>
      <c r="AV20" t="str">
        <f>""</f>
        <v/>
      </c>
      <c r="AW20" t="str">
        <f>""</f>
        <v/>
      </c>
      <c r="AX20" t="str">
        <f>""</f>
        <v/>
      </c>
      <c r="AY20" t="str">
        <f>""</f>
        <v/>
      </c>
      <c r="AZ20" t="str">
        <f>""</f>
        <v/>
      </c>
      <c r="BA20" t="str">
        <f>""</f>
        <v/>
      </c>
      <c r="BB20" t="str">
        <f>""</f>
        <v/>
      </c>
      <c r="BC20" t="str">
        <f>""</f>
        <v/>
      </c>
      <c r="BD20" t="str">
        <f>""</f>
        <v/>
      </c>
      <c r="BE20" t="str">
        <f>""</f>
        <v/>
      </c>
      <c r="BF20" t="str">
        <f>""</f>
        <v/>
      </c>
      <c r="BG20" t="str">
        <f>""</f>
        <v/>
      </c>
      <c r="BH20" t="str">
        <f>""</f>
        <v/>
      </c>
      <c r="BI20" t="str">
        <f>""</f>
        <v/>
      </c>
      <c r="BJ20" t="str">
        <f>""</f>
        <v/>
      </c>
      <c r="BK20" t="str">
        <f>""</f>
        <v/>
      </c>
      <c r="BL20" t="str">
        <f>""</f>
        <v/>
      </c>
      <c r="BM20" t="str">
        <f>""</f>
        <v/>
      </c>
    </row>
    <row r="21" spans="1:65">
      <c r="A21" t="str">
        <f t="shared" ref="A21:AI21" si="4">"~~~~~~~~~~"</f>
        <v>~~~~~~~~~~</v>
      </c>
      <c r="B21" t="str">
        <f t="shared" si="4"/>
        <v>~~~~~~~~~~</v>
      </c>
      <c r="C21" t="str">
        <f t="shared" si="4"/>
        <v>~~~~~~~~~~</v>
      </c>
      <c r="D21" t="str">
        <f t="shared" si="4"/>
        <v>~~~~~~~~~~</v>
      </c>
      <c r="E21" t="str">
        <f t="shared" si="4"/>
        <v>~~~~~~~~~~</v>
      </c>
      <c r="F21" t="str">
        <f t="shared" si="4"/>
        <v>~~~~~~~~~~</v>
      </c>
      <c r="G21" t="str">
        <f t="shared" si="4"/>
        <v>~~~~~~~~~~</v>
      </c>
      <c r="H21" t="str">
        <f t="shared" si="4"/>
        <v>~~~~~~~~~~</v>
      </c>
      <c r="I21" t="str">
        <f t="shared" si="4"/>
        <v>~~~~~~~~~~</v>
      </c>
      <c r="J21" t="str">
        <f t="shared" si="4"/>
        <v>~~~~~~~~~~</v>
      </c>
      <c r="K21" t="str">
        <f t="shared" si="4"/>
        <v>~~~~~~~~~~</v>
      </c>
      <c r="L21" t="str">
        <f t="shared" si="4"/>
        <v>~~~~~~~~~~</v>
      </c>
      <c r="M21" t="str">
        <f t="shared" si="4"/>
        <v>~~~~~~~~~~</v>
      </c>
      <c r="N21" t="str">
        <f t="shared" si="4"/>
        <v>~~~~~~~~~~</v>
      </c>
      <c r="O21" t="str">
        <f t="shared" si="4"/>
        <v>~~~~~~~~~~</v>
      </c>
      <c r="P21" t="str">
        <f t="shared" si="4"/>
        <v>~~~~~~~~~~</v>
      </c>
      <c r="Q21" t="str">
        <f t="shared" si="4"/>
        <v>~~~~~~~~~~</v>
      </c>
      <c r="R21" t="str">
        <f t="shared" si="4"/>
        <v>~~~~~~~~~~</v>
      </c>
      <c r="S21" t="str">
        <f t="shared" si="4"/>
        <v>~~~~~~~~~~</v>
      </c>
      <c r="T21" t="str">
        <f t="shared" si="4"/>
        <v>~~~~~~~~~~</v>
      </c>
      <c r="U21" t="str">
        <f t="shared" si="4"/>
        <v>~~~~~~~~~~</v>
      </c>
      <c r="V21" t="str">
        <f t="shared" si="4"/>
        <v>~~~~~~~~~~</v>
      </c>
      <c r="W21" t="str">
        <f t="shared" si="4"/>
        <v>~~~~~~~~~~</v>
      </c>
      <c r="X21" t="str">
        <f t="shared" si="4"/>
        <v>~~~~~~~~~~</v>
      </c>
      <c r="Y21" t="str">
        <f t="shared" si="4"/>
        <v>~~~~~~~~~~</v>
      </c>
      <c r="Z21" t="str">
        <f t="shared" si="4"/>
        <v>~~~~~~~~~~</v>
      </c>
      <c r="AA21" t="str">
        <f t="shared" si="4"/>
        <v>~~~~~~~~~~</v>
      </c>
      <c r="AB21" t="str">
        <f t="shared" si="4"/>
        <v>~~~~~~~~~~</v>
      </c>
      <c r="AC21" t="str">
        <f t="shared" si="4"/>
        <v>~~~~~~~~~~</v>
      </c>
      <c r="AD21" t="str">
        <f t="shared" si="4"/>
        <v>~~~~~~~~~~</v>
      </c>
      <c r="AE21" t="str">
        <f t="shared" si="4"/>
        <v>~~~~~~~~~~</v>
      </c>
      <c r="AF21" t="str">
        <f t="shared" si="4"/>
        <v>~~~~~~~~~~</v>
      </c>
      <c r="AG21" t="str">
        <f t="shared" si="4"/>
        <v>~~~~~~~~~~</v>
      </c>
      <c r="AH21" t="str">
        <f t="shared" si="4"/>
        <v>~~~~~~~~~~</v>
      </c>
      <c r="AI21" t="str">
        <f t="shared" si="4"/>
        <v>~~~~~~~~~~</v>
      </c>
      <c r="AJ21" t="str">
        <f>""</f>
        <v/>
      </c>
      <c r="AK21" t="str">
        <f>""</f>
        <v/>
      </c>
      <c r="AL21" t="str">
        <f>""</f>
        <v/>
      </c>
      <c r="AM21" t="str">
        <f>""</f>
        <v/>
      </c>
      <c r="AN21" t="str">
        <f>""</f>
        <v/>
      </c>
      <c r="AO21" t="str">
        <f>""</f>
        <v/>
      </c>
      <c r="AP21" t="str">
        <f>""</f>
        <v/>
      </c>
      <c r="AQ21" t="str">
        <f>""</f>
        <v/>
      </c>
      <c r="AR21" t="str">
        <f>""</f>
        <v/>
      </c>
      <c r="AS21" t="str">
        <f>""</f>
        <v/>
      </c>
      <c r="AT21" t="str">
        <f>""</f>
        <v/>
      </c>
      <c r="AU21" t="str">
        <f>""</f>
        <v/>
      </c>
      <c r="AV21" t="str">
        <f>""</f>
        <v/>
      </c>
      <c r="AW21" t="str">
        <f>""</f>
        <v/>
      </c>
      <c r="AX21" t="str">
        <f>""</f>
        <v/>
      </c>
      <c r="AY21" t="str">
        <f>""</f>
        <v/>
      </c>
      <c r="AZ21" t="str">
        <f>""</f>
        <v/>
      </c>
      <c r="BA21" t="str">
        <f>""</f>
        <v/>
      </c>
      <c r="BB21" t="str">
        <f>""</f>
        <v/>
      </c>
      <c r="BC21" t="str">
        <f>""</f>
        <v/>
      </c>
      <c r="BD21" t="str">
        <f>""</f>
        <v/>
      </c>
      <c r="BE21" t="str">
        <f>""</f>
        <v/>
      </c>
      <c r="BF21" t="str">
        <f>""</f>
        <v/>
      </c>
      <c r="BG21" t="str">
        <f>""</f>
        <v/>
      </c>
      <c r="BH21" t="str">
        <f>""</f>
        <v/>
      </c>
      <c r="BI21" t="str">
        <f>""</f>
        <v/>
      </c>
      <c r="BJ21" t="str">
        <f>""</f>
        <v/>
      </c>
      <c r="BK21" t="str">
        <f>""</f>
        <v/>
      </c>
      <c r="BL21" t="str">
        <f>""</f>
        <v/>
      </c>
      <c r="BM21" t="str">
        <f>""</f>
        <v/>
      </c>
    </row>
    <row r="22" spans="1:65">
      <c r="A22" t="str">
        <f>"All rows below have been added for reference by formula rows above."</f>
        <v>All rows below have been added for reference by formula rows above.</v>
      </c>
      <c r="AJ22" t="str">
        <f>""</f>
        <v/>
      </c>
      <c r="AK22" t="str">
        <f>""</f>
        <v/>
      </c>
      <c r="AL22" t="str">
        <f>""</f>
        <v/>
      </c>
      <c r="AM22" t="str">
        <f>""</f>
        <v/>
      </c>
      <c r="AN22" t="str">
        <f>""</f>
        <v/>
      </c>
      <c r="AO22" t="str">
        <f>""</f>
        <v/>
      </c>
      <c r="AP22" t="str">
        <f>""</f>
        <v/>
      </c>
      <c r="AQ22" t="str">
        <f>""</f>
        <v/>
      </c>
      <c r="AR22" t="str">
        <f>""</f>
        <v/>
      </c>
      <c r="AS22" t="str">
        <f>""</f>
        <v/>
      </c>
      <c r="AT22" t="str">
        <f>""</f>
        <v/>
      </c>
      <c r="AU22" t="str">
        <f>""</f>
        <v/>
      </c>
      <c r="AV22" t="str">
        <f>""</f>
        <v/>
      </c>
      <c r="AW22" t="str">
        <f>""</f>
        <v/>
      </c>
      <c r="AX22" t="str">
        <f>""</f>
        <v/>
      </c>
      <c r="AY22" t="str">
        <f>""</f>
        <v/>
      </c>
      <c r="AZ22" t="str">
        <f>""</f>
        <v/>
      </c>
      <c r="BA22" t="str">
        <f>""</f>
        <v/>
      </c>
      <c r="BB22" t="str">
        <f>""</f>
        <v/>
      </c>
      <c r="BC22" t="str">
        <f>""</f>
        <v/>
      </c>
      <c r="BD22" t="str">
        <f>""</f>
        <v/>
      </c>
      <c r="BE22" t="str">
        <f>""</f>
        <v/>
      </c>
      <c r="BF22" t="str">
        <f>""</f>
        <v/>
      </c>
      <c r="BG22" t="str">
        <f>""</f>
        <v/>
      </c>
      <c r="BH22" t="str">
        <f>""</f>
        <v/>
      </c>
      <c r="BI22" t="str">
        <f>""</f>
        <v/>
      </c>
      <c r="BJ22" t="str">
        <f>""</f>
        <v/>
      </c>
      <c r="BK22" t="str">
        <f>""</f>
        <v/>
      </c>
      <c r="BL22" t="str">
        <f>""</f>
        <v/>
      </c>
      <c r="BM22" t="str">
        <f>""</f>
        <v/>
      </c>
    </row>
    <row r="23" spans="1:65">
      <c r="A23">
        <f>RTD("bloomberg.ccyreader", "", "#track", "DBG", "BIHITX", "1.0","RepeatHit")</f>
        <v>0</v>
      </c>
      <c r="AJ23" t="str">
        <f>""</f>
        <v/>
      </c>
      <c r="AK23" t="str">
        <f>""</f>
        <v/>
      </c>
      <c r="AL23" t="str">
        <f>""</f>
        <v/>
      </c>
      <c r="AM23" t="str">
        <f>""</f>
        <v/>
      </c>
      <c r="AN23" t="str">
        <f>""</f>
        <v/>
      </c>
      <c r="AO23" t="str">
        <f>""</f>
        <v/>
      </c>
      <c r="AP23" t="str">
        <f>""</f>
        <v/>
      </c>
      <c r="AQ23" t="str">
        <f>""</f>
        <v/>
      </c>
      <c r="AR23" t="str">
        <f>""</f>
        <v/>
      </c>
      <c r="AS23" t="str">
        <f>""</f>
        <v/>
      </c>
      <c r="AT23" t="str">
        <f>""</f>
        <v/>
      </c>
      <c r="AU23" t="str">
        <f>""</f>
        <v/>
      </c>
      <c r="AV23" t="str">
        <f>""</f>
        <v/>
      </c>
      <c r="AW23" t="str">
        <f>""</f>
        <v/>
      </c>
      <c r="AX23" t="str">
        <f>""</f>
        <v/>
      </c>
      <c r="AY23" t="str">
        <f>""</f>
        <v/>
      </c>
      <c r="AZ23" t="str">
        <f>""</f>
        <v/>
      </c>
      <c r="BA23" t="str">
        <f>""</f>
        <v/>
      </c>
      <c r="BB23" t="str">
        <f>""</f>
        <v/>
      </c>
      <c r="BC23" t="str">
        <f>""</f>
        <v/>
      </c>
      <c r="BD23" t="str">
        <f>""</f>
        <v/>
      </c>
      <c r="BE23" t="str">
        <f>""</f>
        <v/>
      </c>
      <c r="BF23" t="str">
        <f>""</f>
        <v/>
      </c>
      <c r="BG23" t="str">
        <f>""</f>
        <v/>
      </c>
      <c r="BH23" t="str">
        <f>""</f>
        <v/>
      </c>
      <c r="BI23" t="str">
        <f>""</f>
        <v/>
      </c>
      <c r="BJ23" t="str">
        <f>""</f>
        <v/>
      </c>
      <c r="BK23" t="str">
        <f>""</f>
        <v/>
      </c>
      <c r="BL23" t="str">
        <f>""</f>
        <v/>
      </c>
      <c r="BM23" t="str">
        <f>""</f>
        <v/>
      </c>
    </row>
    <row r="24" spans="1:65">
      <c r="A24" t="str">
        <f>"Currency"</f>
        <v>Currency</v>
      </c>
      <c r="B24" t="str">
        <f>""</f>
        <v/>
      </c>
      <c r="AJ24" t="str">
        <f>""</f>
        <v/>
      </c>
      <c r="AK24" t="str">
        <f>""</f>
        <v/>
      </c>
      <c r="AL24" t="str">
        <f>""</f>
        <v/>
      </c>
      <c r="AM24" t="str">
        <f>""</f>
        <v/>
      </c>
      <c r="AN24" t="str">
        <f>""</f>
        <v/>
      </c>
      <c r="AO24" t="str">
        <f>""</f>
        <v/>
      </c>
      <c r="AP24" t="str">
        <f>""</f>
        <v/>
      </c>
      <c r="AQ24" t="str">
        <f>""</f>
        <v/>
      </c>
      <c r="AR24" t="str">
        <f>""</f>
        <v/>
      </c>
      <c r="AS24" t="str">
        <f>""</f>
        <v/>
      </c>
      <c r="AT24" t="str">
        <f>""</f>
        <v/>
      </c>
      <c r="AU24" t="str">
        <f>""</f>
        <v/>
      </c>
      <c r="AV24" t="str">
        <f>""</f>
        <v/>
      </c>
      <c r="AW24" t="str">
        <f>""</f>
        <v/>
      </c>
      <c r="AX24" t="str">
        <f>""</f>
        <v/>
      </c>
      <c r="AY24" t="str">
        <f>""</f>
        <v/>
      </c>
      <c r="AZ24" t="str">
        <f>""</f>
        <v/>
      </c>
      <c r="BA24" t="str">
        <f>""</f>
        <v/>
      </c>
      <c r="BB24" t="str">
        <f>""</f>
        <v/>
      </c>
      <c r="BC24" t="str">
        <f>""</f>
        <v/>
      </c>
      <c r="BD24" t="str">
        <f>""</f>
        <v/>
      </c>
      <c r="BE24" t="str">
        <f>""</f>
        <v/>
      </c>
      <c r="BF24" t="str">
        <f>""</f>
        <v/>
      </c>
      <c r="BG24" t="str">
        <f>""</f>
        <v/>
      </c>
      <c r="BH24" t="str">
        <f>""</f>
        <v/>
      </c>
      <c r="BI24" t="str">
        <f>""</f>
        <v/>
      </c>
      <c r="BJ24" t="str">
        <f>""</f>
        <v/>
      </c>
      <c r="BK24" t="str">
        <f>""</f>
        <v/>
      </c>
      <c r="BL24" t="str">
        <f>""</f>
        <v/>
      </c>
      <c r="BM24" t="str">
        <f>""</f>
        <v/>
      </c>
    </row>
    <row r="25" spans="1:65">
      <c r="A25" t="str">
        <f>"Periodicity"</f>
        <v>Periodicity</v>
      </c>
      <c r="B25" t="str">
        <f>"CM"</f>
        <v>CM</v>
      </c>
      <c r="C25" t="str">
        <f>"AM"</f>
        <v>AM</v>
      </c>
      <c r="AJ25" t="str">
        <f>""</f>
        <v/>
      </c>
      <c r="AK25" t="str">
        <f>""</f>
        <v/>
      </c>
      <c r="AL25" t="str">
        <f>""</f>
        <v/>
      </c>
      <c r="AM25" t="str">
        <f>""</f>
        <v/>
      </c>
      <c r="AN25" t="str">
        <f>""</f>
        <v/>
      </c>
      <c r="AO25" t="str">
        <f>""</f>
        <v/>
      </c>
      <c r="AP25" t="str">
        <f>""</f>
        <v/>
      </c>
      <c r="AQ25" t="str">
        <f>""</f>
        <v/>
      </c>
      <c r="AR25" t="str">
        <f>""</f>
        <v/>
      </c>
      <c r="AS25" t="str">
        <f>""</f>
        <v/>
      </c>
      <c r="AT25" t="str">
        <f>""</f>
        <v/>
      </c>
      <c r="AU25" t="str">
        <f>""</f>
        <v/>
      </c>
      <c r="AV25" t="str">
        <f>""</f>
        <v/>
      </c>
      <c r="AW25" t="str">
        <f>""</f>
        <v/>
      </c>
      <c r="AX25" t="str">
        <f>""</f>
        <v/>
      </c>
      <c r="AY25" t="str">
        <f>""</f>
        <v/>
      </c>
      <c r="AZ25" t="str">
        <f>""</f>
        <v/>
      </c>
      <c r="BA25" t="str">
        <f>""</f>
        <v/>
      </c>
      <c r="BB25" t="str">
        <f>""</f>
        <v/>
      </c>
      <c r="BC25" t="str">
        <f>""</f>
        <v/>
      </c>
      <c r="BD25" t="str">
        <f>""</f>
        <v/>
      </c>
      <c r="BE25" t="str">
        <f>""</f>
        <v/>
      </c>
      <c r="BF25" t="str">
        <f>""</f>
        <v/>
      </c>
      <c r="BG25" t="str">
        <f>""</f>
        <v/>
      </c>
      <c r="BH25" t="str">
        <f>""</f>
        <v/>
      </c>
      <c r="BI25" t="str">
        <f>""</f>
        <v/>
      </c>
      <c r="BJ25" t="str">
        <f>""</f>
        <v/>
      </c>
      <c r="BK25" t="str">
        <f>""</f>
        <v/>
      </c>
      <c r="BL25" t="str">
        <f>""</f>
        <v/>
      </c>
      <c r="BM25" t="str">
        <f>""</f>
        <v/>
      </c>
    </row>
    <row r="26" spans="1:65">
      <c r="A26" t="str">
        <f>"Number of Periods"</f>
        <v>Number of Periods</v>
      </c>
      <c r="B26">
        <f>30</f>
        <v>30</v>
      </c>
      <c r="AJ26" t="str">
        <f>""</f>
        <v/>
      </c>
      <c r="AK26" t="str">
        <f>""</f>
        <v/>
      </c>
      <c r="AL26" t="str">
        <f>""</f>
        <v/>
      </c>
      <c r="AM26" t="str">
        <f>""</f>
        <v/>
      </c>
      <c r="AN26" t="str">
        <f>""</f>
        <v/>
      </c>
      <c r="AO26" t="str">
        <f>""</f>
        <v/>
      </c>
      <c r="AP26" t="str">
        <f>""</f>
        <v/>
      </c>
      <c r="AQ26" t="str">
        <f>""</f>
        <v/>
      </c>
      <c r="AR26" t="str">
        <f>""</f>
        <v/>
      </c>
      <c r="AS26" t="str">
        <f>""</f>
        <v/>
      </c>
      <c r="AT26" t="str">
        <f>""</f>
        <v/>
      </c>
      <c r="AU26" t="str">
        <f>""</f>
        <v/>
      </c>
      <c r="AV26" t="str">
        <f>""</f>
        <v/>
      </c>
      <c r="AW26" t="str">
        <f>""</f>
        <v/>
      </c>
      <c r="AX26" t="str">
        <f>""</f>
        <v/>
      </c>
      <c r="AY26" t="str">
        <f>""</f>
        <v/>
      </c>
      <c r="AZ26" t="str">
        <f>""</f>
        <v/>
      </c>
      <c r="BA26" t="str">
        <f>""</f>
        <v/>
      </c>
      <c r="BB26" t="str">
        <f>""</f>
        <v/>
      </c>
      <c r="BC26" t="str">
        <f>""</f>
        <v/>
      </c>
      <c r="BD26" t="str">
        <f>""</f>
        <v/>
      </c>
      <c r="BE26" t="str">
        <f>""</f>
        <v/>
      </c>
      <c r="BF26" t="str">
        <f>""</f>
        <v/>
      </c>
      <c r="BG26" t="str">
        <f>""</f>
        <v/>
      </c>
      <c r="BH26" t="str">
        <f>""</f>
        <v/>
      </c>
      <c r="BI26" t="str">
        <f>""</f>
        <v/>
      </c>
      <c r="BJ26" t="str">
        <f>""</f>
        <v/>
      </c>
      <c r="BK26" t="str">
        <f>""</f>
        <v/>
      </c>
      <c r="BL26" t="str">
        <f>""</f>
        <v/>
      </c>
      <c r="BM26" t="str">
        <f>""</f>
        <v/>
      </c>
    </row>
    <row r="27" spans="1:65">
      <c r="A27" t="str">
        <f>"Start Date"</f>
        <v>Start Date</v>
      </c>
      <c r="B27" t="str">
        <f>CONCATENATE("-",$B$26,$B$25)</f>
        <v>-30CM</v>
      </c>
      <c r="C27" t="str">
        <f>CONCATENATE("-",$B$26,$C$25)</f>
        <v>-30AM</v>
      </c>
      <c r="AJ27" t="str">
        <f>""</f>
        <v/>
      </c>
      <c r="AK27" t="str">
        <f>""</f>
        <v/>
      </c>
      <c r="AL27" t="str">
        <f>""</f>
        <v/>
      </c>
      <c r="AM27" t="str">
        <f>""</f>
        <v/>
      </c>
      <c r="AN27" t="str">
        <f>""</f>
        <v/>
      </c>
      <c r="AO27" t="str">
        <f>""</f>
        <v/>
      </c>
      <c r="AP27" t="str">
        <f>""</f>
        <v/>
      </c>
      <c r="AQ27" t="str">
        <f>""</f>
        <v/>
      </c>
      <c r="AR27" t="str">
        <f>""</f>
        <v/>
      </c>
      <c r="AS27" t="str">
        <f>""</f>
        <v/>
      </c>
      <c r="AT27" t="str">
        <f>""</f>
        <v/>
      </c>
      <c r="AU27" t="str">
        <f>""</f>
        <v/>
      </c>
      <c r="AV27" t="str">
        <f>""</f>
        <v/>
      </c>
      <c r="AW27" t="str">
        <f>""</f>
        <v/>
      </c>
      <c r="AX27" t="str">
        <f>""</f>
        <v/>
      </c>
      <c r="AY27" t="str">
        <f>""</f>
        <v/>
      </c>
      <c r="AZ27" t="str">
        <f>""</f>
        <v/>
      </c>
      <c r="BA27" t="str">
        <f>""</f>
        <v/>
      </c>
      <c r="BB27" t="str">
        <f>""</f>
        <v/>
      </c>
      <c r="BC27" t="str">
        <f>""</f>
        <v/>
      </c>
      <c r="BD27" t="str">
        <f>""</f>
        <v/>
      </c>
      <c r="BE27" t="str">
        <f>""</f>
        <v/>
      </c>
      <c r="BF27" t="str">
        <f>""</f>
        <v/>
      </c>
      <c r="BG27" t="str">
        <f>""</f>
        <v/>
      </c>
      <c r="BH27" t="str">
        <f>""</f>
        <v/>
      </c>
      <c r="BI27" t="str">
        <f>""</f>
        <v/>
      </c>
      <c r="BJ27" t="str">
        <f>""</f>
        <v/>
      </c>
      <c r="BK27" t="str">
        <f>""</f>
        <v/>
      </c>
      <c r="BL27" t="str">
        <f>""</f>
        <v/>
      </c>
      <c r="BM27" t="str">
        <f>""</f>
        <v/>
      </c>
    </row>
    <row r="28" spans="1:65">
      <c r="A28" t="str">
        <f>"End Date"</f>
        <v>End Date</v>
      </c>
      <c r="B28">
        <f ca="1">IF(TODAY()&lt;DATE(2025, 2,28),DATE(2025, 2,28),TODAY())</f>
        <v>45747</v>
      </c>
      <c r="AJ28" t="str">
        <f>""</f>
        <v/>
      </c>
      <c r="AK28" t="str">
        <f>""</f>
        <v/>
      </c>
      <c r="AL28" t="str">
        <f>""</f>
        <v/>
      </c>
      <c r="AM28" t="str">
        <f>""</f>
        <v/>
      </c>
      <c r="AN28" t="str">
        <f>""</f>
        <v/>
      </c>
      <c r="AO28" t="str">
        <f>""</f>
        <v/>
      </c>
      <c r="AP28" t="str">
        <f>""</f>
        <v/>
      </c>
      <c r="AQ28" t="str">
        <f>""</f>
        <v/>
      </c>
      <c r="AR28" t="str">
        <f>""</f>
        <v/>
      </c>
      <c r="AS28" t="str">
        <f>""</f>
        <v/>
      </c>
      <c r="AT28" t="str">
        <f>""</f>
        <v/>
      </c>
      <c r="AU28" t="str">
        <f>""</f>
        <v/>
      </c>
      <c r="AV28" t="str">
        <f>""</f>
        <v/>
      </c>
      <c r="AW28" t="str">
        <f>""</f>
        <v/>
      </c>
      <c r="AX28" t="str">
        <f>""</f>
        <v/>
      </c>
      <c r="AY28" t="str">
        <f>""</f>
        <v/>
      </c>
      <c r="AZ28" t="str">
        <f>""</f>
        <v/>
      </c>
      <c r="BA28" t="str">
        <f>""</f>
        <v/>
      </c>
      <c r="BB28" t="str">
        <f>""</f>
        <v/>
      </c>
      <c r="BC28" t="str">
        <f>""</f>
        <v/>
      </c>
      <c r="BD28" t="str">
        <f>""</f>
        <v/>
      </c>
      <c r="BE28" t="str">
        <f>""</f>
        <v/>
      </c>
      <c r="BF28" t="str">
        <f>""</f>
        <v/>
      </c>
      <c r="BG28" t="str">
        <f>""</f>
        <v/>
      </c>
      <c r="BH28" t="str">
        <f>""</f>
        <v/>
      </c>
      <c r="BI28" t="str">
        <f>""</f>
        <v/>
      </c>
      <c r="BJ28" t="str">
        <f>""</f>
        <v/>
      </c>
      <c r="BK28" t="str">
        <f>""</f>
        <v/>
      </c>
      <c r="BL28" t="str">
        <f>""</f>
        <v/>
      </c>
      <c r="BM28" t="str">
        <f>""</f>
        <v/>
      </c>
    </row>
    <row r="29" spans="1:65">
      <c r="A29" t="str">
        <f>"HeaderStatus"</f>
        <v>HeaderStatus</v>
      </c>
      <c r="B29">
        <f ca="1">$B$58*$B$66</f>
        <v>4</v>
      </c>
      <c r="AJ29" t="str">
        <f>""</f>
        <v/>
      </c>
      <c r="AK29" t="str">
        <f>""</f>
        <v/>
      </c>
      <c r="AL29" t="str">
        <f>""</f>
        <v/>
      </c>
      <c r="AM29" t="str">
        <f>""</f>
        <v/>
      </c>
      <c r="AN29" t="str">
        <f>""</f>
        <v/>
      </c>
      <c r="AO29" t="str">
        <f>""</f>
        <v/>
      </c>
      <c r="AP29" t="str">
        <f>""</f>
        <v/>
      </c>
      <c r="AQ29" t="str">
        <f>""</f>
        <v/>
      </c>
      <c r="AR29" t="str">
        <f>""</f>
        <v/>
      </c>
      <c r="AS29" t="str">
        <f>""</f>
        <v/>
      </c>
      <c r="AT29" t="str">
        <f>""</f>
        <v/>
      </c>
      <c r="AU29" t="str">
        <f>""</f>
        <v/>
      </c>
      <c r="AV29" t="str">
        <f>""</f>
        <v/>
      </c>
      <c r="AW29" t="str">
        <f>""</f>
        <v/>
      </c>
      <c r="AX29" t="str">
        <f>""</f>
        <v/>
      </c>
      <c r="AY29" t="str">
        <f>""</f>
        <v/>
      </c>
      <c r="AZ29" t="str">
        <f>""</f>
        <v/>
      </c>
      <c r="BA29" t="str">
        <f>""</f>
        <v/>
      </c>
      <c r="BB29" t="str">
        <f>""</f>
        <v/>
      </c>
      <c r="BC29" t="str">
        <f>""</f>
        <v/>
      </c>
      <c r="BD29" t="str">
        <f>""</f>
        <v/>
      </c>
      <c r="BE29" t="str">
        <f>""</f>
        <v/>
      </c>
      <c r="BF29" t="str">
        <f>""</f>
        <v/>
      </c>
      <c r="BG29" t="str">
        <f>""</f>
        <v/>
      </c>
      <c r="BH29" t="str">
        <f>""</f>
        <v/>
      </c>
      <c r="BI29" t="str">
        <f>""</f>
        <v/>
      </c>
      <c r="BJ29" t="str">
        <f>""</f>
        <v/>
      </c>
      <c r="BK29" t="str">
        <f>""</f>
        <v/>
      </c>
      <c r="BL29" t="str">
        <f>""</f>
        <v/>
      </c>
      <c r="BM29" t="str">
        <f>""</f>
        <v/>
      </c>
    </row>
    <row r="30" spans="1:65">
      <c r="AJ30" t="str">
        <f>""</f>
        <v/>
      </c>
      <c r="AK30" t="str">
        <f>""</f>
        <v/>
      </c>
      <c r="AL30" t="str">
        <f>""</f>
        <v/>
      </c>
      <c r="AM30" t="str">
        <f>""</f>
        <v/>
      </c>
      <c r="AN30" t="str">
        <f>""</f>
        <v/>
      </c>
      <c r="AO30" t="str">
        <f>""</f>
        <v/>
      </c>
      <c r="AP30" t="str">
        <f>""</f>
        <v/>
      </c>
      <c r="AQ30" t="str">
        <f>""</f>
        <v/>
      </c>
      <c r="AR30" t="str">
        <f>""</f>
        <v/>
      </c>
      <c r="AS30" t="str">
        <f>""</f>
        <v/>
      </c>
      <c r="AT30" t="str">
        <f>""</f>
        <v/>
      </c>
      <c r="AU30" t="str">
        <f>""</f>
        <v/>
      </c>
      <c r="AV30" t="str">
        <f>""</f>
        <v/>
      </c>
      <c r="AW30" t="str">
        <f>""</f>
        <v/>
      </c>
      <c r="AX30" t="str">
        <f>""</f>
        <v/>
      </c>
      <c r="AY30" t="str">
        <f>""</f>
        <v/>
      </c>
      <c r="AZ30" t="str">
        <f>""</f>
        <v/>
      </c>
      <c r="BA30" t="str">
        <f>""</f>
        <v/>
      </c>
      <c r="BB30" t="str">
        <f>""</f>
        <v/>
      </c>
      <c r="BC30" t="str">
        <f>""</f>
        <v/>
      </c>
      <c r="BD30" t="str">
        <f>""</f>
        <v/>
      </c>
      <c r="BE30" t="str">
        <f>""</f>
        <v/>
      </c>
      <c r="BF30" t="str">
        <f>""</f>
        <v/>
      </c>
      <c r="BG30" t="str">
        <f>""</f>
        <v/>
      </c>
      <c r="BH30" t="str">
        <f>""</f>
        <v/>
      </c>
      <c r="BI30" t="str">
        <f>""</f>
        <v/>
      </c>
      <c r="BJ30" t="str">
        <f>""</f>
        <v/>
      </c>
      <c r="BK30" t="str">
        <f>""</f>
        <v/>
      </c>
      <c r="BL30" t="str">
        <f>""</f>
        <v/>
      </c>
      <c r="BM30" t="str">
        <f>""</f>
        <v/>
      </c>
    </row>
    <row r="31" spans="1:65">
      <c r="A31" t="str">
        <f>$A$4</f>
        <v>12 Month Bills</v>
      </c>
      <c r="B31" t="str">
        <f>$B$4</f>
        <v>GDBR1 Index</v>
      </c>
      <c r="C31" t="str">
        <f>$C$4</f>
        <v>PR005</v>
      </c>
      <c r="D31" t="str">
        <f>$D$4</f>
        <v>PX_LAST</v>
      </c>
      <c r="E31" t="str">
        <f>$E$4</f>
        <v>Dynamic</v>
      </c>
      <c r="F31" t="e">
        <f ca="1">_xll.BDH($B$4,$C$4,$B$27,$B$28,CONCATENATE("Per=",$B$25),"Dts=H","Dir=H",CONCATENATE("Points=",$B$26),"Sort=R","Days=A","Fill=B",CONCATENATE("FX=", $B$24),"cols=30;rows=1")</f>
        <v>#NAME?</v>
      </c>
      <c r="G31">
        <v>2.1389999999999998</v>
      </c>
      <c r="H31">
        <v>2.2429999999999999</v>
      </c>
      <c r="I31">
        <v>2.246</v>
      </c>
      <c r="J31">
        <v>2.4660000000000002</v>
      </c>
      <c r="K31">
        <v>2.468</v>
      </c>
      <c r="L31">
        <v>2.8250000000000002</v>
      </c>
      <c r="M31">
        <v>3.0019999999999998</v>
      </c>
      <c r="N31">
        <v>3.2090000000000001</v>
      </c>
      <c r="O31">
        <v>3.4340000000000002</v>
      </c>
      <c r="P31">
        <v>3.4390000000000001</v>
      </c>
      <c r="Q31">
        <v>3.343</v>
      </c>
      <c r="R31">
        <v>3.4340000000000002</v>
      </c>
      <c r="S31">
        <v>3.1520000000000001</v>
      </c>
      <c r="T31">
        <v>3.262</v>
      </c>
      <c r="U31">
        <v>3.4279999999999999</v>
      </c>
      <c r="V31">
        <v>3.6379999999999999</v>
      </c>
      <c r="W31">
        <v>3.6909999999999998</v>
      </c>
      <c r="X31">
        <v>3.5369999999999999</v>
      </c>
      <c r="Y31">
        <v>3.6160000000000001</v>
      </c>
      <c r="Z31">
        <v>3.589</v>
      </c>
      <c r="AA31">
        <v>3.17</v>
      </c>
      <c r="AB31">
        <v>3.0910000000000002</v>
      </c>
      <c r="AC31">
        <v>3.008</v>
      </c>
      <c r="AD31">
        <v>3.21</v>
      </c>
      <c r="AE31">
        <v>2.7789999999999999</v>
      </c>
      <c r="AF31">
        <v>2.6</v>
      </c>
      <c r="AG31">
        <v>2.1779999999999999</v>
      </c>
      <c r="AH31">
        <v>2.077</v>
      </c>
      <c r="AI31">
        <v>1.71</v>
      </c>
      <c r="AJ31" t="str">
        <f>""</f>
        <v/>
      </c>
      <c r="AK31" t="str">
        <f>""</f>
        <v/>
      </c>
      <c r="AL31" t="str">
        <f>""</f>
        <v/>
      </c>
      <c r="AM31" t="str">
        <f>""</f>
        <v/>
      </c>
      <c r="AN31" t="str">
        <f>""</f>
        <v/>
      </c>
      <c r="AO31" t="str">
        <f>""</f>
        <v/>
      </c>
      <c r="AP31" t="str">
        <f>""</f>
        <v/>
      </c>
      <c r="AQ31" t="str">
        <f>""</f>
        <v/>
      </c>
      <c r="AR31" t="str">
        <f>""</f>
        <v/>
      </c>
      <c r="AS31" t="str">
        <f>""</f>
        <v/>
      </c>
      <c r="AT31" t="str">
        <f>""</f>
        <v/>
      </c>
      <c r="AU31" t="str">
        <f>""</f>
        <v/>
      </c>
      <c r="AV31" t="str">
        <f>""</f>
        <v/>
      </c>
      <c r="AW31" t="str">
        <f>""</f>
        <v/>
      </c>
      <c r="AX31" t="str">
        <f>""</f>
        <v/>
      </c>
      <c r="AY31" t="str">
        <f>""</f>
        <v/>
      </c>
      <c r="AZ31" t="str">
        <f>""</f>
        <v/>
      </c>
      <c r="BA31" t="str">
        <f>""</f>
        <v/>
      </c>
      <c r="BB31" t="str">
        <f>""</f>
        <v/>
      </c>
      <c r="BC31" t="str">
        <f>""</f>
        <v/>
      </c>
      <c r="BD31" t="str">
        <f>""</f>
        <v/>
      </c>
      <c r="BE31" t="str">
        <f>""</f>
        <v/>
      </c>
      <c r="BF31" t="str">
        <f>""</f>
        <v/>
      </c>
      <c r="BG31" t="str">
        <f>""</f>
        <v/>
      </c>
      <c r="BH31" t="str">
        <f>""</f>
        <v/>
      </c>
      <c r="BI31" t="str">
        <f>""</f>
        <v/>
      </c>
      <c r="BJ31" t="str">
        <f>""</f>
        <v/>
      </c>
      <c r="BK31" t="str">
        <f>""</f>
        <v/>
      </c>
      <c r="BL31" t="str">
        <f>""</f>
        <v/>
      </c>
      <c r="BM31" t="str">
        <f>""</f>
        <v/>
      </c>
    </row>
    <row r="32" spans="1:65">
      <c r="A32" t="str">
        <f>$A$7</f>
        <v>2 Year Note</v>
      </c>
      <c r="B32" t="str">
        <f>$B$7</f>
        <v>GDBR2 Index</v>
      </c>
      <c r="C32" t="str">
        <f>$C$7</f>
        <v>PR005</v>
      </c>
      <c r="D32" t="str">
        <f>$D$7</f>
        <v>PX_LAST</v>
      </c>
      <c r="E32" t="str">
        <f>$E$7</f>
        <v>Dynamic</v>
      </c>
      <c r="F32" t="e">
        <f ca="1">_xll.BDH($B$7,$C$7,$B$27,$B$28,CONCATENATE("Per=",$B$25),"Dts=H","Dir=H",CONCATENATE("Points=",$B$26),"Sort=R","Days=A","Fill=B",CONCATENATE("FX=", $B$24),"cols=30;rows=1")</f>
        <v>#NAME?</v>
      </c>
      <c r="G32">
        <v>2.1190000000000002</v>
      </c>
      <c r="H32">
        <v>2.0819999999999999</v>
      </c>
      <c r="I32">
        <v>1.9510000000000001</v>
      </c>
      <c r="J32">
        <v>2.2810000000000001</v>
      </c>
      <c r="K32">
        <v>2.0680000000000001</v>
      </c>
      <c r="L32">
        <v>2.391</v>
      </c>
      <c r="M32">
        <v>2.5310000000000001</v>
      </c>
      <c r="N32">
        <v>2.8330000000000002</v>
      </c>
      <c r="O32">
        <v>3.097</v>
      </c>
      <c r="P32">
        <v>3.0339999999999998</v>
      </c>
      <c r="Q32">
        <v>2.8490000000000002</v>
      </c>
      <c r="R32">
        <v>2.9009999999999998</v>
      </c>
      <c r="S32">
        <v>2.4279999999999999</v>
      </c>
      <c r="T32">
        <v>2.4039999999999999</v>
      </c>
      <c r="U32">
        <v>2.8159999999999998</v>
      </c>
      <c r="V32">
        <v>3.016</v>
      </c>
      <c r="W32">
        <v>3.2029999999999998</v>
      </c>
      <c r="X32">
        <v>2.9780000000000002</v>
      </c>
      <c r="Y32">
        <v>3.0379999999999998</v>
      </c>
      <c r="Z32">
        <v>3.1960000000000002</v>
      </c>
      <c r="AA32">
        <v>2.7189999999999999</v>
      </c>
      <c r="AB32">
        <v>2.6909999999999998</v>
      </c>
      <c r="AC32">
        <v>2.6829999999999998</v>
      </c>
      <c r="AD32">
        <v>3.137</v>
      </c>
      <c r="AE32">
        <v>2.6509999999999998</v>
      </c>
      <c r="AF32">
        <v>2.7639999999999998</v>
      </c>
      <c r="AG32">
        <v>2.129</v>
      </c>
      <c r="AH32">
        <v>1.9359999999999999</v>
      </c>
      <c r="AI32">
        <v>1.7589999999999999</v>
      </c>
      <c r="AJ32" t="str">
        <f>""</f>
        <v/>
      </c>
      <c r="AK32" t="str">
        <f>""</f>
        <v/>
      </c>
      <c r="AL32" t="str">
        <f>""</f>
        <v/>
      </c>
      <c r="AM32" t="str">
        <f>""</f>
        <v/>
      </c>
      <c r="AN32" t="str">
        <f>""</f>
        <v/>
      </c>
      <c r="AO32" t="str">
        <f>""</f>
        <v/>
      </c>
      <c r="AP32" t="str">
        <f>""</f>
        <v/>
      </c>
      <c r="AQ32" t="str">
        <f>""</f>
        <v/>
      </c>
      <c r="AR32" t="str">
        <f>""</f>
        <v/>
      </c>
      <c r="AS32" t="str">
        <f>""</f>
        <v/>
      </c>
      <c r="AT32" t="str">
        <f>""</f>
        <v/>
      </c>
      <c r="AU32" t="str">
        <f>""</f>
        <v/>
      </c>
      <c r="AV32" t="str">
        <f>""</f>
        <v/>
      </c>
      <c r="AW32" t="str">
        <f>""</f>
        <v/>
      </c>
      <c r="AX32" t="str">
        <f>""</f>
        <v/>
      </c>
      <c r="AY32" t="str">
        <f>""</f>
        <v/>
      </c>
      <c r="AZ32" t="str">
        <f>""</f>
        <v/>
      </c>
      <c r="BA32" t="str">
        <f>""</f>
        <v/>
      </c>
      <c r="BB32" t="str">
        <f>""</f>
        <v/>
      </c>
      <c r="BC32" t="str">
        <f>""</f>
        <v/>
      </c>
      <c r="BD32" t="str">
        <f>""</f>
        <v/>
      </c>
      <c r="BE32" t="str">
        <f>""</f>
        <v/>
      </c>
      <c r="BF32" t="str">
        <f>""</f>
        <v/>
      </c>
      <c r="BG32" t="str">
        <f>""</f>
        <v/>
      </c>
      <c r="BH32" t="str">
        <f>""</f>
        <v/>
      </c>
      <c r="BI32" t="str">
        <f>""</f>
        <v/>
      </c>
      <c r="BJ32" t="str">
        <f>""</f>
        <v/>
      </c>
      <c r="BK32" t="str">
        <f>""</f>
        <v/>
      </c>
      <c r="BL32" t="str">
        <f>""</f>
        <v/>
      </c>
      <c r="BM32" t="str">
        <f>""</f>
        <v/>
      </c>
    </row>
    <row r="33" spans="1:65">
      <c r="A33" t="str">
        <f>$A$8</f>
        <v>3 Year Note</v>
      </c>
      <c r="B33" t="str">
        <f>$B$8</f>
        <v>GDBR3 Index</v>
      </c>
      <c r="C33" t="str">
        <f>$C$8</f>
        <v>PR005</v>
      </c>
      <c r="D33" t="str">
        <f>$D$8</f>
        <v>PX_LAST</v>
      </c>
      <c r="E33" t="str">
        <f>$E$8</f>
        <v>Dynamic</v>
      </c>
      <c r="F33" t="e">
        <f ca="1">_xll.BDH($B$8,$C$8,$B$27,$B$28,CONCATENATE("Per=",$B$25),"Dts=H","Dir=H",CONCATENATE("Points=",$B$26),"Sort=R","Days=A","Fill=B",CONCATENATE("FX=", $B$24),"cols=30;rows=1")</f>
        <v>#NAME?</v>
      </c>
      <c r="G33">
        <v>2.1219999999999999</v>
      </c>
      <c r="H33">
        <v>1.982</v>
      </c>
      <c r="I33">
        <v>1.8440000000000001</v>
      </c>
      <c r="J33">
        <v>2.173</v>
      </c>
      <c r="K33">
        <v>1.8819999999999999</v>
      </c>
      <c r="L33">
        <v>2.1850000000000001</v>
      </c>
      <c r="M33">
        <v>2.282</v>
      </c>
      <c r="N33">
        <v>2.613</v>
      </c>
      <c r="O33">
        <v>2.87</v>
      </c>
      <c r="P33">
        <v>2.7959999999999998</v>
      </c>
      <c r="Q33">
        <v>2.5059999999999998</v>
      </c>
      <c r="R33">
        <v>2.609</v>
      </c>
      <c r="S33">
        <v>2.1509999999999998</v>
      </c>
      <c r="T33">
        <v>2.1280000000000001</v>
      </c>
      <c r="U33">
        <v>2.5579999999999998</v>
      </c>
      <c r="V33">
        <v>2.7970000000000002</v>
      </c>
      <c r="W33">
        <v>2.9260000000000002</v>
      </c>
      <c r="X33">
        <v>2.6909999999999998</v>
      </c>
      <c r="Y33">
        <v>2.7549999999999999</v>
      </c>
      <c r="Z33">
        <v>2.8170000000000002</v>
      </c>
      <c r="AA33">
        <v>2.4969999999999999</v>
      </c>
      <c r="AB33">
        <v>2.4790000000000001</v>
      </c>
      <c r="AC33">
        <v>2.4529999999999998</v>
      </c>
      <c r="AD33">
        <v>2.907</v>
      </c>
      <c r="AE33">
        <v>2.3889999999999998</v>
      </c>
      <c r="AF33">
        <v>2.5779999999999998</v>
      </c>
      <c r="AG33">
        <v>1.9770000000000001</v>
      </c>
      <c r="AH33">
        <v>1.8939999999999999</v>
      </c>
      <c r="AI33">
        <v>1.758</v>
      </c>
      <c r="AJ33" t="str">
        <f>""</f>
        <v/>
      </c>
      <c r="AK33" t="str">
        <f>""</f>
        <v/>
      </c>
      <c r="AL33" t="str">
        <f>""</f>
        <v/>
      </c>
      <c r="AM33" t="str">
        <f>""</f>
        <v/>
      </c>
      <c r="AN33" t="str">
        <f>""</f>
        <v/>
      </c>
      <c r="AO33" t="str">
        <f>""</f>
        <v/>
      </c>
      <c r="AP33" t="str">
        <f>""</f>
        <v/>
      </c>
      <c r="AQ33" t="str">
        <f>""</f>
        <v/>
      </c>
      <c r="AR33" t="str">
        <f>""</f>
        <v/>
      </c>
      <c r="AS33" t="str">
        <f>""</f>
        <v/>
      </c>
      <c r="AT33" t="str">
        <f>""</f>
        <v/>
      </c>
      <c r="AU33" t="str">
        <f>""</f>
        <v/>
      </c>
      <c r="AV33" t="str">
        <f>""</f>
        <v/>
      </c>
      <c r="AW33" t="str">
        <f>""</f>
        <v/>
      </c>
      <c r="AX33" t="str">
        <f>""</f>
        <v/>
      </c>
      <c r="AY33" t="str">
        <f>""</f>
        <v/>
      </c>
      <c r="AZ33" t="str">
        <f>""</f>
        <v/>
      </c>
      <c r="BA33" t="str">
        <f>""</f>
        <v/>
      </c>
      <c r="BB33" t="str">
        <f>""</f>
        <v/>
      </c>
      <c r="BC33" t="str">
        <f>""</f>
        <v/>
      </c>
      <c r="BD33" t="str">
        <f>""</f>
        <v/>
      </c>
      <c r="BE33" t="str">
        <f>""</f>
        <v/>
      </c>
      <c r="BF33" t="str">
        <f>""</f>
        <v/>
      </c>
      <c r="BG33" t="str">
        <f>""</f>
        <v/>
      </c>
      <c r="BH33" t="str">
        <f>""</f>
        <v/>
      </c>
      <c r="BI33" t="str">
        <f>""</f>
        <v/>
      </c>
      <c r="BJ33" t="str">
        <f>""</f>
        <v/>
      </c>
      <c r="BK33" t="str">
        <f>""</f>
        <v/>
      </c>
      <c r="BL33" t="str">
        <f>""</f>
        <v/>
      </c>
      <c r="BM33" t="str">
        <f>""</f>
        <v/>
      </c>
    </row>
    <row r="34" spans="1:65">
      <c r="A34" t="str">
        <f>$A$9</f>
        <v>5 Year Note</v>
      </c>
      <c r="B34" t="str">
        <f>$B$9</f>
        <v>GDBR5 Index</v>
      </c>
      <c r="C34" t="str">
        <f>$C$9</f>
        <v>PR005</v>
      </c>
      <c r="D34" t="str">
        <f>$D$9</f>
        <v>PX_LAST</v>
      </c>
      <c r="E34" t="str">
        <f>$E$9</f>
        <v>Dynamic</v>
      </c>
      <c r="F34" t="e">
        <f ca="1">_xll.BDH($B$9,$C$9,$B$27,$B$28,CONCATENATE("Per=",$B$25),"Dts=H","Dir=H",CONCATENATE("Points=",$B$26),"Sort=R","Days=A","Fill=B",CONCATENATE("FX=", $B$24),"cols=30;rows=1")</f>
        <v>#NAME?</v>
      </c>
      <c r="G34">
        <v>2.2349999999999999</v>
      </c>
      <c r="H34">
        <v>2.1539999999999999</v>
      </c>
      <c r="I34">
        <v>1.9259999999999999</v>
      </c>
      <c r="J34">
        <v>2.2669999999999999</v>
      </c>
      <c r="K34">
        <v>1.9470000000000001</v>
      </c>
      <c r="L34">
        <v>2.1890000000000001</v>
      </c>
      <c r="M34">
        <v>2.2320000000000002</v>
      </c>
      <c r="N34">
        <v>2.4820000000000002</v>
      </c>
      <c r="O34">
        <v>2.7069999999999999</v>
      </c>
      <c r="P34">
        <v>2.6160000000000001</v>
      </c>
      <c r="Q34">
        <v>2.3210000000000002</v>
      </c>
      <c r="R34">
        <v>2.431</v>
      </c>
      <c r="S34">
        <v>2.0510000000000002</v>
      </c>
      <c r="T34">
        <v>1.948</v>
      </c>
      <c r="U34">
        <v>2.3740000000000001</v>
      </c>
      <c r="V34">
        <v>2.6549999999999998</v>
      </c>
      <c r="W34">
        <v>2.7770000000000001</v>
      </c>
      <c r="X34">
        <v>2.4769999999999999</v>
      </c>
      <c r="Y34">
        <v>2.536</v>
      </c>
      <c r="Z34">
        <v>2.5499999999999998</v>
      </c>
      <c r="AA34">
        <v>2.278</v>
      </c>
      <c r="AB34">
        <v>2.3050000000000002</v>
      </c>
      <c r="AC34">
        <v>2.31</v>
      </c>
      <c r="AD34">
        <v>2.742</v>
      </c>
      <c r="AE34">
        <v>2.31</v>
      </c>
      <c r="AF34">
        <v>2.5779999999999998</v>
      </c>
      <c r="AG34">
        <v>1.9350000000000001</v>
      </c>
      <c r="AH34">
        <v>2.0049999999999999</v>
      </c>
      <c r="AI34">
        <v>1.9630000000000001</v>
      </c>
      <c r="AJ34" t="str">
        <f>""</f>
        <v/>
      </c>
      <c r="AK34" t="str">
        <f>""</f>
        <v/>
      </c>
      <c r="AL34" t="str">
        <f>""</f>
        <v/>
      </c>
      <c r="AM34" t="str">
        <f>""</f>
        <v/>
      </c>
      <c r="AN34" t="str">
        <f>""</f>
        <v/>
      </c>
      <c r="AO34" t="str">
        <f>""</f>
        <v/>
      </c>
      <c r="AP34" t="str">
        <f>""</f>
        <v/>
      </c>
      <c r="AQ34" t="str">
        <f>""</f>
        <v/>
      </c>
      <c r="AR34" t="str">
        <f>""</f>
        <v/>
      </c>
      <c r="AS34" t="str">
        <f>""</f>
        <v/>
      </c>
      <c r="AT34" t="str">
        <f>""</f>
        <v/>
      </c>
      <c r="AU34" t="str">
        <f>""</f>
        <v/>
      </c>
      <c r="AV34" t="str">
        <f>""</f>
        <v/>
      </c>
      <c r="AW34" t="str">
        <f>""</f>
        <v/>
      </c>
      <c r="AX34" t="str">
        <f>""</f>
        <v/>
      </c>
      <c r="AY34" t="str">
        <f>""</f>
        <v/>
      </c>
      <c r="AZ34" t="str">
        <f>""</f>
        <v/>
      </c>
      <c r="BA34" t="str">
        <f>""</f>
        <v/>
      </c>
      <c r="BB34" t="str">
        <f>""</f>
        <v/>
      </c>
      <c r="BC34" t="str">
        <f>""</f>
        <v/>
      </c>
      <c r="BD34" t="str">
        <f>""</f>
        <v/>
      </c>
      <c r="BE34" t="str">
        <f>""</f>
        <v/>
      </c>
      <c r="BF34" t="str">
        <f>""</f>
        <v/>
      </c>
      <c r="BG34" t="str">
        <f>""</f>
        <v/>
      </c>
      <c r="BH34" t="str">
        <f>""</f>
        <v/>
      </c>
      <c r="BI34" t="str">
        <f>""</f>
        <v/>
      </c>
      <c r="BJ34" t="str">
        <f>""</f>
        <v/>
      </c>
      <c r="BK34" t="str">
        <f>""</f>
        <v/>
      </c>
      <c r="BL34" t="str">
        <f>""</f>
        <v/>
      </c>
      <c r="BM34" t="str">
        <f>""</f>
        <v/>
      </c>
    </row>
    <row r="35" spans="1:65">
      <c r="A35" t="str">
        <f>$A$10</f>
        <v>7 Year Note</v>
      </c>
      <c r="B35" t="str">
        <f>$B$10</f>
        <v>GDBR7 Index</v>
      </c>
      <c r="C35" t="str">
        <f>$C$10</f>
        <v>PR005</v>
      </c>
      <c r="D35" t="str">
        <f>$D$10</f>
        <v>PX_LAST</v>
      </c>
      <c r="E35" t="str">
        <f>$E$10</f>
        <v>Dynamic</v>
      </c>
      <c r="F35" t="e">
        <f ca="1">_xll.BDH($B$10,$C$10,$B$27,$B$28,CONCATENATE("Per=",$B$25),"Dts=H","Dir=H",CONCATENATE("Points=",$B$26),"Sort=R","Days=A","Fill=B",CONCATENATE("FX=", $B$24),"cols=30;rows=1")</f>
        <v>#NAME?</v>
      </c>
      <c r="G35">
        <v>2.2709999999999999</v>
      </c>
      <c r="H35">
        <v>2.1459999999999999</v>
      </c>
      <c r="I35">
        <v>1.91</v>
      </c>
      <c r="J35">
        <v>2.23</v>
      </c>
      <c r="K35">
        <v>1.9330000000000001</v>
      </c>
      <c r="L35">
        <v>2.145</v>
      </c>
      <c r="M35">
        <v>2.1669999999999998</v>
      </c>
      <c r="N35">
        <v>2.4620000000000002</v>
      </c>
      <c r="O35">
        <v>2.653</v>
      </c>
      <c r="P35">
        <v>2.5670000000000002</v>
      </c>
      <c r="Q35">
        <v>2.27</v>
      </c>
      <c r="R35">
        <v>2.3820000000000001</v>
      </c>
      <c r="S35">
        <v>2.0609999999999999</v>
      </c>
      <c r="T35">
        <v>1.9390000000000001</v>
      </c>
      <c r="U35">
        <v>2.37</v>
      </c>
      <c r="V35">
        <v>2.694</v>
      </c>
      <c r="W35">
        <v>2.7909999999999999</v>
      </c>
      <c r="X35">
        <v>2.4489999999999998</v>
      </c>
      <c r="Y35">
        <v>2.4820000000000002</v>
      </c>
      <c r="Z35">
        <v>2.4689999999999999</v>
      </c>
      <c r="AA35">
        <v>2.2490000000000001</v>
      </c>
      <c r="AB35">
        <v>2.2930000000000001</v>
      </c>
      <c r="AC35">
        <v>2.2799999999999998</v>
      </c>
      <c r="AD35">
        <v>2.677</v>
      </c>
      <c r="AE35">
        <v>2.2650000000000001</v>
      </c>
      <c r="AF35">
        <v>2.57</v>
      </c>
      <c r="AG35">
        <v>1.9139999999999999</v>
      </c>
      <c r="AH35">
        <v>2.0979999999999999</v>
      </c>
      <c r="AI35">
        <v>1.986</v>
      </c>
      <c r="AJ35" t="str">
        <f>""</f>
        <v/>
      </c>
      <c r="AK35" t="str">
        <f>""</f>
        <v/>
      </c>
      <c r="AL35" t="str">
        <f>""</f>
        <v/>
      </c>
      <c r="AM35" t="str">
        <f>""</f>
        <v/>
      </c>
      <c r="AN35" t="str">
        <f>""</f>
        <v/>
      </c>
      <c r="AO35" t="str">
        <f>""</f>
        <v/>
      </c>
      <c r="AP35" t="str">
        <f>""</f>
        <v/>
      </c>
      <c r="AQ35" t="str">
        <f>""</f>
        <v/>
      </c>
      <c r="AR35" t="str">
        <f>""</f>
        <v/>
      </c>
      <c r="AS35" t="str">
        <f>""</f>
        <v/>
      </c>
      <c r="AT35" t="str">
        <f>""</f>
        <v/>
      </c>
      <c r="AU35" t="str">
        <f>""</f>
        <v/>
      </c>
      <c r="AV35" t="str">
        <f>""</f>
        <v/>
      </c>
      <c r="AW35" t="str">
        <f>""</f>
        <v/>
      </c>
      <c r="AX35" t="str">
        <f>""</f>
        <v/>
      </c>
      <c r="AY35" t="str">
        <f>""</f>
        <v/>
      </c>
      <c r="AZ35" t="str">
        <f>""</f>
        <v/>
      </c>
      <c r="BA35" t="str">
        <f>""</f>
        <v/>
      </c>
      <c r="BB35" t="str">
        <f>""</f>
        <v/>
      </c>
      <c r="BC35" t="str">
        <f>""</f>
        <v/>
      </c>
      <c r="BD35" t="str">
        <f>""</f>
        <v/>
      </c>
      <c r="BE35" t="str">
        <f>""</f>
        <v/>
      </c>
      <c r="BF35" t="str">
        <f>""</f>
        <v/>
      </c>
      <c r="BG35" t="str">
        <f>""</f>
        <v/>
      </c>
      <c r="BH35" t="str">
        <f>""</f>
        <v/>
      </c>
      <c r="BI35" t="str">
        <f>""</f>
        <v/>
      </c>
      <c r="BJ35" t="str">
        <f>""</f>
        <v/>
      </c>
      <c r="BK35" t="str">
        <f>""</f>
        <v/>
      </c>
      <c r="BL35" t="str">
        <f>""</f>
        <v/>
      </c>
      <c r="BM35" t="str">
        <f>""</f>
        <v/>
      </c>
    </row>
    <row r="36" spans="1:65">
      <c r="A36" t="str">
        <f>$A$11</f>
        <v>10 Year Note</v>
      </c>
      <c r="B36" t="str">
        <f>$B$11</f>
        <v>GDBR10 Index</v>
      </c>
      <c r="C36" t="str">
        <f>$C$11</f>
        <v>PR005</v>
      </c>
      <c r="D36" t="str">
        <f>$D$11</f>
        <v>PX_LAST</v>
      </c>
      <c r="E36" t="str">
        <f>$E$11</f>
        <v>Dynamic</v>
      </c>
      <c r="F36" t="e">
        <f ca="1">_xll.BDH($B$11,$C$11,$B$27,$B$28,CONCATENATE("Per=",$B$25),"Dts=H","Dir=H",CONCATENATE("Points=",$B$26),"Sort=R","Days=A","Fill=B",CONCATENATE("FX=", $B$24),"cols=30;rows=1")</f>
        <v>#NAME?</v>
      </c>
      <c r="G36">
        <v>2.46</v>
      </c>
      <c r="H36">
        <v>2.367</v>
      </c>
      <c r="I36">
        <v>2.0880000000000001</v>
      </c>
      <c r="J36">
        <v>2.39</v>
      </c>
      <c r="K36">
        <v>2.1230000000000002</v>
      </c>
      <c r="L36">
        <v>2.2989999999999999</v>
      </c>
      <c r="M36">
        <v>2.3039999999999998</v>
      </c>
      <c r="N36">
        <v>2.5</v>
      </c>
      <c r="O36">
        <v>2.6640000000000001</v>
      </c>
      <c r="P36">
        <v>2.5840000000000001</v>
      </c>
      <c r="Q36">
        <v>2.298</v>
      </c>
      <c r="R36">
        <v>2.411</v>
      </c>
      <c r="S36">
        <v>2.1659999999999999</v>
      </c>
      <c r="T36">
        <v>2.024</v>
      </c>
      <c r="U36">
        <v>2.4470000000000001</v>
      </c>
      <c r="V36">
        <v>2.806</v>
      </c>
      <c r="W36">
        <v>2.839</v>
      </c>
      <c r="X36">
        <v>2.4660000000000002</v>
      </c>
      <c r="Y36">
        <v>2.492</v>
      </c>
      <c r="Z36">
        <v>2.3919999999999999</v>
      </c>
      <c r="AA36">
        <v>2.282</v>
      </c>
      <c r="AB36">
        <v>2.3130000000000002</v>
      </c>
      <c r="AC36">
        <v>2.2919999999999998</v>
      </c>
      <c r="AD36">
        <v>2.6509999999999998</v>
      </c>
      <c r="AE36">
        <v>2.286</v>
      </c>
      <c r="AF36">
        <v>2.5710000000000002</v>
      </c>
      <c r="AG36">
        <v>1.93</v>
      </c>
      <c r="AH36">
        <v>2.1419999999999999</v>
      </c>
      <c r="AI36">
        <v>2.1080000000000001</v>
      </c>
      <c r="AJ36" t="str">
        <f>""</f>
        <v/>
      </c>
      <c r="AK36" t="str">
        <f>""</f>
        <v/>
      </c>
      <c r="AL36" t="str">
        <f>""</f>
        <v/>
      </c>
      <c r="AM36" t="str">
        <f>""</f>
        <v/>
      </c>
      <c r="AN36" t="str">
        <f>""</f>
        <v/>
      </c>
      <c r="AO36" t="str">
        <f>""</f>
        <v/>
      </c>
      <c r="AP36" t="str">
        <f>""</f>
        <v/>
      </c>
      <c r="AQ36" t="str">
        <f>""</f>
        <v/>
      </c>
      <c r="AR36" t="str">
        <f>""</f>
        <v/>
      </c>
      <c r="AS36" t="str">
        <f>""</f>
        <v/>
      </c>
      <c r="AT36" t="str">
        <f>""</f>
        <v/>
      </c>
      <c r="AU36" t="str">
        <f>""</f>
        <v/>
      </c>
      <c r="AV36" t="str">
        <f>""</f>
        <v/>
      </c>
      <c r="AW36" t="str">
        <f>""</f>
        <v/>
      </c>
      <c r="AX36" t="str">
        <f>""</f>
        <v/>
      </c>
      <c r="AY36" t="str">
        <f>""</f>
        <v/>
      </c>
      <c r="AZ36" t="str">
        <f>""</f>
        <v/>
      </c>
      <c r="BA36" t="str">
        <f>""</f>
        <v/>
      </c>
      <c r="BB36" t="str">
        <f>""</f>
        <v/>
      </c>
      <c r="BC36" t="str">
        <f>""</f>
        <v/>
      </c>
      <c r="BD36" t="str">
        <f>""</f>
        <v/>
      </c>
      <c r="BE36" t="str">
        <f>""</f>
        <v/>
      </c>
      <c r="BF36" t="str">
        <f>""</f>
        <v/>
      </c>
      <c r="BG36" t="str">
        <f>""</f>
        <v/>
      </c>
      <c r="BH36" t="str">
        <f>""</f>
        <v/>
      </c>
      <c r="BI36" t="str">
        <f>""</f>
        <v/>
      </c>
      <c r="BJ36" t="str">
        <f>""</f>
        <v/>
      </c>
      <c r="BK36" t="str">
        <f>""</f>
        <v/>
      </c>
      <c r="BL36" t="str">
        <f>""</f>
        <v/>
      </c>
      <c r="BM36" t="str">
        <f>""</f>
        <v/>
      </c>
    </row>
    <row r="37" spans="1:65">
      <c r="A37" t="str">
        <f>$A$12</f>
        <v>20 Year Bond</v>
      </c>
      <c r="B37" t="str">
        <f>$B$12</f>
        <v>GDBR20 Index</v>
      </c>
      <c r="C37" t="str">
        <f>$C$12</f>
        <v>PR005</v>
      </c>
      <c r="D37" t="str">
        <f>$D$12</f>
        <v>PX_LAST</v>
      </c>
      <c r="E37" t="str">
        <f>$E$12</f>
        <v>Dynamic</v>
      </c>
      <c r="F37" t="e">
        <f ca="1">_xll.BDH($B$12,$C$12,$B$27,$B$28,CONCATENATE("Per=",$B$25),"Dts=H","Dir=H",CONCATENATE("Points=",$B$26),"Sort=R","Days=A","Fill=B",CONCATENATE("FX=", $B$24),"cols=30;rows=1")</f>
        <v>#NAME?</v>
      </c>
      <c r="G37">
        <v>2.7109999999999999</v>
      </c>
      <c r="H37">
        <v>2.59</v>
      </c>
      <c r="I37">
        <v>2.3159999999999998</v>
      </c>
      <c r="J37">
        <v>2.617</v>
      </c>
      <c r="K37">
        <v>2.4660000000000002</v>
      </c>
      <c r="L37">
        <v>2.5760000000000001</v>
      </c>
      <c r="M37">
        <v>2.532</v>
      </c>
      <c r="N37">
        <v>2.7189999999999999</v>
      </c>
      <c r="O37">
        <v>2.8420000000000001</v>
      </c>
      <c r="P37">
        <v>2.7429999999999999</v>
      </c>
      <c r="Q37">
        <v>2.4900000000000002</v>
      </c>
      <c r="R37">
        <v>2.5870000000000002</v>
      </c>
      <c r="S37">
        <v>2.431</v>
      </c>
      <c r="T37">
        <v>2.2989999999999999</v>
      </c>
      <c r="U37">
        <v>2.722</v>
      </c>
      <c r="V37">
        <v>3.0950000000000002</v>
      </c>
      <c r="W37">
        <v>3.0510000000000002</v>
      </c>
      <c r="X37">
        <v>2.6309999999999998</v>
      </c>
      <c r="Y37">
        <v>2.637</v>
      </c>
      <c r="Z37">
        <v>2.4870000000000001</v>
      </c>
      <c r="AA37">
        <v>2.496</v>
      </c>
      <c r="AB37">
        <v>2.472</v>
      </c>
      <c r="AC37">
        <v>2.431</v>
      </c>
      <c r="AD37">
        <v>2.7080000000000002</v>
      </c>
      <c r="AE37">
        <v>2.3330000000000002</v>
      </c>
      <c r="AF37">
        <v>2.6110000000000002</v>
      </c>
      <c r="AG37">
        <v>1.9490000000000001</v>
      </c>
      <c r="AH37">
        <v>2.319</v>
      </c>
      <c r="AI37">
        <v>2.1789999999999998</v>
      </c>
      <c r="AJ37" t="str">
        <f>""</f>
        <v/>
      </c>
      <c r="AK37" t="str">
        <f>""</f>
        <v/>
      </c>
      <c r="AL37" t="str">
        <f>""</f>
        <v/>
      </c>
      <c r="AM37" t="str">
        <f>""</f>
        <v/>
      </c>
      <c r="AN37" t="str">
        <f>""</f>
        <v/>
      </c>
      <c r="AO37" t="str">
        <f>""</f>
        <v/>
      </c>
      <c r="AP37" t="str">
        <f>""</f>
        <v/>
      </c>
      <c r="AQ37" t="str">
        <f>""</f>
        <v/>
      </c>
      <c r="AR37" t="str">
        <f>""</f>
        <v/>
      </c>
      <c r="AS37" t="str">
        <f>""</f>
        <v/>
      </c>
      <c r="AT37" t="str">
        <f>""</f>
        <v/>
      </c>
      <c r="AU37" t="str">
        <f>""</f>
        <v/>
      </c>
      <c r="AV37" t="str">
        <f>""</f>
        <v/>
      </c>
      <c r="AW37" t="str">
        <f>""</f>
        <v/>
      </c>
      <c r="AX37" t="str">
        <f>""</f>
        <v/>
      </c>
      <c r="AY37" t="str">
        <f>""</f>
        <v/>
      </c>
      <c r="AZ37" t="str">
        <f>""</f>
        <v/>
      </c>
      <c r="BA37" t="str">
        <f>""</f>
        <v/>
      </c>
      <c r="BB37" t="str">
        <f>""</f>
        <v/>
      </c>
      <c r="BC37" t="str">
        <f>""</f>
        <v/>
      </c>
      <c r="BD37" t="str">
        <f>""</f>
        <v/>
      </c>
      <c r="BE37" t="str">
        <f>""</f>
        <v/>
      </c>
      <c r="BF37" t="str">
        <f>""</f>
        <v/>
      </c>
      <c r="BG37" t="str">
        <f>""</f>
        <v/>
      </c>
      <c r="BH37" t="str">
        <f>""</f>
        <v/>
      </c>
      <c r="BI37" t="str">
        <f>""</f>
        <v/>
      </c>
      <c r="BJ37" t="str">
        <f>""</f>
        <v/>
      </c>
      <c r="BK37" t="str">
        <f>""</f>
        <v/>
      </c>
      <c r="BL37" t="str">
        <f>""</f>
        <v/>
      </c>
      <c r="BM37" t="str">
        <f>""</f>
        <v/>
      </c>
    </row>
    <row r="38" spans="1:65">
      <c r="A38" t="str">
        <f>$A$13</f>
        <v>30 Year Bond</v>
      </c>
      <c r="B38" t="str">
        <f>$B$13</f>
        <v>GDBR30 Index</v>
      </c>
      <c r="C38" t="str">
        <f>$C$13</f>
        <v>PR005</v>
      </c>
      <c r="D38" t="str">
        <f>$D$13</f>
        <v>PX_LAST</v>
      </c>
      <c r="E38" t="str">
        <f>$E$13</f>
        <v>Dynamic</v>
      </c>
      <c r="F38" t="e">
        <f ca="1">_xll.BDH($B$13,$C$13,$B$27,$B$28,CONCATENATE("Per=",$B$25),"Dts=H","Dir=H",CONCATENATE("Points=",$B$26),"Sort=R","Days=A","Fill=B",CONCATENATE("FX=", $B$24),"cols=30;rows=1")</f>
        <v>#NAME?</v>
      </c>
      <c r="G38">
        <v>2.7130000000000001</v>
      </c>
      <c r="H38">
        <v>2.597</v>
      </c>
      <c r="I38">
        <v>2.3250000000000002</v>
      </c>
      <c r="J38">
        <v>2.5950000000000002</v>
      </c>
      <c r="K38">
        <v>2.4590000000000001</v>
      </c>
      <c r="L38">
        <v>2.5459999999999998</v>
      </c>
      <c r="M38">
        <v>2.5139999999999998</v>
      </c>
      <c r="N38">
        <v>2.6909999999999998</v>
      </c>
      <c r="O38">
        <v>2.7839999999999998</v>
      </c>
      <c r="P38">
        <v>2.69</v>
      </c>
      <c r="Q38">
        <v>2.4550000000000001</v>
      </c>
      <c r="R38">
        <v>2.5390000000000001</v>
      </c>
      <c r="S38">
        <v>2.4049999999999998</v>
      </c>
      <c r="T38">
        <v>2.2629999999999999</v>
      </c>
      <c r="U38">
        <v>2.6869999999999998</v>
      </c>
      <c r="V38">
        <v>3.0939999999999999</v>
      </c>
      <c r="W38">
        <v>3.0350000000000001</v>
      </c>
      <c r="X38">
        <v>2.5910000000000002</v>
      </c>
      <c r="Y38">
        <v>2.57</v>
      </c>
      <c r="Z38">
        <v>2.3889999999999998</v>
      </c>
      <c r="AA38">
        <v>2.4609999999999999</v>
      </c>
      <c r="AB38">
        <v>2.415</v>
      </c>
      <c r="AC38">
        <v>2.363</v>
      </c>
      <c r="AD38">
        <v>2.61</v>
      </c>
      <c r="AE38">
        <v>2.2240000000000002</v>
      </c>
      <c r="AF38">
        <v>2.5449999999999999</v>
      </c>
      <c r="AG38">
        <v>1.8220000000000001</v>
      </c>
      <c r="AH38">
        <v>2.1349999999999998</v>
      </c>
      <c r="AI38">
        <v>2.0920000000000001</v>
      </c>
      <c r="AJ38" t="str">
        <f>""</f>
        <v/>
      </c>
      <c r="AK38" t="str">
        <f>""</f>
        <v/>
      </c>
      <c r="AL38" t="str">
        <f>""</f>
        <v/>
      </c>
      <c r="AM38" t="str">
        <f>""</f>
        <v/>
      </c>
      <c r="AN38" t="str">
        <f>""</f>
        <v/>
      </c>
      <c r="AO38" t="str">
        <f>""</f>
        <v/>
      </c>
      <c r="AP38" t="str">
        <f>""</f>
        <v/>
      </c>
      <c r="AQ38" t="str">
        <f>""</f>
        <v/>
      </c>
      <c r="AR38" t="str">
        <f>""</f>
        <v/>
      </c>
      <c r="AS38" t="str">
        <f>""</f>
        <v/>
      </c>
      <c r="AT38" t="str">
        <f>""</f>
        <v/>
      </c>
      <c r="AU38" t="str">
        <f>""</f>
        <v/>
      </c>
      <c r="AV38" t="str">
        <f>""</f>
        <v/>
      </c>
      <c r="AW38" t="str">
        <f>""</f>
        <v/>
      </c>
      <c r="AX38" t="str">
        <f>""</f>
        <v/>
      </c>
      <c r="AY38" t="str">
        <f>""</f>
        <v/>
      </c>
      <c r="AZ38" t="str">
        <f>""</f>
        <v/>
      </c>
      <c r="BA38" t="str">
        <f>""</f>
        <v/>
      </c>
      <c r="BB38" t="str">
        <f>""</f>
        <v/>
      </c>
      <c r="BC38" t="str">
        <f>""</f>
        <v/>
      </c>
      <c r="BD38" t="str">
        <f>""</f>
        <v/>
      </c>
      <c r="BE38" t="str">
        <f>""</f>
        <v/>
      </c>
      <c r="BF38" t="str">
        <f>""</f>
        <v/>
      </c>
      <c r="BG38" t="str">
        <f>""</f>
        <v/>
      </c>
      <c r="BH38" t="str">
        <f>""</f>
        <v/>
      </c>
      <c r="BI38" t="str">
        <f>""</f>
        <v/>
      </c>
      <c r="BJ38" t="str">
        <f>""</f>
        <v/>
      </c>
      <c r="BK38" t="str">
        <f>""</f>
        <v/>
      </c>
      <c r="BL38" t="str">
        <f>""</f>
        <v/>
      </c>
      <c r="BM38" t="str">
        <f>""</f>
        <v/>
      </c>
    </row>
    <row r="39" spans="1:65">
      <c r="A39" t="str">
        <f>""</f>
        <v/>
      </c>
      <c r="B39" t="str">
        <f>""</f>
        <v/>
      </c>
      <c r="C39" t="str">
        <f>""</f>
        <v/>
      </c>
      <c r="D39" t="str">
        <f>""</f>
        <v/>
      </c>
      <c r="E39" t="str">
        <f>""</f>
        <v/>
      </c>
      <c r="AJ39" t="str">
        <f>""</f>
        <v/>
      </c>
      <c r="AK39" t="str">
        <f>""</f>
        <v/>
      </c>
      <c r="AL39" t="str">
        <f>""</f>
        <v/>
      </c>
      <c r="AM39" t="str">
        <f>""</f>
        <v/>
      </c>
      <c r="AN39" t="str">
        <f>""</f>
        <v/>
      </c>
      <c r="AO39" t="str">
        <f>""</f>
        <v/>
      </c>
      <c r="AP39" t="str">
        <f>""</f>
        <v/>
      </c>
      <c r="AQ39" t="str">
        <f>""</f>
        <v/>
      </c>
      <c r="AR39" t="str">
        <f>""</f>
        <v/>
      </c>
      <c r="AS39" t="str">
        <f>""</f>
        <v/>
      </c>
      <c r="AT39" t="str">
        <f>""</f>
        <v/>
      </c>
      <c r="AU39" t="str">
        <f>""</f>
        <v/>
      </c>
      <c r="AV39" t="str">
        <f>""</f>
        <v/>
      </c>
      <c r="AW39" t="str">
        <f>""</f>
        <v/>
      </c>
      <c r="AX39" t="str">
        <f>""</f>
        <v/>
      </c>
      <c r="AY39" t="str">
        <f>""</f>
        <v/>
      </c>
      <c r="AZ39" t="str">
        <f>""</f>
        <v/>
      </c>
      <c r="BA39" t="str">
        <f>""</f>
        <v/>
      </c>
      <c r="BB39" t="str">
        <f>""</f>
        <v/>
      </c>
      <c r="BC39" t="str">
        <f>""</f>
        <v/>
      </c>
      <c r="BD39" t="str">
        <f>""</f>
        <v/>
      </c>
      <c r="BE39" t="str">
        <f>""</f>
        <v/>
      </c>
      <c r="BF39" t="str">
        <f>""</f>
        <v/>
      </c>
      <c r="BG39" t="str">
        <f>""</f>
        <v/>
      </c>
      <c r="BH39" t="str">
        <f>""</f>
        <v/>
      </c>
      <c r="BI39" t="str">
        <f>""</f>
        <v/>
      </c>
      <c r="BJ39" t="str">
        <f>""</f>
        <v/>
      </c>
      <c r="BK39" t="str">
        <f>""</f>
        <v/>
      </c>
      <c r="BL39" t="str">
        <f>""</f>
        <v/>
      </c>
      <c r="BM39" t="str">
        <f>""</f>
        <v/>
      </c>
    </row>
    <row r="40" spans="1:65">
      <c r="A40" t="str">
        <f>""</f>
        <v/>
      </c>
      <c r="B40" t="str">
        <f>""</f>
        <v/>
      </c>
      <c r="C40" t="str">
        <f>""</f>
        <v/>
      </c>
      <c r="D40" t="str">
        <f>""</f>
        <v/>
      </c>
      <c r="E40" t="str">
        <f>""</f>
        <v/>
      </c>
      <c r="AJ40" t="str">
        <f>""</f>
        <v/>
      </c>
      <c r="AK40" t="str">
        <f>""</f>
        <v/>
      </c>
      <c r="AL40" t="str">
        <f>""</f>
        <v/>
      </c>
      <c r="AM40" t="str">
        <f>""</f>
        <v/>
      </c>
      <c r="AN40" t="str">
        <f>""</f>
        <v/>
      </c>
      <c r="AO40" t="str">
        <f>""</f>
        <v/>
      </c>
      <c r="AP40" t="str">
        <f>""</f>
        <v/>
      </c>
      <c r="AQ40" t="str">
        <f>""</f>
        <v/>
      </c>
      <c r="AR40" t="str">
        <f>""</f>
        <v/>
      </c>
      <c r="AS40" t="str">
        <f>""</f>
        <v/>
      </c>
      <c r="AT40" t="str">
        <f>""</f>
        <v/>
      </c>
      <c r="AU40" t="str">
        <f>""</f>
        <v/>
      </c>
      <c r="AV40" t="str">
        <f>""</f>
        <v/>
      </c>
      <c r="AW40" t="str">
        <f>""</f>
        <v/>
      </c>
      <c r="AX40" t="str">
        <f>""</f>
        <v/>
      </c>
      <c r="AY40" t="str">
        <f>""</f>
        <v/>
      </c>
      <c r="AZ40" t="str">
        <f>""</f>
        <v/>
      </c>
      <c r="BA40" t="str">
        <f>""</f>
        <v/>
      </c>
      <c r="BB40" t="str">
        <f>""</f>
        <v/>
      </c>
      <c r="BC40" t="str">
        <f>""</f>
        <v/>
      </c>
      <c r="BD40" t="str">
        <f>""</f>
        <v/>
      </c>
      <c r="BE40" t="str">
        <f>""</f>
        <v/>
      </c>
      <c r="BF40" t="str">
        <f>""</f>
        <v/>
      </c>
      <c r="BG40" t="str">
        <f>""</f>
        <v/>
      </c>
      <c r="BH40" t="str">
        <f>""</f>
        <v/>
      </c>
      <c r="BI40" t="str">
        <f>""</f>
        <v/>
      </c>
      <c r="BJ40" t="str">
        <f>""</f>
        <v/>
      </c>
      <c r="BK40" t="str">
        <f>""</f>
        <v/>
      </c>
      <c r="BL40" t="str">
        <f>""</f>
        <v/>
      </c>
      <c r="BM40" t="str">
        <f>""</f>
        <v/>
      </c>
    </row>
    <row r="41" spans="1:65">
      <c r="A41" t="str">
        <f>""</f>
        <v/>
      </c>
      <c r="B41" t="str">
        <f>""</f>
        <v/>
      </c>
      <c r="C41" t="str">
        <f>""</f>
        <v/>
      </c>
      <c r="D41" t="str">
        <f>""</f>
        <v/>
      </c>
      <c r="E41" t="str">
        <f>""</f>
        <v/>
      </c>
      <c r="AJ41" t="str">
        <f>""</f>
        <v/>
      </c>
      <c r="AK41" t="str">
        <f>""</f>
        <v/>
      </c>
      <c r="AL41" t="str">
        <f>""</f>
        <v/>
      </c>
      <c r="AM41" t="str">
        <f>""</f>
        <v/>
      </c>
      <c r="AN41" t="str">
        <f>""</f>
        <v/>
      </c>
      <c r="AO41" t="str">
        <f>""</f>
        <v/>
      </c>
      <c r="AP41" t="str">
        <f>""</f>
        <v/>
      </c>
      <c r="AQ41" t="str">
        <f>""</f>
        <v/>
      </c>
      <c r="AR41" t="str">
        <f>""</f>
        <v/>
      </c>
      <c r="AS41" t="str">
        <f>""</f>
        <v/>
      </c>
      <c r="AT41" t="str">
        <f>""</f>
        <v/>
      </c>
      <c r="AU41" t="str">
        <f>""</f>
        <v/>
      </c>
      <c r="AV41" t="str">
        <f>""</f>
        <v/>
      </c>
      <c r="AW41" t="str">
        <f>""</f>
        <v/>
      </c>
      <c r="AX41" t="str">
        <f>""</f>
        <v/>
      </c>
      <c r="AY41" t="str">
        <f>""</f>
        <v/>
      </c>
      <c r="AZ41" t="str">
        <f>""</f>
        <v/>
      </c>
      <c r="BA41" t="str">
        <f>""</f>
        <v/>
      </c>
      <c r="BB41" t="str">
        <f>""</f>
        <v/>
      </c>
      <c r="BC41" t="str">
        <f>""</f>
        <v/>
      </c>
      <c r="BD41" t="str">
        <f>""</f>
        <v/>
      </c>
      <c r="BE41" t="str">
        <f>""</f>
        <v/>
      </c>
      <c r="BF41" t="str">
        <f>""</f>
        <v/>
      </c>
      <c r="BG41" t="str">
        <f>""</f>
        <v/>
      </c>
      <c r="BH41" t="str">
        <f>""</f>
        <v/>
      </c>
      <c r="BI41" t="str">
        <f>""</f>
        <v/>
      </c>
      <c r="BJ41" t="str">
        <f>""</f>
        <v/>
      </c>
      <c r="BK41" t="str">
        <f>""</f>
        <v/>
      </c>
      <c r="BL41" t="str">
        <f>""</f>
        <v/>
      </c>
      <c r="BM41" t="str">
        <f>""</f>
        <v/>
      </c>
    </row>
    <row r="42" spans="1:65">
      <c r="A42" t="str">
        <f>""</f>
        <v/>
      </c>
      <c r="B42" t="str">
        <f>""</f>
        <v/>
      </c>
      <c r="C42" t="str">
        <f>""</f>
        <v/>
      </c>
      <c r="D42" t="str">
        <f>""</f>
        <v/>
      </c>
      <c r="E42" t="str">
        <f>""</f>
        <v/>
      </c>
      <c r="AJ42" t="str">
        <f>""</f>
        <v/>
      </c>
      <c r="AK42" t="str">
        <f>""</f>
        <v/>
      </c>
      <c r="AL42" t="str">
        <f>""</f>
        <v/>
      </c>
      <c r="AM42" t="str">
        <f>""</f>
        <v/>
      </c>
      <c r="AN42" t="str">
        <f>""</f>
        <v/>
      </c>
      <c r="AO42" t="str">
        <f>""</f>
        <v/>
      </c>
      <c r="AP42" t="str">
        <f>""</f>
        <v/>
      </c>
      <c r="AQ42" t="str">
        <f>""</f>
        <v/>
      </c>
      <c r="AR42" t="str">
        <f>""</f>
        <v/>
      </c>
      <c r="AS42" t="str">
        <f>""</f>
        <v/>
      </c>
      <c r="AT42" t="str">
        <f>""</f>
        <v/>
      </c>
      <c r="AU42" t="str">
        <f>""</f>
        <v/>
      </c>
      <c r="AV42" t="str">
        <f>""</f>
        <v/>
      </c>
      <c r="AW42" t="str">
        <f>""</f>
        <v/>
      </c>
      <c r="AX42" t="str">
        <f>""</f>
        <v/>
      </c>
      <c r="AY42" t="str">
        <f>""</f>
        <v/>
      </c>
      <c r="AZ42" t="str">
        <f>""</f>
        <v/>
      </c>
      <c r="BA42" t="str">
        <f>""</f>
        <v/>
      </c>
      <c r="BB42" t="str">
        <f>""</f>
        <v/>
      </c>
      <c r="BC42" t="str">
        <f>""</f>
        <v/>
      </c>
      <c r="BD42" t="str">
        <f>""</f>
        <v/>
      </c>
      <c r="BE42" t="str">
        <f>""</f>
        <v/>
      </c>
      <c r="BF42" t="str">
        <f>""</f>
        <v/>
      </c>
      <c r="BG42" t="str">
        <f>""</f>
        <v/>
      </c>
      <c r="BH42" t="str">
        <f>""</f>
        <v/>
      </c>
      <c r="BI42" t="str">
        <f>""</f>
        <v/>
      </c>
      <c r="BJ42" t="str">
        <f>""</f>
        <v/>
      </c>
      <c r="BK42" t="str">
        <f>""</f>
        <v/>
      </c>
      <c r="BL42" t="str">
        <f>""</f>
        <v/>
      </c>
      <c r="BM42" t="str">
        <f>""</f>
        <v/>
      </c>
    </row>
    <row r="43" spans="1:65">
      <c r="A43" t="str">
        <f>""</f>
        <v/>
      </c>
      <c r="B43" t="str">
        <f>""</f>
        <v/>
      </c>
      <c r="C43" t="str">
        <f>""</f>
        <v/>
      </c>
      <c r="D43" t="str">
        <f>""</f>
        <v/>
      </c>
      <c r="E43" t="str">
        <f>""</f>
        <v/>
      </c>
      <c r="AJ43" t="str">
        <f>""</f>
        <v/>
      </c>
      <c r="AK43" t="str">
        <f>""</f>
        <v/>
      </c>
      <c r="AL43" t="str">
        <f>""</f>
        <v/>
      </c>
      <c r="AM43" t="str">
        <f>""</f>
        <v/>
      </c>
      <c r="AN43" t="str">
        <f>""</f>
        <v/>
      </c>
      <c r="AO43" t="str">
        <f>""</f>
        <v/>
      </c>
      <c r="AP43" t="str">
        <f>""</f>
        <v/>
      </c>
      <c r="AQ43" t="str">
        <f>""</f>
        <v/>
      </c>
      <c r="AR43" t="str">
        <f>""</f>
        <v/>
      </c>
      <c r="AS43" t="str">
        <f>""</f>
        <v/>
      </c>
      <c r="AT43" t="str">
        <f>""</f>
        <v/>
      </c>
      <c r="AU43" t="str">
        <f>""</f>
        <v/>
      </c>
      <c r="AV43" t="str">
        <f>""</f>
        <v/>
      </c>
      <c r="AW43" t="str">
        <f>""</f>
        <v/>
      </c>
      <c r="AX43" t="str">
        <f>""</f>
        <v/>
      </c>
      <c r="AY43" t="str">
        <f>""</f>
        <v/>
      </c>
      <c r="AZ43" t="str">
        <f>""</f>
        <v/>
      </c>
      <c r="BA43" t="str">
        <f>""</f>
        <v/>
      </c>
      <c r="BB43" t="str">
        <f>""</f>
        <v/>
      </c>
      <c r="BC43" t="str">
        <f>""</f>
        <v/>
      </c>
      <c r="BD43" t="str">
        <f>""</f>
        <v/>
      </c>
      <c r="BE43" t="str">
        <f>""</f>
        <v/>
      </c>
      <c r="BF43" t="str">
        <f>""</f>
        <v/>
      </c>
      <c r="BG43" t="str">
        <f>""</f>
        <v/>
      </c>
      <c r="BH43" t="str">
        <f>""</f>
        <v/>
      </c>
      <c r="BI43" t="str">
        <f>""</f>
        <v/>
      </c>
      <c r="BJ43" t="str">
        <f>""</f>
        <v/>
      </c>
      <c r="BK43" t="str">
        <f>""</f>
        <v/>
      </c>
      <c r="BL43" t="str">
        <f>""</f>
        <v/>
      </c>
      <c r="BM43" t="str">
        <f>""</f>
        <v/>
      </c>
    </row>
    <row r="44" spans="1:65">
      <c r="A44" t="str">
        <f>"~~~~~~~~~~~~~~~~~~~~~"</f>
        <v>~~~~~~~~~~~~~~~~~~~~~</v>
      </c>
      <c r="B44" t="str">
        <f>"~~~~~~~~~~~~~~~~~~~~~"</f>
        <v>~~~~~~~~~~~~~~~~~~~~~</v>
      </c>
      <c r="C44" t="str">
        <f>"~~~~~~~~~~~~~~~~~~~~~"</f>
        <v>~~~~~~~~~~~~~~~~~~~~~</v>
      </c>
      <c r="D44" t="str">
        <f>"~~~~~~~~~~~~~~~~~~~~~"</f>
        <v>~~~~~~~~~~~~~~~~~~~~~</v>
      </c>
      <c r="E44" t="str">
        <f>"~~~~~~~~~~~~~~~~~~~~~"</f>
        <v>~~~~~~~~~~~~~~~~~~~~~</v>
      </c>
      <c r="AJ44" t="str">
        <f>""</f>
        <v/>
      </c>
      <c r="AK44" t="str">
        <f>""</f>
        <v/>
      </c>
      <c r="AL44" t="str">
        <f>""</f>
        <v/>
      </c>
      <c r="AM44" t="str">
        <f>""</f>
        <v/>
      </c>
      <c r="AN44" t="str">
        <f>""</f>
        <v/>
      </c>
      <c r="AO44" t="str">
        <f>""</f>
        <v/>
      </c>
      <c r="AP44" t="str">
        <f>""</f>
        <v/>
      </c>
      <c r="AQ44" t="str">
        <f>""</f>
        <v/>
      </c>
      <c r="AR44" t="str">
        <f>""</f>
        <v/>
      </c>
      <c r="AS44" t="str">
        <f>""</f>
        <v/>
      </c>
      <c r="AT44" t="str">
        <f>""</f>
        <v/>
      </c>
      <c r="AU44" t="str">
        <f>""</f>
        <v/>
      </c>
      <c r="AV44" t="str">
        <f>""</f>
        <v/>
      </c>
      <c r="AW44" t="str">
        <f>""</f>
        <v/>
      </c>
      <c r="AX44" t="str">
        <f>""</f>
        <v/>
      </c>
      <c r="AY44" t="str">
        <f>""</f>
        <v/>
      </c>
      <c r="AZ44" t="str">
        <f>""</f>
        <v/>
      </c>
      <c r="BA44" t="str">
        <f>""</f>
        <v/>
      </c>
      <c r="BB44" t="str">
        <f>""</f>
        <v/>
      </c>
      <c r="BC44" t="str">
        <f>""</f>
        <v/>
      </c>
      <c r="BD44" t="str">
        <f>""</f>
        <v/>
      </c>
      <c r="BE44" t="str">
        <f>""</f>
        <v/>
      </c>
      <c r="BF44" t="str">
        <f>""</f>
        <v/>
      </c>
      <c r="BG44" t="str">
        <f>""</f>
        <v/>
      </c>
      <c r="BH44" t="str">
        <f>""</f>
        <v/>
      </c>
      <c r="BI44" t="str">
        <f>""</f>
        <v/>
      </c>
      <c r="BJ44" t="str">
        <f>""</f>
        <v/>
      </c>
      <c r="BK44" t="str">
        <f>""</f>
        <v/>
      </c>
      <c r="BL44" t="str">
        <f>""</f>
        <v/>
      </c>
      <c r="BM44" t="str">
        <f>""</f>
        <v/>
      </c>
    </row>
    <row r="45" spans="1:65">
      <c r="A45" t="str">
        <f>"Rows below for column date calculation"</f>
        <v>Rows below for column date calculation</v>
      </c>
      <c r="AJ45" t="str">
        <f>""</f>
        <v/>
      </c>
      <c r="AK45" t="str">
        <f>""</f>
        <v/>
      </c>
      <c r="AL45" t="str">
        <f>""</f>
        <v/>
      </c>
      <c r="AM45" t="str">
        <f>""</f>
        <v/>
      </c>
      <c r="AN45" t="str">
        <f>""</f>
        <v/>
      </c>
      <c r="AO45" t="str">
        <f>""</f>
        <v/>
      </c>
      <c r="AP45" t="str">
        <f>""</f>
        <v/>
      </c>
      <c r="AQ45" t="str">
        <f>""</f>
        <v/>
      </c>
      <c r="AR45" t="str">
        <f>""</f>
        <v/>
      </c>
      <c r="AS45" t="str">
        <f>""</f>
        <v/>
      </c>
      <c r="AT45" t="str">
        <f>""</f>
        <v/>
      </c>
      <c r="AU45" t="str">
        <f>""</f>
        <v/>
      </c>
      <c r="AV45" t="str">
        <f>""</f>
        <v/>
      </c>
      <c r="AW45" t="str">
        <f>""</f>
        <v/>
      </c>
      <c r="AX45" t="str">
        <f>""</f>
        <v/>
      </c>
      <c r="AY45" t="str">
        <f>""</f>
        <v/>
      </c>
      <c r="AZ45" t="str">
        <f>""</f>
        <v/>
      </c>
      <c r="BA45" t="str">
        <f>""</f>
        <v/>
      </c>
      <c r="BB45" t="str">
        <f>""</f>
        <v/>
      </c>
      <c r="BC45" t="str">
        <f>""</f>
        <v/>
      </c>
      <c r="BD45" t="str">
        <f>""</f>
        <v/>
      </c>
      <c r="BE45" t="str">
        <f>""</f>
        <v/>
      </c>
      <c r="BF45" t="str">
        <f>""</f>
        <v/>
      </c>
      <c r="BG45" t="str">
        <f>""</f>
        <v/>
      </c>
      <c r="BH45" t="str">
        <f>""</f>
        <v/>
      </c>
      <c r="BI45" t="str">
        <f>""</f>
        <v/>
      </c>
      <c r="BJ45" t="str">
        <f>""</f>
        <v/>
      </c>
      <c r="BK45" t="str">
        <f>""</f>
        <v/>
      </c>
      <c r="BL45" t="str">
        <f>""</f>
        <v/>
      </c>
      <c r="BM45" t="str">
        <f>""</f>
        <v/>
      </c>
    </row>
    <row r="46" spans="1:65">
      <c r="A46" t="str">
        <f>"Downloaded at"</f>
        <v>Downloaded at</v>
      </c>
      <c r="B46">
        <f>DATE(2025, 2,14)</f>
        <v>45702</v>
      </c>
      <c r="C46" t="str">
        <f>""</f>
        <v/>
      </c>
      <c r="D46" t="str">
        <f>""</f>
        <v/>
      </c>
      <c r="E46" t="str">
        <f>""</f>
        <v/>
      </c>
      <c r="AJ46" t="str">
        <f>""</f>
        <v/>
      </c>
      <c r="AK46" t="str">
        <f>""</f>
        <v/>
      </c>
      <c r="AL46" t="str">
        <f>""</f>
        <v/>
      </c>
      <c r="AM46" t="str">
        <f>""</f>
        <v/>
      </c>
      <c r="AN46" t="str">
        <f>""</f>
        <v/>
      </c>
      <c r="AO46" t="str">
        <f>""</f>
        <v/>
      </c>
      <c r="AP46" t="str">
        <f>""</f>
        <v/>
      </c>
      <c r="AQ46" t="str">
        <f>""</f>
        <v/>
      </c>
      <c r="AR46" t="str">
        <f>""</f>
        <v/>
      </c>
      <c r="AS46" t="str">
        <f>""</f>
        <v/>
      </c>
      <c r="AT46" t="str">
        <f>""</f>
        <v/>
      </c>
      <c r="AU46" t="str">
        <f>""</f>
        <v/>
      </c>
      <c r="AV46" t="str">
        <f>""</f>
        <v/>
      </c>
      <c r="AW46" t="str">
        <f>""</f>
        <v/>
      </c>
      <c r="AX46" t="str">
        <f>""</f>
        <v/>
      </c>
      <c r="AY46" t="str">
        <f>""</f>
        <v/>
      </c>
      <c r="AZ46" t="str">
        <f>""</f>
        <v/>
      </c>
      <c r="BA46" t="str">
        <f>""</f>
        <v/>
      </c>
      <c r="BB46" t="str">
        <f>""</f>
        <v/>
      </c>
      <c r="BC46" t="str">
        <f>""</f>
        <v/>
      </c>
      <c r="BD46" t="str">
        <f>""</f>
        <v/>
      </c>
      <c r="BE46" t="str">
        <f>""</f>
        <v/>
      </c>
      <c r="BF46" t="str">
        <f>""</f>
        <v/>
      </c>
      <c r="BG46" t="str">
        <f>""</f>
        <v/>
      </c>
      <c r="BH46" t="str">
        <f>""</f>
        <v/>
      </c>
      <c r="BI46" t="str">
        <f>""</f>
        <v/>
      </c>
      <c r="BJ46" t="str">
        <f>""</f>
        <v/>
      </c>
      <c r="BK46" t="str">
        <f>""</f>
        <v/>
      </c>
      <c r="BL46" t="str">
        <f>""</f>
        <v/>
      </c>
      <c r="BM46" t="str">
        <f>""</f>
        <v/>
      </c>
    </row>
    <row r="47" spans="1:65">
      <c r="A47" t="str">
        <f>"This is End Date"</f>
        <v>This is End Date</v>
      </c>
      <c r="B47">
        <f ca="1">$B$28</f>
        <v>45747</v>
      </c>
      <c r="C47" t="str">
        <f>""</f>
        <v/>
      </c>
      <c r="D47" t="str">
        <f>""</f>
        <v/>
      </c>
      <c r="E47" t="str">
        <f>""</f>
        <v/>
      </c>
      <c r="AJ47" t="str">
        <f>""</f>
        <v/>
      </c>
      <c r="AK47" t="str">
        <f>""</f>
        <v/>
      </c>
      <c r="AL47" t="str">
        <f>""</f>
        <v/>
      </c>
      <c r="AM47" t="str">
        <f>""</f>
        <v/>
      </c>
      <c r="AN47" t="str">
        <f>""</f>
        <v/>
      </c>
      <c r="AO47" t="str">
        <f>""</f>
        <v/>
      </c>
      <c r="AP47" t="str">
        <f>""</f>
        <v/>
      </c>
      <c r="AQ47" t="str">
        <f>""</f>
        <v/>
      </c>
      <c r="AR47" t="str">
        <f>""</f>
        <v/>
      </c>
      <c r="AS47" t="str">
        <f>""</f>
        <v/>
      </c>
      <c r="AT47" t="str">
        <f>""</f>
        <v/>
      </c>
      <c r="AU47" t="str">
        <f>""</f>
        <v/>
      </c>
      <c r="AV47" t="str">
        <f>""</f>
        <v/>
      </c>
      <c r="AW47" t="str">
        <f>""</f>
        <v/>
      </c>
      <c r="AX47" t="str">
        <f>""</f>
        <v/>
      </c>
      <c r="AY47" t="str">
        <f>""</f>
        <v/>
      </c>
      <c r="AZ47" t="str">
        <f>""</f>
        <v/>
      </c>
      <c r="BA47" t="str">
        <f>""</f>
        <v/>
      </c>
      <c r="BB47" t="str">
        <f>""</f>
        <v/>
      </c>
      <c r="BC47" t="str">
        <f>""</f>
        <v/>
      </c>
      <c r="BD47" t="str">
        <f>""</f>
        <v/>
      </c>
      <c r="BE47" t="str">
        <f>""</f>
        <v/>
      </c>
      <c r="BF47" t="str">
        <f>""</f>
        <v/>
      </c>
      <c r="BG47" t="str">
        <f>""</f>
        <v/>
      </c>
      <c r="BH47" t="str">
        <f>""</f>
        <v/>
      </c>
      <c r="BI47" t="str">
        <f>""</f>
        <v/>
      </c>
      <c r="BJ47" t="str">
        <f>""</f>
        <v/>
      </c>
      <c r="BK47" t="str">
        <f>""</f>
        <v/>
      </c>
      <c r="BL47" t="str">
        <f>""</f>
        <v/>
      </c>
      <c r="BM47" t="str">
        <f>""</f>
        <v/>
      </c>
    </row>
    <row r="48" spans="1:65">
      <c r="A48" t="str">
        <f>"Description"</f>
        <v>Description</v>
      </c>
      <c r="B48" t="str">
        <f>"Ticker"</f>
        <v>Ticker</v>
      </c>
      <c r="C48" t="str">
        <f>"Field ID"</f>
        <v>Field ID</v>
      </c>
      <c r="D48" t="str">
        <f>"Field Mnemonic"</f>
        <v>Field Mnemonic</v>
      </c>
      <c r="E48" t="str">
        <f>"Data State"</f>
        <v>Data State</v>
      </c>
      <c r="AJ48" t="str">
        <f>""</f>
        <v/>
      </c>
      <c r="AK48" t="str">
        <f>""</f>
        <v/>
      </c>
      <c r="AL48" t="str">
        <f>""</f>
        <v/>
      </c>
      <c r="AM48" t="str">
        <f>""</f>
        <v/>
      </c>
      <c r="AN48" t="str">
        <f>""</f>
        <v/>
      </c>
      <c r="AO48" t="str">
        <f>""</f>
        <v/>
      </c>
      <c r="AP48" t="str">
        <f>""</f>
        <v/>
      </c>
      <c r="AQ48" t="str">
        <f>""</f>
        <v/>
      </c>
      <c r="AR48" t="str">
        <f>""</f>
        <v/>
      </c>
      <c r="AS48" t="str">
        <f>""</f>
        <v/>
      </c>
      <c r="AT48" t="str">
        <f>""</f>
        <v/>
      </c>
      <c r="AU48" t="str">
        <f>""</f>
        <v/>
      </c>
      <c r="AV48" t="str">
        <f>""</f>
        <v/>
      </c>
      <c r="AW48" t="str">
        <f>""</f>
        <v/>
      </c>
      <c r="AX48" t="str">
        <f>""</f>
        <v/>
      </c>
      <c r="AY48" t="str">
        <f>""</f>
        <v/>
      </c>
      <c r="AZ48" t="str">
        <f>""</f>
        <v/>
      </c>
      <c r="BA48" t="str">
        <f>""</f>
        <v/>
      </c>
      <c r="BB48" t="str">
        <f>""</f>
        <v/>
      </c>
      <c r="BC48" t="str">
        <f>""</f>
        <v/>
      </c>
      <c r="BD48" t="str">
        <f>""</f>
        <v/>
      </c>
      <c r="BE48" t="str">
        <f>""</f>
        <v/>
      </c>
      <c r="BF48" t="str">
        <f>""</f>
        <v/>
      </c>
      <c r="BG48" t="str">
        <f>""</f>
        <v/>
      </c>
      <c r="BH48" t="str">
        <f>""</f>
        <v/>
      </c>
      <c r="BI48" t="str">
        <f>""</f>
        <v/>
      </c>
      <c r="BJ48" t="str">
        <f>""</f>
        <v/>
      </c>
      <c r="BK48" t="str">
        <f>""</f>
        <v/>
      </c>
      <c r="BL48" t="str">
        <f>""</f>
        <v/>
      </c>
      <c r="BM48" t="str">
        <f>""</f>
        <v/>
      </c>
    </row>
    <row r="49" spans="1:65">
      <c r="A49" t="str">
        <f>"Snapshot Date"</f>
        <v>Snapshot Date</v>
      </c>
      <c r="B49">
        <f>DATE(2025, 2,28)</f>
        <v>45716</v>
      </c>
      <c r="C49" t="str">
        <f>""</f>
        <v/>
      </c>
      <c r="D49" t="str">
        <f>""</f>
        <v/>
      </c>
      <c r="E49" t="str">
        <f>""</f>
        <v/>
      </c>
      <c r="AJ49" t="str">
        <f>""</f>
        <v/>
      </c>
      <c r="AK49" t="str">
        <f>""</f>
        <v/>
      </c>
      <c r="AL49" t="str">
        <f>""</f>
        <v/>
      </c>
      <c r="AM49" t="str">
        <f>""</f>
        <v/>
      </c>
      <c r="AN49" t="str">
        <f>""</f>
        <v/>
      </c>
      <c r="AO49" t="str">
        <f>""</f>
        <v/>
      </c>
      <c r="AP49" t="str">
        <f>""</f>
        <v/>
      </c>
      <c r="AQ49" t="str">
        <f>""</f>
        <v/>
      </c>
      <c r="AR49" t="str">
        <f>""</f>
        <v/>
      </c>
      <c r="AS49" t="str">
        <f>""</f>
        <v/>
      </c>
      <c r="AT49" t="str">
        <f>""</f>
        <v/>
      </c>
      <c r="AU49" t="str">
        <f>""</f>
        <v/>
      </c>
      <c r="AV49" t="str">
        <f>""</f>
        <v/>
      </c>
      <c r="AW49" t="str">
        <f>""</f>
        <v/>
      </c>
      <c r="AX49" t="str">
        <f>""</f>
        <v/>
      </c>
      <c r="AY49" t="str">
        <f>""</f>
        <v/>
      </c>
      <c r="AZ49" t="str">
        <f>""</f>
        <v/>
      </c>
      <c r="BA49" t="str">
        <f>""</f>
        <v/>
      </c>
      <c r="BB49" t="str">
        <f>""</f>
        <v/>
      </c>
      <c r="BC49" t="str">
        <f>""</f>
        <v/>
      </c>
      <c r="BD49" t="str">
        <f>""</f>
        <v/>
      </c>
      <c r="BE49" t="str">
        <f>""</f>
        <v/>
      </c>
      <c r="BF49" t="str">
        <f>""</f>
        <v/>
      </c>
      <c r="BG49" t="str">
        <f>""</f>
        <v/>
      </c>
      <c r="BH49" t="str">
        <f>""</f>
        <v/>
      </c>
      <c r="BI49" t="str">
        <f>""</f>
        <v/>
      </c>
      <c r="BJ49" t="str">
        <f>""</f>
        <v/>
      </c>
      <c r="BK49" t="str">
        <f>""</f>
        <v/>
      </c>
      <c r="BL49" t="str">
        <f>""</f>
        <v/>
      </c>
      <c r="BM49" t="str">
        <f>""</f>
        <v/>
      </c>
    </row>
    <row r="50" spans="1:65">
      <c r="A50" t="str">
        <f>"Snapshot header"</f>
        <v>Snapshot header</v>
      </c>
      <c r="B50">
        <f>2</f>
        <v>2</v>
      </c>
      <c r="C50" t="str">
        <f>"2/2025"</f>
        <v>2/2025</v>
      </c>
      <c r="D50" t="str">
        <f>"1/2025"</f>
        <v>1/2025</v>
      </c>
      <c r="E50" t="str">
        <f>"12/2024"</f>
        <v>12/2024</v>
      </c>
      <c r="F50" t="str">
        <f>"11/2024"</f>
        <v>11/2024</v>
      </c>
      <c r="G50" t="str">
        <f>"10/2024"</f>
        <v>10/2024</v>
      </c>
      <c r="H50" t="str">
        <f>"9/2024"</f>
        <v>9/2024</v>
      </c>
      <c r="I50" t="str">
        <f>"8/2024"</f>
        <v>8/2024</v>
      </c>
      <c r="J50" t="str">
        <f>"7/2024"</f>
        <v>7/2024</v>
      </c>
      <c r="K50" t="str">
        <f>"6/2024"</f>
        <v>6/2024</v>
      </c>
      <c r="L50" t="str">
        <f>"5/2024"</f>
        <v>5/2024</v>
      </c>
      <c r="M50" t="str">
        <f>"4/2024"</f>
        <v>4/2024</v>
      </c>
      <c r="N50" t="str">
        <f>"3/2024"</f>
        <v>3/2024</v>
      </c>
      <c r="O50" t="str">
        <f>"2/2024"</f>
        <v>2/2024</v>
      </c>
      <c r="P50" t="str">
        <f>"1/2024"</f>
        <v>1/2024</v>
      </c>
      <c r="Q50" t="str">
        <f>"12/2023"</f>
        <v>12/2023</v>
      </c>
      <c r="R50" t="str">
        <f>"11/2023"</f>
        <v>11/2023</v>
      </c>
      <c r="S50" t="str">
        <f>"10/2023"</f>
        <v>10/2023</v>
      </c>
      <c r="T50" t="str">
        <f>"9/2023"</f>
        <v>9/2023</v>
      </c>
      <c r="U50" t="str">
        <f>"8/2023"</f>
        <v>8/2023</v>
      </c>
      <c r="V50" t="str">
        <f>"7/2023"</f>
        <v>7/2023</v>
      </c>
      <c r="W50" t="str">
        <f>"6/2023"</f>
        <v>6/2023</v>
      </c>
      <c r="X50" t="str">
        <f>"5/2023"</f>
        <v>5/2023</v>
      </c>
      <c r="Y50" t="str">
        <f>"4/2023"</f>
        <v>4/2023</v>
      </c>
      <c r="Z50" t="str">
        <f>"3/2023"</f>
        <v>3/2023</v>
      </c>
      <c r="AA50" t="str">
        <f>"2/2023"</f>
        <v>2/2023</v>
      </c>
      <c r="AB50" t="str">
        <f>"1/2023"</f>
        <v>1/2023</v>
      </c>
      <c r="AC50" t="str">
        <f>"12/2022"</f>
        <v>12/2022</v>
      </c>
      <c r="AD50" t="str">
        <f>"11/2022"</f>
        <v>11/2022</v>
      </c>
      <c r="AE50" t="str">
        <f>"10/2022"</f>
        <v>10/2022</v>
      </c>
      <c r="AF50" t="str">
        <f>"9/2022"</f>
        <v>9/2022</v>
      </c>
      <c r="AJ50" t="str">
        <f>""</f>
        <v/>
      </c>
      <c r="AK50" t="str">
        <f>""</f>
        <v/>
      </c>
      <c r="AL50" t="str">
        <f>""</f>
        <v/>
      </c>
      <c r="AM50" t="str">
        <f>""</f>
        <v/>
      </c>
      <c r="AN50" t="str">
        <f>""</f>
        <v/>
      </c>
      <c r="AO50" t="str">
        <f>""</f>
        <v/>
      </c>
      <c r="AP50" t="str">
        <f>""</f>
        <v/>
      </c>
      <c r="AQ50" t="str">
        <f>""</f>
        <v/>
      </c>
      <c r="AR50" t="str">
        <f>""</f>
        <v/>
      </c>
      <c r="AS50" t="str">
        <f>""</f>
        <v/>
      </c>
      <c r="AT50" t="str">
        <f>""</f>
        <v/>
      </c>
      <c r="AU50" t="str">
        <f>""</f>
        <v/>
      </c>
      <c r="AV50" t="str">
        <f>""</f>
        <v/>
      </c>
      <c r="AW50" t="str">
        <f>""</f>
        <v/>
      </c>
      <c r="AX50" t="str">
        <f>""</f>
        <v/>
      </c>
      <c r="AY50" t="str">
        <f>""</f>
        <v/>
      </c>
      <c r="AZ50" t="str">
        <f>""</f>
        <v/>
      </c>
      <c r="BA50" t="str">
        <f>""</f>
        <v/>
      </c>
      <c r="BB50" t="str">
        <f>""</f>
        <v/>
      </c>
      <c r="BC50" t="str">
        <f>""</f>
        <v/>
      </c>
      <c r="BD50" t="str">
        <f>""</f>
        <v/>
      </c>
      <c r="BE50" t="str">
        <f>""</f>
        <v/>
      </c>
      <c r="BF50" t="str">
        <f>""</f>
        <v/>
      </c>
      <c r="BG50" t="str">
        <f>""</f>
        <v/>
      </c>
      <c r="BH50" t="str">
        <f>""</f>
        <v/>
      </c>
      <c r="BI50" t="str">
        <f>""</f>
        <v/>
      </c>
      <c r="BJ50" t="str">
        <f>""</f>
        <v/>
      </c>
      <c r="BK50" t="str">
        <f>""</f>
        <v/>
      </c>
      <c r="BL50" t="str">
        <f>""</f>
        <v/>
      </c>
      <c r="BM50" t="str">
        <f>""</f>
        <v/>
      </c>
    </row>
    <row r="51" spans="1:65">
      <c r="A51" t="str">
        <f>"BDH snapshot header0"</f>
        <v>BDH snapshot header0</v>
      </c>
      <c r="B51">
        <f>IF(OR(ISERROR($C$51),ISBLANK($C$51),ISNUMBER(SEARCH("N/A",$C$51) ),ISERROR($C$52),ISBLANK($C$52)),0,1)</f>
        <v>0</v>
      </c>
      <c r="C51" t="str">
        <f>_xll.BDH($B$4,$C$4,$B$27,$B$49,"PER=CM","Dts=S","DtFmt=FI", "rows=2","Dir=H","Points=30","Sort=R","Days=A","Fill=B", )</f>
        <v>#N/A Invalid Parameter: Invalid override field id specified</v>
      </c>
      <c r="AJ51" t="str">
        <f>""</f>
        <v/>
      </c>
      <c r="AK51" t="str">
        <f>""</f>
        <v/>
      </c>
      <c r="AL51" t="str">
        <f>""</f>
        <v/>
      </c>
      <c r="AM51" t="str">
        <f>""</f>
        <v/>
      </c>
      <c r="AN51" t="str">
        <f>""</f>
        <v/>
      </c>
      <c r="AO51" t="str">
        <f>""</f>
        <v/>
      </c>
      <c r="AP51" t="str">
        <f>""</f>
        <v/>
      </c>
      <c r="AQ51" t="str">
        <f>""</f>
        <v/>
      </c>
      <c r="AR51" t="str">
        <f>""</f>
        <v/>
      </c>
      <c r="AS51" t="str">
        <f>""</f>
        <v/>
      </c>
      <c r="AT51" t="str">
        <f>""</f>
        <v/>
      </c>
      <c r="AU51" t="str">
        <f>""</f>
        <v/>
      </c>
      <c r="AV51" t="str">
        <f>""</f>
        <v/>
      </c>
      <c r="AW51" t="str">
        <f>""</f>
        <v/>
      </c>
      <c r="AX51" t="str">
        <f>""</f>
        <v/>
      </c>
      <c r="AY51" t="str">
        <f>""</f>
        <v/>
      </c>
      <c r="AZ51" t="str">
        <f>""</f>
        <v/>
      </c>
      <c r="BA51" t="str">
        <f>""</f>
        <v/>
      </c>
      <c r="BB51" t="str">
        <f>""</f>
        <v/>
      </c>
      <c r="BC51" t="str">
        <f>""</f>
        <v/>
      </c>
      <c r="BD51" t="str">
        <f>""</f>
        <v/>
      </c>
      <c r="BE51" t="str">
        <f>""</f>
        <v/>
      </c>
      <c r="BF51" t="str">
        <f>""</f>
        <v/>
      </c>
      <c r="BG51" t="str">
        <f>""</f>
        <v/>
      </c>
      <c r="BH51" t="str">
        <f>""</f>
        <v/>
      </c>
      <c r="BI51" t="str">
        <f>""</f>
        <v/>
      </c>
      <c r="BJ51" t="str">
        <f>""</f>
        <v/>
      </c>
      <c r="BK51" t="str">
        <f>""</f>
        <v/>
      </c>
      <c r="BL51" t="str">
        <f>""</f>
        <v/>
      </c>
      <c r="BM51" t="str">
        <f>""</f>
        <v/>
      </c>
    </row>
    <row r="52" spans="1:65">
      <c r="A52" t="str">
        <f>"BDH snapshot result0"</f>
        <v>BDH snapshot result0</v>
      </c>
      <c r="AJ52" t="str">
        <f>""</f>
        <v/>
      </c>
      <c r="AK52" t="str">
        <f>""</f>
        <v/>
      </c>
      <c r="AL52" t="str">
        <f>""</f>
        <v/>
      </c>
      <c r="AM52" t="str">
        <f>""</f>
        <v/>
      </c>
      <c r="AN52" t="str">
        <f>""</f>
        <v/>
      </c>
      <c r="AO52" t="str">
        <f>""</f>
        <v/>
      </c>
      <c r="AP52" t="str">
        <f>""</f>
        <v/>
      </c>
      <c r="AQ52" t="str">
        <f>""</f>
        <v/>
      </c>
      <c r="AR52" t="str">
        <f>""</f>
        <v/>
      </c>
      <c r="AS52" t="str">
        <f>""</f>
        <v/>
      </c>
      <c r="AT52" t="str">
        <f>""</f>
        <v/>
      </c>
      <c r="AU52" t="str">
        <f>""</f>
        <v/>
      </c>
      <c r="AV52" t="str">
        <f>""</f>
        <v/>
      </c>
      <c r="AW52" t="str">
        <f>""</f>
        <v/>
      </c>
      <c r="AX52" t="str">
        <f>""</f>
        <v/>
      </c>
      <c r="AY52" t="str">
        <f>""</f>
        <v/>
      </c>
      <c r="AZ52" t="str">
        <f>""</f>
        <v/>
      </c>
      <c r="BA52" t="str">
        <f>""</f>
        <v/>
      </c>
      <c r="BB52" t="str">
        <f>""</f>
        <v/>
      </c>
      <c r="BC52" t="str">
        <f>""</f>
        <v/>
      </c>
      <c r="BD52" t="str">
        <f>""</f>
        <v/>
      </c>
      <c r="BE52" t="str">
        <f>""</f>
        <v/>
      </c>
      <c r="BF52" t="str">
        <f>""</f>
        <v/>
      </c>
      <c r="BG52" t="str">
        <f>""</f>
        <v/>
      </c>
      <c r="BH52" t="str">
        <f>""</f>
        <v/>
      </c>
      <c r="BI52" t="str">
        <f>""</f>
        <v/>
      </c>
      <c r="BJ52" t="str">
        <f>""</f>
        <v/>
      </c>
      <c r="BK52" t="str">
        <f>""</f>
        <v/>
      </c>
      <c r="BL52" t="str">
        <f>""</f>
        <v/>
      </c>
      <c r="BM52" t="str">
        <f>""</f>
        <v/>
      </c>
    </row>
    <row r="53" spans="1:65">
      <c r="A53" t="str">
        <f>"BDH snapshot header1"</f>
        <v>BDH snapshot header1</v>
      </c>
      <c r="B53">
        <f>IF(OR(ISERROR($C$53),ISBLANK($C$53),ISNUMBER(SEARCH("N/A",$C$53) ),ISERROR($C$54),ISBLANK($C$54)),0,1)</f>
        <v>0</v>
      </c>
      <c r="C53" t="str">
        <f>_xll.BDH($B$7,$C$7,$B$27,$B$49,"PER=CM","Dts=S","DtFmt=FI", "rows=2","Dir=H","Points=30","Sort=R","Days=A","Fill=B", )</f>
        <v>#N/A Invalid Parameter: Invalid override field id specified</v>
      </c>
      <c r="AJ53" t="str">
        <f>""</f>
        <v/>
      </c>
      <c r="AK53" t="str">
        <f>""</f>
        <v/>
      </c>
      <c r="AL53" t="str">
        <f>""</f>
        <v/>
      </c>
      <c r="AM53" t="str">
        <f>""</f>
        <v/>
      </c>
      <c r="AN53" t="str">
        <f>""</f>
        <v/>
      </c>
      <c r="AO53" t="str">
        <f>""</f>
        <v/>
      </c>
      <c r="AP53" t="str">
        <f>""</f>
        <v/>
      </c>
      <c r="AQ53" t="str">
        <f>""</f>
        <v/>
      </c>
      <c r="AR53" t="str">
        <f>""</f>
        <v/>
      </c>
      <c r="AS53" t="str">
        <f>""</f>
        <v/>
      </c>
      <c r="AT53" t="str">
        <f>""</f>
        <v/>
      </c>
      <c r="AU53" t="str">
        <f>""</f>
        <v/>
      </c>
      <c r="AV53" t="str">
        <f>""</f>
        <v/>
      </c>
      <c r="AW53" t="str">
        <f>""</f>
        <v/>
      </c>
      <c r="AX53" t="str">
        <f>""</f>
        <v/>
      </c>
      <c r="AY53" t="str">
        <f>""</f>
        <v/>
      </c>
      <c r="AZ53" t="str">
        <f>""</f>
        <v/>
      </c>
      <c r="BA53" t="str">
        <f>""</f>
        <v/>
      </c>
      <c r="BB53" t="str">
        <f>""</f>
        <v/>
      </c>
      <c r="BC53" t="str">
        <f>""</f>
        <v/>
      </c>
      <c r="BD53" t="str">
        <f>""</f>
        <v/>
      </c>
      <c r="BE53" t="str">
        <f>""</f>
        <v/>
      </c>
      <c r="BF53" t="str">
        <f>""</f>
        <v/>
      </c>
      <c r="BG53" t="str">
        <f>""</f>
        <v/>
      </c>
      <c r="BH53" t="str">
        <f>""</f>
        <v/>
      </c>
      <c r="BI53" t="str">
        <f>""</f>
        <v/>
      </c>
      <c r="BJ53" t="str">
        <f>""</f>
        <v/>
      </c>
      <c r="BK53" t="str">
        <f>""</f>
        <v/>
      </c>
      <c r="BL53" t="str">
        <f>""</f>
        <v/>
      </c>
      <c r="BM53" t="str">
        <f>""</f>
        <v/>
      </c>
    </row>
    <row r="54" spans="1:65">
      <c r="A54" t="str">
        <f>"BDH snapshot result1"</f>
        <v>BDH snapshot result1</v>
      </c>
      <c r="AJ54" t="str">
        <f>""</f>
        <v/>
      </c>
      <c r="AK54" t="str">
        <f>""</f>
        <v/>
      </c>
      <c r="AL54" t="str">
        <f>""</f>
        <v/>
      </c>
      <c r="AM54" t="str">
        <f>""</f>
        <v/>
      </c>
      <c r="AN54" t="str">
        <f>""</f>
        <v/>
      </c>
      <c r="AO54" t="str">
        <f>""</f>
        <v/>
      </c>
      <c r="AP54" t="str">
        <f>""</f>
        <v/>
      </c>
      <c r="AQ54" t="str">
        <f>""</f>
        <v/>
      </c>
      <c r="AR54" t="str">
        <f>""</f>
        <v/>
      </c>
      <c r="AS54" t="str">
        <f>""</f>
        <v/>
      </c>
      <c r="AT54" t="str">
        <f>""</f>
        <v/>
      </c>
      <c r="AU54" t="str">
        <f>""</f>
        <v/>
      </c>
      <c r="AV54" t="str">
        <f>""</f>
        <v/>
      </c>
      <c r="AW54" t="str">
        <f>""</f>
        <v/>
      </c>
      <c r="AX54" t="str">
        <f>""</f>
        <v/>
      </c>
      <c r="AY54" t="str">
        <f>""</f>
        <v/>
      </c>
      <c r="AZ54" t="str">
        <f>""</f>
        <v/>
      </c>
      <c r="BA54" t="str">
        <f>""</f>
        <v/>
      </c>
      <c r="BB54" t="str">
        <f>""</f>
        <v/>
      </c>
      <c r="BC54" t="str">
        <f>""</f>
        <v/>
      </c>
      <c r="BD54" t="str">
        <f>""</f>
        <v/>
      </c>
      <c r="BE54" t="str">
        <f>""</f>
        <v/>
      </c>
      <c r="BF54" t="str">
        <f>""</f>
        <v/>
      </c>
      <c r="BG54" t="str">
        <f>""</f>
        <v/>
      </c>
      <c r="BH54" t="str">
        <f>""</f>
        <v/>
      </c>
      <c r="BI54" t="str">
        <f>""</f>
        <v/>
      </c>
      <c r="BJ54" t="str">
        <f>""</f>
        <v/>
      </c>
      <c r="BK54" t="str">
        <f>""</f>
        <v/>
      </c>
      <c r="BL54" t="str">
        <f>""</f>
        <v/>
      </c>
      <c r="BM54" t="str">
        <f>""</f>
        <v/>
      </c>
    </row>
    <row r="55" spans="1:65">
      <c r="A55" t="str">
        <f>"BDH snapshot header2"</f>
        <v>BDH snapshot header2</v>
      </c>
      <c r="B55">
        <f>IF(OR(ISERROR($C$55),ISBLANK($C$55),ISNUMBER(SEARCH("N/A",$C$55) ),ISERROR($C$56),ISBLANK($C$56)),0,1)</f>
        <v>0</v>
      </c>
      <c r="C55" t="str">
        <f>_xll.BDH($B$8,$C$8,$B$27,$B$49,"PER=CM","Dts=S","DtFmt=FI", "rows=2","Dir=H","Points=30","Sort=R","Days=A","Fill=B", )</f>
        <v>#N/A Invalid Parameter: Invalid override field id specified</v>
      </c>
      <c r="AJ55" t="str">
        <f>""</f>
        <v/>
      </c>
      <c r="AK55" t="str">
        <f>""</f>
        <v/>
      </c>
      <c r="AL55" t="str">
        <f>""</f>
        <v/>
      </c>
      <c r="AM55" t="str">
        <f>""</f>
        <v/>
      </c>
      <c r="AN55" t="str">
        <f>""</f>
        <v/>
      </c>
      <c r="AO55" t="str">
        <f>""</f>
        <v/>
      </c>
      <c r="AP55" t="str">
        <f>""</f>
        <v/>
      </c>
      <c r="AQ55" t="str">
        <f>""</f>
        <v/>
      </c>
      <c r="AR55" t="str">
        <f>""</f>
        <v/>
      </c>
      <c r="AS55" t="str">
        <f>""</f>
        <v/>
      </c>
      <c r="AT55" t="str">
        <f>""</f>
        <v/>
      </c>
      <c r="AU55" t="str">
        <f>""</f>
        <v/>
      </c>
      <c r="AV55" t="str">
        <f>""</f>
        <v/>
      </c>
      <c r="AW55" t="str">
        <f>""</f>
        <v/>
      </c>
      <c r="AX55" t="str">
        <f>""</f>
        <v/>
      </c>
      <c r="AY55" t="str">
        <f>""</f>
        <v/>
      </c>
      <c r="AZ55" t="str">
        <f>""</f>
        <v/>
      </c>
      <c r="BA55" t="str">
        <f>""</f>
        <v/>
      </c>
      <c r="BB55" t="str">
        <f>""</f>
        <v/>
      </c>
      <c r="BC55" t="str">
        <f>""</f>
        <v/>
      </c>
      <c r="BD55" t="str">
        <f>""</f>
        <v/>
      </c>
      <c r="BE55" t="str">
        <f>""</f>
        <v/>
      </c>
      <c r="BF55" t="str">
        <f>""</f>
        <v/>
      </c>
      <c r="BG55" t="str">
        <f>""</f>
        <v/>
      </c>
      <c r="BH55" t="str">
        <f>""</f>
        <v/>
      </c>
      <c r="BI55" t="str">
        <f>""</f>
        <v/>
      </c>
      <c r="BJ55" t="str">
        <f>""</f>
        <v/>
      </c>
      <c r="BK55" t="str">
        <f>""</f>
        <v/>
      </c>
      <c r="BL55" t="str">
        <f>""</f>
        <v/>
      </c>
      <c r="BM55" t="str">
        <f>""</f>
        <v/>
      </c>
    </row>
    <row r="56" spans="1:65">
      <c r="A56" t="str">
        <f>"BDH snapshot result2"</f>
        <v>BDH snapshot result2</v>
      </c>
      <c r="AJ56" t="str">
        <f>""</f>
        <v/>
      </c>
      <c r="AK56" t="str">
        <f>""</f>
        <v/>
      </c>
      <c r="AL56" t="str">
        <f>""</f>
        <v/>
      </c>
      <c r="AM56" t="str">
        <f>""</f>
        <v/>
      </c>
      <c r="AN56" t="str">
        <f>""</f>
        <v/>
      </c>
      <c r="AO56" t="str">
        <f>""</f>
        <v/>
      </c>
      <c r="AP56" t="str">
        <f>""</f>
        <v/>
      </c>
      <c r="AQ56" t="str">
        <f>""</f>
        <v/>
      </c>
      <c r="AR56" t="str">
        <f>""</f>
        <v/>
      </c>
      <c r="AS56" t="str">
        <f>""</f>
        <v/>
      </c>
      <c r="AT56" t="str">
        <f>""</f>
        <v/>
      </c>
      <c r="AU56" t="str">
        <f>""</f>
        <v/>
      </c>
      <c r="AV56" t="str">
        <f>""</f>
        <v/>
      </c>
      <c r="AW56" t="str">
        <f>""</f>
        <v/>
      </c>
      <c r="AX56" t="str">
        <f>""</f>
        <v/>
      </c>
      <c r="AY56" t="str">
        <f>""</f>
        <v/>
      </c>
      <c r="AZ56" t="str">
        <f>""</f>
        <v/>
      </c>
      <c r="BA56" t="str">
        <f>""</f>
        <v/>
      </c>
      <c r="BB56" t="str">
        <f>""</f>
        <v/>
      </c>
      <c r="BC56" t="str">
        <f>""</f>
        <v/>
      </c>
      <c r="BD56" t="str">
        <f>""</f>
        <v/>
      </c>
      <c r="BE56" t="str">
        <f>""</f>
        <v/>
      </c>
      <c r="BF56" t="str">
        <f>""</f>
        <v/>
      </c>
      <c r="BG56" t="str">
        <f>""</f>
        <v/>
      </c>
      <c r="BH56" t="str">
        <f>""</f>
        <v/>
      </c>
      <c r="BI56" t="str">
        <f>""</f>
        <v/>
      </c>
      <c r="BJ56" t="str">
        <f>""</f>
        <v/>
      </c>
      <c r="BK56" t="str">
        <f>""</f>
        <v/>
      </c>
      <c r="BL56" t="str">
        <f>""</f>
        <v/>
      </c>
      <c r="BM56" t="str">
        <f>""</f>
        <v/>
      </c>
    </row>
    <row r="57" spans="1:65">
      <c r="A57" t="str">
        <f>"BDH snapshot"</f>
        <v>BDH snapshot</v>
      </c>
      <c r="B57">
        <f>IF($B$51&gt;=1,$B$51,IF($B$53&gt;=1,$B$53,IF($B$55&gt;=1,$B$55,$B$50)))</f>
        <v>2</v>
      </c>
      <c r="C57" t="str">
        <f>IF($B$51&gt;=1,$C$51,IF($B$53&gt;=1,$C$53,IF($B$55&gt;=1,$C$55,$C$50)))</f>
        <v>2/2025</v>
      </c>
      <c r="D57" t="str">
        <f>IF($B$51&gt;=1,$D$51,IF($B$53&gt;=1,$D$53,IF($B$55&gt;=1,$D$55,$D$50)))</f>
        <v>1/2025</v>
      </c>
      <c r="E57" t="str">
        <f>IF($B$51&gt;=1,$E$51,IF($B$53&gt;=1,$E$53,IF($B$55&gt;=1,$E$55,$E$50)))</f>
        <v>12/2024</v>
      </c>
      <c r="F57" t="str">
        <f>IF($B$51&gt;=1,$F$51,IF($B$53&gt;=1,$F$53,IF($B$55&gt;=1,$F$55,$F$50)))</f>
        <v>11/2024</v>
      </c>
      <c r="G57" t="str">
        <f>IF($B$51&gt;=1,$G$51,IF($B$53&gt;=1,$G$53,IF($B$55&gt;=1,$G$55,$G$50)))</f>
        <v>10/2024</v>
      </c>
      <c r="H57" t="str">
        <f>IF($B$51&gt;=1,$H$51,IF($B$53&gt;=1,$H$53,IF($B$55&gt;=1,$H$55,$H$50)))</f>
        <v>9/2024</v>
      </c>
      <c r="I57" t="str">
        <f>IF($B$51&gt;=1,$I$51,IF($B$53&gt;=1,$I$53,IF($B$55&gt;=1,$I$55,$I$50)))</f>
        <v>8/2024</v>
      </c>
      <c r="J57" t="str">
        <f>IF($B$51&gt;=1,$J$51,IF($B$53&gt;=1,$J$53,IF($B$55&gt;=1,$J$55,$J$50)))</f>
        <v>7/2024</v>
      </c>
      <c r="K57" t="str">
        <f>IF($B$51&gt;=1,$K$51,IF($B$53&gt;=1,$K$53,IF($B$55&gt;=1,$K$55,$K$50)))</f>
        <v>6/2024</v>
      </c>
      <c r="L57" t="str">
        <f>IF($B$51&gt;=1,$L$51,IF($B$53&gt;=1,$L$53,IF($B$55&gt;=1,$L$55,$L$50)))</f>
        <v>5/2024</v>
      </c>
      <c r="M57" t="str">
        <f>IF($B$51&gt;=1,$M$51,IF($B$53&gt;=1,$M$53,IF($B$55&gt;=1,$M$55,$M$50)))</f>
        <v>4/2024</v>
      </c>
      <c r="N57" t="str">
        <f>IF($B$51&gt;=1,$N$51,IF($B$53&gt;=1,$N$53,IF($B$55&gt;=1,$N$55,$N$50)))</f>
        <v>3/2024</v>
      </c>
      <c r="O57" t="str">
        <f>IF($B$51&gt;=1,$O$51,IF($B$53&gt;=1,$O$53,IF($B$55&gt;=1,$O$55,$O$50)))</f>
        <v>2/2024</v>
      </c>
      <c r="P57" t="str">
        <f>IF($B$51&gt;=1,$P$51,IF($B$53&gt;=1,$P$53,IF($B$55&gt;=1,$P$55,$P$50)))</f>
        <v>1/2024</v>
      </c>
      <c r="Q57" t="str">
        <f>IF($B$51&gt;=1,$Q$51,IF($B$53&gt;=1,$Q$53,IF($B$55&gt;=1,$Q$55,$Q$50)))</f>
        <v>12/2023</v>
      </c>
      <c r="R57" t="str">
        <f>IF($B$51&gt;=1,$R$51,IF($B$53&gt;=1,$R$53,IF($B$55&gt;=1,$R$55,$R$50)))</f>
        <v>11/2023</v>
      </c>
      <c r="S57" t="str">
        <f>IF($B$51&gt;=1,$S$51,IF($B$53&gt;=1,$S$53,IF($B$55&gt;=1,$S$55,$S$50)))</f>
        <v>10/2023</v>
      </c>
      <c r="T57" t="str">
        <f>IF($B$51&gt;=1,$T$51,IF($B$53&gt;=1,$T$53,IF($B$55&gt;=1,$T$55,$T$50)))</f>
        <v>9/2023</v>
      </c>
      <c r="U57" t="str">
        <f>IF($B$51&gt;=1,$U$51,IF($B$53&gt;=1,$U$53,IF($B$55&gt;=1,$U$55,$U$50)))</f>
        <v>8/2023</v>
      </c>
      <c r="V57" t="str">
        <f>IF($B$51&gt;=1,$V$51,IF($B$53&gt;=1,$V$53,IF($B$55&gt;=1,$V$55,$V$50)))</f>
        <v>7/2023</v>
      </c>
      <c r="W57" t="str">
        <f>IF($B$51&gt;=1,$W$51,IF($B$53&gt;=1,$W$53,IF($B$55&gt;=1,$W$55,$W$50)))</f>
        <v>6/2023</v>
      </c>
      <c r="X57" t="str">
        <f>IF($B$51&gt;=1,$X$51,IF($B$53&gt;=1,$X$53,IF($B$55&gt;=1,$X$55,$X$50)))</f>
        <v>5/2023</v>
      </c>
      <c r="Y57" t="str">
        <f>IF($B$51&gt;=1,$Y$51,IF($B$53&gt;=1,$Y$53,IF($B$55&gt;=1,$Y$55,$Y$50)))</f>
        <v>4/2023</v>
      </c>
      <c r="Z57" t="str">
        <f>IF($B$51&gt;=1,$Z$51,IF($B$53&gt;=1,$Z$53,IF($B$55&gt;=1,$Z$55,$Z$50)))</f>
        <v>3/2023</v>
      </c>
      <c r="AA57" t="str">
        <f>IF($B$51&gt;=1,$AA$51,IF($B$53&gt;=1,$AA$53,IF($B$55&gt;=1,$AA$55,$AA$50)))</f>
        <v>2/2023</v>
      </c>
      <c r="AB57" t="str">
        <f>IF($B$51&gt;=1,$AB$51,IF($B$53&gt;=1,$AB$53,IF($B$55&gt;=1,$AB$55,$AB$50)))</f>
        <v>1/2023</v>
      </c>
      <c r="AC57" t="str">
        <f>IF($B$51&gt;=1,$AC$51,IF($B$53&gt;=1,$AC$53,IF($B$55&gt;=1,$AC$55,$AC$50)))</f>
        <v>12/2022</v>
      </c>
      <c r="AD57" t="str">
        <f>IF($B$51&gt;=1,$AD$51,IF($B$53&gt;=1,$AD$53,IF($B$55&gt;=1,$AD$55,$AD$50)))</f>
        <v>11/2022</v>
      </c>
      <c r="AE57" t="str">
        <f>IF($B$51&gt;=1,$AE$51,IF($B$53&gt;=1,$AE$53,IF($B$55&gt;=1,$AE$55,$AE$50)))</f>
        <v>10/2022</v>
      </c>
      <c r="AF57" t="str">
        <f>IF($B$51&gt;=1,$AF$51,IF($B$53&gt;=1,$AF$53,IF($B$55&gt;=1,$AF$55,$AF$50)))</f>
        <v>9/2022</v>
      </c>
      <c r="AJ57" t="str">
        <f>""</f>
        <v/>
      </c>
      <c r="AK57" t="str">
        <f>""</f>
        <v/>
      </c>
      <c r="AL57" t="str">
        <f>""</f>
        <v/>
      </c>
      <c r="AM57" t="str">
        <f>""</f>
        <v/>
      </c>
      <c r="AN57" t="str">
        <f>""</f>
        <v/>
      </c>
      <c r="AO57" t="str">
        <f>""</f>
        <v/>
      </c>
      <c r="AP57" t="str">
        <f>""</f>
        <v/>
      </c>
      <c r="AQ57" t="str">
        <f>""</f>
        <v/>
      </c>
      <c r="AR57" t="str">
        <f>""</f>
        <v/>
      </c>
      <c r="AS57" t="str">
        <f>""</f>
        <v/>
      </c>
      <c r="AT57" t="str">
        <f>""</f>
        <v/>
      </c>
      <c r="AU57" t="str">
        <f>""</f>
        <v/>
      </c>
      <c r="AV57" t="str">
        <f>""</f>
        <v/>
      </c>
      <c r="AW57" t="str">
        <f>""</f>
        <v/>
      </c>
      <c r="AX57" t="str">
        <f>""</f>
        <v/>
      </c>
      <c r="AY57" t="str">
        <f>""</f>
        <v/>
      </c>
      <c r="AZ57" t="str">
        <f>""</f>
        <v/>
      </c>
      <c r="BA57" t="str">
        <f>""</f>
        <v/>
      </c>
      <c r="BB57" t="str">
        <f>""</f>
        <v/>
      </c>
      <c r="BC57" t="str">
        <f>""</f>
        <v/>
      </c>
      <c r="BD57" t="str">
        <f>""</f>
        <v/>
      </c>
      <c r="BE57" t="str">
        <f>""</f>
        <v/>
      </c>
      <c r="BF57" t="str">
        <f>""</f>
        <v/>
      </c>
      <c r="BG57" t="str">
        <f>""</f>
        <v/>
      </c>
      <c r="BH57" t="str">
        <f>""</f>
        <v/>
      </c>
      <c r="BI57" t="str">
        <f>""</f>
        <v/>
      </c>
      <c r="BJ57" t="str">
        <f>""</f>
        <v/>
      </c>
      <c r="BK57" t="str">
        <f>""</f>
        <v/>
      </c>
      <c r="BL57" t="str">
        <f>""</f>
        <v/>
      </c>
      <c r="BM57" t="str">
        <f>""</f>
        <v/>
      </c>
    </row>
    <row r="58" spans="1:65">
      <c r="A58" t="str">
        <f>"BDH snapshot title"</f>
        <v>BDH snapshot title</v>
      </c>
      <c r="B58">
        <f>$B$57</f>
        <v>2</v>
      </c>
      <c r="C58" t="str">
        <f>$C$57</f>
        <v>2/2025</v>
      </c>
      <c r="D58" t="str">
        <f>$D$57</f>
        <v>1/2025</v>
      </c>
      <c r="E58" t="str">
        <f>$E$57</f>
        <v>12/2024</v>
      </c>
      <c r="F58" t="str">
        <f>$F$57</f>
        <v>11/2024</v>
      </c>
      <c r="G58" t="str">
        <f>$G$57</f>
        <v>10/2024</v>
      </c>
      <c r="H58" t="str">
        <f>$H$57</f>
        <v>9/2024</v>
      </c>
      <c r="I58" t="str">
        <f>$I$57</f>
        <v>8/2024</v>
      </c>
      <c r="J58" t="str">
        <f>$J$57</f>
        <v>7/2024</v>
      </c>
      <c r="K58" t="str">
        <f>$K$57</f>
        <v>6/2024</v>
      </c>
      <c r="L58" t="str">
        <f>$L$57</f>
        <v>5/2024</v>
      </c>
      <c r="M58" t="str">
        <f>$M$57</f>
        <v>4/2024</v>
      </c>
      <c r="N58" t="str">
        <f>$N$57</f>
        <v>3/2024</v>
      </c>
      <c r="O58" t="str">
        <f>$O$57</f>
        <v>2/2024</v>
      </c>
      <c r="P58" t="str">
        <f>$P$57</f>
        <v>1/2024</v>
      </c>
      <c r="Q58" t="str">
        <f>$Q$57</f>
        <v>12/2023</v>
      </c>
      <c r="R58" t="str">
        <f>$R$57</f>
        <v>11/2023</v>
      </c>
      <c r="S58" t="str">
        <f>$S$57</f>
        <v>10/2023</v>
      </c>
      <c r="T58" t="str">
        <f>$T$57</f>
        <v>9/2023</v>
      </c>
      <c r="U58" t="str">
        <f>$U$57</f>
        <v>8/2023</v>
      </c>
      <c r="V58" t="str">
        <f>$V$57</f>
        <v>7/2023</v>
      </c>
      <c r="W58" t="str">
        <f>$W$57</f>
        <v>6/2023</v>
      </c>
      <c r="X58" t="str">
        <f>$X$57</f>
        <v>5/2023</v>
      </c>
      <c r="Y58" t="str">
        <f>$Y$57</f>
        <v>4/2023</v>
      </c>
      <c r="Z58" t="str">
        <f>$Z$57</f>
        <v>3/2023</v>
      </c>
      <c r="AA58" t="str">
        <f>$AA$57</f>
        <v>2/2023</v>
      </c>
      <c r="AB58" t="str">
        <f>$AB$57</f>
        <v>1/2023</v>
      </c>
      <c r="AC58" t="str">
        <f>$AC$57</f>
        <v>12/2022</v>
      </c>
      <c r="AD58" t="str">
        <f>$AD$57</f>
        <v>11/2022</v>
      </c>
      <c r="AE58" t="str">
        <f>$AE$57</f>
        <v>10/2022</v>
      </c>
      <c r="AF58" t="str">
        <f>$AF$57</f>
        <v>9/2022</v>
      </c>
      <c r="AJ58" t="str">
        <f>""</f>
        <v/>
      </c>
      <c r="AK58" t="str">
        <f>""</f>
        <v/>
      </c>
      <c r="AL58" t="str">
        <f>""</f>
        <v/>
      </c>
      <c r="AM58" t="str">
        <f>""</f>
        <v/>
      </c>
      <c r="AN58" t="str">
        <f>""</f>
        <v/>
      </c>
      <c r="AO58" t="str">
        <f>""</f>
        <v/>
      </c>
      <c r="AP58" t="str">
        <f>""</f>
        <v/>
      </c>
      <c r="AQ58" t="str">
        <f>""</f>
        <v/>
      </c>
      <c r="AR58" t="str">
        <f>""</f>
        <v/>
      </c>
      <c r="AS58" t="str">
        <f>""</f>
        <v/>
      </c>
      <c r="AT58" t="str">
        <f>""</f>
        <v/>
      </c>
      <c r="AU58" t="str">
        <f>""</f>
        <v/>
      </c>
      <c r="AV58" t="str">
        <f>""</f>
        <v/>
      </c>
      <c r="AW58" t="str">
        <f>""</f>
        <v/>
      </c>
      <c r="AX58" t="str">
        <f>""</f>
        <v/>
      </c>
      <c r="AY58" t="str">
        <f>""</f>
        <v/>
      </c>
      <c r="AZ58" t="str">
        <f>""</f>
        <v/>
      </c>
      <c r="BA58" t="str">
        <f>""</f>
        <v/>
      </c>
      <c r="BB58" t="str">
        <f>""</f>
        <v/>
      </c>
      <c r="BC58" t="str">
        <f>""</f>
        <v/>
      </c>
      <c r="BD58" t="str">
        <f>""</f>
        <v/>
      </c>
      <c r="BE58" t="str">
        <f>""</f>
        <v/>
      </c>
      <c r="BF58" t="str">
        <f>""</f>
        <v/>
      </c>
      <c r="BG58" t="str">
        <f>""</f>
        <v/>
      </c>
      <c r="BH58" t="str">
        <f>""</f>
        <v/>
      </c>
      <c r="BI58" t="str">
        <f>""</f>
        <v/>
      </c>
      <c r="BJ58" t="str">
        <f>""</f>
        <v/>
      </c>
      <c r="BK58" t="str">
        <f>""</f>
        <v/>
      </c>
      <c r="BL58" t="str">
        <f>""</f>
        <v/>
      </c>
      <c r="BM58" t="str">
        <f>""</f>
        <v/>
      </c>
    </row>
    <row r="59" spans="1:65">
      <c r="A59" t="str">
        <f>"BDH dynamic header0"</f>
        <v>BDH dynamic header0</v>
      </c>
      <c r="B59">
        <f ca="1">IF(OR(ISERROR($C$59),ISBLANK($C$59),ISNUMBER(SEARCH("N/A",$C$59) ),ISERROR($C$60),ISBLANK($C$60)),0,1)</f>
        <v>0</v>
      </c>
      <c r="C59" t="e">
        <f ca="1">_xll.BDH($B$4,$C$4,$B$27,$B$28,"PER=CM","Dts=S","DtFmt=FI", "rows=2","Dir=H","Points=30","Sort=R","Days=A","Fill=B", )</f>
        <v>#NAME?</v>
      </c>
      <c r="AJ59" t="str">
        <f>""</f>
        <v/>
      </c>
      <c r="AK59" t="str">
        <f>""</f>
        <v/>
      </c>
      <c r="AL59" t="str">
        <f>""</f>
        <v/>
      </c>
      <c r="AM59" t="str">
        <f>""</f>
        <v/>
      </c>
      <c r="AN59" t="str">
        <f>""</f>
        <v/>
      </c>
      <c r="AO59" t="str">
        <f>""</f>
        <v/>
      </c>
      <c r="AP59" t="str">
        <f>""</f>
        <v/>
      </c>
      <c r="AQ59" t="str">
        <f>""</f>
        <v/>
      </c>
      <c r="AR59" t="str">
        <f>""</f>
        <v/>
      </c>
      <c r="AS59" t="str">
        <f>""</f>
        <v/>
      </c>
      <c r="AT59" t="str">
        <f>""</f>
        <v/>
      </c>
      <c r="AU59" t="str">
        <f>""</f>
        <v/>
      </c>
      <c r="AV59" t="str">
        <f>""</f>
        <v/>
      </c>
      <c r="AW59" t="str">
        <f>""</f>
        <v/>
      </c>
      <c r="AX59" t="str">
        <f>""</f>
        <v/>
      </c>
      <c r="AY59" t="str">
        <f>""</f>
        <v/>
      </c>
      <c r="AZ59" t="str">
        <f>""</f>
        <v/>
      </c>
      <c r="BA59" t="str">
        <f>""</f>
        <v/>
      </c>
      <c r="BB59" t="str">
        <f>""</f>
        <v/>
      </c>
      <c r="BC59" t="str">
        <f>""</f>
        <v/>
      </c>
      <c r="BD59" t="str">
        <f>""</f>
        <v/>
      </c>
      <c r="BE59" t="str">
        <f>""</f>
        <v/>
      </c>
      <c r="BF59" t="str">
        <f>""</f>
        <v/>
      </c>
      <c r="BG59" t="str">
        <f>""</f>
        <v/>
      </c>
      <c r="BH59" t="str">
        <f>""</f>
        <v/>
      </c>
      <c r="BI59" t="str">
        <f>""</f>
        <v/>
      </c>
      <c r="BJ59" t="str">
        <f>""</f>
        <v/>
      </c>
      <c r="BK59" t="str">
        <f>""</f>
        <v/>
      </c>
      <c r="BL59" t="str">
        <f>""</f>
        <v/>
      </c>
      <c r="BM59" t="str">
        <f>""</f>
        <v/>
      </c>
    </row>
    <row r="60" spans="1:65">
      <c r="A60" t="str">
        <f>"BDH dynamic result0"</f>
        <v>BDH dynamic result0</v>
      </c>
      <c r="AJ60" t="str">
        <f>""</f>
        <v/>
      </c>
      <c r="AK60" t="str">
        <f>""</f>
        <v/>
      </c>
      <c r="AL60" t="str">
        <f>""</f>
        <v/>
      </c>
      <c r="AM60" t="str">
        <f>""</f>
        <v/>
      </c>
      <c r="AN60" t="str">
        <f>""</f>
        <v/>
      </c>
      <c r="AO60" t="str">
        <f>""</f>
        <v/>
      </c>
      <c r="AP60" t="str">
        <f>""</f>
        <v/>
      </c>
      <c r="AQ60" t="str">
        <f>""</f>
        <v/>
      </c>
      <c r="AR60" t="str">
        <f>""</f>
        <v/>
      </c>
      <c r="AS60" t="str">
        <f>""</f>
        <v/>
      </c>
      <c r="AT60" t="str">
        <f>""</f>
        <v/>
      </c>
      <c r="AU60" t="str">
        <f>""</f>
        <v/>
      </c>
      <c r="AV60" t="str">
        <f>""</f>
        <v/>
      </c>
      <c r="AW60" t="str">
        <f>""</f>
        <v/>
      </c>
      <c r="AX60" t="str">
        <f>""</f>
        <v/>
      </c>
      <c r="AY60" t="str">
        <f>""</f>
        <v/>
      </c>
      <c r="AZ60" t="str">
        <f>""</f>
        <v/>
      </c>
      <c r="BA60" t="str">
        <f>""</f>
        <v/>
      </c>
      <c r="BB60" t="str">
        <f>""</f>
        <v/>
      </c>
      <c r="BC60" t="str">
        <f>""</f>
        <v/>
      </c>
      <c r="BD60" t="str">
        <f>""</f>
        <v/>
      </c>
      <c r="BE60" t="str">
        <f>""</f>
        <v/>
      </c>
      <c r="BF60" t="str">
        <f>""</f>
        <v/>
      </c>
      <c r="BG60" t="str">
        <f>""</f>
        <v/>
      </c>
      <c r="BH60" t="str">
        <f>""</f>
        <v/>
      </c>
      <c r="BI60" t="str">
        <f>""</f>
        <v/>
      </c>
      <c r="BJ60" t="str">
        <f>""</f>
        <v/>
      </c>
      <c r="BK60" t="str">
        <f>""</f>
        <v/>
      </c>
      <c r="BL60" t="str">
        <f>""</f>
        <v/>
      </c>
      <c r="BM60" t="str">
        <f>""</f>
        <v/>
      </c>
    </row>
    <row r="61" spans="1:65">
      <c r="A61" t="str">
        <f>"BDH dynamic header1"</f>
        <v>BDH dynamic header1</v>
      </c>
      <c r="B61">
        <f ca="1">IF(OR(ISERROR($C$61),ISBLANK($C$61),ISNUMBER(SEARCH("N/A",$C$61) ),ISERROR($C$62),ISBLANK($C$62)),0,1)</f>
        <v>0</v>
      </c>
      <c r="C61" t="e">
        <f ca="1">_xll.BDH($B$7,$C$7,$B$27,$B$28,"PER=CM","Dts=S","DtFmt=FI", "rows=2","Dir=H","Points=30","Sort=R","Days=A","Fill=B", )</f>
        <v>#NAME?</v>
      </c>
      <c r="AJ61" t="str">
        <f>""</f>
        <v/>
      </c>
      <c r="AK61" t="str">
        <f>""</f>
        <v/>
      </c>
      <c r="AL61" t="str">
        <f>""</f>
        <v/>
      </c>
      <c r="AM61" t="str">
        <f>""</f>
        <v/>
      </c>
      <c r="AN61" t="str">
        <f>""</f>
        <v/>
      </c>
      <c r="AO61" t="str">
        <f>""</f>
        <v/>
      </c>
      <c r="AP61" t="str">
        <f>""</f>
        <v/>
      </c>
      <c r="AQ61" t="str">
        <f>""</f>
        <v/>
      </c>
      <c r="AR61" t="str">
        <f>""</f>
        <v/>
      </c>
      <c r="AS61" t="str">
        <f>""</f>
        <v/>
      </c>
      <c r="AT61" t="str">
        <f>""</f>
        <v/>
      </c>
      <c r="AU61" t="str">
        <f>""</f>
        <v/>
      </c>
      <c r="AV61" t="str">
        <f>""</f>
        <v/>
      </c>
      <c r="AW61" t="str">
        <f>""</f>
        <v/>
      </c>
      <c r="AX61" t="str">
        <f>""</f>
        <v/>
      </c>
      <c r="AY61" t="str">
        <f>""</f>
        <v/>
      </c>
      <c r="AZ61" t="str">
        <f>""</f>
        <v/>
      </c>
      <c r="BA61" t="str">
        <f>""</f>
        <v/>
      </c>
      <c r="BB61" t="str">
        <f>""</f>
        <v/>
      </c>
      <c r="BC61" t="str">
        <f>""</f>
        <v/>
      </c>
      <c r="BD61" t="str">
        <f>""</f>
        <v/>
      </c>
      <c r="BE61" t="str">
        <f>""</f>
        <v/>
      </c>
      <c r="BF61" t="str">
        <f>""</f>
        <v/>
      </c>
      <c r="BG61" t="str">
        <f>""</f>
        <v/>
      </c>
      <c r="BH61" t="str">
        <f>""</f>
        <v/>
      </c>
      <c r="BI61" t="str">
        <f>""</f>
        <v/>
      </c>
      <c r="BJ61" t="str">
        <f>""</f>
        <v/>
      </c>
      <c r="BK61" t="str">
        <f>""</f>
        <v/>
      </c>
      <c r="BL61" t="str">
        <f>""</f>
        <v/>
      </c>
      <c r="BM61" t="str">
        <f>""</f>
        <v/>
      </c>
    </row>
    <row r="62" spans="1:65">
      <c r="A62" t="str">
        <f>"BDH dynamic result1"</f>
        <v>BDH dynamic result1</v>
      </c>
      <c r="AJ62" t="str">
        <f>""</f>
        <v/>
      </c>
      <c r="AK62" t="str">
        <f>""</f>
        <v/>
      </c>
      <c r="AL62" t="str">
        <f>""</f>
        <v/>
      </c>
      <c r="AM62" t="str">
        <f>""</f>
        <v/>
      </c>
      <c r="AN62" t="str">
        <f>""</f>
        <v/>
      </c>
      <c r="AO62" t="str">
        <f>""</f>
        <v/>
      </c>
      <c r="AP62" t="str">
        <f>""</f>
        <v/>
      </c>
      <c r="AQ62" t="str">
        <f>""</f>
        <v/>
      </c>
      <c r="AR62" t="str">
        <f>""</f>
        <v/>
      </c>
      <c r="AS62" t="str">
        <f>""</f>
        <v/>
      </c>
      <c r="AT62" t="str">
        <f>""</f>
        <v/>
      </c>
      <c r="AU62" t="str">
        <f>""</f>
        <v/>
      </c>
      <c r="AV62" t="str">
        <f>""</f>
        <v/>
      </c>
      <c r="AW62" t="str">
        <f>""</f>
        <v/>
      </c>
      <c r="AX62" t="str">
        <f>""</f>
        <v/>
      </c>
      <c r="AY62" t="str">
        <f>""</f>
        <v/>
      </c>
      <c r="AZ62" t="str">
        <f>""</f>
        <v/>
      </c>
      <c r="BA62" t="str">
        <f>""</f>
        <v/>
      </c>
      <c r="BB62" t="str">
        <f>""</f>
        <v/>
      </c>
      <c r="BC62" t="str">
        <f>""</f>
        <v/>
      </c>
      <c r="BD62" t="str">
        <f>""</f>
        <v/>
      </c>
      <c r="BE62" t="str">
        <f>""</f>
        <v/>
      </c>
      <c r="BF62" t="str">
        <f>""</f>
        <v/>
      </c>
      <c r="BG62" t="str">
        <f>""</f>
        <v/>
      </c>
      <c r="BH62" t="str">
        <f>""</f>
        <v/>
      </c>
      <c r="BI62" t="str">
        <f>""</f>
        <v/>
      </c>
      <c r="BJ62" t="str">
        <f>""</f>
        <v/>
      </c>
      <c r="BK62" t="str">
        <f>""</f>
        <v/>
      </c>
      <c r="BL62" t="str">
        <f>""</f>
        <v/>
      </c>
      <c r="BM62" t="str">
        <f>""</f>
        <v/>
      </c>
    </row>
    <row r="63" spans="1:65">
      <c r="A63" t="str">
        <f>"BDH dynamic header2"</f>
        <v>BDH dynamic header2</v>
      </c>
      <c r="B63">
        <f ca="1">IF(OR(ISERROR($C$63),ISBLANK($C$63),ISNUMBER(SEARCH("N/A",$C$63) ),ISERROR($C$64),ISBLANK($C$64)),0,1)</f>
        <v>0</v>
      </c>
      <c r="C63" t="e">
        <f ca="1">_xll.BDH($B$8,$C$8,$B$27,$B$28,"PER=CM","Dts=S","DtFmt=FI", "rows=2","Dir=H","Points=30","Sort=R","Days=A","Fill=B", )</f>
        <v>#NAME?</v>
      </c>
      <c r="AJ63" t="str">
        <f>""</f>
        <v/>
      </c>
      <c r="AK63" t="str">
        <f>""</f>
        <v/>
      </c>
      <c r="AL63" t="str">
        <f>""</f>
        <v/>
      </c>
      <c r="AM63" t="str">
        <f>""</f>
        <v/>
      </c>
      <c r="AN63" t="str">
        <f>""</f>
        <v/>
      </c>
      <c r="AO63" t="str">
        <f>""</f>
        <v/>
      </c>
      <c r="AP63" t="str">
        <f>""</f>
        <v/>
      </c>
      <c r="AQ63" t="str">
        <f>""</f>
        <v/>
      </c>
      <c r="AR63" t="str">
        <f>""</f>
        <v/>
      </c>
      <c r="AS63" t="str">
        <f>""</f>
        <v/>
      </c>
      <c r="AT63" t="str">
        <f>""</f>
        <v/>
      </c>
      <c r="AU63" t="str">
        <f>""</f>
        <v/>
      </c>
      <c r="AV63" t="str">
        <f>""</f>
        <v/>
      </c>
      <c r="AW63" t="str">
        <f>""</f>
        <v/>
      </c>
      <c r="AX63" t="str">
        <f>""</f>
        <v/>
      </c>
      <c r="AY63" t="str">
        <f>""</f>
        <v/>
      </c>
      <c r="AZ63" t="str">
        <f>""</f>
        <v/>
      </c>
      <c r="BA63" t="str">
        <f>""</f>
        <v/>
      </c>
      <c r="BB63" t="str">
        <f>""</f>
        <v/>
      </c>
      <c r="BC63" t="str">
        <f>""</f>
        <v/>
      </c>
      <c r="BD63" t="str">
        <f>""</f>
        <v/>
      </c>
      <c r="BE63" t="str">
        <f>""</f>
        <v/>
      </c>
      <c r="BF63" t="str">
        <f>""</f>
        <v/>
      </c>
      <c r="BG63" t="str">
        <f>""</f>
        <v/>
      </c>
      <c r="BH63" t="str">
        <f>""</f>
        <v/>
      </c>
      <c r="BI63" t="str">
        <f>""</f>
        <v/>
      </c>
      <c r="BJ63" t="str">
        <f>""</f>
        <v/>
      </c>
      <c r="BK63" t="str">
        <f>""</f>
        <v/>
      </c>
      <c r="BL63" t="str">
        <f>""</f>
        <v/>
      </c>
      <c r="BM63" t="str">
        <f>""</f>
        <v/>
      </c>
    </row>
    <row r="64" spans="1:65">
      <c r="A64" t="str">
        <f>"BDH dynamic result2"</f>
        <v>BDH dynamic result2</v>
      </c>
      <c r="AJ64" t="str">
        <f>""</f>
        <v/>
      </c>
      <c r="AK64" t="str">
        <f>""</f>
        <v/>
      </c>
      <c r="AL64" t="str">
        <f>""</f>
        <v/>
      </c>
      <c r="AM64" t="str">
        <f>""</f>
        <v/>
      </c>
      <c r="AN64" t="str">
        <f>""</f>
        <v/>
      </c>
      <c r="AO64" t="str">
        <f>""</f>
        <v/>
      </c>
      <c r="AP64" t="str">
        <f>""</f>
        <v/>
      </c>
      <c r="AQ64" t="str">
        <f>""</f>
        <v/>
      </c>
      <c r="AR64" t="str">
        <f>""</f>
        <v/>
      </c>
      <c r="AS64" t="str">
        <f>""</f>
        <v/>
      </c>
      <c r="AT64" t="str">
        <f>""</f>
        <v/>
      </c>
      <c r="AU64" t="str">
        <f>""</f>
        <v/>
      </c>
      <c r="AV64" t="str">
        <f>""</f>
        <v/>
      </c>
      <c r="AW64" t="str">
        <f>""</f>
        <v/>
      </c>
      <c r="AX64" t="str">
        <f>""</f>
        <v/>
      </c>
      <c r="AY64" t="str">
        <f>""</f>
        <v/>
      </c>
      <c r="AZ64" t="str">
        <f>""</f>
        <v/>
      </c>
      <c r="BA64" t="str">
        <f>""</f>
        <v/>
      </c>
      <c r="BB64" t="str">
        <f>""</f>
        <v/>
      </c>
      <c r="BC64" t="str">
        <f>""</f>
        <v/>
      </c>
      <c r="BD64" t="str">
        <f>""</f>
        <v/>
      </c>
      <c r="BE64" t="str">
        <f>""</f>
        <v/>
      </c>
      <c r="BF64" t="str">
        <f>""</f>
        <v/>
      </c>
      <c r="BG64" t="str">
        <f>""</f>
        <v/>
      </c>
      <c r="BH64" t="str">
        <f>""</f>
        <v/>
      </c>
      <c r="BI64" t="str">
        <f>""</f>
        <v/>
      </c>
      <c r="BJ64" t="str">
        <f>""</f>
        <v/>
      </c>
      <c r="BK64" t="str">
        <f>""</f>
        <v/>
      </c>
      <c r="BL64" t="str">
        <f>""</f>
        <v/>
      </c>
      <c r="BM64" t="str">
        <f>""</f>
        <v/>
      </c>
    </row>
    <row r="65" spans="1:65">
      <c r="A65" t="str">
        <f>"BDH dynamic"</f>
        <v>BDH dynamic</v>
      </c>
      <c r="B65">
        <f ca="1">IF($B$59&gt;=1,$B$59,IF($B$61&gt;=1,$B$61,IF($B$63&gt;=1,$B$63,$B$50)))</f>
        <v>2</v>
      </c>
      <c r="C65" t="str">
        <f ca="1">IF($B$59&gt;=1,$C$59,IF($B$61&gt;=1,$C$61,IF($B$63&gt;=1,$C$63,$C$50)))</f>
        <v>2/2025</v>
      </c>
      <c r="D65" t="str">
        <f ca="1">IF($B$59&gt;=1,$D$59,IF($B$61&gt;=1,$D$61,IF($B$63&gt;=1,$D$63,$D$50)))</f>
        <v>1/2025</v>
      </c>
      <c r="E65" t="str">
        <f ca="1">IF($B$59&gt;=1,$E$59,IF($B$61&gt;=1,$E$61,IF($B$63&gt;=1,$E$63,$E$50)))</f>
        <v>12/2024</v>
      </c>
      <c r="F65" t="str">
        <f ca="1">IF($B$59&gt;=1,$F$59,IF($B$61&gt;=1,$F$61,IF($B$63&gt;=1,$F$63,$F$50)))</f>
        <v>11/2024</v>
      </c>
      <c r="G65" t="str">
        <f ca="1">IF($B$59&gt;=1,$G$59,IF($B$61&gt;=1,$G$61,IF($B$63&gt;=1,$G$63,$G$50)))</f>
        <v>10/2024</v>
      </c>
      <c r="H65" t="str">
        <f ca="1">IF($B$59&gt;=1,$H$59,IF($B$61&gt;=1,$H$61,IF($B$63&gt;=1,$H$63,$H$50)))</f>
        <v>9/2024</v>
      </c>
      <c r="I65" t="str">
        <f ca="1">IF($B$59&gt;=1,$I$59,IF($B$61&gt;=1,$I$61,IF($B$63&gt;=1,$I$63,$I$50)))</f>
        <v>8/2024</v>
      </c>
      <c r="J65" t="str">
        <f ca="1">IF($B$59&gt;=1,$J$59,IF($B$61&gt;=1,$J$61,IF($B$63&gt;=1,$J$63,$J$50)))</f>
        <v>7/2024</v>
      </c>
      <c r="K65" t="str">
        <f ca="1">IF($B$59&gt;=1,$K$59,IF($B$61&gt;=1,$K$61,IF($B$63&gt;=1,$K$63,$K$50)))</f>
        <v>6/2024</v>
      </c>
      <c r="L65" t="str">
        <f ca="1">IF($B$59&gt;=1,$L$59,IF($B$61&gt;=1,$L$61,IF($B$63&gt;=1,$L$63,$L$50)))</f>
        <v>5/2024</v>
      </c>
      <c r="M65" t="str">
        <f ca="1">IF($B$59&gt;=1,$M$59,IF($B$61&gt;=1,$M$61,IF($B$63&gt;=1,$M$63,$M$50)))</f>
        <v>4/2024</v>
      </c>
      <c r="N65" t="str">
        <f ca="1">IF($B$59&gt;=1,$N$59,IF($B$61&gt;=1,$N$61,IF($B$63&gt;=1,$N$63,$N$50)))</f>
        <v>3/2024</v>
      </c>
      <c r="O65" t="str">
        <f ca="1">IF($B$59&gt;=1,$O$59,IF($B$61&gt;=1,$O$61,IF($B$63&gt;=1,$O$63,$O$50)))</f>
        <v>2/2024</v>
      </c>
      <c r="P65" t="str">
        <f ca="1">IF($B$59&gt;=1,$P$59,IF($B$61&gt;=1,$P$61,IF($B$63&gt;=1,$P$63,$P$50)))</f>
        <v>1/2024</v>
      </c>
      <c r="Q65" t="str">
        <f ca="1">IF($B$59&gt;=1,$Q$59,IF($B$61&gt;=1,$Q$61,IF($B$63&gt;=1,$Q$63,$Q$50)))</f>
        <v>12/2023</v>
      </c>
      <c r="R65" t="str">
        <f ca="1">IF($B$59&gt;=1,$R$59,IF($B$61&gt;=1,$R$61,IF($B$63&gt;=1,$R$63,$R$50)))</f>
        <v>11/2023</v>
      </c>
      <c r="S65" t="str">
        <f ca="1">IF($B$59&gt;=1,$S$59,IF($B$61&gt;=1,$S$61,IF($B$63&gt;=1,$S$63,$S$50)))</f>
        <v>10/2023</v>
      </c>
      <c r="T65" t="str">
        <f ca="1">IF($B$59&gt;=1,$T$59,IF($B$61&gt;=1,$T$61,IF($B$63&gt;=1,$T$63,$T$50)))</f>
        <v>9/2023</v>
      </c>
      <c r="U65" t="str">
        <f ca="1">IF($B$59&gt;=1,$U$59,IF($B$61&gt;=1,$U$61,IF($B$63&gt;=1,$U$63,$U$50)))</f>
        <v>8/2023</v>
      </c>
      <c r="V65" t="str">
        <f ca="1">IF($B$59&gt;=1,$V$59,IF($B$61&gt;=1,$V$61,IF($B$63&gt;=1,$V$63,$V$50)))</f>
        <v>7/2023</v>
      </c>
      <c r="W65" t="str">
        <f ca="1">IF($B$59&gt;=1,$W$59,IF($B$61&gt;=1,$W$61,IF($B$63&gt;=1,$W$63,$W$50)))</f>
        <v>6/2023</v>
      </c>
      <c r="X65" t="str">
        <f ca="1">IF($B$59&gt;=1,$X$59,IF($B$61&gt;=1,$X$61,IF($B$63&gt;=1,$X$63,$X$50)))</f>
        <v>5/2023</v>
      </c>
      <c r="Y65" t="str">
        <f ca="1">IF($B$59&gt;=1,$Y$59,IF($B$61&gt;=1,$Y$61,IF($B$63&gt;=1,$Y$63,$Y$50)))</f>
        <v>4/2023</v>
      </c>
      <c r="Z65" t="str">
        <f ca="1">IF($B$59&gt;=1,$Z$59,IF($B$61&gt;=1,$Z$61,IF($B$63&gt;=1,$Z$63,$Z$50)))</f>
        <v>3/2023</v>
      </c>
      <c r="AA65" t="str">
        <f ca="1">IF($B$59&gt;=1,$AA$59,IF($B$61&gt;=1,$AA$61,IF($B$63&gt;=1,$AA$63,$AA$50)))</f>
        <v>2/2023</v>
      </c>
      <c r="AB65" t="str">
        <f ca="1">IF($B$59&gt;=1,$AB$59,IF($B$61&gt;=1,$AB$61,IF($B$63&gt;=1,$AB$63,$AB$50)))</f>
        <v>1/2023</v>
      </c>
      <c r="AC65" t="str">
        <f ca="1">IF($B$59&gt;=1,$AC$59,IF($B$61&gt;=1,$AC$61,IF($B$63&gt;=1,$AC$63,$AC$50)))</f>
        <v>12/2022</v>
      </c>
      <c r="AD65" t="str">
        <f ca="1">IF($B$59&gt;=1,$AD$59,IF($B$61&gt;=1,$AD$61,IF($B$63&gt;=1,$AD$63,$AD$50)))</f>
        <v>11/2022</v>
      </c>
      <c r="AE65" t="str">
        <f ca="1">IF($B$59&gt;=1,$AE$59,IF($B$61&gt;=1,$AE$61,IF($B$63&gt;=1,$AE$63,$AE$50)))</f>
        <v>10/2022</v>
      </c>
      <c r="AF65" t="str">
        <f ca="1">IF($B$59&gt;=1,$AF$59,IF($B$61&gt;=1,$AF$61,IF($B$63&gt;=1,$AF$63,$AF$50)))</f>
        <v>9/2022</v>
      </c>
      <c r="AJ65" t="str">
        <f>""</f>
        <v/>
      </c>
      <c r="AK65" t="str">
        <f>""</f>
        <v/>
      </c>
      <c r="AL65" t="str">
        <f>""</f>
        <v/>
      </c>
      <c r="AM65" t="str">
        <f>""</f>
        <v/>
      </c>
      <c r="AN65" t="str">
        <f>""</f>
        <v/>
      </c>
      <c r="AO65" t="str">
        <f>""</f>
        <v/>
      </c>
      <c r="AP65" t="str">
        <f>""</f>
        <v/>
      </c>
      <c r="AQ65" t="str">
        <f>""</f>
        <v/>
      </c>
      <c r="AR65" t="str">
        <f>""</f>
        <v/>
      </c>
      <c r="AS65" t="str">
        <f>""</f>
        <v/>
      </c>
      <c r="AT65" t="str">
        <f>""</f>
        <v/>
      </c>
      <c r="AU65" t="str">
        <f>""</f>
        <v/>
      </c>
      <c r="AV65" t="str">
        <f>""</f>
        <v/>
      </c>
      <c r="AW65" t="str">
        <f>""</f>
        <v/>
      </c>
      <c r="AX65" t="str">
        <f>""</f>
        <v/>
      </c>
      <c r="AY65" t="str">
        <f>""</f>
        <v/>
      </c>
      <c r="AZ65" t="str">
        <f>""</f>
        <v/>
      </c>
      <c r="BA65" t="str">
        <f>""</f>
        <v/>
      </c>
      <c r="BB65" t="str">
        <f>""</f>
        <v/>
      </c>
      <c r="BC65" t="str">
        <f>""</f>
        <v/>
      </c>
      <c r="BD65" t="str">
        <f>""</f>
        <v/>
      </c>
      <c r="BE65" t="str">
        <f>""</f>
        <v/>
      </c>
      <c r="BF65" t="str">
        <f>""</f>
        <v/>
      </c>
      <c r="BG65" t="str">
        <f>""</f>
        <v/>
      </c>
      <c r="BH65" t="str">
        <f>""</f>
        <v/>
      </c>
      <c r="BI65" t="str">
        <f>""</f>
        <v/>
      </c>
      <c r="BJ65" t="str">
        <f>""</f>
        <v/>
      </c>
      <c r="BK65" t="str">
        <f>""</f>
        <v/>
      </c>
      <c r="BL65" t="str">
        <f>""</f>
        <v/>
      </c>
      <c r="BM65" t="str">
        <f>""</f>
        <v/>
      </c>
    </row>
    <row r="66" spans="1:65">
      <c r="A66" t="str">
        <f>"BDH dynamic title"</f>
        <v>BDH dynamic title</v>
      </c>
      <c r="B66">
        <f ca="1">$B$65</f>
        <v>2</v>
      </c>
      <c r="C66" t="str">
        <f ca="1">$C$65</f>
        <v>2/2025</v>
      </c>
      <c r="D66" t="str">
        <f ca="1">$D$65</f>
        <v>1/2025</v>
      </c>
      <c r="E66" t="str">
        <f ca="1">$E$65</f>
        <v>12/2024</v>
      </c>
      <c r="F66" t="str">
        <f ca="1">$F$65</f>
        <v>11/2024</v>
      </c>
      <c r="G66" t="str">
        <f ca="1">$G$65</f>
        <v>10/2024</v>
      </c>
      <c r="H66" t="str">
        <f ca="1">$H$65</f>
        <v>9/2024</v>
      </c>
      <c r="I66" t="str">
        <f ca="1">$I$65</f>
        <v>8/2024</v>
      </c>
      <c r="J66" t="str">
        <f ca="1">$J$65</f>
        <v>7/2024</v>
      </c>
      <c r="K66" t="str">
        <f ca="1">$K$65</f>
        <v>6/2024</v>
      </c>
      <c r="L66" t="str">
        <f ca="1">$L$65</f>
        <v>5/2024</v>
      </c>
      <c r="M66" t="str">
        <f ca="1">$M$65</f>
        <v>4/2024</v>
      </c>
      <c r="N66" t="str">
        <f ca="1">$N$65</f>
        <v>3/2024</v>
      </c>
      <c r="O66" t="str">
        <f ca="1">$O$65</f>
        <v>2/2024</v>
      </c>
      <c r="P66" t="str">
        <f ca="1">$P$65</f>
        <v>1/2024</v>
      </c>
      <c r="Q66" t="str">
        <f ca="1">$Q$65</f>
        <v>12/2023</v>
      </c>
      <c r="R66" t="str">
        <f ca="1">$R$65</f>
        <v>11/2023</v>
      </c>
      <c r="S66" t="str">
        <f ca="1">$S$65</f>
        <v>10/2023</v>
      </c>
      <c r="T66" t="str">
        <f ca="1">$T$65</f>
        <v>9/2023</v>
      </c>
      <c r="U66" t="str">
        <f ca="1">$U$65</f>
        <v>8/2023</v>
      </c>
      <c r="V66" t="str">
        <f ca="1">$V$65</f>
        <v>7/2023</v>
      </c>
      <c r="W66" t="str">
        <f ca="1">$W$65</f>
        <v>6/2023</v>
      </c>
      <c r="X66" t="str">
        <f ca="1">$X$65</f>
        <v>5/2023</v>
      </c>
      <c r="Y66" t="str">
        <f ca="1">$Y$65</f>
        <v>4/2023</v>
      </c>
      <c r="Z66" t="str">
        <f ca="1">$Z$65</f>
        <v>3/2023</v>
      </c>
      <c r="AA66" t="str">
        <f ca="1">$AA$65</f>
        <v>2/2023</v>
      </c>
      <c r="AB66" t="str">
        <f ca="1">$AB$65</f>
        <v>1/2023</v>
      </c>
      <c r="AC66" t="str">
        <f ca="1">$AC$65</f>
        <v>12/2022</v>
      </c>
      <c r="AD66" t="str">
        <f ca="1">$AD$65</f>
        <v>11/2022</v>
      </c>
      <c r="AE66" t="str">
        <f ca="1">$AE$65</f>
        <v>10/2022</v>
      </c>
      <c r="AF66" t="str">
        <f ca="1">$AF$65</f>
        <v>9/2022</v>
      </c>
      <c r="AJ66" t="str">
        <f>""</f>
        <v/>
      </c>
      <c r="AK66" t="str">
        <f>""</f>
        <v/>
      </c>
      <c r="AL66" t="str">
        <f>""</f>
        <v/>
      </c>
      <c r="AM66" t="str">
        <f>""</f>
        <v/>
      </c>
      <c r="AN66" t="str">
        <f>""</f>
        <v/>
      </c>
      <c r="AO66" t="str">
        <f>""</f>
        <v/>
      </c>
      <c r="AP66" t="str">
        <f>""</f>
        <v/>
      </c>
      <c r="AQ66" t="str">
        <f>""</f>
        <v/>
      </c>
      <c r="AR66" t="str">
        <f>""</f>
        <v/>
      </c>
      <c r="AS66" t="str">
        <f>""</f>
        <v/>
      </c>
      <c r="AT66" t="str">
        <f>""</f>
        <v/>
      </c>
      <c r="AU66" t="str">
        <f>""</f>
        <v/>
      </c>
      <c r="AV66" t="str">
        <f>""</f>
        <v/>
      </c>
      <c r="AW66" t="str">
        <f>""</f>
        <v/>
      </c>
      <c r="AX66" t="str">
        <f>""</f>
        <v/>
      </c>
      <c r="AY66" t="str">
        <f>""</f>
        <v/>
      </c>
      <c r="AZ66" t="str">
        <f>""</f>
        <v/>
      </c>
      <c r="BA66" t="str">
        <f>""</f>
        <v/>
      </c>
      <c r="BB66" t="str">
        <f>""</f>
        <v/>
      </c>
      <c r="BC66" t="str">
        <f>""</f>
        <v/>
      </c>
      <c r="BD66" t="str">
        <f>""</f>
        <v/>
      </c>
      <c r="BE66" t="str">
        <f>""</f>
        <v/>
      </c>
      <c r="BF66" t="str">
        <f>""</f>
        <v/>
      </c>
      <c r="BG66" t="str">
        <f>""</f>
        <v/>
      </c>
      <c r="BH66" t="str">
        <f>""</f>
        <v/>
      </c>
      <c r="BI66" t="str">
        <f>""</f>
        <v/>
      </c>
      <c r="BJ66" t="str">
        <f>""</f>
        <v/>
      </c>
      <c r="BK66" t="str">
        <f>""</f>
        <v/>
      </c>
      <c r="BL66" t="str">
        <f>""</f>
        <v/>
      </c>
      <c r="BM66" t="str">
        <f>""</f>
        <v/>
      </c>
    </row>
    <row r="67" spans="1:65">
      <c r="A67" t="str">
        <f>"No error found"</f>
        <v>No error found</v>
      </c>
      <c r="B67" t="str">
        <f>""</f>
        <v/>
      </c>
      <c r="C67" t="str">
        <f>""</f>
        <v/>
      </c>
      <c r="D67" t="str">
        <f>""</f>
        <v/>
      </c>
      <c r="E67" t="str">
        <f>""</f>
        <v/>
      </c>
      <c r="AJ67" t="str">
        <f>""</f>
        <v/>
      </c>
      <c r="AK67" t="str">
        <f>""</f>
        <v/>
      </c>
      <c r="AL67" t="str">
        <f>""</f>
        <v/>
      </c>
      <c r="AM67" t="str">
        <f>""</f>
        <v/>
      </c>
      <c r="AN67" t="str">
        <f>""</f>
        <v/>
      </c>
      <c r="AO67" t="str">
        <f>""</f>
        <v/>
      </c>
      <c r="AP67" t="str">
        <f>""</f>
        <v/>
      </c>
      <c r="AQ67" t="str">
        <f>""</f>
        <v/>
      </c>
      <c r="AR67" t="str">
        <f>""</f>
        <v/>
      </c>
      <c r="AS67" t="str">
        <f>""</f>
        <v/>
      </c>
      <c r="AT67" t="str">
        <f>""</f>
        <v/>
      </c>
      <c r="AU67" t="str">
        <f>""</f>
        <v/>
      </c>
      <c r="AV67" t="str">
        <f>""</f>
        <v/>
      </c>
      <c r="AW67" t="str">
        <f>""</f>
        <v/>
      </c>
      <c r="AX67" t="str">
        <f>""</f>
        <v/>
      </c>
      <c r="AY67" t="str">
        <f>""</f>
        <v/>
      </c>
      <c r="AZ67" t="str">
        <f>""</f>
        <v/>
      </c>
      <c r="BA67" t="str">
        <f>""</f>
        <v/>
      </c>
      <c r="BB67" t="str">
        <f>""</f>
        <v/>
      </c>
      <c r="BC67" t="str">
        <f>""</f>
        <v/>
      </c>
      <c r="BD67" t="str">
        <f>""</f>
        <v/>
      </c>
      <c r="BE67" t="str">
        <f>""</f>
        <v/>
      </c>
      <c r="BF67" t="str">
        <f>""</f>
        <v/>
      </c>
      <c r="BG67" t="str">
        <f>""</f>
        <v/>
      </c>
      <c r="BH67" t="str">
        <f>""</f>
        <v/>
      </c>
      <c r="BI67" t="str">
        <f>""</f>
        <v/>
      </c>
      <c r="BJ67" t="str">
        <f>""</f>
        <v/>
      </c>
      <c r="BK67" t="str">
        <f>""</f>
        <v/>
      </c>
      <c r="BL67" t="str">
        <f>""</f>
        <v/>
      </c>
      <c r="BM67" t="str">
        <f>""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defaultRowHeight="15"/>
  <cols>
    <col min="1" max="1" width="9.140625" bestFit="1" customWidth="1"/>
  </cols>
  <sheetData>
    <row r="1" spans="1:1">
      <c r="A1" s="1"/>
    </row>
    <row r="2" spans="1:1">
      <c r="A2" t="s">
        <v>0</v>
      </c>
    </row>
    <row r="3" spans="1:1">
      <c r="A3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1" spans="1:1">
      <c r="A11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14</v>
      </c>
    </row>
    <row r="20" spans="1:1">
      <c r="A20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t="s">
        <v>2</v>
      </c>
    </row>
    <row r="32" spans="1:1">
      <c r="A32" t="s">
        <v>26</v>
      </c>
    </row>
    <row r="33" spans="1:1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Lev Rozanov</cp:lastModifiedBy>
  <cp:revision/>
  <dcterms:created xsi:type="dcterms:W3CDTF">2013-04-03T15:49:21Z</dcterms:created>
  <dcterms:modified xsi:type="dcterms:W3CDTF">2025-03-31T10:31:10Z</dcterms:modified>
  <cp:category/>
  <cp:contentStatus/>
</cp:coreProperties>
</file>